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  <Override PartName="/xl/embeddings/oleObject4.bin" ContentType="application/vnd.openxmlformats-officedocument.oleObject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Questa_cartella_di_lavoro" defaultThemeVersion="124226"/>
  <bookViews>
    <workbookView xWindow="480" yWindow="30" windowWidth="11355" windowHeight="9465" tabRatio="1000" activeTab="6"/>
  </bookViews>
  <sheets>
    <sheet name="Tavole Sopravvivenza" sheetId="30" r:id="rId1"/>
    <sheet name="Tavole Attuariali" sheetId="31" r:id="rId2"/>
    <sheet name="Riserve" sheetId="22" r:id="rId3"/>
    <sheet name="Scomposizione premio" sheetId="35" r:id="rId4"/>
    <sheet name="Utili attesi 1" sheetId="33" r:id="rId5"/>
    <sheet name="Utili attesi 2" sheetId="36" r:id="rId6"/>
    <sheet name="Foglio1" sheetId="37" r:id="rId7"/>
  </sheets>
  <externalReferences>
    <externalReference r:id="rId8"/>
  </externalReferences>
  <definedNames>
    <definedName name="lx">'Tavole Attuariali'!$C$11:$C$122</definedName>
    <definedName name="ModificaPosizione" localSheetId="2">Riserve!ModificaPosizione</definedName>
    <definedName name="ModificaPosizione" localSheetId="3">'Scomposizione premio'!ModificaPosizione</definedName>
    <definedName name="ModificaPosizione" localSheetId="4">'Utili attesi 1'!ModificaPosizione</definedName>
    <definedName name="ModificaPosizione" localSheetId="5">'Utili attesi 2'!ModificaPosizione</definedName>
    <definedName name="ModificaPosizione">[0]!ModificaPosizione</definedName>
    <definedName name="Opz_Bdem">'Tavole Attuariali'!$B$4</definedName>
    <definedName name="Opz_Bfin">'Tavole Attuariali'!$C$4</definedName>
    <definedName name="Opz_S">'Tavole Attuariali'!$D$4</definedName>
    <definedName name="Principale" localSheetId="2">Riserve!Principale</definedName>
    <definedName name="Principale" localSheetId="3">'Scomposizione premio'!Principale</definedName>
    <definedName name="Principale" localSheetId="4">'Utili attesi 1'!Principale</definedName>
    <definedName name="Principale" localSheetId="5">'Utili attesi 2'!Principale</definedName>
    <definedName name="Principale">[0]!Principale</definedName>
    <definedName name="RimuoviPosizioni" localSheetId="2">Riserve!RimuoviPosizioni</definedName>
    <definedName name="RimuoviPosizioni" localSheetId="3">'Scomposizione premio'!RimuoviPosizioni</definedName>
    <definedName name="RimuoviPosizioni" localSheetId="4">'Utili attesi 1'!RimuoviPosizioni</definedName>
    <definedName name="RimuoviPosizioni" localSheetId="5">'Utili attesi 2'!RimuoviPosizioni</definedName>
    <definedName name="RimuoviPosizioni">[0]!RimuoviPosizioni</definedName>
    <definedName name="Rx">'Tavole Attuariali'!$I$11:$I$122</definedName>
    <definedName name="SelezionePosizione" localSheetId="2">Riserve!SelezionePosizione</definedName>
    <definedName name="SelezionePosizione" localSheetId="3">'Scomposizione premio'!SelezionePosizione</definedName>
    <definedName name="SelezionePosizione" localSheetId="4">'Utili attesi 1'!SelezionePosizione</definedName>
    <definedName name="SelezionePosizione" localSheetId="5">'Utili attesi 2'!SelezionePosizione</definedName>
    <definedName name="SelezionePosizione">[0]!SelezionePosizione</definedName>
    <definedName name="Sx">'Tavole Attuariali'!$F$11:$F$122</definedName>
    <definedName name="Tavola71">'Tavole Sopravvivenza'!$B$4:$C$115</definedName>
    <definedName name="Tavola81">'Tavole Sopravvivenza'!$D$4:$E$115</definedName>
    <definedName name="Tavola91">'Tavole Sopravvivenza'!$F$4:$G$115</definedName>
    <definedName name="Tavola98">'Tavole Sopravvivenza'!$H$4:$I$115</definedName>
    <definedName name="TavolaRG48">'Tavole Sopravvivenza'!$J$4:$K$115</definedName>
    <definedName name="TestAnnulla" localSheetId="2">Riserve!TestAnnulla</definedName>
    <definedName name="TestAnnulla" localSheetId="3">'Scomposizione premio'!TestAnnulla</definedName>
    <definedName name="TestAnnulla" localSheetId="4">'Utili attesi 1'!TestAnnulla</definedName>
    <definedName name="TestAnnulla" localSheetId="5">'Utili attesi 2'!TestAnnulla</definedName>
    <definedName name="TestAnnulla">[0]!TestAnnulla</definedName>
  </definedNames>
  <calcPr calcId="145621"/>
</workbook>
</file>

<file path=xl/calcChain.xml><?xml version="1.0" encoding="utf-8"?>
<calcChain xmlns="http://schemas.openxmlformats.org/spreadsheetml/2006/main">
  <c r="N13" i="37" l="1"/>
  <c r="J10" i="37"/>
  <c r="K53" i="35"/>
  <c r="J53" i="35"/>
  <c r="H53" i="35"/>
  <c r="B30" i="35"/>
  <c r="K13" i="37"/>
  <c r="K16" i="37"/>
  <c r="K14" i="37"/>
  <c r="K15" i="37"/>
  <c r="J16" i="37"/>
  <c r="J15" i="37"/>
  <c r="J14" i="37"/>
  <c r="J13" i="37"/>
  <c r="L13" i="37" l="1"/>
  <c r="M13" i="37" s="1"/>
  <c r="L15" i="37"/>
  <c r="M15" i="37" s="1"/>
  <c r="L14" i="37"/>
  <c r="M14" i="37" s="1"/>
  <c r="L16" i="37"/>
  <c r="M16" i="37" s="1"/>
  <c r="A31" i="36"/>
  <c r="A31" i="35"/>
  <c r="A31" i="33"/>
  <c r="A32" i="36" l="1"/>
  <c r="A32" i="35"/>
  <c r="A32" i="33"/>
  <c r="A33" i="36" l="1"/>
  <c r="A33" i="35"/>
  <c r="A33" i="33"/>
  <c r="A34" i="36" l="1"/>
  <c r="A34" i="35"/>
  <c r="A34" i="33"/>
  <c r="A35" i="36" l="1"/>
  <c r="A35" i="35"/>
  <c r="A35" i="33"/>
  <c r="A36" i="36" l="1"/>
  <c r="A36" i="35"/>
  <c r="A36" i="33"/>
  <c r="B7" i="22"/>
  <c r="B13" i="22"/>
  <c r="C122" i="31"/>
  <c r="D122" i="31" s="1"/>
  <c r="C121" i="31"/>
  <c r="C120" i="31"/>
  <c r="D120" i="31" s="1"/>
  <c r="C119" i="31"/>
  <c r="C118" i="31"/>
  <c r="D118" i="31" s="1"/>
  <c r="C117" i="31"/>
  <c r="C116" i="31"/>
  <c r="D116" i="31" s="1"/>
  <c r="C115" i="31"/>
  <c r="C114" i="31"/>
  <c r="D114" i="31" s="1"/>
  <c r="C113" i="31"/>
  <c r="C112" i="31"/>
  <c r="D112" i="31" s="1"/>
  <c r="C111" i="31"/>
  <c r="C110" i="31"/>
  <c r="D110" i="31" s="1"/>
  <c r="C109" i="31"/>
  <c r="C108" i="31"/>
  <c r="D108" i="31" s="1"/>
  <c r="C107" i="31"/>
  <c r="C106" i="31"/>
  <c r="D106" i="31" s="1"/>
  <c r="C105" i="31"/>
  <c r="C104" i="31"/>
  <c r="D104" i="31" s="1"/>
  <c r="C103" i="31"/>
  <c r="C102" i="31"/>
  <c r="D102" i="31" s="1"/>
  <c r="C101" i="31"/>
  <c r="C100" i="31"/>
  <c r="D100" i="31" s="1"/>
  <c r="C99" i="31"/>
  <c r="C98" i="31"/>
  <c r="D98" i="31" s="1"/>
  <c r="C97" i="31"/>
  <c r="C96" i="31"/>
  <c r="D96" i="31" s="1"/>
  <c r="C95" i="31"/>
  <c r="C94" i="31"/>
  <c r="D94" i="31" s="1"/>
  <c r="C93" i="31"/>
  <c r="C92" i="31"/>
  <c r="D92" i="31" s="1"/>
  <c r="C91" i="31"/>
  <c r="C90" i="31"/>
  <c r="D90" i="31" s="1"/>
  <c r="C89" i="31"/>
  <c r="C88" i="31"/>
  <c r="D88" i="31" s="1"/>
  <c r="C87" i="31"/>
  <c r="C86" i="31"/>
  <c r="D86" i="31" s="1"/>
  <c r="C85" i="31"/>
  <c r="C84" i="31"/>
  <c r="D84" i="31" s="1"/>
  <c r="C83" i="31"/>
  <c r="C82" i="31"/>
  <c r="D82" i="31" s="1"/>
  <c r="C81" i="31"/>
  <c r="C80" i="31"/>
  <c r="D80" i="31" s="1"/>
  <c r="C79" i="31"/>
  <c r="C78" i="31"/>
  <c r="D78" i="31" s="1"/>
  <c r="C77" i="31"/>
  <c r="C76" i="31"/>
  <c r="D76" i="31" s="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A28" i="22"/>
  <c r="A29" i="22"/>
  <c r="D44" i="35" l="1"/>
  <c r="G12" i="31"/>
  <c r="G14" i="31"/>
  <c r="G16" i="31"/>
  <c r="G18" i="31"/>
  <c r="G20" i="31"/>
  <c r="G22" i="31"/>
  <c r="G26" i="31"/>
  <c r="G28" i="31"/>
  <c r="G30" i="31"/>
  <c r="G32" i="31"/>
  <c r="G34" i="31"/>
  <c r="G36" i="31"/>
  <c r="G38" i="31"/>
  <c r="G40" i="31"/>
  <c r="G42" i="31"/>
  <c r="G44" i="31"/>
  <c r="G46" i="31"/>
  <c r="G48" i="31"/>
  <c r="G50" i="31"/>
  <c r="G52" i="31"/>
  <c r="G54" i="31"/>
  <c r="G56" i="31"/>
  <c r="G58" i="31"/>
  <c r="G60" i="31"/>
  <c r="C31" i="36"/>
  <c r="C33" i="36"/>
  <c r="C30" i="36"/>
  <c r="C32" i="36"/>
  <c r="C34" i="36"/>
  <c r="A37" i="36"/>
  <c r="C36" i="36"/>
  <c r="C35" i="36"/>
  <c r="D30" i="35"/>
  <c r="D32" i="35"/>
  <c r="D34" i="35"/>
  <c r="D35" i="35"/>
  <c r="D31" i="35"/>
  <c r="D33" i="35"/>
  <c r="D36" i="35"/>
  <c r="G11" i="31"/>
  <c r="G13" i="31"/>
  <c r="G15" i="31"/>
  <c r="G17" i="31"/>
  <c r="G19" i="31"/>
  <c r="G21" i="31"/>
  <c r="G23" i="31"/>
  <c r="G25" i="31"/>
  <c r="G27" i="31"/>
  <c r="G29" i="31"/>
  <c r="G31" i="31"/>
  <c r="G33" i="31"/>
  <c r="G35" i="31"/>
  <c r="G37" i="31"/>
  <c r="G39" i="31"/>
  <c r="G41" i="31"/>
  <c r="G43" i="31"/>
  <c r="G45" i="31"/>
  <c r="G47" i="31"/>
  <c r="G49" i="31"/>
  <c r="G51" i="31"/>
  <c r="G53" i="31"/>
  <c r="G55" i="31"/>
  <c r="G57" i="31"/>
  <c r="G59" i="31"/>
  <c r="G77" i="31"/>
  <c r="G79" i="31"/>
  <c r="G81" i="31"/>
  <c r="G83" i="31"/>
  <c r="G85" i="31"/>
  <c r="G87" i="31"/>
  <c r="G89" i="31"/>
  <c r="G91" i="31"/>
  <c r="G93" i="31"/>
  <c r="G95" i="31"/>
  <c r="G97" i="31"/>
  <c r="G99" i="31"/>
  <c r="G101" i="31"/>
  <c r="G103" i="31"/>
  <c r="G105" i="31"/>
  <c r="G107" i="31"/>
  <c r="G109" i="31"/>
  <c r="G111" i="31"/>
  <c r="G113" i="31"/>
  <c r="G115" i="31"/>
  <c r="G117" i="31"/>
  <c r="G119" i="31"/>
  <c r="G121" i="31"/>
  <c r="A37" i="35"/>
  <c r="D37" i="35" s="1"/>
  <c r="G62" i="31"/>
  <c r="G31" i="33"/>
  <c r="G64" i="31"/>
  <c r="G33" i="33"/>
  <c r="G66" i="31"/>
  <c r="G35" i="33"/>
  <c r="G68" i="31"/>
  <c r="G70" i="31"/>
  <c r="D72" i="31"/>
  <c r="D74" i="31"/>
  <c r="G61" i="31"/>
  <c r="G30" i="33"/>
  <c r="G63" i="31"/>
  <c r="G32" i="33"/>
  <c r="G65" i="31"/>
  <c r="G34" i="33"/>
  <c r="G67" i="31"/>
  <c r="G36" i="33"/>
  <c r="G69" i="31"/>
  <c r="G71" i="31"/>
  <c r="G73" i="31"/>
  <c r="G75" i="31"/>
  <c r="D13" i="31"/>
  <c r="D17" i="31"/>
  <c r="D21" i="31"/>
  <c r="G24" i="31"/>
  <c r="D25" i="31"/>
  <c r="D28" i="31"/>
  <c r="D32" i="31"/>
  <c r="D36" i="31"/>
  <c r="D40" i="31"/>
  <c r="D44" i="31"/>
  <c r="D48" i="31"/>
  <c r="D52" i="31"/>
  <c r="D56" i="31"/>
  <c r="D60" i="31"/>
  <c r="D64" i="31"/>
  <c r="D68" i="31"/>
  <c r="D75" i="31"/>
  <c r="D79" i="31"/>
  <c r="D83" i="31"/>
  <c r="D87" i="31"/>
  <c r="D91" i="31"/>
  <c r="D95" i="31"/>
  <c r="D99" i="31"/>
  <c r="D103" i="31"/>
  <c r="D107" i="31"/>
  <c r="D111" i="31"/>
  <c r="D115" i="31"/>
  <c r="D119" i="31"/>
  <c r="M119" i="31" s="1"/>
  <c r="A37" i="33"/>
  <c r="G37" i="33" s="1"/>
  <c r="D11" i="31"/>
  <c r="D15" i="31"/>
  <c r="D19" i="31"/>
  <c r="D23" i="31"/>
  <c r="D30" i="31"/>
  <c r="D34" i="31"/>
  <c r="D38" i="31"/>
  <c r="D42" i="31"/>
  <c r="D46" i="31"/>
  <c r="D50" i="31"/>
  <c r="D54" i="31"/>
  <c r="D58" i="31"/>
  <c r="D62" i="31"/>
  <c r="D66" i="31"/>
  <c r="D70" i="31"/>
  <c r="D73" i="31"/>
  <c r="D77" i="31"/>
  <c r="D81" i="31"/>
  <c r="D85" i="31"/>
  <c r="D89" i="31"/>
  <c r="D93" i="31"/>
  <c r="D97" i="31"/>
  <c r="D101" i="31"/>
  <c r="D105" i="31"/>
  <c r="D109" i="31"/>
  <c r="D113" i="31"/>
  <c r="D117" i="31"/>
  <c r="D121" i="31"/>
  <c r="M121" i="31" s="1"/>
  <c r="D12" i="31"/>
  <c r="D14" i="31"/>
  <c r="D16" i="31"/>
  <c r="D18" i="31"/>
  <c r="D20" i="31"/>
  <c r="D22" i="31"/>
  <c r="D24" i="31"/>
  <c r="D26" i="31"/>
  <c r="L118" i="31"/>
  <c r="J118" i="31"/>
  <c r="M118" i="31"/>
  <c r="K118" i="31"/>
  <c r="L122" i="31"/>
  <c r="J122" i="31"/>
  <c r="M122" i="31"/>
  <c r="K122" i="31"/>
  <c r="E122" i="31"/>
  <c r="F122" i="31" s="1"/>
  <c r="D27" i="31"/>
  <c r="D29" i="31"/>
  <c r="D31" i="31"/>
  <c r="D33" i="31"/>
  <c r="D35" i="31"/>
  <c r="D37" i="31"/>
  <c r="D39" i="31"/>
  <c r="D41" i="31"/>
  <c r="D43" i="31"/>
  <c r="D45" i="31"/>
  <c r="D47" i="31"/>
  <c r="D49" i="31"/>
  <c r="D51" i="31"/>
  <c r="D53" i="31"/>
  <c r="D55" i="31"/>
  <c r="D57" i="31"/>
  <c r="D59" i="31"/>
  <c r="D61" i="31"/>
  <c r="D63" i="31"/>
  <c r="D65" i="31"/>
  <c r="D67" i="31"/>
  <c r="D69" i="31"/>
  <c r="D71" i="31"/>
  <c r="L120" i="31"/>
  <c r="J120" i="31"/>
  <c r="M120" i="31"/>
  <c r="K120" i="31"/>
  <c r="G72" i="31"/>
  <c r="G74" i="31"/>
  <c r="G76" i="31"/>
  <c r="G78" i="31"/>
  <c r="G80" i="31"/>
  <c r="G82" i="31"/>
  <c r="G84" i="31"/>
  <c r="G86" i="31"/>
  <c r="G88" i="31"/>
  <c r="G90" i="31"/>
  <c r="G92" i="31"/>
  <c r="G94" i="31"/>
  <c r="G96" i="31"/>
  <c r="G98" i="31"/>
  <c r="G100" i="31"/>
  <c r="G102" i="31"/>
  <c r="G104" i="31"/>
  <c r="G106" i="31"/>
  <c r="G108" i="31"/>
  <c r="G110" i="31"/>
  <c r="G112" i="31"/>
  <c r="G114" i="31"/>
  <c r="G116" i="31"/>
  <c r="G118" i="31"/>
  <c r="J119" i="31"/>
  <c r="G120" i="31"/>
  <c r="J121" i="31"/>
  <c r="G122" i="31"/>
  <c r="H122" i="31" s="1"/>
  <c r="I122" i="31" s="1"/>
  <c r="K119" i="31"/>
  <c r="A30" i="22"/>
  <c r="E101" i="31" l="1"/>
  <c r="J101" i="31" s="1"/>
  <c r="E100" i="31"/>
  <c r="J100" i="31" s="1"/>
  <c r="E111" i="31"/>
  <c r="E91" i="31"/>
  <c r="E79" i="31"/>
  <c r="E120" i="31"/>
  <c r="E117" i="31"/>
  <c r="J117" i="31" s="1"/>
  <c r="E107" i="31"/>
  <c r="E85" i="31"/>
  <c r="J85" i="31" s="1"/>
  <c r="E75" i="31"/>
  <c r="E95" i="31"/>
  <c r="J95" i="31" s="1"/>
  <c r="L119" i="31"/>
  <c r="E109" i="31"/>
  <c r="J109" i="31" s="1"/>
  <c r="E103" i="31"/>
  <c r="E93" i="31"/>
  <c r="J93" i="31" s="1"/>
  <c r="E87" i="31"/>
  <c r="E77" i="31"/>
  <c r="J77" i="31" s="1"/>
  <c r="E115" i="31"/>
  <c r="J115" i="31" s="1"/>
  <c r="E99" i="31"/>
  <c r="J99" i="31" s="1"/>
  <c r="E82" i="31"/>
  <c r="J82" i="31" s="1"/>
  <c r="E121" i="31"/>
  <c r="F121" i="31" s="1"/>
  <c r="E119" i="31"/>
  <c r="E83" i="31"/>
  <c r="E116" i="31"/>
  <c r="J116" i="31" s="1"/>
  <c r="E70" i="31"/>
  <c r="E80" i="31"/>
  <c r="J80" i="31" s="1"/>
  <c r="E113" i="31"/>
  <c r="J113" i="31" s="1"/>
  <c r="E105" i="31"/>
  <c r="J105" i="31" s="1"/>
  <c r="E97" i="31"/>
  <c r="J97" i="31" s="1"/>
  <c r="E89" i="31"/>
  <c r="J89" i="31" s="1"/>
  <c r="E81" i="31"/>
  <c r="J81" i="31" s="1"/>
  <c r="E73" i="31"/>
  <c r="K121" i="31"/>
  <c r="L121" i="31"/>
  <c r="C37" i="36"/>
  <c r="A38" i="36"/>
  <c r="E88" i="31"/>
  <c r="J88" i="31" s="1"/>
  <c r="E108" i="31"/>
  <c r="J108" i="31" s="1"/>
  <c r="E114" i="31"/>
  <c r="J114" i="31" s="1"/>
  <c r="E102" i="31"/>
  <c r="J102" i="31" s="1"/>
  <c r="E106" i="31"/>
  <c r="J106" i="31" s="1"/>
  <c r="A38" i="35"/>
  <c r="D38" i="35" s="1"/>
  <c r="E96" i="31"/>
  <c r="J96" i="31" s="1"/>
  <c r="E84" i="31"/>
  <c r="J84" i="31" s="1"/>
  <c r="E94" i="31"/>
  <c r="J94" i="31" s="1"/>
  <c r="E74" i="31"/>
  <c r="E112" i="31"/>
  <c r="J112" i="31" s="1"/>
  <c r="E104" i="31"/>
  <c r="J104" i="31" s="1"/>
  <c r="E92" i="31"/>
  <c r="J92" i="31" s="1"/>
  <c r="E76" i="31"/>
  <c r="E68" i="31"/>
  <c r="E110" i="31"/>
  <c r="J110" i="31" s="1"/>
  <c r="E98" i="31"/>
  <c r="J98" i="31" s="1"/>
  <c r="E90" i="31"/>
  <c r="J90" i="31" s="1"/>
  <c r="E86" i="31"/>
  <c r="J86" i="31" s="1"/>
  <c r="E78" i="31"/>
  <c r="J78" i="31" s="1"/>
  <c r="E118" i="31"/>
  <c r="E72" i="31"/>
  <c r="H109" i="31"/>
  <c r="L109" i="31" s="1"/>
  <c r="H101" i="31"/>
  <c r="L101" i="31" s="1"/>
  <c r="H93" i="31"/>
  <c r="L93" i="31" s="1"/>
  <c r="H85" i="31"/>
  <c r="H77" i="31"/>
  <c r="L77" i="31" s="1"/>
  <c r="E66" i="31"/>
  <c r="E62" i="31"/>
  <c r="E58" i="31"/>
  <c r="J58" i="31" s="1"/>
  <c r="E54" i="31"/>
  <c r="J54" i="31" s="1"/>
  <c r="E50" i="31"/>
  <c r="E46" i="31"/>
  <c r="J46" i="31" s="1"/>
  <c r="E42" i="31"/>
  <c r="E38" i="31"/>
  <c r="J38" i="31" s="1"/>
  <c r="E34" i="31"/>
  <c r="E30" i="31"/>
  <c r="J30" i="31" s="1"/>
  <c r="E25" i="31"/>
  <c r="J25" i="31" s="1"/>
  <c r="E21" i="31"/>
  <c r="J21" i="31" s="1"/>
  <c r="E17" i="31"/>
  <c r="J17" i="31" s="1"/>
  <c r="E13" i="31"/>
  <c r="J13" i="31" s="1"/>
  <c r="A38" i="33"/>
  <c r="G38" i="33" s="1"/>
  <c r="H113" i="31"/>
  <c r="L113" i="31" s="1"/>
  <c r="H105" i="31"/>
  <c r="H97" i="31"/>
  <c r="L97" i="31" s="1"/>
  <c r="H89" i="31"/>
  <c r="L89" i="31" s="1"/>
  <c r="H81" i="31"/>
  <c r="L81" i="31" s="1"/>
  <c r="H73" i="31"/>
  <c r="L73" i="31" s="1"/>
  <c r="H11" i="31"/>
  <c r="L11" i="31" s="1"/>
  <c r="E64" i="31"/>
  <c r="E60" i="31"/>
  <c r="J60" i="31" s="1"/>
  <c r="E56" i="31"/>
  <c r="E52" i="31"/>
  <c r="J52" i="31" s="1"/>
  <c r="E48" i="31"/>
  <c r="J48" i="31" s="1"/>
  <c r="E44" i="31"/>
  <c r="J44" i="31" s="1"/>
  <c r="E40" i="31"/>
  <c r="J40" i="31" s="1"/>
  <c r="E36" i="31"/>
  <c r="J36" i="31" s="1"/>
  <c r="E32" i="31"/>
  <c r="J32" i="31" s="1"/>
  <c r="E28" i="31"/>
  <c r="J28" i="31" s="1"/>
  <c r="E23" i="31"/>
  <c r="E19" i="31"/>
  <c r="J19" i="31" s="1"/>
  <c r="E15" i="31"/>
  <c r="J15" i="31" s="1"/>
  <c r="E11" i="31"/>
  <c r="J11" i="31" s="1"/>
  <c r="J50" i="31"/>
  <c r="L105" i="31"/>
  <c r="J56" i="31"/>
  <c r="J23" i="31"/>
  <c r="L85" i="31"/>
  <c r="J66" i="31"/>
  <c r="J42" i="31"/>
  <c r="J34" i="31"/>
  <c r="H118" i="31"/>
  <c r="H120" i="31"/>
  <c r="H116" i="31"/>
  <c r="H112" i="31"/>
  <c r="J111" i="31"/>
  <c r="H108" i="31"/>
  <c r="J107" i="31"/>
  <c r="H104" i="31"/>
  <c r="J103" i="31"/>
  <c r="H100" i="31"/>
  <c r="H96" i="31"/>
  <c r="H92" i="31"/>
  <c r="J91" i="31"/>
  <c r="H88" i="31"/>
  <c r="J87" i="31"/>
  <c r="H84" i="31"/>
  <c r="J83" i="31"/>
  <c r="H80" i="31"/>
  <c r="J79" i="31"/>
  <c r="H76" i="31"/>
  <c r="H119" i="31"/>
  <c r="H115" i="31"/>
  <c r="H111" i="31"/>
  <c r="H107" i="31"/>
  <c r="H103" i="31"/>
  <c r="H99" i="31"/>
  <c r="H95" i="31"/>
  <c r="H91" i="31"/>
  <c r="H87" i="31"/>
  <c r="H83" i="31"/>
  <c r="H79" i="31"/>
  <c r="H75" i="31"/>
  <c r="H117" i="31"/>
  <c r="H68" i="31"/>
  <c r="H65" i="31"/>
  <c r="L65" i="31" s="1"/>
  <c r="H60" i="31"/>
  <c r="H57" i="31"/>
  <c r="L57" i="31" s="1"/>
  <c r="H52" i="31"/>
  <c r="H49" i="31"/>
  <c r="L49" i="31" s="1"/>
  <c r="H44" i="31"/>
  <c r="H41" i="31"/>
  <c r="L41" i="31" s="1"/>
  <c r="H36" i="31"/>
  <c r="H33" i="31"/>
  <c r="L33" i="31" s="1"/>
  <c r="H28" i="31"/>
  <c r="H70" i="31"/>
  <c r="H67" i="31"/>
  <c r="L67" i="31" s="1"/>
  <c r="H62" i="31"/>
  <c r="H59" i="31"/>
  <c r="L59" i="31" s="1"/>
  <c r="H54" i="31"/>
  <c r="H51" i="31"/>
  <c r="L51" i="31" s="1"/>
  <c r="H46" i="31"/>
  <c r="H43" i="31"/>
  <c r="L43" i="31" s="1"/>
  <c r="H38" i="31"/>
  <c r="H35" i="31"/>
  <c r="L35" i="31" s="1"/>
  <c r="H30" i="31"/>
  <c r="H27" i="31"/>
  <c r="L27" i="31" s="1"/>
  <c r="H25" i="31"/>
  <c r="H22" i="31"/>
  <c r="H17" i="31"/>
  <c r="H14" i="31"/>
  <c r="L14" i="31" s="1"/>
  <c r="H24" i="31"/>
  <c r="L24" i="31" s="1"/>
  <c r="H19" i="31"/>
  <c r="H16" i="31"/>
  <c r="L16" i="31" s="1"/>
  <c r="E71" i="31"/>
  <c r="E69" i="31"/>
  <c r="E67" i="31"/>
  <c r="E65" i="31"/>
  <c r="E63" i="31"/>
  <c r="E61" i="31"/>
  <c r="E59" i="31"/>
  <c r="J59" i="31" s="1"/>
  <c r="E57" i="31"/>
  <c r="J57" i="31" s="1"/>
  <c r="E55" i="31"/>
  <c r="E53" i="31"/>
  <c r="J53" i="31" s="1"/>
  <c r="E51" i="31"/>
  <c r="J51" i="31" s="1"/>
  <c r="E49" i="31"/>
  <c r="J49" i="31" s="1"/>
  <c r="E47" i="31"/>
  <c r="E45" i="31"/>
  <c r="J45" i="31" s="1"/>
  <c r="E43" i="31"/>
  <c r="E41" i="31"/>
  <c r="J41" i="31" s="1"/>
  <c r="E39" i="31"/>
  <c r="E37" i="31"/>
  <c r="J37" i="31" s="1"/>
  <c r="E35" i="31"/>
  <c r="J35" i="31" s="1"/>
  <c r="E33" i="31"/>
  <c r="J33" i="31" s="1"/>
  <c r="E31" i="31"/>
  <c r="E29" i="31"/>
  <c r="J29" i="31" s="1"/>
  <c r="E27" i="31"/>
  <c r="J27" i="31" s="1"/>
  <c r="E26" i="31"/>
  <c r="E24" i="31"/>
  <c r="J24" i="31" s="1"/>
  <c r="E22" i="31"/>
  <c r="J22" i="31" s="1"/>
  <c r="L22" i="31"/>
  <c r="E20" i="31"/>
  <c r="E18" i="31"/>
  <c r="J18" i="31" s="1"/>
  <c r="E16" i="31"/>
  <c r="J16" i="31" s="1"/>
  <c r="E14" i="31"/>
  <c r="J14" i="31" s="1"/>
  <c r="E12" i="31"/>
  <c r="H114" i="31"/>
  <c r="H110" i="31"/>
  <c r="H106" i="31"/>
  <c r="H102" i="31"/>
  <c r="H98" i="31"/>
  <c r="H94" i="31"/>
  <c r="H90" i="31"/>
  <c r="H86" i="31"/>
  <c r="H82" i="31"/>
  <c r="H78" i="31"/>
  <c r="H74" i="31"/>
  <c r="H72" i="31"/>
  <c r="H121" i="31"/>
  <c r="I121" i="31" s="1"/>
  <c r="H69" i="31"/>
  <c r="H64" i="31"/>
  <c r="H61" i="31"/>
  <c r="B18" i="22" s="1"/>
  <c r="H56" i="31"/>
  <c r="H53" i="31"/>
  <c r="H48" i="31"/>
  <c r="H45" i="31"/>
  <c r="H40" i="31"/>
  <c r="H37" i="31"/>
  <c r="H32" i="31"/>
  <c r="H29" i="31"/>
  <c r="H71" i="31"/>
  <c r="H66" i="31"/>
  <c r="H63" i="31"/>
  <c r="H58" i="31"/>
  <c r="H55" i="31"/>
  <c r="H50" i="31"/>
  <c r="H47" i="31"/>
  <c r="H42" i="31"/>
  <c r="H39" i="31"/>
  <c r="H34" i="31"/>
  <c r="H31" i="31"/>
  <c r="H26" i="31"/>
  <c r="H21" i="31"/>
  <c r="H18" i="31"/>
  <c r="L18" i="31" s="1"/>
  <c r="H13" i="31"/>
  <c r="H23" i="31"/>
  <c r="H20" i="31"/>
  <c r="H15" i="31"/>
  <c r="H12" i="31"/>
  <c r="A31" i="22"/>
  <c r="J73" i="31" l="1"/>
  <c r="D39" i="22"/>
  <c r="B19" i="35"/>
  <c r="B19" i="22"/>
  <c r="J64" i="31"/>
  <c r="J74" i="31"/>
  <c r="D40" i="22"/>
  <c r="M33" i="22"/>
  <c r="D29" i="22" s="1"/>
  <c r="J65" i="31"/>
  <c r="J68" i="31"/>
  <c r="J67" i="31"/>
  <c r="J72" i="31"/>
  <c r="D38" i="22"/>
  <c r="J76" i="31"/>
  <c r="D42" i="22"/>
  <c r="J75" i="31"/>
  <c r="D41" i="22"/>
  <c r="J62" i="31"/>
  <c r="D28" i="22"/>
  <c r="J70" i="31"/>
  <c r="D36" i="22"/>
  <c r="F76" i="31"/>
  <c r="K76" i="31" s="1"/>
  <c r="F79" i="31"/>
  <c r="K79" i="31" s="1"/>
  <c r="F87" i="31"/>
  <c r="K87" i="31" s="1"/>
  <c r="F95" i="31"/>
  <c r="K95" i="31" s="1"/>
  <c r="F106" i="31"/>
  <c r="K106" i="31" s="1"/>
  <c r="F103" i="31"/>
  <c r="K103" i="31" s="1"/>
  <c r="F96" i="31"/>
  <c r="K96" i="31" s="1"/>
  <c r="F111" i="31"/>
  <c r="K111" i="31" s="1"/>
  <c r="F78" i="31"/>
  <c r="K78" i="31" s="1"/>
  <c r="F119" i="31"/>
  <c r="F118" i="31"/>
  <c r="J43" i="31"/>
  <c r="F83" i="31"/>
  <c r="K83" i="31" s="1"/>
  <c r="F99" i="31"/>
  <c r="K99" i="31" s="1"/>
  <c r="F94" i="31"/>
  <c r="K94" i="31" s="1"/>
  <c r="F100" i="31"/>
  <c r="K100" i="31" s="1"/>
  <c r="F82" i="31"/>
  <c r="K82" i="31" s="1"/>
  <c r="F112" i="31"/>
  <c r="K112" i="31" s="1"/>
  <c r="F75" i="31"/>
  <c r="K75" i="31" s="1"/>
  <c r="F91" i="31"/>
  <c r="K91" i="31" s="1"/>
  <c r="F107" i="31"/>
  <c r="K107" i="31" s="1"/>
  <c r="F115" i="31"/>
  <c r="K115" i="31" s="1"/>
  <c r="F86" i="31"/>
  <c r="K86" i="31" s="1"/>
  <c r="F110" i="31"/>
  <c r="K110" i="31" s="1"/>
  <c r="F84" i="31"/>
  <c r="K84" i="31" s="1"/>
  <c r="F116" i="31"/>
  <c r="K116" i="31" s="1"/>
  <c r="F98" i="31"/>
  <c r="K98" i="31" s="1"/>
  <c r="F114" i="31"/>
  <c r="K114" i="31" s="1"/>
  <c r="F80" i="31"/>
  <c r="K80" i="31" s="1"/>
  <c r="F104" i="31"/>
  <c r="K104" i="31" s="1"/>
  <c r="F120" i="31"/>
  <c r="F73" i="31"/>
  <c r="K73" i="31" s="1"/>
  <c r="F77" i="31"/>
  <c r="K77" i="31" s="1"/>
  <c r="F81" i="31"/>
  <c r="K81" i="31" s="1"/>
  <c r="F85" i="31"/>
  <c r="K85" i="31" s="1"/>
  <c r="F89" i="31"/>
  <c r="K89" i="31" s="1"/>
  <c r="F93" i="31"/>
  <c r="K93" i="31" s="1"/>
  <c r="F97" i="31"/>
  <c r="K97" i="31" s="1"/>
  <c r="F101" i="31"/>
  <c r="K101" i="31" s="1"/>
  <c r="F105" i="31"/>
  <c r="K105" i="31" s="1"/>
  <c r="F109" i="31"/>
  <c r="K109" i="31" s="1"/>
  <c r="F113" i="31"/>
  <c r="K113" i="31" s="1"/>
  <c r="F117" i="31"/>
  <c r="K117" i="31" s="1"/>
  <c r="F72" i="31"/>
  <c r="K72" i="31" s="1"/>
  <c r="F102" i="31"/>
  <c r="K102" i="31" s="1"/>
  <c r="F92" i="31"/>
  <c r="K92" i="31" s="1"/>
  <c r="F108" i="31"/>
  <c r="K108" i="31" s="1"/>
  <c r="F74" i="31"/>
  <c r="K74" i="31" s="1"/>
  <c r="F90" i="31"/>
  <c r="K90" i="31" s="1"/>
  <c r="F88" i="31"/>
  <c r="K88" i="31" s="1"/>
  <c r="A39" i="36"/>
  <c r="C38" i="36"/>
  <c r="A39" i="35"/>
  <c r="D39" i="35" s="1"/>
  <c r="J63" i="31"/>
  <c r="J71" i="31"/>
  <c r="J69" i="31"/>
  <c r="F20" i="31"/>
  <c r="K20" i="31" s="1"/>
  <c r="F24" i="31"/>
  <c r="K24" i="31" s="1"/>
  <c r="F27" i="31"/>
  <c r="K27" i="31" s="1"/>
  <c r="F31" i="31"/>
  <c r="K31" i="31" s="1"/>
  <c r="F35" i="31"/>
  <c r="K35" i="31" s="1"/>
  <c r="F39" i="31"/>
  <c r="K39" i="31" s="1"/>
  <c r="F43" i="31"/>
  <c r="K43" i="31" s="1"/>
  <c r="F47" i="31"/>
  <c r="K47" i="31" s="1"/>
  <c r="F51" i="31"/>
  <c r="K51" i="31" s="1"/>
  <c r="F55" i="31"/>
  <c r="K55" i="31" s="1"/>
  <c r="F59" i="31"/>
  <c r="K59" i="31" s="1"/>
  <c r="I63" i="31"/>
  <c r="M63" i="31" s="1"/>
  <c r="I71" i="31"/>
  <c r="M71" i="31" s="1"/>
  <c r="A39" i="33"/>
  <c r="G39" i="33" s="1"/>
  <c r="I12" i="31"/>
  <c r="M12" i="31" s="1"/>
  <c r="I20" i="31"/>
  <c r="M20" i="31" s="1"/>
  <c r="I31" i="31"/>
  <c r="M31" i="31" s="1"/>
  <c r="I39" i="31"/>
  <c r="M39" i="31" s="1"/>
  <c r="I47" i="31"/>
  <c r="M47" i="31" s="1"/>
  <c r="I55" i="31"/>
  <c r="M55" i="31" s="1"/>
  <c r="I77" i="31"/>
  <c r="M77" i="31" s="1"/>
  <c r="I85" i="31"/>
  <c r="M85" i="31" s="1"/>
  <c r="I93" i="31"/>
  <c r="M93" i="31" s="1"/>
  <c r="I101" i="31"/>
  <c r="M101" i="31" s="1"/>
  <c r="I109" i="31"/>
  <c r="M109" i="31" s="1"/>
  <c r="F12" i="31"/>
  <c r="K12" i="31" s="1"/>
  <c r="F16" i="31"/>
  <c r="K16" i="31" s="1"/>
  <c r="J20" i="31"/>
  <c r="F26" i="31"/>
  <c r="K26" i="31" s="1"/>
  <c r="J31" i="31"/>
  <c r="J39" i="31"/>
  <c r="J47" i="31"/>
  <c r="J55" i="31"/>
  <c r="J61" i="31"/>
  <c r="F63" i="31"/>
  <c r="K63" i="31" s="1"/>
  <c r="F67" i="31"/>
  <c r="K67" i="31" s="1"/>
  <c r="F71" i="31"/>
  <c r="K71" i="31" s="1"/>
  <c r="I21" i="31"/>
  <c r="M21" i="31" s="1"/>
  <c r="L21" i="31"/>
  <c r="I40" i="31"/>
  <c r="M40" i="31" s="1"/>
  <c r="L40" i="31"/>
  <c r="I56" i="31"/>
  <c r="M56" i="31" s="1"/>
  <c r="L56" i="31"/>
  <c r="I15" i="31"/>
  <c r="M15" i="31" s="1"/>
  <c r="L15" i="31"/>
  <c r="I23" i="31"/>
  <c r="M23" i="31" s="1"/>
  <c r="L23" i="31"/>
  <c r="I34" i="31"/>
  <c r="M34" i="31" s="1"/>
  <c r="L34" i="31"/>
  <c r="I42" i="31"/>
  <c r="M42" i="31" s="1"/>
  <c r="L42" i="31"/>
  <c r="I50" i="31"/>
  <c r="M50" i="31" s="1"/>
  <c r="L50" i="31"/>
  <c r="I58" i="31"/>
  <c r="M58" i="31" s="1"/>
  <c r="L58" i="31"/>
  <c r="I66" i="31"/>
  <c r="M66" i="31" s="1"/>
  <c r="L66" i="31"/>
  <c r="I74" i="31"/>
  <c r="M74" i="31" s="1"/>
  <c r="L74" i="31"/>
  <c r="I82" i="31"/>
  <c r="M82" i="31" s="1"/>
  <c r="L82" i="31"/>
  <c r="I90" i="31"/>
  <c r="M90" i="31" s="1"/>
  <c r="L90" i="31"/>
  <c r="I98" i="31"/>
  <c r="M98" i="31" s="1"/>
  <c r="L98" i="31"/>
  <c r="I106" i="31"/>
  <c r="M106" i="31" s="1"/>
  <c r="L106" i="31"/>
  <c r="I114" i="31"/>
  <c r="M114" i="31" s="1"/>
  <c r="L114" i="31"/>
  <c r="I17" i="31"/>
  <c r="M17" i="31" s="1"/>
  <c r="L17" i="31"/>
  <c r="I25" i="31"/>
  <c r="M25" i="31" s="1"/>
  <c r="L25" i="31"/>
  <c r="I30" i="31"/>
  <c r="M30" i="31" s="1"/>
  <c r="L30" i="31"/>
  <c r="I38" i="31"/>
  <c r="M38" i="31" s="1"/>
  <c r="L38" i="31"/>
  <c r="I46" i="31"/>
  <c r="M46" i="31" s="1"/>
  <c r="L46" i="31"/>
  <c r="I54" i="31"/>
  <c r="M54" i="31" s="1"/>
  <c r="L54" i="31"/>
  <c r="I62" i="31"/>
  <c r="M62" i="31" s="1"/>
  <c r="L62" i="31"/>
  <c r="I70" i="31"/>
  <c r="M70" i="31" s="1"/>
  <c r="L70" i="31"/>
  <c r="I117" i="31"/>
  <c r="M117" i="31" s="1"/>
  <c r="L117" i="31"/>
  <c r="I79" i="31"/>
  <c r="M79" i="31" s="1"/>
  <c r="L79" i="31"/>
  <c r="I87" i="31"/>
  <c r="M87" i="31" s="1"/>
  <c r="L87" i="31"/>
  <c r="I95" i="31"/>
  <c r="M95" i="31" s="1"/>
  <c r="L95" i="31"/>
  <c r="I103" i="31"/>
  <c r="M103" i="31" s="1"/>
  <c r="L103" i="31"/>
  <c r="I111" i="31"/>
  <c r="M111" i="31" s="1"/>
  <c r="L111" i="31"/>
  <c r="I76" i="31"/>
  <c r="M76" i="31" s="1"/>
  <c r="L76" i="31"/>
  <c r="I80" i="31"/>
  <c r="M80" i="31" s="1"/>
  <c r="L80" i="31"/>
  <c r="I84" i="31"/>
  <c r="M84" i="31" s="1"/>
  <c r="L84" i="31"/>
  <c r="I88" i="31"/>
  <c r="M88" i="31" s="1"/>
  <c r="L88" i="31"/>
  <c r="I92" i="31"/>
  <c r="M92" i="31" s="1"/>
  <c r="L92" i="31"/>
  <c r="I96" i="31"/>
  <c r="M96" i="31" s="1"/>
  <c r="L96" i="31"/>
  <c r="I100" i="31"/>
  <c r="M100" i="31" s="1"/>
  <c r="L100" i="31"/>
  <c r="I104" i="31"/>
  <c r="M104" i="31" s="1"/>
  <c r="L104" i="31"/>
  <c r="I108" i="31"/>
  <c r="M108" i="31" s="1"/>
  <c r="L108" i="31"/>
  <c r="I112" i="31"/>
  <c r="M112" i="31" s="1"/>
  <c r="L112" i="31"/>
  <c r="I116" i="31"/>
  <c r="M116" i="31" s="1"/>
  <c r="L116" i="31"/>
  <c r="I18" i="31"/>
  <c r="M18" i="31" s="1"/>
  <c r="I26" i="31"/>
  <c r="M26" i="31" s="1"/>
  <c r="I29" i="31"/>
  <c r="M29" i="31" s="1"/>
  <c r="I37" i="31"/>
  <c r="M37" i="31" s="1"/>
  <c r="I45" i="31"/>
  <c r="M45" i="31" s="1"/>
  <c r="I53" i="31"/>
  <c r="M53" i="31" s="1"/>
  <c r="I61" i="31"/>
  <c r="M61" i="31" s="1"/>
  <c r="I69" i="31"/>
  <c r="M69" i="31" s="1"/>
  <c r="L12" i="31"/>
  <c r="F14" i="31"/>
  <c r="K14" i="31" s="1"/>
  <c r="F18" i="31"/>
  <c r="K18" i="31" s="1"/>
  <c r="L20" i="31"/>
  <c r="F22" i="31"/>
  <c r="K22" i="31" s="1"/>
  <c r="J26" i="31"/>
  <c r="L26" i="31"/>
  <c r="F29" i="31"/>
  <c r="K29" i="31" s="1"/>
  <c r="L31" i="31"/>
  <c r="F33" i="31"/>
  <c r="K33" i="31" s="1"/>
  <c r="F37" i="31"/>
  <c r="K37" i="31" s="1"/>
  <c r="L39" i="31"/>
  <c r="F41" i="31"/>
  <c r="K41" i="31" s="1"/>
  <c r="F45" i="31"/>
  <c r="K45" i="31" s="1"/>
  <c r="L47" i="31"/>
  <c r="F49" i="31"/>
  <c r="K49" i="31" s="1"/>
  <c r="F53" i="31"/>
  <c r="K53" i="31" s="1"/>
  <c r="L55" i="31"/>
  <c r="F57" i="31"/>
  <c r="K57" i="31" s="1"/>
  <c r="F61" i="31"/>
  <c r="K61" i="31" s="1"/>
  <c r="L63" i="31"/>
  <c r="F65" i="31"/>
  <c r="K65" i="31" s="1"/>
  <c r="F69" i="31"/>
  <c r="K69" i="31" s="1"/>
  <c r="L71" i="31"/>
  <c r="I16" i="31"/>
  <c r="M16" i="31" s="1"/>
  <c r="I24" i="31"/>
  <c r="M24" i="31" s="1"/>
  <c r="I33" i="31"/>
  <c r="M33" i="31" s="1"/>
  <c r="I41" i="31"/>
  <c r="M41" i="31" s="1"/>
  <c r="I49" i="31"/>
  <c r="M49" i="31" s="1"/>
  <c r="I57" i="31"/>
  <c r="M57" i="31" s="1"/>
  <c r="I65" i="31"/>
  <c r="M65" i="31" s="1"/>
  <c r="I119" i="31"/>
  <c r="I118" i="31"/>
  <c r="F13" i="31"/>
  <c r="K13" i="31" s="1"/>
  <c r="F17" i="31"/>
  <c r="K17" i="31" s="1"/>
  <c r="F21" i="31"/>
  <c r="K21" i="31" s="1"/>
  <c r="F25" i="31"/>
  <c r="K25" i="31" s="1"/>
  <c r="F30" i="31"/>
  <c r="K30" i="31" s="1"/>
  <c r="F34" i="31"/>
  <c r="K34" i="31" s="1"/>
  <c r="F38" i="31"/>
  <c r="K38" i="31" s="1"/>
  <c r="F42" i="31"/>
  <c r="K42" i="31" s="1"/>
  <c r="F46" i="31"/>
  <c r="K46" i="31" s="1"/>
  <c r="F54" i="31"/>
  <c r="K54" i="31" s="1"/>
  <c r="F58" i="31"/>
  <c r="K58" i="31" s="1"/>
  <c r="F66" i="31"/>
  <c r="K66" i="31" s="1"/>
  <c r="F11" i="31"/>
  <c r="K11" i="31" s="1"/>
  <c r="F15" i="31"/>
  <c r="K15" i="31" s="1"/>
  <c r="F19" i="31"/>
  <c r="K19" i="31" s="1"/>
  <c r="F23" i="31"/>
  <c r="K23" i="31" s="1"/>
  <c r="F28" i="31"/>
  <c r="K28" i="31" s="1"/>
  <c r="F32" i="31"/>
  <c r="K32" i="31" s="1"/>
  <c r="F36" i="31"/>
  <c r="K36" i="31" s="1"/>
  <c r="F40" i="31"/>
  <c r="K40" i="31" s="1"/>
  <c r="F44" i="31"/>
  <c r="K44" i="31" s="1"/>
  <c r="F48" i="31"/>
  <c r="K48" i="31" s="1"/>
  <c r="F52" i="31"/>
  <c r="K52" i="31" s="1"/>
  <c r="F56" i="31"/>
  <c r="K56" i="31" s="1"/>
  <c r="F60" i="31"/>
  <c r="K60" i="31" s="1"/>
  <c r="F64" i="31"/>
  <c r="K64" i="31" s="1"/>
  <c r="F68" i="31"/>
  <c r="K68" i="31" s="1"/>
  <c r="I11" i="31"/>
  <c r="M11" i="31" s="1"/>
  <c r="I73" i="31"/>
  <c r="M73" i="31" s="1"/>
  <c r="I81" i="31"/>
  <c r="M81" i="31" s="1"/>
  <c r="I89" i="31"/>
  <c r="M89" i="31" s="1"/>
  <c r="I97" i="31"/>
  <c r="M97" i="31" s="1"/>
  <c r="I105" i="31"/>
  <c r="M105" i="31" s="1"/>
  <c r="I113" i="31"/>
  <c r="M113" i="31" s="1"/>
  <c r="F50" i="31"/>
  <c r="K50" i="31" s="1"/>
  <c r="F62" i="31"/>
  <c r="K62" i="31" s="1"/>
  <c r="F70" i="31"/>
  <c r="K70" i="31" s="1"/>
  <c r="I13" i="31"/>
  <c r="M13" i="31" s="1"/>
  <c r="L13" i="31"/>
  <c r="I32" i="31"/>
  <c r="M32" i="31" s="1"/>
  <c r="L32" i="31"/>
  <c r="I48" i="31"/>
  <c r="M48" i="31" s="1"/>
  <c r="L48" i="31"/>
  <c r="I64" i="31"/>
  <c r="M64" i="31" s="1"/>
  <c r="L64" i="31"/>
  <c r="I72" i="31"/>
  <c r="M72" i="31" s="1"/>
  <c r="L72" i="31"/>
  <c r="I78" i="31"/>
  <c r="M78" i="31" s="1"/>
  <c r="L78" i="31"/>
  <c r="I86" i="31"/>
  <c r="M86" i="31" s="1"/>
  <c r="L86" i="31"/>
  <c r="I94" i="31"/>
  <c r="M94" i="31" s="1"/>
  <c r="L94" i="31"/>
  <c r="I102" i="31"/>
  <c r="M102" i="31" s="1"/>
  <c r="L102" i="31"/>
  <c r="I110" i="31"/>
  <c r="M110" i="31" s="1"/>
  <c r="L110" i="31"/>
  <c r="I19" i="31"/>
  <c r="M19" i="31" s="1"/>
  <c r="L19" i="31"/>
  <c r="I28" i="31"/>
  <c r="M28" i="31" s="1"/>
  <c r="L28" i="31"/>
  <c r="I36" i="31"/>
  <c r="M36" i="31" s="1"/>
  <c r="L36" i="31"/>
  <c r="I44" i="31"/>
  <c r="M44" i="31" s="1"/>
  <c r="L44" i="31"/>
  <c r="I52" i="31"/>
  <c r="M52" i="31" s="1"/>
  <c r="L52" i="31"/>
  <c r="I60" i="31"/>
  <c r="M60" i="31" s="1"/>
  <c r="L60" i="31"/>
  <c r="I68" i="31"/>
  <c r="M68" i="31" s="1"/>
  <c r="L68" i="31"/>
  <c r="I75" i="31"/>
  <c r="M75" i="31" s="1"/>
  <c r="L75" i="31"/>
  <c r="I83" i="31"/>
  <c r="M83" i="31" s="1"/>
  <c r="L83" i="31"/>
  <c r="I91" i="31"/>
  <c r="M91" i="31" s="1"/>
  <c r="L91" i="31"/>
  <c r="I99" i="31"/>
  <c r="M99" i="31" s="1"/>
  <c r="L99" i="31"/>
  <c r="I107" i="31"/>
  <c r="M107" i="31" s="1"/>
  <c r="L107" i="31"/>
  <c r="I115" i="31"/>
  <c r="M115" i="31" s="1"/>
  <c r="L115" i="31"/>
  <c r="J12" i="31"/>
  <c r="L29" i="31"/>
  <c r="L37" i="31"/>
  <c r="L45" i="31"/>
  <c r="L53" i="31"/>
  <c r="L61" i="31"/>
  <c r="L69" i="31"/>
  <c r="I14" i="31"/>
  <c r="M14" i="31" s="1"/>
  <c r="I22" i="31"/>
  <c r="M22" i="31" s="1"/>
  <c r="I27" i="31"/>
  <c r="M27" i="31" s="1"/>
  <c r="I35" i="31"/>
  <c r="M35" i="31" s="1"/>
  <c r="I43" i="31"/>
  <c r="M43" i="31" s="1"/>
  <c r="I51" i="31"/>
  <c r="M51" i="31" s="1"/>
  <c r="I59" i="31"/>
  <c r="M59" i="31" s="1"/>
  <c r="I67" i="31"/>
  <c r="M67" i="31" s="1"/>
  <c r="I120" i="31"/>
  <c r="A32" i="22"/>
  <c r="D31" i="22" l="1"/>
  <c r="B28" i="22"/>
  <c r="B20" i="35"/>
  <c r="B21" i="22"/>
  <c r="E23" i="22"/>
  <c r="E24" i="35" s="1"/>
  <c r="D33" i="22"/>
  <c r="D27" i="22"/>
  <c r="F27" i="22" s="1"/>
  <c r="D32" i="22"/>
  <c r="D34" i="22"/>
  <c r="D37" i="22"/>
  <c r="D30" i="22"/>
  <c r="D35" i="22"/>
  <c r="C39" i="36"/>
  <c r="A40" i="36"/>
  <c r="A40" i="35"/>
  <c r="D40" i="35" s="1"/>
  <c r="A40" i="33"/>
  <c r="A33" i="22"/>
  <c r="B20" i="22" l="1"/>
  <c r="B21" i="35" s="1"/>
  <c r="B22" i="35"/>
  <c r="B25" i="35" s="1"/>
  <c r="B23" i="22"/>
  <c r="B24" i="35" s="1"/>
  <c r="M31" i="22"/>
  <c r="D23" i="22" s="1"/>
  <c r="D24" i="35" s="1"/>
  <c r="M29" i="22"/>
  <c r="B29" i="22"/>
  <c r="B31" i="35"/>
  <c r="C31" i="35" s="1"/>
  <c r="F28" i="22"/>
  <c r="A41" i="36"/>
  <c r="C40" i="36"/>
  <c r="B25" i="33"/>
  <c r="G40" i="33"/>
  <c r="A41" i="35"/>
  <c r="D41" i="35" s="1"/>
  <c r="A41" i="33"/>
  <c r="A34" i="22"/>
  <c r="C23" i="22" l="1"/>
  <c r="C24" i="35" s="1"/>
  <c r="C34" i="22"/>
  <c r="C30" i="22"/>
  <c r="C33" i="22"/>
  <c r="C37" i="22"/>
  <c r="C32" i="22"/>
  <c r="C29" i="22"/>
  <c r="C31" i="22"/>
  <c r="C36" i="22"/>
  <c r="C28" i="22"/>
  <c r="C35" i="22"/>
  <c r="C27" i="22"/>
  <c r="B30" i="22"/>
  <c r="B32" i="35"/>
  <c r="C32" i="35" s="1"/>
  <c r="F29" i="22"/>
  <c r="E29" i="22"/>
  <c r="G29" i="22"/>
  <c r="C41" i="36"/>
  <c r="A42" i="36"/>
  <c r="G41" i="33"/>
  <c r="A42" i="35"/>
  <c r="D42" i="35" s="1"/>
  <c r="A42" i="33"/>
  <c r="A35" i="22"/>
  <c r="B31" i="22" l="1"/>
  <c r="B33" i="35"/>
  <c r="C33" i="35" s="1"/>
  <c r="F30" i="22"/>
  <c r="G30" i="22"/>
  <c r="E30" i="22"/>
  <c r="G27" i="22"/>
  <c r="E27" i="22"/>
  <c r="G28" i="22"/>
  <c r="E28" i="22"/>
  <c r="A43" i="36"/>
  <c r="C42" i="36"/>
  <c r="G42" i="33"/>
  <c r="A43" i="35"/>
  <c r="D43" i="35" s="1"/>
  <c r="A43" i="33"/>
  <c r="A36" i="22"/>
  <c r="B32" i="22" l="1"/>
  <c r="B34" i="35"/>
  <c r="C34" i="35" s="1"/>
  <c r="F31" i="22"/>
  <c r="G31" i="22"/>
  <c r="E31" i="22"/>
  <c r="C43" i="36"/>
  <c r="A44" i="36"/>
  <c r="G43" i="33"/>
  <c r="A44" i="35"/>
  <c r="A44" i="33"/>
  <c r="A37" i="22"/>
  <c r="B33" i="22" l="1"/>
  <c r="B35" i="35"/>
  <c r="C35" i="35" s="1"/>
  <c r="F32" i="22"/>
  <c r="G32" i="22"/>
  <c r="E32" i="22"/>
  <c r="A45" i="36"/>
  <c r="C44" i="36"/>
  <c r="G44" i="33"/>
  <c r="A45" i="35"/>
  <c r="A45" i="33"/>
  <c r="A38" i="22"/>
  <c r="B34" i="22" l="1"/>
  <c r="B36" i="35"/>
  <c r="C36" i="35" s="1"/>
  <c r="F33" i="22"/>
  <c r="G33" i="22"/>
  <c r="E33" i="22"/>
  <c r="A39" i="22"/>
  <c r="B35" i="22" l="1"/>
  <c r="B37" i="35"/>
  <c r="C37" i="35" s="1"/>
  <c r="F34" i="22"/>
  <c r="G34" i="22"/>
  <c r="E34" i="22"/>
  <c r="A40" i="22"/>
  <c r="B36" i="22" l="1"/>
  <c r="B38" i="35"/>
  <c r="C38" i="35" s="1"/>
  <c r="F35" i="22"/>
  <c r="G35" i="22"/>
  <c r="E35" i="22"/>
  <c r="A41" i="22"/>
  <c r="B39" i="35" l="1"/>
  <c r="C39" i="35" s="1"/>
  <c r="B37" i="22"/>
  <c r="F36" i="22"/>
  <c r="G36" i="22"/>
  <c r="E36" i="22"/>
  <c r="A42" i="22"/>
  <c r="B40" i="35" l="1"/>
  <c r="C40" i="35" s="1"/>
  <c r="F37" i="22"/>
  <c r="B38" i="22"/>
  <c r="E37" i="22"/>
  <c r="G37" i="22"/>
  <c r="B39" i="22" l="1"/>
  <c r="B41" i="35"/>
  <c r="C41" i="35" s="1"/>
  <c r="F38" i="22"/>
  <c r="E38" i="22"/>
  <c r="G38" i="22"/>
  <c r="B40" i="22" l="1"/>
  <c r="B42" i="35"/>
  <c r="C42" i="35" s="1"/>
  <c r="F39" i="22"/>
  <c r="E39" i="22"/>
  <c r="G39" i="22"/>
  <c r="B41" i="22" l="1"/>
  <c r="B43" i="35"/>
  <c r="C43" i="35" s="1"/>
  <c r="G40" i="22"/>
  <c r="F40" i="22"/>
  <c r="E40" i="22"/>
  <c r="B42" i="22" l="1"/>
  <c r="B44" i="35"/>
  <c r="C44" i="35" s="1"/>
  <c r="G41" i="22"/>
  <c r="F41" i="22"/>
  <c r="E41" i="22"/>
  <c r="B45" i="35" l="1"/>
  <c r="C45" i="35" s="1"/>
  <c r="G42" i="22"/>
  <c r="F42" i="22"/>
  <c r="E42" i="22"/>
</calcChain>
</file>

<file path=xl/sharedStrings.xml><?xml version="1.0" encoding="utf-8"?>
<sst xmlns="http://schemas.openxmlformats.org/spreadsheetml/2006/main" count="305" uniqueCount="151">
  <si>
    <t>Dati:</t>
  </si>
  <si>
    <t>x</t>
  </si>
  <si>
    <t>n</t>
  </si>
  <si>
    <t>C</t>
  </si>
  <si>
    <t>m</t>
  </si>
  <si>
    <t>t</t>
  </si>
  <si>
    <t>s</t>
  </si>
  <si>
    <t>P</t>
  </si>
  <si>
    <t>U</t>
  </si>
  <si>
    <t>SIM 1992</t>
  </si>
  <si>
    <t>Tavola qx :</t>
  </si>
  <si>
    <t>Base tecnica I</t>
  </si>
  <si>
    <t>Base tecnica II</t>
  </si>
  <si>
    <t>T. Tecnico i =</t>
  </si>
  <si>
    <t>q - q*</t>
  </si>
  <si>
    <t>C - Vt+1</t>
  </si>
  <si>
    <t xml:space="preserve">Vt </t>
  </si>
  <si>
    <t>qx+t</t>
  </si>
  <si>
    <t>q*x+t</t>
  </si>
  <si>
    <t>alfa</t>
  </si>
  <si>
    <t>beta</t>
  </si>
  <si>
    <t>gamma</t>
  </si>
  <si>
    <t>UT</t>
  </si>
  <si>
    <t>PT</t>
  </si>
  <si>
    <t>e</t>
  </si>
  <si>
    <t>G</t>
  </si>
  <si>
    <t>Assicurazione Mista semplice a premio temporaneo</t>
  </si>
  <si>
    <t>* da applicare al premio di tariffa</t>
  </si>
  <si>
    <t>1ut</t>
  </si>
  <si>
    <t>2ut</t>
  </si>
  <si>
    <t>i*-i</t>
  </si>
  <si>
    <t>Vt +P</t>
  </si>
  <si>
    <t>3ut</t>
  </si>
  <si>
    <t>U_Tot_(t)</t>
  </si>
  <si>
    <t>N° Tavola:</t>
  </si>
  <si>
    <t>Eta</t>
  </si>
  <si>
    <t>ITALIA 71</t>
  </si>
  <si>
    <t>ITALIA 81</t>
  </si>
  <si>
    <t>ITALIA 91</t>
  </si>
  <si>
    <t>ISTAT98</t>
  </si>
  <si>
    <t>RG48</t>
  </si>
  <si>
    <t>Maschi</t>
  </si>
  <si>
    <t>Femmine</t>
  </si>
  <si>
    <t>TAVOLE ATTUARIALI</t>
  </si>
  <si>
    <t>OPZIONI</t>
  </si>
  <si>
    <t>Base demografica</t>
  </si>
  <si>
    <t>Tasso interesse</t>
  </si>
  <si>
    <t>Sesso</t>
  </si>
  <si>
    <t>Legenda</t>
  </si>
  <si>
    <t>Zona Input ---&gt;</t>
  </si>
  <si>
    <t>Base dem.</t>
  </si>
  <si>
    <t>1 = Tavola71</t>
  </si>
  <si>
    <t>2 = Tavola81</t>
  </si>
  <si>
    <t>3 = Tavola91</t>
  </si>
  <si>
    <t>4 = Tavola98</t>
  </si>
  <si>
    <t>5 = TavolaRG48</t>
  </si>
  <si>
    <t>1 = Maschi</t>
  </si>
  <si>
    <t>2 = Femmine</t>
  </si>
  <si>
    <t>Simboli di commutazione</t>
  </si>
  <si>
    <t>Tassi di Premio unico puro</t>
  </si>
  <si>
    <t>Età</t>
  </si>
  <si>
    <t>l(x)</t>
  </si>
  <si>
    <t>D(x)</t>
  </si>
  <si>
    <t>N(x)</t>
  </si>
  <si>
    <t>S(x)</t>
  </si>
  <si>
    <t>C(x)</t>
  </si>
  <si>
    <t>M(x)</t>
  </si>
  <si>
    <t>R(x)</t>
  </si>
  <si>
    <t>a(x)</t>
  </si>
  <si>
    <t>Ia(x)</t>
  </si>
  <si>
    <t>A(x)</t>
  </si>
  <si>
    <t>IA(x)</t>
  </si>
  <si>
    <t>V</t>
  </si>
  <si>
    <t>VA</t>
  </si>
  <si>
    <t>VG</t>
  </si>
  <si>
    <t>Vzill</t>
  </si>
  <si>
    <t>Vinv</t>
  </si>
  <si>
    <t>VC</t>
  </si>
  <si>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A</t>
    </r>
  </si>
  <si>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P</t>
    </r>
  </si>
  <si>
    <r>
      <rPr>
        <sz val="10"/>
        <rFont val="Symbol"/>
        <family val="1"/>
        <charset val="2"/>
      </rPr>
      <t>e</t>
    </r>
    <r>
      <rPr>
        <vertAlign val="subscript"/>
        <sz val="10"/>
        <rFont val="Arial"/>
        <family val="2"/>
      </rPr>
      <t>G</t>
    </r>
  </si>
  <si>
    <t>CONDIZIONI DI TARIFFA</t>
  </si>
  <si>
    <t>Tassi di caricamento</t>
  </si>
  <si>
    <t>Esempio: Analisi dell'utile</t>
  </si>
  <si>
    <t>Esempio: Premio di tariffa e Riserve per spese</t>
  </si>
  <si>
    <t>VS</t>
  </si>
  <si>
    <r>
      <t xml:space="preserve">(VS + </t>
    </r>
    <r>
      <rPr>
        <b/>
        <sz val="10"/>
        <rFont val="Symbol"/>
        <family val="1"/>
        <charset val="2"/>
      </rPr>
      <t>G)</t>
    </r>
    <r>
      <rPr>
        <b/>
        <sz val="10"/>
        <rFont val="Arial"/>
        <family val="2"/>
      </rPr>
      <t>*(i* - i)</t>
    </r>
  </si>
  <si>
    <t>SIM 1992 (x Q)</t>
  </si>
  <si>
    <t>Q</t>
  </si>
  <si>
    <t>Sperimentazioni</t>
  </si>
  <si>
    <t>* da applicare al capitale</t>
  </si>
  <si>
    <t>Premio unico puro</t>
  </si>
  <si>
    <t>Premio annuo puro</t>
  </si>
  <si>
    <t>Premio unico di tariffa</t>
  </si>
  <si>
    <t>Premio annuo di tariffa</t>
  </si>
  <si>
    <t>Tabella: Dinamica della riserva</t>
  </si>
  <si>
    <t>Tabella: scomposizione degli utili</t>
  </si>
  <si>
    <t>1) impostare i*</t>
  </si>
  <si>
    <t>2) impostare Q</t>
  </si>
  <si>
    <t>Osservazioni</t>
  </si>
  <si>
    <t>1) importo e segno utili</t>
  </si>
  <si>
    <t>1) importo e segno riserve</t>
  </si>
  <si>
    <t>2) segno margini su riserve per spese</t>
  </si>
  <si>
    <t>E(a,b,g)</t>
  </si>
  <si>
    <t>Pr</t>
  </si>
  <si>
    <t>Ps</t>
  </si>
  <si>
    <t>G1</t>
  </si>
  <si>
    <t>G2</t>
  </si>
  <si>
    <t>1) Valori componenti premio per m &lt; n</t>
  </si>
  <si>
    <t>FORMULE</t>
  </si>
  <si>
    <t>Tabella 1: scomposizione degli utili</t>
  </si>
  <si>
    <t>VC + PT</t>
  </si>
  <si>
    <r>
      <t>(VC + PT</t>
    </r>
    <r>
      <rPr>
        <b/>
        <sz val="10"/>
        <rFont val="Symbol"/>
        <family val="1"/>
        <charset val="2"/>
      </rPr>
      <t>)</t>
    </r>
    <r>
      <rPr>
        <b/>
        <sz val="10"/>
        <rFont val="Arial"/>
        <family val="2"/>
      </rPr>
      <t>*(i* - i)</t>
    </r>
  </si>
  <si>
    <t>(C-VCt+1)</t>
  </si>
  <si>
    <t>(C-VCt+1)(q-q*)</t>
  </si>
  <si>
    <t>E(a*,b*,g*)(1+i*)</t>
  </si>
  <si>
    <t>E(a,b,g)(1+i)</t>
  </si>
  <si>
    <t>VSt+1(px+t - p*x+t)</t>
  </si>
  <si>
    <t>1) impostare m=n; m&lt;n</t>
  </si>
  <si>
    <t>1) impostare m=n, m&lt;n</t>
  </si>
  <si>
    <t>Tabella 2: scomposizione degli utili</t>
  </si>
  <si>
    <t>Caricamento complessivo</t>
  </si>
  <si>
    <t>G =</t>
  </si>
  <si>
    <t>Quesito:</t>
  </si>
  <si>
    <t>Una testa di 50 anni stipula un contratto di mista seplice per un capitale di 1000 euro scadente a 65 anni,</t>
  </si>
  <si>
    <t>mediante versamento di premi annui per 10 anni.</t>
  </si>
  <si>
    <t>Si completino le tabelle di scomposizione della riserva completa,</t>
  </si>
  <si>
    <t>del premio di tariffa e dell'utile in condizione di tariffa nelle due versioni.</t>
  </si>
  <si>
    <t>=0,15%*C</t>
  </si>
  <si>
    <t>* da applicare al premio annuo di tariffa</t>
  </si>
  <si>
    <t>=4%*PT</t>
  </si>
  <si>
    <t>PT = P + Ka + Kp + Kg</t>
  </si>
  <si>
    <t>Kp = 4% PT</t>
  </si>
  <si>
    <t>Kg = 0,15% C * a(15) / a(10)</t>
  </si>
  <si>
    <t>Ka = 0,055*PT / a(10)</t>
  </si>
  <si>
    <t>PT = (P + 0,15%*C*a(15)/a(10)) / (1- 0,055/a(10) - 0,04)</t>
  </si>
  <si>
    <t>UT = PT * a(10)</t>
  </si>
  <si>
    <t>VA(t) = Ka * a(x+t,m-t)</t>
  </si>
  <si>
    <t>VG(t) = 0,15%C*a(x+t,n-t) - Kg * a(x+t, m-t)</t>
  </si>
  <si>
    <t>Vzill = V + VA</t>
  </si>
  <si>
    <t>VC =  V + VA + VG</t>
  </si>
  <si>
    <t>Vinv = V + VG</t>
  </si>
  <si>
    <t>=0,55*PT</t>
  </si>
  <si>
    <t>0,55 PT / (Nx - Nx+m) * Dx</t>
  </si>
  <si>
    <t>i</t>
  </si>
  <si>
    <t>d</t>
  </si>
  <si>
    <t>Dx</t>
  </si>
  <si>
    <t>dur crit</t>
  </si>
  <si>
    <t>5Ax</t>
  </si>
  <si>
    <t>Mx-Mx+5</t>
  </si>
  <si>
    <t>exp(-d*t)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</si>
</sst>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0"/>
    <numFmt numFmtId="165" formatCode="0.0000"/>
    <numFmt numFmtId="166" formatCode="0.0%"/>
    <numFmt numFmtId="167" formatCode="0.0"/>
    <numFmt numFmtId="168" formatCode="0.000000"/>
  </numFmts>
  <fonts count="12" x14ac:knownFonts="1">
    <font>
      <sz val="10"/>
      <name val="Arial"/>
    </font>
    <font>
      <b/>
      <sz val="10"/>
      <name val="Arial"/>
      <family val="2"/>
    </font>
    <font>
      <sz val="8"/>
      <name val="Arial"/>
      <family val="2"/>
    </font>
    <font>
      <b/>
      <sz val="10"/>
      <name val="Symbol"/>
      <family val="1"/>
      <charset val="2"/>
    </font>
    <font>
      <u/>
      <sz val="10"/>
      <name val="Arial"/>
      <family val="2"/>
    </font>
    <font>
      <sz val="12"/>
      <name val="Symbol"/>
      <family val="1"/>
      <charset val="2"/>
    </font>
    <font>
      <sz val="10"/>
      <name val="Arial"/>
      <family val="2"/>
    </font>
    <font>
      <sz val="10"/>
      <color indexed="10"/>
      <name val="Arial"/>
      <family val="2"/>
    </font>
    <font>
      <sz val="10"/>
      <name val="Symbol"/>
      <family val="1"/>
      <charset val="2"/>
    </font>
    <font>
      <vertAlign val="subscript"/>
      <sz val="10"/>
      <name val="Arial"/>
      <family val="2"/>
    </font>
    <font>
      <b/>
      <u/>
      <sz val="10"/>
      <name val="Arial"/>
      <family val="2"/>
    </font>
    <font>
      <b/>
      <sz val="10"/>
      <color rgb="FFFF0000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9" fontId="6" fillId="0" borderId="0" applyFont="0" applyFill="0" applyBorder="0" applyAlignment="0" applyProtection="0"/>
    <xf numFmtId="0" fontId="6" fillId="0" borderId="0"/>
  </cellStyleXfs>
  <cellXfs count="154">
    <xf numFmtId="0" fontId="0" fillId="0" borderId="0" xfId="0"/>
    <xf numFmtId="9" fontId="0" fillId="0" borderId="0" xfId="0" applyNumberFormat="1"/>
    <xf numFmtId="165" fontId="0" fillId="0" borderId="0" xfId="0" applyNumberFormat="1"/>
    <xf numFmtId="0" fontId="1" fillId="0" borderId="0" xfId="0" applyFont="1"/>
    <xf numFmtId="0" fontId="4" fillId="0" borderId="0" xfId="0" applyFont="1"/>
    <xf numFmtId="0" fontId="6" fillId="2" borderId="4" xfId="2" applyFill="1" applyBorder="1"/>
    <xf numFmtId="0" fontId="1" fillId="2" borderId="5" xfId="2" applyFont="1" applyFill="1" applyBorder="1"/>
    <xf numFmtId="0" fontId="6" fillId="2" borderId="2" xfId="2" applyFill="1" applyBorder="1"/>
    <xf numFmtId="0" fontId="6" fillId="0" borderId="0" xfId="2" applyFill="1"/>
    <xf numFmtId="0" fontId="1" fillId="0" borderId="6" xfId="2" applyFont="1" applyFill="1" applyBorder="1" applyAlignment="1">
      <alignment horizontal="center"/>
    </xf>
    <xf numFmtId="0" fontId="1" fillId="0" borderId="6" xfId="2" applyFont="1" applyFill="1" applyBorder="1" applyAlignment="1">
      <alignment horizontal="left"/>
    </xf>
    <xf numFmtId="0" fontId="6" fillId="0" borderId="7" xfId="2" applyFill="1" applyBorder="1"/>
    <xf numFmtId="0" fontId="1" fillId="0" borderId="6" xfId="2" applyFont="1" applyFill="1" applyBorder="1" applyAlignment="1">
      <alignment horizontal="right"/>
    </xf>
    <xf numFmtId="0" fontId="1" fillId="0" borderId="6" xfId="2" applyFont="1" applyFill="1" applyBorder="1"/>
    <xf numFmtId="0" fontId="7" fillId="0" borderId="0" xfId="2" applyFont="1" applyFill="1"/>
    <xf numFmtId="0" fontId="6" fillId="0" borderId="8" xfId="2" applyFill="1" applyBorder="1"/>
    <xf numFmtId="0" fontId="6" fillId="0" borderId="9" xfId="2" applyFill="1" applyBorder="1" applyAlignment="1">
      <alignment horizontal="right"/>
    </xf>
    <xf numFmtId="0" fontId="6" fillId="0" borderId="10" xfId="2" applyFill="1" applyBorder="1" applyAlignment="1">
      <alignment horizontal="right"/>
    </xf>
    <xf numFmtId="0" fontId="6" fillId="0" borderId="11" xfId="2" applyFill="1" applyBorder="1" applyAlignment="1">
      <alignment horizontal="center"/>
    </xf>
    <xf numFmtId="1" fontId="6" fillId="0" borderId="12" xfId="2" applyNumberFormat="1" applyFill="1" applyBorder="1"/>
    <xf numFmtId="1" fontId="6" fillId="0" borderId="0" xfId="2" applyNumberFormat="1" applyFill="1" applyBorder="1"/>
    <xf numFmtId="1" fontId="6" fillId="0" borderId="0" xfId="2" applyNumberFormat="1" applyFill="1"/>
    <xf numFmtId="167" fontId="6" fillId="0" borderId="0" xfId="2" applyNumberFormat="1" applyFill="1"/>
    <xf numFmtId="1" fontId="6" fillId="0" borderId="12" xfId="2" applyNumberFormat="1" applyFill="1" applyBorder="1" applyAlignment="1">
      <alignment horizontal="right"/>
    </xf>
    <xf numFmtId="1" fontId="6" fillId="0" borderId="0" xfId="2" applyNumberFormat="1" applyFill="1" applyBorder="1" applyAlignment="1">
      <alignment horizontal="right"/>
    </xf>
    <xf numFmtId="0" fontId="6" fillId="0" borderId="13" xfId="2" applyFill="1" applyBorder="1" applyAlignment="1">
      <alignment horizontal="center"/>
    </xf>
    <xf numFmtId="0" fontId="1" fillId="0" borderId="0" xfId="2" applyFont="1"/>
    <xf numFmtId="0" fontId="6" fillId="0" borderId="0" xfId="2"/>
    <xf numFmtId="0" fontId="6" fillId="3" borderId="1" xfId="2" applyFill="1" applyBorder="1"/>
    <xf numFmtId="0" fontId="1" fillId="4" borderId="1" xfId="2" applyFont="1" applyFill="1" applyBorder="1"/>
    <xf numFmtId="0" fontId="6" fillId="4" borderId="0" xfId="2" applyFill="1"/>
    <xf numFmtId="0" fontId="6" fillId="4" borderId="1" xfId="2" applyFill="1" applyBorder="1"/>
    <xf numFmtId="0" fontId="6" fillId="5" borderId="1" xfId="2" applyFill="1" applyBorder="1"/>
    <xf numFmtId="9" fontId="6" fillId="5" borderId="1" xfId="2" applyNumberFormat="1" applyFill="1" applyBorder="1"/>
    <xf numFmtId="0" fontId="6" fillId="0" borderId="14" xfId="2" applyBorder="1"/>
    <xf numFmtId="0" fontId="6" fillId="0" borderId="15" xfId="2" applyBorder="1"/>
    <xf numFmtId="0" fontId="6" fillId="0" borderId="16" xfId="2" applyBorder="1"/>
    <xf numFmtId="0" fontId="6" fillId="0" borderId="6" xfId="2" applyBorder="1"/>
    <xf numFmtId="0" fontId="6" fillId="0" borderId="7" xfId="2" applyBorder="1"/>
    <xf numFmtId="0" fontId="6" fillId="0" borderId="17" xfId="2" applyBorder="1"/>
    <xf numFmtId="0" fontId="1" fillId="5" borderId="4" xfId="2" applyFont="1" applyFill="1" applyBorder="1"/>
    <xf numFmtId="0" fontId="1" fillId="5" borderId="5" xfId="2" applyFont="1" applyFill="1" applyBorder="1"/>
    <xf numFmtId="0" fontId="6" fillId="5" borderId="5" xfId="2" applyFill="1" applyBorder="1"/>
    <xf numFmtId="0" fontId="6" fillId="5" borderId="2" xfId="2" applyFill="1" applyBorder="1"/>
    <xf numFmtId="0" fontId="1" fillId="5" borderId="14" xfId="2" applyFont="1" applyFill="1" applyBorder="1"/>
    <xf numFmtId="0" fontId="6" fillId="5" borderId="15" xfId="2" applyFill="1" applyBorder="1"/>
    <xf numFmtId="0" fontId="6" fillId="5" borderId="16" xfId="2" applyFill="1" applyBorder="1"/>
    <xf numFmtId="0" fontId="1" fillId="5" borderId="6" xfId="2" applyFont="1" applyFill="1" applyBorder="1"/>
    <xf numFmtId="0" fontId="6" fillId="5" borderId="7" xfId="2" applyFill="1" applyBorder="1"/>
    <xf numFmtId="0" fontId="1" fillId="5" borderId="7" xfId="2" applyFont="1" applyFill="1" applyBorder="1"/>
    <xf numFmtId="0" fontId="6" fillId="5" borderId="17" xfId="2" applyFill="1" applyBorder="1"/>
    <xf numFmtId="0" fontId="6" fillId="5" borderId="12" xfId="2" applyFill="1" applyBorder="1"/>
    <xf numFmtId="0" fontId="6" fillId="5" borderId="0" xfId="2" applyFill="1" applyBorder="1"/>
    <xf numFmtId="0" fontId="6" fillId="5" borderId="18" xfId="2" applyFill="1" applyBorder="1"/>
    <xf numFmtId="0" fontId="1" fillId="6" borderId="1" xfId="2" applyFont="1" applyFill="1" applyBorder="1" applyAlignment="1">
      <alignment horizontal="center"/>
    </xf>
    <xf numFmtId="0" fontId="1" fillId="3" borderId="1" xfId="2" applyFont="1" applyFill="1" applyBorder="1" applyAlignment="1">
      <alignment horizontal="center"/>
    </xf>
    <xf numFmtId="0" fontId="1" fillId="7" borderId="1" xfId="2" applyFont="1" applyFill="1" applyBorder="1" applyAlignment="1">
      <alignment horizontal="center"/>
    </xf>
    <xf numFmtId="0" fontId="6" fillId="8" borderId="1" xfId="2" applyFill="1" applyBorder="1" applyAlignment="1">
      <alignment horizontal="center"/>
    </xf>
    <xf numFmtId="168" fontId="6" fillId="9" borderId="1" xfId="2" applyNumberFormat="1" applyFill="1" applyBorder="1"/>
    <xf numFmtId="168" fontId="6" fillId="10" borderId="1" xfId="2" applyNumberFormat="1" applyFill="1" applyBorder="1"/>
    <xf numFmtId="0" fontId="6" fillId="8" borderId="1" xfId="2" applyFill="1" applyBorder="1"/>
    <xf numFmtId="168" fontId="6" fillId="0" borderId="0" xfId="2" applyNumberFormat="1"/>
    <xf numFmtId="0" fontId="1" fillId="11" borderId="0" xfId="0" applyFont="1" applyFill="1"/>
    <xf numFmtId="0" fontId="1" fillId="13" borderId="0" xfId="0" applyFont="1" applyFill="1"/>
    <xf numFmtId="0" fontId="0" fillId="13" borderId="0" xfId="0" applyFill="1"/>
    <xf numFmtId="0" fontId="6" fillId="0" borderId="0" xfId="0" applyFont="1"/>
    <xf numFmtId="165" fontId="6" fillId="0" borderId="0" xfId="0" applyNumberFormat="1" applyFont="1"/>
    <xf numFmtId="0" fontId="6" fillId="12" borderId="0" xfId="0" applyFont="1" applyFill="1"/>
    <xf numFmtId="0" fontId="0" fillId="12" borderId="0" xfId="0" applyFill="1"/>
    <xf numFmtId="0" fontId="6" fillId="14" borderId="0" xfId="0" applyFont="1" applyFill="1"/>
    <xf numFmtId="0" fontId="0" fillId="14" borderId="0" xfId="0" applyFill="1"/>
    <xf numFmtId="9" fontId="0" fillId="12" borderId="0" xfId="0" applyNumberFormat="1" applyFill="1"/>
    <xf numFmtId="9" fontId="0" fillId="14" borderId="0" xfId="0" applyNumberFormat="1" applyFill="1"/>
    <xf numFmtId="10" fontId="0" fillId="14" borderId="0" xfId="0" applyNumberFormat="1" applyFill="1"/>
    <xf numFmtId="2" fontId="0" fillId="15" borderId="0" xfId="0" applyNumberFormat="1" applyFill="1"/>
    <xf numFmtId="0" fontId="1" fillId="13" borderId="1" xfId="0" applyFont="1" applyFill="1" applyBorder="1" applyAlignment="1">
      <alignment horizontal="center"/>
    </xf>
    <xf numFmtId="0" fontId="0" fillId="13" borderId="1" xfId="0" applyFill="1" applyBorder="1"/>
    <xf numFmtId="2" fontId="0" fillId="0" borderId="1" xfId="0" applyNumberFormat="1" applyBorder="1"/>
    <xf numFmtId="0" fontId="6" fillId="0" borderId="1" xfId="0" applyFont="1" applyBorder="1"/>
    <xf numFmtId="0" fontId="5" fillId="0" borderId="1" xfId="0" applyFont="1" applyBorder="1"/>
    <xf numFmtId="166" fontId="0" fillId="15" borderId="1" xfId="1" applyNumberFormat="1" applyFont="1" applyFill="1" applyBorder="1"/>
    <xf numFmtId="9" fontId="6" fillId="0" borderId="0" xfId="2" applyNumberFormat="1"/>
    <xf numFmtId="166" fontId="6" fillId="0" borderId="0" xfId="2" applyNumberFormat="1"/>
    <xf numFmtId="165" fontId="6" fillId="0" borderId="0" xfId="2" applyNumberFormat="1"/>
    <xf numFmtId="0" fontId="5" fillId="0" borderId="0" xfId="2" applyFont="1"/>
    <xf numFmtId="164" fontId="6" fillId="0" borderId="0" xfId="2" applyNumberFormat="1"/>
    <xf numFmtId="2" fontId="6" fillId="0" borderId="0" xfId="2" applyNumberFormat="1"/>
    <xf numFmtId="0" fontId="6" fillId="0" borderId="3" xfId="2" applyBorder="1"/>
    <xf numFmtId="165" fontId="6" fillId="0" borderId="2" xfId="2" applyNumberFormat="1" applyBorder="1"/>
    <xf numFmtId="165" fontId="6" fillId="0" borderId="1" xfId="2" applyNumberFormat="1" applyBorder="1"/>
    <xf numFmtId="2" fontId="6" fillId="15" borderId="0" xfId="2" applyNumberFormat="1" applyFill="1"/>
    <xf numFmtId="9" fontId="6" fillId="14" borderId="0" xfId="2" applyNumberFormat="1" applyFill="1"/>
    <xf numFmtId="10" fontId="6" fillId="14" borderId="0" xfId="2" applyNumberFormat="1" applyFill="1"/>
    <xf numFmtId="0" fontId="6" fillId="14" borderId="0" xfId="2" applyFill="1"/>
    <xf numFmtId="0" fontId="6" fillId="12" borderId="0" xfId="2" applyFill="1"/>
    <xf numFmtId="9" fontId="6" fillId="12" borderId="0" xfId="2" applyNumberFormat="1" applyFill="1"/>
    <xf numFmtId="0" fontId="5" fillId="0" borderId="1" xfId="2" applyFont="1" applyBorder="1"/>
    <xf numFmtId="2" fontId="6" fillId="0" borderId="1" xfId="2" applyNumberFormat="1" applyBorder="1"/>
    <xf numFmtId="166" fontId="6" fillId="15" borderId="1" xfId="1" applyNumberFormat="1" applyFill="1" applyBorder="1"/>
    <xf numFmtId="0" fontId="1" fillId="11" borderId="0" xfId="2" applyFont="1" applyFill="1"/>
    <xf numFmtId="0" fontId="6" fillId="11" borderId="0" xfId="2" applyFill="1"/>
    <xf numFmtId="0" fontId="0" fillId="11" borderId="0" xfId="0" applyFill="1"/>
    <xf numFmtId="0" fontId="10" fillId="0" borderId="0" xfId="2" applyFont="1"/>
    <xf numFmtId="2" fontId="6" fillId="0" borderId="2" xfId="2" applyNumberFormat="1" applyBorder="1"/>
    <xf numFmtId="0" fontId="1" fillId="13" borderId="3" xfId="2" applyFont="1" applyFill="1" applyBorder="1" applyAlignment="1">
      <alignment horizontal="center"/>
    </xf>
    <xf numFmtId="0" fontId="1" fillId="13" borderId="2" xfId="2" applyFont="1" applyFill="1" applyBorder="1" applyAlignment="1">
      <alignment horizontal="center"/>
    </xf>
    <xf numFmtId="0" fontId="1" fillId="13" borderId="1" xfId="2" applyFont="1" applyFill="1" applyBorder="1" applyAlignment="1">
      <alignment horizontal="center"/>
    </xf>
    <xf numFmtId="165" fontId="6" fillId="15" borderId="3" xfId="2" applyNumberFormat="1" applyFill="1" applyBorder="1"/>
    <xf numFmtId="2" fontId="1" fillId="15" borderId="3" xfId="2" applyNumberFormat="1" applyFont="1" applyFill="1" applyBorder="1"/>
    <xf numFmtId="2" fontId="6" fillId="15" borderId="3" xfId="2" applyNumberFormat="1" applyFill="1" applyBorder="1"/>
    <xf numFmtId="2" fontId="6" fillId="16" borderId="2" xfId="2" applyNumberFormat="1" applyFill="1" applyBorder="1"/>
    <xf numFmtId="2" fontId="1" fillId="16" borderId="2" xfId="2" applyNumberFormat="1" applyFont="1" applyFill="1" applyBorder="1"/>
    <xf numFmtId="0" fontId="0" fillId="17" borderId="0" xfId="0" applyFill="1"/>
    <xf numFmtId="0" fontId="1" fillId="17" borderId="0" xfId="0" applyFont="1" applyFill="1"/>
    <xf numFmtId="9" fontId="6" fillId="0" borderId="0" xfId="0" applyNumberFormat="1" applyFont="1"/>
    <xf numFmtId="0" fontId="6" fillId="17" borderId="0" xfId="2" applyFill="1"/>
    <xf numFmtId="0" fontId="1" fillId="17" borderId="0" xfId="2" applyFont="1" applyFill="1"/>
    <xf numFmtId="0" fontId="3" fillId="13" borderId="3" xfId="2" applyFont="1" applyFill="1" applyBorder="1" applyAlignment="1">
      <alignment horizontal="center"/>
    </xf>
    <xf numFmtId="0" fontId="3" fillId="13" borderId="2" xfId="2" applyFont="1" applyFill="1" applyBorder="1" applyAlignment="1">
      <alignment horizontal="center"/>
    </xf>
    <xf numFmtId="0" fontId="1" fillId="13" borderId="4" xfId="2" applyFont="1" applyFill="1" applyBorder="1" applyAlignment="1">
      <alignment horizontal="center"/>
    </xf>
    <xf numFmtId="2" fontId="6" fillId="15" borderId="1" xfId="2" applyNumberFormat="1" applyFill="1" applyBorder="1"/>
    <xf numFmtId="0" fontId="1" fillId="14" borderId="0" xfId="2" applyFont="1" applyFill="1"/>
    <xf numFmtId="0" fontId="3" fillId="13" borderId="1" xfId="2" applyFont="1" applyFill="1" applyBorder="1" applyAlignment="1">
      <alignment horizontal="center"/>
    </xf>
    <xf numFmtId="2" fontId="6" fillId="0" borderId="1" xfId="2" applyNumberFormat="1" applyFill="1" applyBorder="1"/>
    <xf numFmtId="2" fontId="6" fillId="0" borderId="4" xfId="2" applyNumberFormat="1" applyFill="1" applyBorder="1"/>
    <xf numFmtId="2" fontId="6" fillId="0" borderId="3" xfId="2" applyNumberFormat="1" applyFill="1" applyBorder="1"/>
    <xf numFmtId="2" fontId="6" fillId="0" borderId="2" xfId="2" applyNumberFormat="1" applyFill="1" applyBorder="1"/>
    <xf numFmtId="2" fontId="0" fillId="0" borderId="1" xfId="0" applyNumberFormat="1" applyFill="1" applyBorder="1"/>
    <xf numFmtId="164" fontId="6" fillId="13" borderId="0" xfId="2" applyNumberFormat="1" applyFill="1"/>
    <xf numFmtId="2" fontId="6" fillId="13" borderId="0" xfId="2" applyNumberFormat="1" applyFill="1"/>
    <xf numFmtId="0" fontId="1" fillId="13" borderId="19" xfId="0" applyFont="1" applyFill="1" applyBorder="1"/>
    <xf numFmtId="0" fontId="1" fillId="13" borderId="20" xfId="0" applyFont="1" applyFill="1" applyBorder="1"/>
    <xf numFmtId="0" fontId="1" fillId="13" borderId="21" xfId="0" applyFont="1" applyFill="1" applyBorder="1"/>
    <xf numFmtId="0" fontId="1" fillId="13" borderId="22" xfId="0" applyFont="1" applyFill="1" applyBorder="1"/>
    <xf numFmtId="0" fontId="1" fillId="13" borderId="0" xfId="0" applyFont="1" applyFill="1" applyBorder="1"/>
    <xf numFmtId="0" fontId="1" fillId="13" borderId="23" xfId="0" applyFont="1" applyFill="1" applyBorder="1"/>
    <xf numFmtId="0" fontId="0" fillId="13" borderId="0" xfId="0" applyFill="1" applyBorder="1"/>
    <xf numFmtId="0" fontId="0" fillId="13" borderId="23" xfId="0" applyFill="1" applyBorder="1"/>
    <xf numFmtId="0" fontId="1" fillId="13" borderId="24" xfId="0" applyFont="1" applyFill="1" applyBorder="1"/>
    <xf numFmtId="0" fontId="0" fillId="13" borderId="25" xfId="0" applyFill="1" applyBorder="1"/>
    <xf numFmtId="0" fontId="0" fillId="13" borderId="26" xfId="0" applyFill="1" applyBorder="1"/>
    <xf numFmtId="9" fontId="6" fillId="0" borderId="0" xfId="0" quotePrefix="1" applyNumberFormat="1" applyFont="1"/>
    <xf numFmtId="10" fontId="6" fillId="0" borderId="0" xfId="0" quotePrefix="1" applyNumberFormat="1" applyFont="1"/>
    <xf numFmtId="0" fontId="1" fillId="13" borderId="0" xfId="0" applyFont="1" applyFill="1" applyBorder="1" applyAlignment="1">
      <alignment horizontal="left"/>
    </xf>
    <xf numFmtId="0" fontId="6" fillId="13" borderId="0" xfId="0" applyFont="1" applyFill="1"/>
    <xf numFmtId="10" fontId="0" fillId="13" borderId="0" xfId="0" applyNumberFormat="1" applyFill="1"/>
    <xf numFmtId="0" fontId="6" fillId="13" borderId="0" xfId="0" applyFont="1" applyFill="1" applyBorder="1"/>
    <xf numFmtId="10" fontId="0" fillId="0" borderId="0" xfId="1" applyNumberFormat="1" applyFont="1"/>
    <xf numFmtId="10" fontId="0" fillId="15" borderId="1" xfId="1" applyNumberFormat="1" applyFont="1" applyFill="1" applyBorder="1"/>
    <xf numFmtId="2" fontId="0" fillId="13" borderId="1" xfId="0" applyNumberFormat="1" applyFill="1" applyBorder="1"/>
    <xf numFmtId="2" fontId="0" fillId="15" borderId="1" xfId="0" applyNumberFormat="1" applyFill="1" applyBorder="1"/>
    <xf numFmtId="2" fontId="0" fillId="18" borderId="1" xfId="0" applyNumberFormat="1" applyFill="1" applyBorder="1"/>
    <xf numFmtId="2" fontId="11" fillId="0" borderId="1" xfId="0" applyNumberFormat="1" applyFont="1" applyFill="1" applyBorder="1"/>
    <xf numFmtId="0" fontId="0" fillId="0" borderId="1" xfId="0" applyBorder="1"/>
  </cellXfs>
  <cellStyles count="3">
    <cellStyle name="Normale" xfId="0" builtinId="0"/>
    <cellStyle name="Normale 2" xfId="2"/>
    <cellStyle name="Percentual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Riserve!$A$27:$A$37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13696"/>
        <c:axId val="171089216"/>
      </c:lineChart>
      <c:catAx>
        <c:axId val="3364136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171089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71089216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641369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semplice'!#REF!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15232"/>
        <c:axId val="337462976"/>
      </c:lineChart>
      <c:catAx>
        <c:axId val="3364152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74629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46297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6415232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6416256"/>
        <c:axId val="337464704"/>
      </c:lineChart>
      <c:catAx>
        <c:axId val="336416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74647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464704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6416256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089" r="0.75000000000000089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star"/>
            <c:size val="5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circle"/>
            <c:size val="5"/>
            <c:spPr>
              <a:solidFill>
                <a:srgbClr val="8000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'Scomposizione premio'!$A$30:$A$40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4332416"/>
        <c:axId val="337466432"/>
      </c:lineChart>
      <c:catAx>
        <c:axId val="33433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7466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46643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43324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25400">
              <a:solidFill>
                <a:srgbClr val="000000"/>
              </a:solidFill>
              <a:prstDash val="lgDashDot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12700">
              <a:solidFill>
                <a:srgbClr val="0000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'Mista semplice _ Utili attesi'!#RIF!</c:f>
              <c:strCache>
                <c:ptCount val="1"/>
                <c:pt idx="0">
                  <c:v>#RIF!</c:v>
                </c:pt>
              </c:strCache>
            </c:strRef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x"/>
            <c:size val="9"/>
            <c:spPr>
              <a:noFill/>
              <a:ln>
                <a:solidFill>
                  <a:srgbClr val="000000"/>
                </a:solidFill>
                <a:prstDash val="solid"/>
              </a:ln>
            </c:spPr>
          </c:marker>
          <c:cat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cat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58016"/>
        <c:axId val="337468736"/>
      </c:lineChart>
      <c:catAx>
        <c:axId val="3359580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74687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468736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5958016"/>
        <c:crosses val="autoZero"/>
        <c:crossBetween val="midCat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 w="25400">
          <a:noFill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Capitale sotto rischio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'Mista semplice _ Utili attesi'!#RIF!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35959040"/>
        <c:axId val="337634432"/>
      </c:lineChart>
      <c:catAx>
        <c:axId val="3359590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76344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337634432"/>
        <c:scaling>
          <c:orientation val="minMax"/>
          <c:max val="1000"/>
        </c:scaling>
        <c:delete val="0"/>
        <c:axPos val="l"/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it-IT"/>
          </a:p>
        </c:txPr>
        <c:crossAx val="335959040"/>
        <c:crosses val="autoZero"/>
        <c:crossBetween val="midCat"/>
        <c:minorUnit val="2"/>
      </c:valAx>
      <c:spPr>
        <a:noFill/>
        <a:ln w="25400">
          <a:noFill/>
        </a:ln>
      </c:spPr>
    </c:plotArea>
    <c:legend>
      <c:legendPos val="b"/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it-IT"/>
    </a:p>
  </c:txPr>
  <c:printSettings>
    <c:headerFooter alignWithMargins="0"/>
    <c:pageMargins b="1" l="0.75000000000000122" r="0.75000000000000122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2.emf"/><Relationship Id="rId1" Type="http://schemas.openxmlformats.org/officeDocument/2006/relationships/image" Target="../media/image1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36</xdr:row>
      <xdr:rowOff>9525</xdr:rowOff>
    </xdr:from>
    <xdr:to>
      <xdr:col>6</xdr:col>
      <xdr:colOff>0</xdr:colOff>
      <xdr:row>37</xdr:row>
      <xdr:rowOff>0</xdr:rowOff>
    </xdr:to>
    <xdr:graphicFrame macro="">
      <xdr:nvGraphicFramePr>
        <xdr:cNvPr id="2150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2150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37</xdr:row>
      <xdr:rowOff>0</xdr:rowOff>
    </xdr:from>
    <xdr:to>
      <xdr:col>5</xdr:col>
      <xdr:colOff>0</xdr:colOff>
      <xdr:row>37</xdr:row>
      <xdr:rowOff>0</xdr:rowOff>
    </xdr:to>
    <xdr:graphicFrame macro="">
      <xdr:nvGraphicFramePr>
        <xdr:cNvPr id="2150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39</xdr:row>
      <xdr:rowOff>9525</xdr:rowOff>
    </xdr:from>
    <xdr:to>
      <xdr:col>8</xdr:col>
      <xdr:colOff>0</xdr:colOff>
      <xdr:row>40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40</xdr:row>
      <xdr:rowOff>0</xdr:rowOff>
    </xdr:from>
    <xdr:to>
      <xdr:col>7</xdr:col>
      <xdr:colOff>0</xdr:colOff>
      <xdr:row>40</xdr:row>
      <xdr:rowOff>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9525</xdr:colOff>
          <xdr:row>6</xdr:row>
          <xdr:rowOff>19050</xdr:rowOff>
        </xdr:from>
        <xdr:to>
          <xdr:col>15</xdr:col>
          <xdr:colOff>19050</xdr:colOff>
          <xdr:row>8</xdr:row>
          <xdr:rowOff>133350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19050</xdr:colOff>
          <xdr:row>10</xdr:row>
          <xdr:rowOff>28575</xdr:rowOff>
        </xdr:from>
        <xdr:to>
          <xdr:col>14</xdr:col>
          <xdr:colOff>904875</xdr:colOff>
          <xdr:row>13</xdr:row>
          <xdr:rowOff>28575</xdr:rowOff>
        </xdr:to>
        <xdr:sp macro="" textlink="">
          <xdr:nvSpPr>
            <xdr:cNvPr id="1026" name="Object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14</xdr:row>
          <xdr:rowOff>76200</xdr:rowOff>
        </xdr:from>
        <xdr:to>
          <xdr:col>14</xdr:col>
          <xdr:colOff>914400</xdr:colOff>
          <xdr:row>17</xdr:row>
          <xdr:rowOff>76200</xdr:rowOff>
        </xdr:to>
        <xdr:sp macro="" textlink="">
          <xdr:nvSpPr>
            <xdr:cNvPr id="1027" name="Object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13</xdr:col>
          <xdr:colOff>28575</xdr:colOff>
          <xdr:row>18</xdr:row>
          <xdr:rowOff>95250</xdr:rowOff>
        </xdr:from>
        <xdr:to>
          <xdr:col>14</xdr:col>
          <xdr:colOff>914400</xdr:colOff>
          <xdr:row>21</xdr:row>
          <xdr:rowOff>95250</xdr:rowOff>
        </xdr:to>
        <xdr:sp macro="" textlink="">
          <xdr:nvSpPr>
            <xdr:cNvPr id="1028" name="Object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remi/Premi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go"/>
      <sheetName val="DBasDem"/>
      <sheetName val="Premi_Annui"/>
      <sheetName val="Premi_Unici"/>
      <sheetName val="Procedure"/>
      <sheetName val="Tavole"/>
      <sheetName val="DreadDisease"/>
    </sheetNames>
    <definedNames>
      <definedName name="Dx"/>
      <definedName name="Mx"/>
    </definedNames>
    <sheetDataSet>
      <sheetData sheetId="0"/>
      <sheetData sheetId="1"/>
      <sheetData sheetId="5"/>
      <sheetData sheetId="6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6" Type="http://schemas.openxmlformats.org/officeDocument/2006/relationships/oleObject" Target="../embeddings/oleObject2.bin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oleObject" Target="../embeddings/oleObject4.bin"/><Relationship Id="rId4" Type="http://schemas.openxmlformats.org/officeDocument/2006/relationships/oleObject" Target="../embeddings/oleObject1.bin"/><Relationship Id="rId9" Type="http://schemas.openxmlformats.org/officeDocument/2006/relationships/image" Target="../media/image3.emf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"/>
  <dimension ref="A1:S115"/>
  <sheetViews>
    <sheetView zoomScale="75" workbookViewId="0">
      <selection activeCell="J4" sqref="J4:K115"/>
    </sheetView>
  </sheetViews>
  <sheetFormatPr defaultRowHeight="12.75" x14ac:dyDescent="0.2"/>
  <cols>
    <col min="1" max="1" width="11" style="8" customWidth="1"/>
    <col min="2" max="2" width="8" style="8" customWidth="1"/>
    <col min="3" max="5" width="8.7109375" style="8" customWidth="1"/>
    <col min="6" max="11" width="9.140625" style="8"/>
    <col min="12" max="13" width="12" style="8" customWidth="1"/>
    <col min="14" max="14" width="10" style="8" customWidth="1"/>
    <col min="15" max="15" width="9.140625" style="8"/>
    <col min="16" max="19" width="10" style="8" customWidth="1"/>
    <col min="20" max="22" width="12" style="8" customWidth="1"/>
    <col min="23" max="23" width="9" style="8" customWidth="1"/>
    <col min="24" max="25" width="9.140625" style="8"/>
    <col min="26" max="26" width="11" style="8" customWidth="1"/>
    <col min="27" max="256" width="9.140625" style="8"/>
    <col min="257" max="257" width="11" style="8" customWidth="1"/>
    <col min="258" max="258" width="8" style="8" customWidth="1"/>
    <col min="259" max="261" width="8.7109375" style="8" customWidth="1"/>
    <col min="262" max="267" width="9.140625" style="8"/>
    <col min="268" max="269" width="12" style="8" customWidth="1"/>
    <col min="270" max="270" width="10" style="8" customWidth="1"/>
    <col min="271" max="271" width="9.140625" style="8"/>
    <col min="272" max="275" width="10" style="8" customWidth="1"/>
    <col min="276" max="278" width="12" style="8" customWidth="1"/>
    <col min="279" max="279" width="9" style="8" customWidth="1"/>
    <col min="280" max="281" width="9.140625" style="8"/>
    <col min="282" max="282" width="11" style="8" customWidth="1"/>
    <col min="283" max="512" width="9.140625" style="8"/>
    <col min="513" max="513" width="11" style="8" customWidth="1"/>
    <col min="514" max="514" width="8" style="8" customWidth="1"/>
    <col min="515" max="517" width="8.7109375" style="8" customWidth="1"/>
    <col min="518" max="523" width="9.140625" style="8"/>
    <col min="524" max="525" width="12" style="8" customWidth="1"/>
    <col min="526" max="526" width="10" style="8" customWidth="1"/>
    <col min="527" max="527" width="9.140625" style="8"/>
    <col min="528" max="531" width="10" style="8" customWidth="1"/>
    <col min="532" max="534" width="12" style="8" customWidth="1"/>
    <col min="535" max="535" width="9" style="8" customWidth="1"/>
    <col min="536" max="537" width="9.140625" style="8"/>
    <col min="538" max="538" width="11" style="8" customWidth="1"/>
    <col min="539" max="768" width="9.140625" style="8"/>
    <col min="769" max="769" width="11" style="8" customWidth="1"/>
    <col min="770" max="770" width="8" style="8" customWidth="1"/>
    <col min="771" max="773" width="8.7109375" style="8" customWidth="1"/>
    <col min="774" max="779" width="9.140625" style="8"/>
    <col min="780" max="781" width="12" style="8" customWidth="1"/>
    <col min="782" max="782" width="10" style="8" customWidth="1"/>
    <col min="783" max="783" width="9.140625" style="8"/>
    <col min="784" max="787" width="10" style="8" customWidth="1"/>
    <col min="788" max="790" width="12" style="8" customWidth="1"/>
    <col min="791" max="791" width="9" style="8" customWidth="1"/>
    <col min="792" max="793" width="9.140625" style="8"/>
    <col min="794" max="794" width="11" style="8" customWidth="1"/>
    <col min="795" max="1024" width="9.140625" style="8"/>
    <col min="1025" max="1025" width="11" style="8" customWidth="1"/>
    <col min="1026" max="1026" width="8" style="8" customWidth="1"/>
    <col min="1027" max="1029" width="8.7109375" style="8" customWidth="1"/>
    <col min="1030" max="1035" width="9.140625" style="8"/>
    <col min="1036" max="1037" width="12" style="8" customWidth="1"/>
    <col min="1038" max="1038" width="10" style="8" customWidth="1"/>
    <col min="1039" max="1039" width="9.140625" style="8"/>
    <col min="1040" max="1043" width="10" style="8" customWidth="1"/>
    <col min="1044" max="1046" width="12" style="8" customWidth="1"/>
    <col min="1047" max="1047" width="9" style="8" customWidth="1"/>
    <col min="1048" max="1049" width="9.140625" style="8"/>
    <col min="1050" max="1050" width="11" style="8" customWidth="1"/>
    <col min="1051" max="1280" width="9.140625" style="8"/>
    <col min="1281" max="1281" width="11" style="8" customWidth="1"/>
    <col min="1282" max="1282" width="8" style="8" customWidth="1"/>
    <col min="1283" max="1285" width="8.7109375" style="8" customWidth="1"/>
    <col min="1286" max="1291" width="9.140625" style="8"/>
    <col min="1292" max="1293" width="12" style="8" customWidth="1"/>
    <col min="1294" max="1294" width="10" style="8" customWidth="1"/>
    <col min="1295" max="1295" width="9.140625" style="8"/>
    <col min="1296" max="1299" width="10" style="8" customWidth="1"/>
    <col min="1300" max="1302" width="12" style="8" customWidth="1"/>
    <col min="1303" max="1303" width="9" style="8" customWidth="1"/>
    <col min="1304" max="1305" width="9.140625" style="8"/>
    <col min="1306" max="1306" width="11" style="8" customWidth="1"/>
    <col min="1307" max="1536" width="9.140625" style="8"/>
    <col min="1537" max="1537" width="11" style="8" customWidth="1"/>
    <col min="1538" max="1538" width="8" style="8" customWidth="1"/>
    <col min="1539" max="1541" width="8.7109375" style="8" customWidth="1"/>
    <col min="1542" max="1547" width="9.140625" style="8"/>
    <col min="1548" max="1549" width="12" style="8" customWidth="1"/>
    <col min="1550" max="1550" width="10" style="8" customWidth="1"/>
    <col min="1551" max="1551" width="9.140625" style="8"/>
    <col min="1552" max="1555" width="10" style="8" customWidth="1"/>
    <col min="1556" max="1558" width="12" style="8" customWidth="1"/>
    <col min="1559" max="1559" width="9" style="8" customWidth="1"/>
    <col min="1560" max="1561" width="9.140625" style="8"/>
    <col min="1562" max="1562" width="11" style="8" customWidth="1"/>
    <col min="1563" max="1792" width="9.140625" style="8"/>
    <col min="1793" max="1793" width="11" style="8" customWidth="1"/>
    <col min="1794" max="1794" width="8" style="8" customWidth="1"/>
    <col min="1795" max="1797" width="8.7109375" style="8" customWidth="1"/>
    <col min="1798" max="1803" width="9.140625" style="8"/>
    <col min="1804" max="1805" width="12" style="8" customWidth="1"/>
    <col min="1806" max="1806" width="10" style="8" customWidth="1"/>
    <col min="1807" max="1807" width="9.140625" style="8"/>
    <col min="1808" max="1811" width="10" style="8" customWidth="1"/>
    <col min="1812" max="1814" width="12" style="8" customWidth="1"/>
    <col min="1815" max="1815" width="9" style="8" customWidth="1"/>
    <col min="1816" max="1817" width="9.140625" style="8"/>
    <col min="1818" max="1818" width="11" style="8" customWidth="1"/>
    <col min="1819" max="2048" width="9.140625" style="8"/>
    <col min="2049" max="2049" width="11" style="8" customWidth="1"/>
    <col min="2050" max="2050" width="8" style="8" customWidth="1"/>
    <col min="2051" max="2053" width="8.7109375" style="8" customWidth="1"/>
    <col min="2054" max="2059" width="9.140625" style="8"/>
    <col min="2060" max="2061" width="12" style="8" customWidth="1"/>
    <col min="2062" max="2062" width="10" style="8" customWidth="1"/>
    <col min="2063" max="2063" width="9.140625" style="8"/>
    <col min="2064" max="2067" width="10" style="8" customWidth="1"/>
    <col min="2068" max="2070" width="12" style="8" customWidth="1"/>
    <col min="2071" max="2071" width="9" style="8" customWidth="1"/>
    <col min="2072" max="2073" width="9.140625" style="8"/>
    <col min="2074" max="2074" width="11" style="8" customWidth="1"/>
    <col min="2075" max="2304" width="9.140625" style="8"/>
    <col min="2305" max="2305" width="11" style="8" customWidth="1"/>
    <col min="2306" max="2306" width="8" style="8" customWidth="1"/>
    <col min="2307" max="2309" width="8.7109375" style="8" customWidth="1"/>
    <col min="2310" max="2315" width="9.140625" style="8"/>
    <col min="2316" max="2317" width="12" style="8" customWidth="1"/>
    <col min="2318" max="2318" width="10" style="8" customWidth="1"/>
    <col min="2319" max="2319" width="9.140625" style="8"/>
    <col min="2320" max="2323" width="10" style="8" customWidth="1"/>
    <col min="2324" max="2326" width="12" style="8" customWidth="1"/>
    <col min="2327" max="2327" width="9" style="8" customWidth="1"/>
    <col min="2328" max="2329" width="9.140625" style="8"/>
    <col min="2330" max="2330" width="11" style="8" customWidth="1"/>
    <col min="2331" max="2560" width="9.140625" style="8"/>
    <col min="2561" max="2561" width="11" style="8" customWidth="1"/>
    <col min="2562" max="2562" width="8" style="8" customWidth="1"/>
    <col min="2563" max="2565" width="8.7109375" style="8" customWidth="1"/>
    <col min="2566" max="2571" width="9.140625" style="8"/>
    <col min="2572" max="2573" width="12" style="8" customWidth="1"/>
    <col min="2574" max="2574" width="10" style="8" customWidth="1"/>
    <col min="2575" max="2575" width="9.140625" style="8"/>
    <col min="2576" max="2579" width="10" style="8" customWidth="1"/>
    <col min="2580" max="2582" width="12" style="8" customWidth="1"/>
    <col min="2583" max="2583" width="9" style="8" customWidth="1"/>
    <col min="2584" max="2585" width="9.140625" style="8"/>
    <col min="2586" max="2586" width="11" style="8" customWidth="1"/>
    <col min="2587" max="2816" width="9.140625" style="8"/>
    <col min="2817" max="2817" width="11" style="8" customWidth="1"/>
    <col min="2818" max="2818" width="8" style="8" customWidth="1"/>
    <col min="2819" max="2821" width="8.7109375" style="8" customWidth="1"/>
    <col min="2822" max="2827" width="9.140625" style="8"/>
    <col min="2828" max="2829" width="12" style="8" customWidth="1"/>
    <col min="2830" max="2830" width="10" style="8" customWidth="1"/>
    <col min="2831" max="2831" width="9.140625" style="8"/>
    <col min="2832" max="2835" width="10" style="8" customWidth="1"/>
    <col min="2836" max="2838" width="12" style="8" customWidth="1"/>
    <col min="2839" max="2839" width="9" style="8" customWidth="1"/>
    <col min="2840" max="2841" width="9.140625" style="8"/>
    <col min="2842" max="2842" width="11" style="8" customWidth="1"/>
    <col min="2843" max="3072" width="9.140625" style="8"/>
    <col min="3073" max="3073" width="11" style="8" customWidth="1"/>
    <col min="3074" max="3074" width="8" style="8" customWidth="1"/>
    <col min="3075" max="3077" width="8.7109375" style="8" customWidth="1"/>
    <col min="3078" max="3083" width="9.140625" style="8"/>
    <col min="3084" max="3085" width="12" style="8" customWidth="1"/>
    <col min="3086" max="3086" width="10" style="8" customWidth="1"/>
    <col min="3087" max="3087" width="9.140625" style="8"/>
    <col min="3088" max="3091" width="10" style="8" customWidth="1"/>
    <col min="3092" max="3094" width="12" style="8" customWidth="1"/>
    <col min="3095" max="3095" width="9" style="8" customWidth="1"/>
    <col min="3096" max="3097" width="9.140625" style="8"/>
    <col min="3098" max="3098" width="11" style="8" customWidth="1"/>
    <col min="3099" max="3328" width="9.140625" style="8"/>
    <col min="3329" max="3329" width="11" style="8" customWidth="1"/>
    <col min="3330" max="3330" width="8" style="8" customWidth="1"/>
    <col min="3331" max="3333" width="8.7109375" style="8" customWidth="1"/>
    <col min="3334" max="3339" width="9.140625" style="8"/>
    <col min="3340" max="3341" width="12" style="8" customWidth="1"/>
    <col min="3342" max="3342" width="10" style="8" customWidth="1"/>
    <col min="3343" max="3343" width="9.140625" style="8"/>
    <col min="3344" max="3347" width="10" style="8" customWidth="1"/>
    <col min="3348" max="3350" width="12" style="8" customWidth="1"/>
    <col min="3351" max="3351" width="9" style="8" customWidth="1"/>
    <col min="3352" max="3353" width="9.140625" style="8"/>
    <col min="3354" max="3354" width="11" style="8" customWidth="1"/>
    <col min="3355" max="3584" width="9.140625" style="8"/>
    <col min="3585" max="3585" width="11" style="8" customWidth="1"/>
    <col min="3586" max="3586" width="8" style="8" customWidth="1"/>
    <col min="3587" max="3589" width="8.7109375" style="8" customWidth="1"/>
    <col min="3590" max="3595" width="9.140625" style="8"/>
    <col min="3596" max="3597" width="12" style="8" customWidth="1"/>
    <col min="3598" max="3598" width="10" style="8" customWidth="1"/>
    <col min="3599" max="3599" width="9.140625" style="8"/>
    <col min="3600" max="3603" width="10" style="8" customWidth="1"/>
    <col min="3604" max="3606" width="12" style="8" customWidth="1"/>
    <col min="3607" max="3607" width="9" style="8" customWidth="1"/>
    <col min="3608" max="3609" width="9.140625" style="8"/>
    <col min="3610" max="3610" width="11" style="8" customWidth="1"/>
    <col min="3611" max="3840" width="9.140625" style="8"/>
    <col min="3841" max="3841" width="11" style="8" customWidth="1"/>
    <col min="3842" max="3842" width="8" style="8" customWidth="1"/>
    <col min="3843" max="3845" width="8.7109375" style="8" customWidth="1"/>
    <col min="3846" max="3851" width="9.140625" style="8"/>
    <col min="3852" max="3853" width="12" style="8" customWidth="1"/>
    <col min="3854" max="3854" width="10" style="8" customWidth="1"/>
    <col min="3855" max="3855" width="9.140625" style="8"/>
    <col min="3856" max="3859" width="10" style="8" customWidth="1"/>
    <col min="3860" max="3862" width="12" style="8" customWidth="1"/>
    <col min="3863" max="3863" width="9" style="8" customWidth="1"/>
    <col min="3864" max="3865" width="9.140625" style="8"/>
    <col min="3866" max="3866" width="11" style="8" customWidth="1"/>
    <col min="3867" max="4096" width="9.140625" style="8"/>
    <col min="4097" max="4097" width="11" style="8" customWidth="1"/>
    <col min="4098" max="4098" width="8" style="8" customWidth="1"/>
    <col min="4099" max="4101" width="8.7109375" style="8" customWidth="1"/>
    <col min="4102" max="4107" width="9.140625" style="8"/>
    <col min="4108" max="4109" width="12" style="8" customWidth="1"/>
    <col min="4110" max="4110" width="10" style="8" customWidth="1"/>
    <col min="4111" max="4111" width="9.140625" style="8"/>
    <col min="4112" max="4115" width="10" style="8" customWidth="1"/>
    <col min="4116" max="4118" width="12" style="8" customWidth="1"/>
    <col min="4119" max="4119" width="9" style="8" customWidth="1"/>
    <col min="4120" max="4121" width="9.140625" style="8"/>
    <col min="4122" max="4122" width="11" style="8" customWidth="1"/>
    <col min="4123" max="4352" width="9.140625" style="8"/>
    <col min="4353" max="4353" width="11" style="8" customWidth="1"/>
    <col min="4354" max="4354" width="8" style="8" customWidth="1"/>
    <col min="4355" max="4357" width="8.7109375" style="8" customWidth="1"/>
    <col min="4358" max="4363" width="9.140625" style="8"/>
    <col min="4364" max="4365" width="12" style="8" customWidth="1"/>
    <col min="4366" max="4366" width="10" style="8" customWidth="1"/>
    <col min="4367" max="4367" width="9.140625" style="8"/>
    <col min="4368" max="4371" width="10" style="8" customWidth="1"/>
    <col min="4372" max="4374" width="12" style="8" customWidth="1"/>
    <col min="4375" max="4375" width="9" style="8" customWidth="1"/>
    <col min="4376" max="4377" width="9.140625" style="8"/>
    <col min="4378" max="4378" width="11" style="8" customWidth="1"/>
    <col min="4379" max="4608" width="9.140625" style="8"/>
    <col min="4609" max="4609" width="11" style="8" customWidth="1"/>
    <col min="4610" max="4610" width="8" style="8" customWidth="1"/>
    <col min="4611" max="4613" width="8.7109375" style="8" customWidth="1"/>
    <col min="4614" max="4619" width="9.140625" style="8"/>
    <col min="4620" max="4621" width="12" style="8" customWidth="1"/>
    <col min="4622" max="4622" width="10" style="8" customWidth="1"/>
    <col min="4623" max="4623" width="9.140625" style="8"/>
    <col min="4624" max="4627" width="10" style="8" customWidth="1"/>
    <col min="4628" max="4630" width="12" style="8" customWidth="1"/>
    <col min="4631" max="4631" width="9" style="8" customWidth="1"/>
    <col min="4632" max="4633" width="9.140625" style="8"/>
    <col min="4634" max="4634" width="11" style="8" customWidth="1"/>
    <col min="4635" max="4864" width="9.140625" style="8"/>
    <col min="4865" max="4865" width="11" style="8" customWidth="1"/>
    <col min="4866" max="4866" width="8" style="8" customWidth="1"/>
    <col min="4867" max="4869" width="8.7109375" style="8" customWidth="1"/>
    <col min="4870" max="4875" width="9.140625" style="8"/>
    <col min="4876" max="4877" width="12" style="8" customWidth="1"/>
    <col min="4878" max="4878" width="10" style="8" customWidth="1"/>
    <col min="4879" max="4879" width="9.140625" style="8"/>
    <col min="4880" max="4883" width="10" style="8" customWidth="1"/>
    <col min="4884" max="4886" width="12" style="8" customWidth="1"/>
    <col min="4887" max="4887" width="9" style="8" customWidth="1"/>
    <col min="4888" max="4889" width="9.140625" style="8"/>
    <col min="4890" max="4890" width="11" style="8" customWidth="1"/>
    <col min="4891" max="5120" width="9.140625" style="8"/>
    <col min="5121" max="5121" width="11" style="8" customWidth="1"/>
    <col min="5122" max="5122" width="8" style="8" customWidth="1"/>
    <col min="5123" max="5125" width="8.7109375" style="8" customWidth="1"/>
    <col min="5126" max="5131" width="9.140625" style="8"/>
    <col min="5132" max="5133" width="12" style="8" customWidth="1"/>
    <col min="5134" max="5134" width="10" style="8" customWidth="1"/>
    <col min="5135" max="5135" width="9.140625" style="8"/>
    <col min="5136" max="5139" width="10" style="8" customWidth="1"/>
    <col min="5140" max="5142" width="12" style="8" customWidth="1"/>
    <col min="5143" max="5143" width="9" style="8" customWidth="1"/>
    <col min="5144" max="5145" width="9.140625" style="8"/>
    <col min="5146" max="5146" width="11" style="8" customWidth="1"/>
    <col min="5147" max="5376" width="9.140625" style="8"/>
    <col min="5377" max="5377" width="11" style="8" customWidth="1"/>
    <col min="5378" max="5378" width="8" style="8" customWidth="1"/>
    <col min="5379" max="5381" width="8.7109375" style="8" customWidth="1"/>
    <col min="5382" max="5387" width="9.140625" style="8"/>
    <col min="5388" max="5389" width="12" style="8" customWidth="1"/>
    <col min="5390" max="5390" width="10" style="8" customWidth="1"/>
    <col min="5391" max="5391" width="9.140625" style="8"/>
    <col min="5392" max="5395" width="10" style="8" customWidth="1"/>
    <col min="5396" max="5398" width="12" style="8" customWidth="1"/>
    <col min="5399" max="5399" width="9" style="8" customWidth="1"/>
    <col min="5400" max="5401" width="9.140625" style="8"/>
    <col min="5402" max="5402" width="11" style="8" customWidth="1"/>
    <col min="5403" max="5632" width="9.140625" style="8"/>
    <col min="5633" max="5633" width="11" style="8" customWidth="1"/>
    <col min="5634" max="5634" width="8" style="8" customWidth="1"/>
    <col min="5635" max="5637" width="8.7109375" style="8" customWidth="1"/>
    <col min="5638" max="5643" width="9.140625" style="8"/>
    <col min="5644" max="5645" width="12" style="8" customWidth="1"/>
    <col min="5646" max="5646" width="10" style="8" customWidth="1"/>
    <col min="5647" max="5647" width="9.140625" style="8"/>
    <col min="5648" max="5651" width="10" style="8" customWidth="1"/>
    <col min="5652" max="5654" width="12" style="8" customWidth="1"/>
    <col min="5655" max="5655" width="9" style="8" customWidth="1"/>
    <col min="5656" max="5657" width="9.140625" style="8"/>
    <col min="5658" max="5658" width="11" style="8" customWidth="1"/>
    <col min="5659" max="5888" width="9.140625" style="8"/>
    <col min="5889" max="5889" width="11" style="8" customWidth="1"/>
    <col min="5890" max="5890" width="8" style="8" customWidth="1"/>
    <col min="5891" max="5893" width="8.7109375" style="8" customWidth="1"/>
    <col min="5894" max="5899" width="9.140625" style="8"/>
    <col min="5900" max="5901" width="12" style="8" customWidth="1"/>
    <col min="5902" max="5902" width="10" style="8" customWidth="1"/>
    <col min="5903" max="5903" width="9.140625" style="8"/>
    <col min="5904" max="5907" width="10" style="8" customWidth="1"/>
    <col min="5908" max="5910" width="12" style="8" customWidth="1"/>
    <col min="5911" max="5911" width="9" style="8" customWidth="1"/>
    <col min="5912" max="5913" width="9.140625" style="8"/>
    <col min="5914" max="5914" width="11" style="8" customWidth="1"/>
    <col min="5915" max="6144" width="9.140625" style="8"/>
    <col min="6145" max="6145" width="11" style="8" customWidth="1"/>
    <col min="6146" max="6146" width="8" style="8" customWidth="1"/>
    <col min="6147" max="6149" width="8.7109375" style="8" customWidth="1"/>
    <col min="6150" max="6155" width="9.140625" style="8"/>
    <col min="6156" max="6157" width="12" style="8" customWidth="1"/>
    <col min="6158" max="6158" width="10" style="8" customWidth="1"/>
    <col min="6159" max="6159" width="9.140625" style="8"/>
    <col min="6160" max="6163" width="10" style="8" customWidth="1"/>
    <col min="6164" max="6166" width="12" style="8" customWidth="1"/>
    <col min="6167" max="6167" width="9" style="8" customWidth="1"/>
    <col min="6168" max="6169" width="9.140625" style="8"/>
    <col min="6170" max="6170" width="11" style="8" customWidth="1"/>
    <col min="6171" max="6400" width="9.140625" style="8"/>
    <col min="6401" max="6401" width="11" style="8" customWidth="1"/>
    <col min="6402" max="6402" width="8" style="8" customWidth="1"/>
    <col min="6403" max="6405" width="8.7109375" style="8" customWidth="1"/>
    <col min="6406" max="6411" width="9.140625" style="8"/>
    <col min="6412" max="6413" width="12" style="8" customWidth="1"/>
    <col min="6414" max="6414" width="10" style="8" customWidth="1"/>
    <col min="6415" max="6415" width="9.140625" style="8"/>
    <col min="6416" max="6419" width="10" style="8" customWidth="1"/>
    <col min="6420" max="6422" width="12" style="8" customWidth="1"/>
    <col min="6423" max="6423" width="9" style="8" customWidth="1"/>
    <col min="6424" max="6425" width="9.140625" style="8"/>
    <col min="6426" max="6426" width="11" style="8" customWidth="1"/>
    <col min="6427" max="6656" width="9.140625" style="8"/>
    <col min="6657" max="6657" width="11" style="8" customWidth="1"/>
    <col min="6658" max="6658" width="8" style="8" customWidth="1"/>
    <col min="6659" max="6661" width="8.7109375" style="8" customWidth="1"/>
    <col min="6662" max="6667" width="9.140625" style="8"/>
    <col min="6668" max="6669" width="12" style="8" customWidth="1"/>
    <col min="6670" max="6670" width="10" style="8" customWidth="1"/>
    <col min="6671" max="6671" width="9.140625" style="8"/>
    <col min="6672" max="6675" width="10" style="8" customWidth="1"/>
    <col min="6676" max="6678" width="12" style="8" customWidth="1"/>
    <col min="6679" max="6679" width="9" style="8" customWidth="1"/>
    <col min="6680" max="6681" width="9.140625" style="8"/>
    <col min="6682" max="6682" width="11" style="8" customWidth="1"/>
    <col min="6683" max="6912" width="9.140625" style="8"/>
    <col min="6913" max="6913" width="11" style="8" customWidth="1"/>
    <col min="6914" max="6914" width="8" style="8" customWidth="1"/>
    <col min="6915" max="6917" width="8.7109375" style="8" customWidth="1"/>
    <col min="6918" max="6923" width="9.140625" style="8"/>
    <col min="6924" max="6925" width="12" style="8" customWidth="1"/>
    <col min="6926" max="6926" width="10" style="8" customWidth="1"/>
    <col min="6927" max="6927" width="9.140625" style="8"/>
    <col min="6928" max="6931" width="10" style="8" customWidth="1"/>
    <col min="6932" max="6934" width="12" style="8" customWidth="1"/>
    <col min="6935" max="6935" width="9" style="8" customWidth="1"/>
    <col min="6936" max="6937" width="9.140625" style="8"/>
    <col min="6938" max="6938" width="11" style="8" customWidth="1"/>
    <col min="6939" max="7168" width="9.140625" style="8"/>
    <col min="7169" max="7169" width="11" style="8" customWidth="1"/>
    <col min="7170" max="7170" width="8" style="8" customWidth="1"/>
    <col min="7171" max="7173" width="8.7109375" style="8" customWidth="1"/>
    <col min="7174" max="7179" width="9.140625" style="8"/>
    <col min="7180" max="7181" width="12" style="8" customWidth="1"/>
    <col min="7182" max="7182" width="10" style="8" customWidth="1"/>
    <col min="7183" max="7183" width="9.140625" style="8"/>
    <col min="7184" max="7187" width="10" style="8" customWidth="1"/>
    <col min="7188" max="7190" width="12" style="8" customWidth="1"/>
    <col min="7191" max="7191" width="9" style="8" customWidth="1"/>
    <col min="7192" max="7193" width="9.140625" style="8"/>
    <col min="7194" max="7194" width="11" style="8" customWidth="1"/>
    <col min="7195" max="7424" width="9.140625" style="8"/>
    <col min="7425" max="7425" width="11" style="8" customWidth="1"/>
    <col min="7426" max="7426" width="8" style="8" customWidth="1"/>
    <col min="7427" max="7429" width="8.7109375" style="8" customWidth="1"/>
    <col min="7430" max="7435" width="9.140625" style="8"/>
    <col min="7436" max="7437" width="12" style="8" customWidth="1"/>
    <col min="7438" max="7438" width="10" style="8" customWidth="1"/>
    <col min="7439" max="7439" width="9.140625" style="8"/>
    <col min="7440" max="7443" width="10" style="8" customWidth="1"/>
    <col min="7444" max="7446" width="12" style="8" customWidth="1"/>
    <col min="7447" max="7447" width="9" style="8" customWidth="1"/>
    <col min="7448" max="7449" width="9.140625" style="8"/>
    <col min="7450" max="7450" width="11" style="8" customWidth="1"/>
    <col min="7451" max="7680" width="9.140625" style="8"/>
    <col min="7681" max="7681" width="11" style="8" customWidth="1"/>
    <col min="7682" max="7682" width="8" style="8" customWidth="1"/>
    <col min="7683" max="7685" width="8.7109375" style="8" customWidth="1"/>
    <col min="7686" max="7691" width="9.140625" style="8"/>
    <col min="7692" max="7693" width="12" style="8" customWidth="1"/>
    <col min="7694" max="7694" width="10" style="8" customWidth="1"/>
    <col min="7695" max="7695" width="9.140625" style="8"/>
    <col min="7696" max="7699" width="10" style="8" customWidth="1"/>
    <col min="7700" max="7702" width="12" style="8" customWidth="1"/>
    <col min="7703" max="7703" width="9" style="8" customWidth="1"/>
    <col min="7704" max="7705" width="9.140625" style="8"/>
    <col min="7706" max="7706" width="11" style="8" customWidth="1"/>
    <col min="7707" max="7936" width="9.140625" style="8"/>
    <col min="7937" max="7937" width="11" style="8" customWidth="1"/>
    <col min="7938" max="7938" width="8" style="8" customWidth="1"/>
    <col min="7939" max="7941" width="8.7109375" style="8" customWidth="1"/>
    <col min="7942" max="7947" width="9.140625" style="8"/>
    <col min="7948" max="7949" width="12" style="8" customWidth="1"/>
    <col min="7950" max="7950" width="10" style="8" customWidth="1"/>
    <col min="7951" max="7951" width="9.140625" style="8"/>
    <col min="7952" max="7955" width="10" style="8" customWidth="1"/>
    <col min="7956" max="7958" width="12" style="8" customWidth="1"/>
    <col min="7959" max="7959" width="9" style="8" customWidth="1"/>
    <col min="7960" max="7961" width="9.140625" style="8"/>
    <col min="7962" max="7962" width="11" style="8" customWidth="1"/>
    <col min="7963" max="8192" width="9.140625" style="8"/>
    <col min="8193" max="8193" width="11" style="8" customWidth="1"/>
    <col min="8194" max="8194" width="8" style="8" customWidth="1"/>
    <col min="8195" max="8197" width="8.7109375" style="8" customWidth="1"/>
    <col min="8198" max="8203" width="9.140625" style="8"/>
    <col min="8204" max="8205" width="12" style="8" customWidth="1"/>
    <col min="8206" max="8206" width="10" style="8" customWidth="1"/>
    <col min="8207" max="8207" width="9.140625" style="8"/>
    <col min="8208" max="8211" width="10" style="8" customWidth="1"/>
    <col min="8212" max="8214" width="12" style="8" customWidth="1"/>
    <col min="8215" max="8215" width="9" style="8" customWidth="1"/>
    <col min="8216" max="8217" width="9.140625" style="8"/>
    <col min="8218" max="8218" width="11" style="8" customWidth="1"/>
    <col min="8219" max="8448" width="9.140625" style="8"/>
    <col min="8449" max="8449" width="11" style="8" customWidth="1"/>
    <col min="8450" max="8450" width="8" style="8" customWidth="1"/>
    <col min="8451" max="8453" width="8.7109375" style="8" customWidth="1"/>
    <col min="8454" max="8459" width="9.140625" style="8"/>
    <col min="8460" max="8461" width="12" style="8" customWidth="1"/>
    <col min="8462" max="8462" width="10" style="8" customWidth="1"/>
    <col min="8463" max="8463" width="9.140625" style="8"/>
    <col min="8464" max="8467" width="10" style="8" customWidth="1"/>
    <col min="8468" max="8470" width="12" style="8" customWidth="1"/>
    <col min="8471" max="8471" width="9" style="8" customWidth="1"/>
    <col min="8472" max="8473" width="9.140625" style="8"/>
    <col min="8474" max="8474" width="11" style="8" customWidth="1"/>
    <col min="8475" max="8704" width="9.140625" style="8"/>
    <col min="8705" max="8705" width="11" style="8" customWidth="1"/>
    <col min="8706" max="8706" width="8" style="8" customWidth="1"/>
    <col min="8707" max="8709" width="8.7109375" style="8" customWidth="1"/>
    <col min="8710" max="8715" width="9.140625" style="8"/>
    <col min="8716" max="8717" width="12" style="8" customWidth="1"/>
    <col min="8718" max="8718" width="10" style="8" customWidth="1"/>
    <col min="8719" max="8719" width="9.140625" style="8"/>
    <col min="8720" max="8723" width="10" style="8" customWidth="1"/>
    <col min="8724" max="8726" width="12" style="8" customWidth="1"/>
    <col min="8727" max="8727" width="9" style="8" customWidth="1"/>
    <col min="8728" max="8729" width="9.140625" style="8"/>
    <col min="8730" max="8730" width="11" style="8" customWidth="1"/>
    <col min="8731" max="8960" width="9.140625" style="8"/>
    <col min="8961" max="8961" width="11" style="8" customWidth="1"/>
    <col min="8962" max="8962" width="8" style="8" customWidth="1"/>
    <col min="8963" max="8965" width="8.7109375" style="8" customWidth="1"/>
    <col min="8966" max="8971" width="9.140625" style="8"/>
    <col min="8972" max="8973" width="12" style="8" customWidth="1"/>
    <col min="8974" max="8974" width="10" style="8" customWidth="1"/>
    <col min="8975" max="8975" width="9.140625" style="8"/>
    <col min="8976" max="8979" width="10" style="8" customWidth="1"/>
    <col min="8980" max="8982" width="12" style="8" customWidth="1"/>
    <col min="8983" max="8983" width="9" style="8" customWidth="1"/>
    <col min="8984" max="8985" width="9.140625" style="8"/>
    <col min="8986" max="8986" width="11" style="8" customWidth="1"/>
    <col min="8987" max="9216" width="9.140625" style="8"/>
    <col min="9217" max="9217" width="11" style="8" customWidth="1"/>
    <col min="9218" max="9218" width="8" style="8" customWidth="1"/>
    <col min="9219" max="9221" width="8.7109375" style="8" customWidth="1"/>
    <col min="9222" max="9227" width="9.140625" style="8"/>
    <col min="9228" max="9229" width="12" style="8" customWidth="1"/>
    <col min="9230" max="9230" width="10" style="8" customWidth="1"/>
    <col min="9231" max="9231" width="9.140625" style="8"/>
    <col min="9232" max="9235" width="10" style="8" customWidth="1"/>
    <col min="9236" max="9238" width="12" style="8" customWidth="1"/>
    <col min="9239" max="9239" width="9" style="8" customWidth="1"/>
    <col min="9240" max="9241" width="9.140625" style="8"/>
    <col min="9242" max="9242" width="11" style="8" customWidth="1"/>
    <col min="9243" max="9472" width="9.140625" style="8"/>
    <col min="9473" max="9473" width="11" style="8" customWidth="1"/>
    <col min="9474" max="9474" width="8" style="8" customWidth="1"/>
    <col min="9475" max="9477" width="8.7109375" style="8" customWidth="1"/>
    <col min="9478" max="9483" width="9.140625" style="8"/>
    <col min="9484" max="9485" width="12" style="8" customWidth="1"/>
    <col min="9486" max="9486" width="10" style="8" customWidth="1"/>
    <col min="9487" max="9487" width="9.140625" style="8"/>
    <col min="9488" max="9491" width="10" style="8" customWidth="1"/>
    <col min="9492" max="9494" width="12" style="8" customWidth="1"/>
    <col min="9495" max="9495" width="9" style="8" customWidth="1"/>
    <col min="9496" max="9497" width="9.140625" style="8"/>
    <col min="9498" max="9498" width="11" style="8" customWidth="1"/>
    <col min="9499" max="9728" width="9.140625" style="8"/>
    <col min="9729" max="9729" width="11" style="8" customWidth="1"/>
    <col min="9730" max="9730" width="8" style="8" customWidth="1"/>
    <col min="9731" max="9733" width="8.7109375" style="8" customWidth="1"/>
    <col min="9734" max="9739" width="9.140625" style="8"/>
    <col min="9740" max="9741" width="12" style="8" customWidth="1"/>
    <col min="9742" max="9742" width="10" style="8" customWidth="1"/>
    <col min="9743" max="9743" width="9.140625" style="8"/>
    <col min="9744" max="9747" width="10" style="8" customWidth="1"/>
    <col min="9748" max="9750" width="12" style="8" customWidth="1"/>
    <col min="9751" max="9751" width="9" style="8" customWidth="1"/>
    <col min="9752" max="9753" width="9.140625" style="8"/>
    <col min="9754" max="9754" width="11" style="8" customWidth="1"/>
    <col min="9755" max="9984" width="9.140625" style="8"/>
    <col min="9985" max="9985" width="11" style="8" customWidth="1"/>
    <col min="9986" max="9986" width="8" style="8" customWidth="1"/>
    <col min="9987" max="9989" width="8.7109375" style="8" customWidth="1"/>
    <col min="9990" max="9995" width="9.140625" style="8"/>
    <col min="9996" max="9997" width="12" style="8" customWidth="1"/>
    <col min="9998" max="9998" width="10" style="8" customWidth="1"/>
    <col min="9999" max="9999" width="9.140625" style="8"/>
    <col min="10000" max="10003" width="10" style="8" customWidth="1"/>
    <col min="10004" max="10006" width="12" style="8" customWidth="1"/>
    <col min="10007" max="10007" width="9" style="8" customWidth="1"/>
    <col min="10008" max="10009" width="9.140625" style="8"/>
    <col min="10010" max="10010" width="11" style="8" customWidth="1"/>
    <col min="10011" max="10240" width="9.140625" style="8"/>
    <col min="10241" max="10241" width="11" style="8" customWidth="1"/>
    <col min="10242" max="10242" width="8" style="8" customWidth="1"/>
    <col min="10243" max="10245" width="8.7109375" style="8" customWidth="1"/>
    <col min="10246" max="10251" width="9.140625" style="8"/>
    <col min="10252" max="10253" width="12" style="8" customWidth="1"/>
    <col min="10254" max="10254" width="10" style="8" customWidth="1"/>
    <col min="10255" max="10255" width="9.140625" style="8"/>
    <col min="10256" max="10259" width="10" style="8" customWidth="1"/>
    <col min="10260" max="10262" width="12" style="8" customWidth="1"/>
    <col min="10263" max="10263" width="9" style="8" customWidth="1"/>
    <col min="10264" max="10265" width="9.140625" style="8"/>
    <col min="10266" max="10266" width="11" style="8" customWidth="1"/>
    <col min="10267" max="10496" width="9.140625" style="8"/>
    <col min="10497" max="10497" width="11" style="8" customWidth="1"/>
    <col min="10498" max="10498" width="8" style="8" customWidth="1"/>
    <col min="10499" max="10501" width="8.7109375" style="8" customWidth="1"/>
    <col min="10502" max="10507" width="9.140625" style="8"/>
    <col min="10508" max="10509" width="12" style="8" customWidth="1"/>
    <col min="10510" max="10510" width="10" style="8" customWidth="1"/>
    <col min="10511" max="10511" width="9.140625" style="8"/>
    <col min="10512" max="10515" width="10" style="8" customWidth="1"/>
    <col min="10516" max="10518" width="12" style="8" customWidth="1"/>
    <col min="10519" max="10519" width="9" style="8" customWidth="1"/>
    <col min="10520" max="10521" width="9.140625" style="8"/>
    <col min="10522" max="10522" width="11" style="8" customWidth="1"/>
    <col min="10523" max="10752" width="9.140625" style="8"/>
    <col min="10753" max="10753" width="11" style="8" customWidth="1"/>
    <col min="10754" max="10754" width="8" style="8" customWidth="1"/>
    <col min="10755" max="10757" width="8.7109375" style="8" customWidth="1"/>
    <col min="10758" max="10763" width="9.140625" style="8"/>
    <col min="10764" max="10765" width="12" style="8" customWidth="1"/>
    <col min="10766" max="10766" width="10" style="8" customWidth="1"/>
    <col min="10767" max="10767" width="9.140625" style="8"/>
    <col min="10768" max="10771" width="10" style="8" customWidth="1"/>
    <col min="10772" max="10774" width="12" style="8" customWidth="1"/>
    <col min="10775" max="10775" width="9" style="8" customWidth="1"/>
    <col min="10776" max="10777" width="9.140625" style="8"/>
    <col min="10778" max="10778" width="11" style="8" customWidth="1"/>
    <col min="10779" max="11008" width="9.140625" style="8"/>
    <col min="11009" max="11009" width="11" style="8" customWidth="1"/>
    <col min="11010" max="11010" width="8" style="8" customWidth="1"/>
    <col min="11011" max="11013" width="8.7109375" style="8" customWidth="1"/>
    <col min="11014" max="11019" width="9.140625" style="8"/>
    <col min="11020" max="11021" width="12" style="8" customWidth="1"/>
    <col min="11022" max="11022" width="10" style="8" customWidth="1"/>
    <col min="11023" max="11023" width="9.140625" style="8"/>
    <col min="11024" max="11027" width="10" style="8" customWidth="1"/>
    <col min="11028" max="11030" width="12" style="8" customWidth="1"/>
    <col min="11031" max="11031" width="9" style="8" customWidth="1"/>
    <col min="11032" max="11033" width="9.140625" style="8"/>
    <col min="11034" max="11034" width="11" style="8" customWidth="1"/>
    <col min="11035" max="11264" width="9.140625" style="8"/>
    <col min="11265" max="11265" width="11" style="8" customWidth="1"/>
    <col min="11266" max="11266" width="8" style="8" customWidth="1"/>
    <col min="11267" max="11269" width="8.7109375" style="8" customWidth="1"/>
    <col min="11270" max="11275" width="9.140625" style="8"/>
    <col min="11276" max="11277" width="12" style="8" customWidth="1"/>
    <col min="11278" max="11278" width="10" style="8" customWidth="1"/>
    <col min="11279" max="11279" width="9.140625" style="8"/>
    <col min="11280" max="11283" width="10" style="8" customWidth="1"/>
    <col min="11284" max="11286" width="12" style="8" customWidth="1"/>
    <col min="11287" max="11287" width="9" style="8" customWidth="1"/>
    <col min="11288" max="11289" width="9.140625" style="8"/>
    <col min="11290" max="11290" width="11" style="8" customWidth="1"/>
    <col min="11291" max="11520" width="9.140625" style="8"/>
    <col min="11521" max="11521" width="11" style="8" customWidth="1"/>
    <col min="11522" max="11522" width="8" style="8" customWidth="1"/>
    <col min="11523" max="11525" width="8.7109375" style="8" customWidth="1"/>
    <col min="11526" max="11531" width="9.140625" style="8"/>
    <col min="11532" max="11533" width="12" style="8" customWidth="1"/>
    <col min="11534" max="11534" width="10" style="8" customWidth="1"/>
    <col min="11535" max="11535" width="9.140625" style="8"/>
    <col min="11536" max="11539" width="10" style="8" customWidth="1"/>
    <col min="11540" max="11542" width="12" style="8" customWidth="1"/>
    <col min="11543" max="11543" width="9" style="8" customWidth="1"/>
    <col min="11544" max="11545" width="9.140625" style="8"/>
    <col min="11546" max="11546" width="11" style="8" customWidth="1"/>
    <col min="11547" max="11776" width="9.140625" style="8"/>
    <col min="11777" max="11777" width="11" style="8" customWidth="1"/>
    <col min="11778" max="11778" width="8" style="8" customWidth="1"/>
    <col min="11779" max="11781" width="8.7109375" style="8" customWidth="1"/>
    <col min="11782" max="11787" width="9.140625" style="8"/>
    <col min="11788" max="11789" width="12" style="8" customWidth="1"/>
    <col min="11790" max="11790" width="10" style="8" customWidth="1"/>
    <col min="11791" max="11791" width="9.140625" style="8"/>
    <col min="11792" max="11795" width="10" style="8" customWidth="1"/>
    <col min="11796" max="11798" width="12" style="8" customWidth="1"/>
    <col min="11799" max="11799" width="9" style="8" customWidth="1"/>
    <col min="11800" max="11801" width="9.140625" style="8"/>
    <col min="11802" max="11802" width="11" style="8" customWidth="1"/>
    <col min="11803" max="12032" width="9.140625" style="8"/>
    <col min="12033" max="12033" width="11" style="8" customWidth="1"/>
    <col min="12034" max="12034" width="8" style="8" customWidth="1"/>
    <col min="12035" max="12037" width="8.7109375" style="8" customWidth="1"/>
    <col min="12038" max="12043" width="9.140625" style="8"/>
    <col min="12044" max="12045" width="12" style="8" customWidth="1"/>
    <col min="12046" max="12046" width="10" style="8" customWidth="1"/>
    <col min="12047" max="12047" width="9.140625" style="8"/>
    <col min="12048" max="12051" width="10" style="8" customWidth="1"/>
    <col min="12052" max="12054" width="12" style="8" customWidth="1"/>
    <col min="12055" max="12055" width="9" style="8" customWidth="1"/>
    <col min="12056" max="12057" width="9.140625" style="8"/>
    <col min="12058" max="12058" width="11" style="8" customWidth="1"/>
    <col min="12059" max="12288" width="9.140625" style="8"/>
    <col min="12289" max="12289" width="11" style="8" customWidth="1"/>
    <col min="12290" max="12290" width="8" style="8" customWidth="1"/>
    <col min="12291" max="12293" width="8.7109375" style="8" customWidth="1"/>
    <col min="12294" max="12299" width="9.140625" style="8"/>
    <col min="12300" max="12301" width="12" style="8" customWidth="1"/>
    <col min="12302" max="12302" width="10" style="8" customWidth="1"/>
    <col min="12303" max="12303" width="9.140625" style="8"/>
    <col min="12304" max="12307" width="10" style="8" customWidth="1"/>
    <col min="12308" max="12310" width="12" style="8" customWidth="1"/>
    <col min="12311" max="12311" width="9" style="8" customWidth="1"/>
    <col min="12312" max="12313" width="9.140625" style="8"/>
    <col min="12314" max="12314" width="11" style="8" customWidth="1"/>
    <col min="12315" max="12544" width="9.140625" style="8"/>
    <col min="12545" max="12545" width="11" style="8" customWidth="1"/>
    <col min="12546" max="12546" width="8" style="8" customWidth="1"/>
    <col min="12547" max="12549" width="8.7109375" style="8" customWidth="1"/>
    <col min="12550" max="12555" width="9.140625" style="8"/>
    <col min="12556" max="12557" width="12" style="8" customWidth="1"/>
    <col min="12558" max="12558" width="10" style="8" customWidth="1"/>
    <col min="12559" max="12559" width="9.140625" style="8"/>
    <col min="12560" max="12563" width="10" style="8" customWidth="1"/>
    <col min="12564" max="12566" width="12" style="8" customWidth="1"/>
    <col min="12567" max="12567" width="9" style="8" customWidth="1"/>
    <col min="12568" max="12569" width="9.140625" style="8"/>
    <col min="12570" max="12570" width="11" style="8" customWidth="1"/>
    <col min="12571" max="12800" width="9.140625" style="8"/>
    <col min="12801" max="12801" width="11" style="8" customWidth="1"/>
    <col min="12802" max="12802" width="8" style="8" customWidth="1"/>
    <col min="12803" max="12805" width="8.7109375" style="8" customWidth="1"/>
    <col min="12806" max="12811" width="9.140625" style="8"/>
    <col min="12812" max="12813" width="12" style="8" customWidth="1"/>
    <col min="12814" max="12814" width="10" style="8" customWidth="1"/>
    <col min="12815" max="12815" width="9.140625" style="8"/>
    <col min="12816" max="12819" width="10" style="8" customWidth="1"/>
    <col min="12820" max="12822" width="12" style="8" customWidth="1"/>
    <col min="12823" max="12823" width="9" style="8" customWidth="1"/>
    <col min="12824" max="12825" width="9.140625" style="8"/>
    <col min="12826" max="12826" width="11" style="8" customWidth="1"/>
    <col min="12827" max="13056" width="9.140625" style="8"/>
    <col min="13057" max="13057" width="11" style="8" customWidth="1"/>
    <col min="13058" max="13058" width="8" style="8" customWidth="1"/>
    <col min="13059" max="13061" width="8.7109375" style="8" customWidth="1"/>
    <col min="13062" max="13067" width="9.140625" style="8"/>
    <col min="13068" max="13069" width="12" style="8" customWidth="1"/>
    <col min="13070" max="13070" width="10" style="8" customWidth="1"/>
    <col min="13071" max="13071" width="9.140625" style="8"/>
    <col min="13072" max="13075" width="10" style="8" customWidth="1"/>
    <col min="13076" max="13078" width="12" style="8" customWidth="1"/>
    <col min="13079" max="13079" width="9" style="8" customWidth="1"/>
    <col min="13080" max="13081" width="9.140625" style="8"/>
    <col min="13082" max="13082" width="11" style="8" customWidth="1"/>
    <col min="13083" max="13312" width="9.140625" style="8"/>
    <col min="13313" max="13313" width="11" style="8" customWidth="1"/>
    <col min="13314" max="13314" width="8" style="8" customWidth="1"/>
    <col min="13315" max="13317" width="8.7109375" style="8" customWidth="1"/>
    <col min="13318" max="13323" width="9.140625" style="8"/>
    <col min="13324" max="13325" width="12" style="8" customWidth="1"/>
    <col min="13326" max="13326" width="10" style="8" customWidth="1"/>
    <col min="13327" max="13327" width="9.140625" style="8"/>
    <col min="13328" max="13331" width="10" style="8" customWidth="1"/>
    <col min="13332" max="13334" width="12" style="8" customWidth="1"/>
    <col min="13335" max="13335" width="9" style="8" customWidth="1"/>
    <col min="13336" max="13337" width="9.140625" style="8"/>
    <col min="13338" max="13338" width="11" style="8" customWidth="1"/>
    <col min="13339" max="13568" width="9.140625" style="8"/>
    <col min="13569" max="13569" width="11" style="8" customWidth="1"/>
    <col min="13570" max="13570" width="8" style="8" customWidth="1"/>
    <col min="13571" max="13573" width="8.7109375" style="8" customWidth="1"/>
    <col min="13574" max="13579" width="9.140625" style="8"/>
    <col min="13580" max="13581" width="12" style="8" customWidth="1"/>
    <col min="13582" max="13582" width="10" style="8" customWidth="1"/>
    <col min="13583" max="13583" width="9.140625" style="8"/>
    <col min="13584" max="13587" width="10" style="8" customWidth="1"/>
    <col min="13588" max="13590" width="12" style="8" customWidth="1"/>
    <col min="13591" max="13591" width="9" style="8" customWidth="1"/>
    <col min="13592" max="13593" width="9.140625" style="8"/>
    <col min="13594" max="13594" width="11" style="8" customWidth="1"/>
    <col min="13595" max="13824" width="9.140625" style="8"/>
    <col min="13825" max="13825" width="11" style="8" customWidth="1"/>
    <col min="13826" max="13826" width="8" style="8" customWidth="1"/>
    <col min="13827" max="13829" width="8.7109375" style="8" customWidth="1"/>
    <col min="13830" max="13835" width="9.140625" style="8"/>
    <col min="13836" max="13837" width="12" style="8" customWidth="1"/>
    <col min="13838" max="13838" width="10" style="8" customWidth="1"/>
    <col min="13839" max="13839" width="9.140625" style="8"/>
    <col min="13840" max="13843" width="10" style="8" customWidth="1"/>
    <col min="13844" max="13846" width="12" style="8" customWidth="1"/>
    <col min="13847" max="13847" width="9" style="8" customWidth="1"/>
    <col min="13848" max="13849" width="9.140625" style="8"/>
    <col min="13850" max="13850" width="11" style="8" customWidth="1"/>
    <col min="13851" max="14080" width="9.140625" style="8"/>
    <col min="14081" max="14081" width="11" style="8" customWidth="1"/>
    <col min="14082" max="14082" width="8" style="8" customWidth="1"/>
    <col min="14083" max="14085" width="8.7109375" style="8" customWidth="1"/>
    <col min="14086" max="14091" width="9.140625" style="8"/>
    <col min="14092" max="14093" width="12" style="8" customWidth="1"/>
    <col min="14094" max="14094" width="10" style="8" customWidth="1"/>
    <col min="14095" max="14095" width="9.140625" style="8"/>
    <col min="14096" max="14099" width="10" style="8" customWidth="1"/>
    <col min="14100" max="14102" width="12" style="8" customWidth="1"/>
    <col min="14103" max="14103" width="9" style="8" customWidth="1"/>
    <col min="14104" max="14105" width="9.140625" style="8"/>
    <col min="14106" max="14106" width="11" style="8" customWidth="1"/>
    <col min="14107" max="14336" width="9.140625" style="8"/>
    <col min="14337" max="14337" width="11" style="8" customWidth="1"/>
    <col min="14338" max="14338" width="8" style="8" customWidth="1"/>
    <col min="14339" max="14341" width="8.7109375" style="8" customWidth="1"/>
    <col min="14342" max="14347" width="9.140625" style="8"/>
    <col min="14348" max="14349" width="12" style="8" customWidth="1"/>
    <col min="14350" max="14350" width="10" style="8" customWidth="1"/>
    <col min="14351" max="14351" width="9.140625" style="8"/>
    <col min="14352" max="14355" width="10" style="8" customWidth="1"/>
    <col min="14356" max="14358" width="12" style="8" customWidth="1"/>
    <col min="14359" max="14359" width="9" style="8" customWidth="1"/>
    <col min="14360" max="14361" width="9.140625" style="8"/>
    <col min="14362" max="14362" width="11" style="8" customWidth="1"/>
    <col min="14363" max="14592" width="9.140625" style="8"/>
    <col min="14593" max="14593" width="11" style="8" customWidth="1"/>
    <col min="14594" max="14594" width="8" style="8" customWidth="1"/>
    <col min="14595" max="14597" width="8.7109375" style="8" customWidth="1"/>
    <col min="14598" max="14603" width="9.140625" style="8"/>
    <col min="14604" max="14605" width="12" style="8" customWidth="1"/>
    <col min="14606" max="14606" width="10" style="8" customWidth="1"/>
    <col min="14607" max="14607" width="9.140625" style="8"/>
    <col min="14608" max="14611" width="10" style="8" customWidth="1"/>
    <col min="14612" max="14614" width="12" style="8" customWidth="1"/>
    <col min="14615" max="14615" width="9" style="8" customWidth="1"/>
    <col min="14616" max="14617" width="9.140625" style="8"/>
    <col min="14618" max="14618" width="11" style="8" customWidth="1"/>
    <col min="14619" max="14848" width="9.140625" style="8"/>
    <col min="14849" max="14849" width="11" style="8" customWidth="1"/>
    <col min="14850" max="14850" width="8" style="8" customWidth="1"/>
    <col min="14851" max="14853" width="8.7109375" style="8" customWidth="1"/>
    <col min="14854" max="14859" width="9.140625" style="8"/>
    <col min="14860" max="14861" width="12" style="8" customWidth="1"/>
    <col min="14862" max="14862" width="10" style="8" customWidth="1"/>
    <col min="14863" max="14863" width="9.140625" style="8"/>
    <col min="14864" max="14867" width="10" style="8" customWidth="1"/>
    <col min="14868" max="14870" width="12" style="8" customWidth="1"/>
    <col min="14871" max="14871" width="9" style="8" customWidth="1"/>
    <col min="14872" max="14873" width="9.140625" style="8"/>
    <col min="14874" max="14874" width="11" style="8" customWidth="1"/>
    <col min="14875" max="15104" width="9.140625" style="8"/>
    <col min="15105" max="15105" width="11" style="8" customWidth="1"/>
    <col min="15106" max="15106" width="8" style="8" customWidth="1"/>
    <col min="15107" max="15109" width="8.7109375" style="8" customWidth="1"/>
    <col min="15110" max="15115" width="9.140625" style="8"/>
    <col min="15116" max="15117" width="12" style="8" customWidth="1"/>
    <col min="15118" max="15118" width="10" style="8" customWidth="1"/>
    <col min="15119" max="15119" width="9.140625" style="8"/>
    <col min="15120" max="15123" width="10" style="8" customWidth="1"/>
    <col min="15124" max="15126" width="12" style="8" customWidth="1"/>
    <col min="15127" max="15127" width="9" style="8" customWidth="1"/>
    <col min="15128" max="15129" width="9.140625" style="8"/>
    <col min="15130" max="15130" width="11" style="8" customWidth="1"/>
    <col min="15131" max="15360" width="9.140625" style="8"/>
    <col min="15361" max="15361" width="11" style="8" customWidth="1"/>
    <col min="15362" max="15362" width="8" style="8" customWidth="1"/>
    <col min="15363" max="15365" width="8.7109375" style="8" customWidth="1"/>
    <col min="15366" max="15371" width="9.140625" style="8"/>
    <col min="15372" max="15373" width="12" style="8" customWidth="1"/>
    <col min="15374" max="15374" width="10" style="8" customWidth="1"/>
    <col min="15375" max="15375" width="9.140625" style="8"/>
    <col min="15376" max="15379" width="10" style="8" customWidth="1"/>
    <col min="15380" max="15382" width="12" style="8" customWidth="1"/>
    <col min="15383" max="15383" width="9" style="8" customWidth="1"/>
    <col min="15384" max="15385" width="9.140625" style="8"/>
    <col min="15386" max="15386" width="11" style="8" customWidth="1"/>
    <col min="15387" max="15616" width="9.140625" style="8"/>
    <col min="15617" max="15617" width="11" style="8" customWidth="1"/>
    <col min="15618" max="15618" width="8" style="8" customWidth="1"/>
    <col min="15619" max="15621" width="8.7109375" style="8" customWidth="1"/>
    <col min="15622" max="15627" width="9.140625" style="8"/>
    <col min="15628" max="15629" width="12" style="8" customWidth="1"/>
    <col min="15630" max="15630" width="10" style="8" customWidth="1"/>
    <col min="15631" max="15631" width="9.140625" style="8"/>
    <col min="15632" max="15635" width="10" style="8" customWidth="1"/>
    <col min="15636" max="15638" width="12" style="8" customWidth="1"/>
    <col min="15639" max="15639" width="9" style="8" customWidth="1"/>
    <col min="15640" max="15641" width="9.140625" style="8"/>
    <col min="15642" max="15642" width="11" style="8" customWidth="1"/>
    <col min="15643" max="15872" width="9.140625" style="8"/>
    <col min="15873" max="15873" width="11" style="8" customWidth="1"/>
    <col min="15874" max="15874" width="8" style="8" customWidth="1"/>
    <col min="15875" max="15877" width="8.7109375" style="8" customWidth="1"/>
    <col min="15878" max="15883" width="9.140625" style="8"/>
    <col min="15884" max="15885" width="12" style="8" customWidth="1"/>
    <col min="15886" max="15886" width="10" style="8" customWidth="1"/>
    <col min="15887" max="15887" width="9.140625" style="8"/>
    <col min="15888" max="15891" width="10" style="8" customWidth="1"/>
    <col min="15892" max="15894" width="12" style="8" customWidth="1"/>
    <col min="15895" max="15895" width="9" style="8" customWidth="1"/>
    <col min="15896" max="15897" width="9.140625" style="8"/>
    <col min="15898" max="15898" width="11" style="8" customWidth="1"/>
    <col min="15899" max="16128" width="9.140625" style="8"/>
    <col min="16129" max="16129" width="11" style="8" customWidth="1"/>
    <col min="16130" max="16130" width="8" style="8" customWidth="1"/>
    <col min="16131" max="16133" width="8.7109375" style="8" customWidth="1"/>
    <col min="16134" max="16139" width="9.140625" style="8"/>
    <col min="16140" max="16141" width="12" style="8" customWidth="1"/>
    <col min="16142" max="16142" width="10" style="8" customWidth="1"/>
    <col min="16143" max="16143" width="9.140625" style="8"/>
    <col min="16144" max="16147" width="10" style="8" customWidth="1"/>
    <col min="16148" max="16150" width="12" style="8" customWidth="1"/>
    <col min="16151" max="16151" width="9" style="8" customWidth="1"/>
    <col min="16152" max="16153" width="9.140625" style="8"/>
    <col min="16154" max="16154" width="11" style="8" customWidth="1"/>
    <col min="16155" max="16384" width="9.140625" style="8"/>
  </cols>
  <sheetData>
    <row r="1" spans="1:19" ht="23.25" customHeight="1" x14ac:dyDescent="0.2">
      <c r="A1" s="5" t="s">
        <v>34</v>
      </c>
      <c r="B1" s="6">
        <v>1</v>
      </c>
      <c r="C1" s="6"/>
      <c r="D1" s="6">
        <v>2</v>
      </c>
      <c r="E1" s="6"/>
      <c r="F1" s="6">
        <v>3</v>
      </c>
      <c r="G1" s="6"/>
      <c r="H1" s="6">
        <v>4</v>
      </c>
      <c r="I1" s="6"/>
      <c r="J1" s="6">
        <v>5</v>
      </c>
      <c r="K1" s="7"/>
    </row>
    <row r="2" spans="1:19" x14ac:dyDescent="0.2">
      <c r="A2" s="9" t="s">
        <v>35</v>
      </c>
      <c r="B2" s="10" t="s">
        <v>36</v>
      </c>
      <c r="C2" s="11"/>
      <c r="D2" s="10" t="s">
        <v>37</v>
      </c>
      <c r="E2" s="11"/>
      <c r="F2" s="12" t="s">
        <v>38</v>
      </c>
      <c r="G2" s="11"/>
      <c r="H2" s="13" t="s">
        <v>39</v>
      </c>
      <c r="I2" s="11"/>
      <c r="J2" s="13" t="s">
        <v>40</v>
      </c>
      <c r="K2" s="11"/>
      <c r="L2" s="14"/>
      <c r="M2" s="14"/>
    </row>
    <row r="3" spans="1:19" ht="13.5" thickBot="1" x14ac:dyDescent="0.25">
      <c r="A3" s="15"/>
      <c r="B3" s="16" t="s">
        <v>41</v>
      </c>
      <c r="C3" s="17" t="s">
        <v>42</v>
      </c>
      <c r="D3" s="16" t="s">
        <v>41</v>
      </c>
      <c r="E3" s="17" t="s">
        <v>42</v>
      </c>
      <c r="F3" s="16" t="s">
        <v>41</v>
      </c>
      <c r="G3" s="17" t="s">
        <v>42</v>
      </c>
      <c r="H3" s="16" t="s">
        <v>41</v>
      </c>
      <c r="I3" s="17" t="s">
        <v>42</v>
      </c>
      <c r="J3" s="16" t="s">
        <v>41</v>
      </c>
      <c r="K3" s="17" t="s">
        <v>42</v>
      </c>
      <c r="L3" s="14"/>
      <c r="M3" s="14"/>
    </row>
    <row r="4" spans="1:19" ht="13.5" thickTop="1" x14ac:dyDescent="0.2">
      <c r="A4" s="18">
        <v>0</v>
      </c>
      <c r="B4" s="19">
        <v>100000</v>
      </c>
      <c r="C4" s="20">
        <v>100000</v>
      </c>
      <c r="D4" s="19">
        <v>100000</v>
      </c>
      <c r="E4" s="21">
        <v>100000</v>
      </c>
      <c r="F4" s="19">
        <v>100000</v>
      </c>
      <c r="G4" s="21">
        <v>100000</v>
      </c>
      <c r="H4" s="19">
        <v>100000</v>
      </c>
      <c r="I4" s="21">
        <v>100000</v>
      </c>
      <c r="J4" s="19">
        <v>100000</v>
      </c>
      <c r="K4" s="21">
        <v>100000</v>
      </c>
      <c r="L4" s="14"/>
      <c r="M4" s="14"/>
    </row>
    <row r="5" spans="1:19" x14ac:dyDescent="0.2">
      <c r="A5" s="18">
        <v>1</v>
      </c>
      <c r="B5" s="19">
        <v>96920</v>
      </c>
      <c r="C5" s="20">
        <v>97525</v>
      </c>
      <c r="D5" s="19">
        <v>98467</v>
      </c>
      <c r="E5" s="21">
        <v>98796</v>
      </c>
      <c r="F5" s="19">
        <v>99121</v>
      </c>
      <c r="G5" s="21">
        <v>99309</v>
      </c>
      <c r="H5" s="19">
        <v>99403</v>
      </c>
      <c r="I5" s="21">
        <v>99469</v>
      </c>
      <c r="J5" s="19">
        <v>99526.1</v>
      </c>
      <c r="K5" s="21">
        <v>99594.7</v>
      </c>
    </row>
    <row r="6" spans="1:19" x14ac:dyDescent="0.2">
      <c r="A6" s="18">
        <v>2</v>
      </c>
      <c r="B6" s="19">
        <v>96770</v>
      </c>
      <c r="C6" s="20">
        <v>97385</v>
      </c>
      <c r="D6" s="19">
        <v>98391</v>
      </c>
      <c r="E6" s="21">
        <v>98726</v>
      </c>
      <c r="F6" s="19">
        <v>99076</v>
      </c>
      <c r="G6" s="21">
        <v>99265</v>
      </c>
      <c r="H6" s="19">
        <v>99369</v>
      </c>
      <c r="I6" s="21">
        <v>99430</v>
      </c>
      <c r="J6" s="19">
        <v>99499.83</v>
      </c>
      <c r="K6" s="21">
        <v>99568.01</v>
      </c>
    </row>
    <row r="7" spans="1:19" x14ac:dyDescent="0.2">
      <c r="A7" s="18">
        <v>3</v>
      </c>
      <c r="B7" s="19">
        <v>96676</v>
      </c>
      <c r="C7" s="20">
        <v>97310</v>
      </c>
      <c r="D7" s="19">
        <v>98339</v>
      </c>
      <c r="E7" s="21">
        <v>98678</v>
      </c>
      <c r="F7" s="19">
        <v>99043</v>
      </c>
      <c r="G7" s="21">
        <v>99235</v>
      </c>
      <c r="H7" s="19">
        <v>99340</v>
      </c>
      <c r="I7" s="21">
        <v>99401</v>
      </c>
      <c r="J7" s="19">
        <v>99482.42</v>
      </c>
      <c r="K7" s="21">
        <v>99550.78</v>
      </c>
    </row>
    <row r="8" spans="1:19" x14ac:dyDescent="0.2">
      <c r="A8" s="18">
        <v>4</v>
      </c>
      <c r="B8" s="19">
        <v>96610</v>
      </c>
      <c r="C8" s="20">
        <v>97256</v>
      </c>
      <c r="D8" s="19">
        <v>98300</v>
      </c>
      <c r="E8" s="21">
        <v>98646</v>
      </c>
      <c r="F8" s="19">
        <v>99018</v>
      </c>
      <c r="G8" s="21">
        <v>99213</v>
      </c>
      <c r="H8" s="19">
        <v>99316</v>
      </c>
      <c r="I8" s="21">
        <v>99379</v>
      </c>
      <c r="J8" s="19">
        <v>99468.69</v>
      </c>
      <c r="K8" s="21">
        <v>99537.54</v>
      </c>
    </row>
    <row r="9" spans="1:19" x14ac:dyDescent="0.2">
      <c r="A9" s="18">
        <v>5</v>
      </c>
      <c r="B9" s="19">
        <v>96552</v>
      </c>
      <c r="C9" s="20">
        <v>97207</v>
      </c>
      <c r="D9" s="19">
        <v>98267</v>
      </c>
      <c r="E9" s="21">
        <v>98621</v>
      </c>
      <c r="F9" s="19">
        <v>98997</v>
      </c>
      <c r="G9" s="21">
        <v>99195</v>
      </c>
      <c r="H9" s="19">
        <v>99296</v>
      </c>
      <c r="I9" s="21">
        <v>99362</v>
      </c>
      <c r="J9" s="19">
        <v>99456.95</v>
      </c>
      <c r="K9" s="21">
        <v>99526.59</v>
      </c>
    </row>
    <row r="10" spans="1:19" x14ac:dyDescent="0.2">
      <c r="A10" s="18">
        <v>6</v>
      </c>
      <c r="B10" s="19">
        <v>96496</v>
      </c>
      <c r="C10" s="20">
        <v>97164</v>
      </c>
      <c r="D10" s="19">
        <v>98235</v>
      </c>
      <c r="E10" s="21">
        <v>98598</v>
      </c>
      <c r="F10" s="19">
        <v>98977</v>
      </c>
      <c r="G10" s="21">
        <v>99180</v>
      </c>
      <c r="H10" s="19">
        <v>99278</v>
      </c>
      <c r="I10" s="21">
        <v>99346</v>
      </c>
      <c r="J10" s="19">
        <v>99446.11</v>
      </c>
      <c r="K10" s="21">
        <v>99517.04</v>
      </c>
    </row>
    <row r="11" spans="1:19" x14ac:dyDescent="0.2">
      <c r="A11" s="18">
        <v>7</v>
      </c>
      <c r="B11" s="19">
        <v>96445</v>
      </c>
      <c r="C11" s="20">
        <v>97127</v>
      </c>
      <c r="D11" s="19">
        <v>98205</v>
      </c>
      <c r="E11" s="21">
        <v>98577</v>
      </c>
      <c r="F11" s="19">
        <v>98957</v>
      </c>
      <c r="G11" s="21">
        <v>99167</v>
      </c>
      <c r="H11" s="19">
        <v>99261</v>
      </c>
      <c r="I11" s="21">
        <v>99332</v>
      </c>
      <c r="J11" s="19">
        <v>99435.97</v>
      </c>
      <c r="K11" s="21">
        <v>99508.479999999996</v>
      </c>
    </row>
    <row r="12" spans="1:19" x14ac:dyDescent="0.2">
      <c r="A12" s="18">
        <v>8</v>
      </c>
      <c r="B12" s="19">
        <v>96398</v>
      </c>
      <c r="C12" s="20">
        <v>97094</v>
      </c>
      <c r="D12" s="19">
        <v>98176</v>
      </c>
      <c r="E12" s="21">
        <v>98555</v>
      </c>
      <c r="F12" s="19">
        <v>98937</v>
      </c>
      <c r="G12" s="21">
        <v>99154</v>
      </c>
      <c r="H12" s="19">
        <v>99246</v>
      </c>
      <c r="I12" s="21">
        <v>99318</v>
      </c>
      <c r="J12" s="19">
        <v>99426.82</v>
      </c>
      <c r="K12" s="21">
        <v>99500.62</v>
      </c>
    </row>
    <row r="13" spans="1:19" x14ac:dyDescent="0.2">
      <c r="A13" s="18">
        <v>9</v>
      </c>
      <c r="B13" s="19">
        <v>96353</v>
      </c>
      <c r="C13" s="20">
        <v>97065</v>
      </c>
      <c r="D13" s="19">
        <v>98147</v>
      </c>
      <c r="E13" s="21">
        <v>98535</v>
      </c>
      <c r="F13" s="19">
        <v>98918</v>
      </c>
      <c r="G13" s="21">
        <v>99143</v>
      </c>
      <c r="H13" s="19">
        <v>99230</v>
      </c>
      <c r="I13" s="21">
        <v>99306</v>
      </c>
      <c r="J13" s="19">
        <v>99418.57</v>
      </c>
      <c r="K13" s="21">
        <v>99493.36</v>
      </c>
    </row>
    <row r="14" spans="1:19" x14ac:dyDescent="0.2">
      <c r="A14" s="18">
        <v>10</v>
      </c>
      <c r="B14" s="19">
        <v>96311</v>
      </c>
      <c r="C14" s="20">
        <v>97038</v>
      </c>
      <c r="D14" s="19">
        <v>98120</v>
      </c>
      <c r="E14" s="21">
        <v>98518</v>
      </c>
      <c r="F14" s="19">
        <v>98899</v>
      </c>
      <c r="G14" s="21">
        <v>99131</v>
      </c>
      <c r="H14" s="19">
        <v>99215</v>
      </c>
      <c r="I14" s="21">
        <v>99295</v>
      </c>
      <c r="J14" s="19">
        <v>99410.82</v>
      </c>
      <c r="K14" s="21">
        <v>99486.399999999994</v>
      </c>
      <c r="S14" s="22"/>
    </row>
    <row r="15" spans="1:19" x14ac:dyDescent="0.2">
      <c r="A15" s="18">
        <v>11</v>
      </c>
      <c r="B15" s="19">
        <v>96270</v>
      </c>
      <c r="C15" s="20">
        <v>97012</v>
      </c>
      <c r="D15" s="19">
        <v>98093</v>
      </c>
      <c r="E15" s="21">
        <v>98501</v>
      </c>
      <c r="F15" s="19">
        <v>98881</v>
      </c>
      <c r="G15" s="21">
        <v>99118</v>
      </c>
      <c r="H15" s="19">
        <v>99199</v>
      </c>
      <c r="I15" s="21">
        <v>99284</v>
      </c>
      <c r="J15" s="19">
        <v>99402.77</v>
      </c>
      <c r="K15" s="21">
        <v>99479.44</v>
      </c>
    </row>
    <row r="16" spans="1:19" x14ac:dyDescent="0.2">
      <c r="A16" s="18">
        <v>12</v>
      </c>
      <c r="B16" s="19">
        <v>96227</v>
      </c>
      <c r="C16" s="20">
        <v>96986</v>
      </c>
      <c r="D16" s="19">
        <v>98067</v>
      </c>
      <c r="E16" s="21">
        <v>98483</v>
      </c>
      <c r="F16" s="19">
        <v>98864</v>
      </c>
      <c r="G16" s="21">
        <v>99104</v>
      </c>
      <c r="H16" s="19">
        <v>99182</v>
      </c>
      <c r="I16" s="21">
        <v>99272</v>
      </c>
      <c r="J16" s="19">
        <v>99393.62</v>
      </c>
      <c r="K16" s="21">
        <v>99472.38</v>
      </c>
    </row>
    <row r="17" spans="1:11" x14ac:dyDescent="0.2">
      <c r="A17" s="18">
        <v>13</v>
      </c>
      <c r="B17" s="19">
        <v>96180</v>
      </c>
      <c r="C17" s="20">
        <v>96958</v>
      </c>
      <c r="D17" s="19">
        <v>98037</v>
      </c>
      <c r="E17" s="21">
        <v>98465</v>
      </c>
      <c r="F17" s="19">
        <v>98843</v>
      </c>
      <c r="G17" s="21">
        <v>99089</v>
      </c>
      <c r="H17" s="19">
        <v>99162</v>
      </c>
      <c r="I17" s="21">
        <v>99259</v>
      </c>
      <c r="J17" s="19">
        <v>99382.39</v>
      </c>
      <c r="K17" s="21">
        <v>99465.02</v>
      </c>
    </row>
    <row r="18" spans="1:11" x14ac:dyDescent="0.2">
      <c r="A18" s="18">
        <v>14</v>
      </c>
      <c r="B18" s="19">
        <v>96124</v>
      </c>
      <c r="C18" s="20">
        <v>96929</v>
      </c>
      <c r="D18" s="19">
        <v>97998</v>
      </c>
      <c r="E18" s="21">
        <v>98443</v>
      </c>
      <c r="F18" s="19">
        <v>98818</v>
      </c>
      <c r="G18" s="21">
        <v>99072</v>
      </c>
      <c r="H18" s="19">
        <v>99137</v>
      </c>
      <c r="I18" s="21">
        <v>99242</v>
      </c>
      <c r="J18" s="19">
        <v>99368.28</v>
      </c>
      <c r="K18" s="21">
        <v>99457.16</v>
      </c>
    </row>
    <row r="19" spans="1:11" x14ac:dyDescent="0.2">
      <c r="A19" s="18">
        <v>15</v>
      </c>
      <c r="B19" s="19">
        <v>96058</v>
      </c>
      <c r="C19" s="20">
        <v>96897</v>
      </c>
      <c r="D19" s="19">
        <v>97947</v>
      </c>
      <c r="E19" s="21">
        <v>98418</v>
      </c>
      <c r="F19" s="19">
        <v>98781</v>
      </c>
      <c r="G19" s="21">
        <v>99053</v>
      </c>
      <c r="H19" s="19">
        <v>99104</v>
      </c>
      <c r="I19" s="21">
        <v>99224</v>
      </c>
      <c r="J19" s="19">
        <v>99350.19</v>
      </c>
      <c r="K19" s="21">
        <v>99448.61</v>
      </c>
    </row>
    <row r="20" spans="1:11" x14ac:dyDescent="0.2">
      <c r="A20" s="18">
        <v>16</v>
      </c>
      <c r="B20" s="19">
        <v>95979</v>
      </c>
      <c r="C20" s="20">
        <v>96863</v>
      </c>
      <c r="D20" s="19">
        <v>97879</v>
      </c>
      <c r="E20" s="21">
        <v>98392</v>
      </c>
      <c r="F20" s="19">
        <v>98727</v>
      </c>
      <c r="G20" s="21">
        <v>99031</v>
      </c>
      <c r="H20" s="19">
        <v>99060</v>
      </c>
      <c r="I20" s="21">
        <v>99204</v>
      </c>
      <c r="J20" s="19">
        <v>99324.76</v>
      </c>
      <c r="K20" s="21">
        <v>99438.76</v>
      </c>
    </row>
    <row r="21" spans="1:11" x14ac:dyDescent="0.2">
      <c r="A21" s="18">
        <v>17</v>
      </c>
      <c r="B21" s="19">
        <v>95888</v>
      </c>
      <c r="C21" s="20">
        <v>96826</v>
      </c>
      <c r="D21" s="19">
        <v>97791</v>
      </c>
      <c r="E21" s="21">
        <v>98364</v>
      </c>
      <c r="F21" s="19">
        <v>98654</v>
      </c>
      <c r="G21" s="21">
        <v>99006</v>
      </c>
      <c r="H21" s="19">
        <v>99004</v>
      </c>
      <c r="I21" s="21">
        <v>99182</v>
      </c>
      <c r="J21" s="19">
        <v>99290</v>
      </c>
      <c r="K21" s="21">
        <v>99427.42</v>
      </c>
    </row>
    <row r="22" spans="1:11" x14ac:dyDescent="0.2">
      <c r="A22" s="18">
        <v>18</v>
      </c>
      <c r="B22" s="19">
        <v>95786</v>
      </c>
      <c r="C22" s="20">
        <v>96787</v>
      </c>
      <c r="D22" s="19">
        <v>97690</v>
      </c>
      <c r="E22" s="21">
        <v>98334</v>
      </c>
      <c r="F22" s="19">
        <v>98567</v>
      </c>
      <c r="G22" s="21">
        <v>98978</v>
      </c>
      <c r="H22" s="19">
        <v>98934</v>
      </c>
      <c r="I22" s="21">
        <v>99157</v>
      </c>
      <c r="J22" s="19">
        <v>99246.51</v>
      </c>
      <c r="K22" s="21">
        <v>99414.59</v>
      </c>
    </row>
    <row r="23" spans="1:11" x14ac:dyDescent="0.2">
      <c r="A23" s="18">
        <v>19</v>
      </c>
      <c r="B23" s="19">
        <v>95677</v>
      </c>
      <c r="C23" s="20">
        <v>96745</v>
      </c>
      <c r="D23" s="19">
        <v>97579</v>
      </c>
      <c r="E23" s="21">
        <v>98301</v>
      </c>
      <c r="F23" s="19">
        <v>98470</v>
      </c>
      <c r="G23" s="21">
        <v>98949</v>
      </c>
      <c r="H23" s="19">
        <v>98853</v>
      </c>
      <c r="I23" s="21">
        <v>99129</v>
      </c>
      <c r="J23" s="19">
        <v>99196.49</v>
      </c>
      <c r="K23" s="21">
        <v>99400.67</v>
      </c>
    </row>
    <row r="24" spans="1:11" x14ac:dyDescent="0.2">
      <c r="A24" s="18">
        <v>20</v>
      </c>
      <c r="B24" s="19">
        <v>95564</v>
      </c>
      <c r="C24" s="20">
        <v>96701</v>
      </c>
      <c r="D24" s="19">
        <v>97467</v>
      </c>
      <c r="E24" s="21">
        <v>98265</v>
      </c>
      <c r="F24" s="19">
        <v>98367</v>
      </c>
      <c r="G24" s="21">
        <v>98918</v>
      </c>
      <c r="H24" s="19">
        <v>98764</v>
      </c>
      <c r="I24" s="21">
        <v>99100</v>
      </c>
      <c r="J24" s="19">
        <v>99144.41</v>
      </c>
      <c r="K24" s="21">
        <v>99386.26</v>
      </c>
    </row>
    <row r="25" spans="1:11" x14ac:dyDescent="0.2">
      <c r="A25" s="18">
        <v>21</v>
      </c>
      <c r="B25" s="19">
        <v>95451</v>
      </c>
      <c r="C25" s="20">
        <v>96656</v>
      </c>
      <c r="D25" s="19">
        <v>97360</v>
      </c>
      <c r="E25" s="21">
        <v>98227</v>
      </c>
      <c r="F25" s="19">
        <v>98261</v>
      </c>
      <c r="G25" s="21">
        <v>98887</v>
      </c>
      <c r="H25" s="19">
        <v>98669</v>
      </c>
      <c r="I25" s="21">
        <v>99070</v>
      </c>
      <c r="J25" s="19">
        <v>99090.57</v>
      </c>
      <c r="K25" s="21">
        <v>99371.25</v>
      </c>
    </row>
    <row r="26" spans="1:11" x14ac:dyDescent="0.2">
      <c r="A26" s="18">
        <v>22</v>
      </c>
      <c r="B26" s="19">
        <v>95339</v>
      </c>
      <c r="C26" s="20">
        <v>96609</v>
      </c>
      <c r="D26" s="19">
        <v>97254</v>
      </c>
      <c r="E26" s="21">
        <v>98189</v>
      </c>
      <c r="F26" s="19">
        <v>98150</v>
      </c>
      <c r="G26" s="21">
        <v>98857</v>
      </c>
      <c r="H26" s="19">
        <v>98572</v>
      </c>
      <c r="I26" s="21">
        <v>99040</v>
      </c>
      <c r="J26" s="19">
        <v>99033.2</v>
      </c>
      <c r="K26" s="21">
        <v>99355.45</v>
      </c>
    </row>
    <row r="27" spans="1:11" x14ac:dyDescent="0.2">
      <c r="A27" s="18">
        <v>23</v>
      </c>
      <c r="B27" s="19">
        <v>95228</v>
      </c>
      <c r="C27" s="20">
        <v>96561</v>
      </c>
      <c r="D27" s="19">
        <v>97148</v>
      </c>
      <c r="E27" s="21">
        <v>98155</v>
      </c>
      <c r="F27" s="19">
        <v>98034</v>
      </c>
      <c r="G27" s="21">
        <v>98828</v>
      </c>
      <c r="H27" s="19">
        <v>98472</v>
      </c>
      <c r="I27" s="21">
        <v>99010</v>
      </c>
      <c r="J27" s="19">
        <v>98972.59</v>
      </c>
      <c r="K27" s="21">
        <v>99338.76</v>
      </c>
    </row>
    <row r="28" spans="1:11" x14ac:dyDescent="0.2">
      <c r="A28" s="18">
        <v>24</v>
      </c>
      <c r="B28" s="19">
        <v>95118</v>
      </c>
      <c r="C28" s="20">
        <v>96511</v>
      </c>
      <c r="D28" s="19">
        <v>97046</v>
      </c>
      <c r="E28" s="21">
        <v>98121</v>
      </c>
      <c r="F28" s="19">
        <v>97918</v>
      </c>
      <c r="G28" s="21">
        <v>98797</v>
      </c>
      <c r="H28" s="19">
        <v>98370</v>
      </c>
      <c r="I28" s="21">
        <v>98980</v>
      </c>
      <c r="J28" s="19">
        <v>98909.05</v>
      </c>
      <c r="K28" s="21">
        <v>99321.279999999999</v>
      </c>
    </row>
    <row r="29" spans="1:11" x14ac:dyDescent="0.2">
      <c r="A29" s="18">
        <v>25</v>
      </c>
      <c r="B29" s="19">
        <v>95010</v>
      </c>
      <c r="C29" s="20">
        <v>96459</v>
      </c>
      <c r="D29" s="19">
        <v>96945</v>
      </c>
      <c r="E29" s="21">
        <v>98087</v>
      </c>
      <c r="F29" s="19">
        <v>97799</v>
      </c>
      <c r="G29" s="21">
        <v>98764</v>
      </c>
      <c r="H29" s="19">
        <v>98271</v>
      </c>
      <c r="I29" s="21">
        <v>98950</v>
      </c>
      <c r="J29" s="19">
        <v>98842.98</v>
      </c>
      <c r="K29" s="21">
        <v>99302.91</v>
      </c>
    </row>
    <row r="30" spans="1:11" x14ac:dyDescent="0.2">
      <c r="A30" s="18">
        <v>26</v>
      </c>
      <c r="B30" s="19">
        <v>94902</v>
      </c>
      <c r="C30" s="20">
        <v>96405</v>
      </c>
      <c r="D30" s="19">
        <v>96847</v>
      </c>
      <c r="E30" s="21">
        <v>98049</v>
      </c>
      <c r="F30" s="19">
        <v>97677</v>
      </c>
      <c r="G30" s="21">
        <v>98726</v>
      </c>
      <c r="H30" s="19">
        <v>98174</v>
      </c>
      <c r="I30" s="21">
        <v>98920</v>
      </c>
      <c r="J30" s="19">
        <v>98774.88</v>
      </c>
      <c r="K30" s="21">
        <v>99283.45</v>
      </c>
    </row>
    <row r="31" spans="1:11" x14ac:dyDescent="0.2">
      <c r="A31" s="18">
        <v>27</v>
      </c>
      <c r="B31" s="19">
        <v>94793</v>
      </c>
      <c r="C31" s="20">
        <v>96348</v>
      </c>
      <c r="D31" s="19">
        <v>96752</v>
      </c>
      <c r="E31" s="21">
        <v>98008</v>
      </c>
      <c r="F31" s="19">
        <v>97549</v>
      </c>
      <c r="G31" s="21">
        <v>98685</v>
      </c>
      <c r="H31" s="19">
        <v>98077</v>
      </c>
      <c r="I31" s="21">
        <v>98889</v>
      </c>
      <c r="J31" s="19">
        <v>98705.34</v>
      </c>
      <c r="K31" s="21">
        <v>99263</v>
      </c>
    </row>
    <row r="32" spans="1:11" x14ac:dyDescent="0.2">
      <c r="A32" s="18">
        <v>28</v>
      </c>
      <c r="B32" s="19">
        <v>94683</v>
      </c>
      <c r="C32" s="20">
        <v>96289</v>
      </c>
      <c r="D32" s="19">
        <v>96657</v>
      </c>
      <c r="E32" s="21">
        <v>97967</v>
      </c>
      <c r="F32" s="19">
        <v>97416</v>
      </c>
      <c r="G32" s="21">
        <v>98641</v>
      </c>
      <c r="H32" s="19">
        <v>97981</v>
      </c>
      <c r="I32" s="21">
        <v>98855</v>
      </c>
      <c r="J32" s="19">
        <v>98634.77</v>
      </c>
      <c r="K32" s="21">
        <v>99241.56</v>
      </c>
    </row>
    <row r="33" spans="1:11" x14ac:dyDescent="0.2">
      <c r="A33" s="18">
        <v>29</v>
      </c>
      <c r="B33" s="19">
        <v>94571</v>
      </c>
      <c r="C33" s="20">
        <v>96228</v>
      </c>
      <c r="D33" s="19">
        <v>96563</v>
      </c>
      <c r="E33" s="21">
        <v>97924</v>
      </c>
      <c r="F33" s="19">
        <v>97276</v>
      </c>
      <c r="G33" s="21">
        <v>98595</v>
      </c>
      <c r="H33" s="19">
        <v>97881</v>
      </c>
      <c r="I33" s="21">
        <v>98817</v>
      </c>
      <c r="J33" s="19">
        <v>98563.36</v>
      </c>
      <c r="K33" s="21">
        <v>99219.13</v>
      </c>
    </row>
    <row r="34" spans="1:11" x14ac:dyDescent="0.2">
      <c r="A34" s="18">
        <v>30</v>
      </c>
      <c r="B34" s="19">
        <v>94458</v>
      </c>
      <c r="C34" s="20">
        <v>96165</v>
      </c>
      <c r="D34" s="19">
        <v>96468</v>
      </c>
      <c r="E34" s="21">
        <v>97880</v>
      </c>
      <c r="F34" s="19">
        <v>97129</v>
      </c>
      <c r="G34" s="21">
        <v>98546</v>
      </c>
      <c r="H34" s="19">
        <v>97776</v>
      </c>
      <c r="I34" s="21">
        <v>98776</v>
      </c>
      <c r="J34" s="19">
        <v>98491.21</v>
      </c>
      <c r="K34" s="21">
        <v>99195.71</v>
      </c>
    </row>
    <row r="35" spans="1:11" x14ac:dyDescent="0.2">
      <c r="A35" s="18">
        <v>31</v>
      </c>
      <c r="B35" s="19">
        <v>94342</v>
      </c>
      <c r="C35" s="20">
        <v>96100</v>
      </c>
      <c r="D35" s="19">
        <v>96373</v>
      </c>
      <c r="E35" s="21">
        <v>97832</v>
      </c>
      <c r="F35" s="19">
        <v>96979</v>
      </c>
      <c r="G35" s="21">
        <v>98494</v>
      </c>
      <c r="H35" s="19">
        <v>97665</v>
      </c>
      <c r="I35" s="21">
        <v>98731</v>
      </c>
      <c r="J35" s="19">
        <v>98418.62</v>
      </c>
      <c r="K35" s="21">
        <v>99171.21</v>
      </c>
    </row>
    <row r="36" spans="1:11" x14ac:dyDescent="0.2">
      <c r="A36" s="18">
        <v>32</v>
      </c>
      <c r="B36" s="19">
        <v>94221</v>
      </c>
      <c r="C36" s="20">
        <v>96031</v>
      </c>
      <c r="D36" s="19">
        <v>96273</v>
      </c>
      <c r="E36" s="21">
        <v>97781</v>
      </c>
      <c r="F36" s="19">
        <v>96825</v>
      </c>
      <c r="G36" s="21">
        <v>98440</v>
      </c>
      <c r="H36" s="19">
        <v>97548</v>
      </c>
      <c r="I36" s="21">
        <v>98684</v>
      </c>
      <c r="J36" s="19">
        <v>98345.79</v>
      </c>
      <c r="K36" s="21">
        <v>99145.33</v>
      </c>
    </row>
    <row r="37" spans="1:11" x14ac:dyDescent="0.2">
      <c r="A37" s="18">
        <v>33</v>
      </c>
      <c r="B37" s="19">
        <v>94094</v>
      </c>
      <c r="C37" s="20">
        <v>95956</v>
      </c>
      <c r="D37" s="19">
        <v>96170</v>
      </c>
      <c r="E37" s="21">
        <v>97728</v>
      </c>
      <c r="F37" s="19">
        <v>96673</v>
      </c>
      <c r="G37" s="21">
        <v>98384</v>
      </c>
      <c r="H37" s="19">
        <v>97423</v>
      </c>
      <c r="I37" s="21">
        <v>98633</v>
      </c>
      <c r="J37" s="19">
        <v>98272.82</v>
      </c>
      <c r="K37" s="21">
        <v>99117.97</v>
      </c>
    </row>
    <row r="38" spans="1:11" x14ac:dyDescent="0.2">
      <c r="A38" s="18">
        <v>34</v>
      </c>
      <c r="B38" s="19">
        <v>93959</v>
      </c>
      <c r="C38" s="20">
        <v>95874</v>
      </c>
      <c r="D38" s="19">
        <v>96066</v>
      </c>
      <c r="E38" s="21">
        <v>97673</v>
      </c>
      <c r="F38" s="19">
        <v>96525</v>
      </c>
      <c r="G38" s="21">
        <v>98326</v>
      </c>
      <c r="H38" s="19">
        <v>97295</v>
      </c>
      <c r="I38" s="21">
        <v>98581</v>
      </c>
      <c r="J38" s="19">
        <v>98199.8</v>
      </c>
      <c r="K38" s="21">
        <v>99088.93</v>
      </c>
    </row>
    <row r="39" spans="1:11" x14ac:dyDescent="0.2">
      <c r="A39" s="18">
        <v>35</v>
      </c>
      <c r="B39" s="19">
        <v>93815</v>
      </c>
      <c r="C39" s="20">
        <v>95786</v>
      </c>
      <c r="D39" s="19">
        <v>95954</v>
      </c>
      <c r="E39" s="21">
        <v>97610</v>
      </c>
      <c r="F39" s="19">
        <v>96379</v>
      </c>
      <c r="G39" s="21">
        <v>98267</v>
      </c>
      <c r="H39" s="19">
        <v>97164</v>
      </c>
      <c r="I39" s="21">
        <v>98526</v>
      </c>
      <c r="J39" s="19">
        <v>98126.54</v>
      </c>
      <c r="K39" s="21">
        <v>99057.919999999998</v>
      </c>
    </row>
    <row r="40" spans="1:11" x14ac:dyDescent="0.2">
      <c r="A40" s="18">
        <v>36</v>
      </c>
      <c r="B40" s="19">
        <v>93659</v>
      </c>
      <c r="C40" s="20">
        <v>95690</v>
      </c>
      <c r="D40" s="19">
        <v>95837</v>
      </c>
      <c r="E40" s="21">
        <v>97541</v>
      </c>
      <c r="F40" s="19">
        <v>96234</v>
      </c>
      <c r="G40" s="21">
        <v>98205</v>
      </c>
      <c r="H40" s="19">
        <v>97031</v>
      </c>
      <c r="I40" s="21">
        <v>98470</v>
      </c>
      <c r="J40" s="19">
        <v>98053.63</v>
      </c>
      <c r="K40" s="21">
        <v>99024.54</v>
      </c>
    </row>
    <row r="41" spans="1:11" x14ac:dyDescent="0.2">
      <c r="A41" s="18">
        <v>37</v>
      </c>
      <c r="B41" s="19">
        <v>93489</v>
      </c>
      <c r="C41" s="20">
        <v>95586</v>
      </c>
      <c r="D41" s="19">
        <v>95709</v>
      </c>
      <c r="E41" s="21">
        <v>97463</v>
      </c>
      <c r="F41" s="19">
        <v>96090</v>
      </c>
      <c r="G41" s="21">
        <v>98139</v>
      </c>
      <c r="H41" s="19">
        <v>96896</v>
      </c>
      <c r="I41" s="21">
        <v>98407</v>
      </c>
      <c r="J41" s="19">
        <v>97980.87</v>
      </c>
      <c r="K41" s="21">
        <v>98988.3</v>
      </c>
    </row>
    <row r="42" spans="1:11" x14ac:dyDescent="0.2">
      <c r="A42" s="18">
        <v>38</v>
      </c>
      <c r="B42" s="19">
        <v>93302</v>
      </c>
      <c r="C42" s="20">
        <v>95473</v>
      </c>
      <c r="D42" s="19">
        <v>95565</v>
      </c>
      <c r="E42" s="21">
        <v>97375</v>
      </c>
      <c r="F42" s="19">
        <v>95943</v>
      </c>
      <c r="G42" s="21">
        <v>98068</v>
      </c>
      <c r="H42" s="19">
        <v>96757</v>
      </c>
      <c r="I42" s="21">
        <v>98342</v>
      </c>
      <c r="J42" s="19">
        <v>97906.8</v>
      </c>
      <c r="K42" s="21">
        <v>98948.9</v>
      </c>
    </row>
    <row r="43" spans="1:11" x14ac:dyDescent="0.2">
      <c r="A43" s="18">
        <v>39</v>
      </c>
      <c r="B43" s="19">
        <v>93096</v>
      </c>
      <c r="C43" s="20">
        <v>95351</v>
      </c>
      <c r="D43" s="19">
        <v>95403</v>
      </c>
      <c r="E43" s="21">
        <v>97282</v>
      </c>
      <c r="F43" s="19">
        <v>95789</v>
      </c>
      <c r="G43" s="21">
        <v>97992</v>
      </c>
      <c r="H43" s="19">
        <v>96615</v>
      </c>
      <c r="I43" s="21">
        <v>98272</v>
      </c>
      <c r="J43" s="19">
        <v>97829.55</v>
      </c>
      <c r="K43" s="21">
        <v>98905.86</v>
      </c>
    </row>
    <row r="44" spans="1:11" x14ac:dyDescent="0.2">
      <c r="A44" s="18">
        <v>40</v>
      </c>
      <c r="B44" s="19">
        <v>92870</v>
      </c>
      <c r="C44" s="20">
        <v>95219</v>
      </c>
      <c r="D44" s="19">
        <v>95224</v>
      </c>
      <c r="E44" s="21">
        <v>97180</v>
      </c>
      <c r="F44" s="19">
        <v>95631</v>
      </c>
      <c r="G44" s="21">
        <v>97910</v>
      </c>
      <c r="H44" s="19">
        <v>96465</v>
      </c>
      <c r="I44" s="21">
        <v>98197</v>
      </c>
      <c r="J44" s="19">
        <v>97746.79</v>
      </c>
      <c r="K44" s="21">
        <v>98859.08</v>
      </c>
    </row>
    <row r="45" spans="1:11" x14ac:dyDescent="0.2">
      <c r="A45" s="18">
        <v>41</v>
      </c>
      <c r="B45" s="19">
        <v>92621</v>
      </c>
      <c r="C45" s="20">
        <v>95077</v>
      </c>
      <c r="D45" s="19">
        <v>95025</v>
      </c>
      <c r="E45" s="21">
        <v>97068</v>
      </c>
      <c r="F45" s="19">
        <v>95464</v>
      </c>
      <c r="G45" s="21">
        <v>97823</v>
      </c>
      <c r="H45" s="19">
        <v>96311</v>
      </c>
      <c r="I45" s="21">
        <v>98115</v>
      </c>
      <c r="J45" s="19">
        <v>97657.55</v>
      </c>
      <c r="K45" s="21">
        <v>98808.17</v>
      </c>
    </row>
    <row r="46" spans="1:11" x14ac:dyDescent="0.2">
      <c r="A46" s="18">
        <v>42</v>
      </c>
      <c r="B46" s="19">
        <v>92347</v>
      </c>
      <c r="C46" s="20">
        <v>94924</v>
      </c>
      <c r="D46" s="19">
        <v>94807</v>
      </c>
      <c r="E46" s="21">
        <v>96949</v>
      </c>
      <c r="F46" s="19">
        <v>95284</v>
      </c>
      <c r="G46" s="21">
        <v>97728</v>
      </c>
      <c r="H46" s="19">
        <v>96148</v>
      </c>
      <c r="I46" s="21">
        <v>98027</v>
      </c>
      <c r="J46" s="19">
        <v>97561.06</v>
      </c>
      <c r="K46" s="21">
        <v>98752.44</v>
      </c>
    </row>
    <row r="47" spans="1:11" x14ac:dyDescent="0.2">
      <c r="A47" s="18">
        <v>43</v>
      </c>
      <c r="B47" s="19">
        <v>92043</v>
      </c>
      <c r="C47" s="20">
        <v>94758</v>
      </c>
      <c r="D47" s="19">
        <v>94567</v>
      </c>
      <c r="E47" s="21">
        <v>96819</v>
      </c>
      <c r="F47" s="19">
        <v>95087</v>
      </c>
      <c r="G47" s="21">
        <v>97624</v>
      </c>
      <c r="H47" s="19">
        <v>95976</v>
      </c>
      <c r="I47" s="21">
        <v>97929</v>
      </c>
      <c r="J47" s="19">
        <v>97456.18</v>
      </c>
      <c r="K47" s="21">
        <v>98691.51</v>
      </c>
    </row>
    <row r="48" spans="1:11" x14ac:dyDescent="0.2">
      <c r="A48" s="18">
        <v>44</v>
      </c>
      <c r="B48" s="19">
        <v>91705</v>
      </c>
      <c r="C48" s="20">
        <v>94577</v>
      </c>
      <c r="D48" s="19">
        <v>94303</v>
      </c>
      <c r="E48" s="21">
        <v>96675</v>
      </c>
      <c r="F48" s="19">
        <v>94873</v>
      </c>
      <c r="G48" s="21">
        <v>97510</v>
      </c>
      <c r="H48" s="19">
        <v>95793</v>
      </c>
      <c r="I48" s="21">
        <v>97823</v>
      </c>
      <c r="J48" s="19">
        <v>97341.57</v>
      </c>
      <c r="K48" s="21">
        <v>98624.79</v>
      </c>
    </row>
    <row r="49" spans="1:11" x14ac:dyDescent="0.2">
      <c r="A49" s="18">
        <v>45</v>
      </c>
      <c r="B49" s="19">
        <v>91332</v>
      </c>
      <c r="C49" s="20">
        <v>94379</v>
      </c>
      <c r="D49" s="19">
        <v>94003</v>
      </c>
      <c r="E49" s="21">
        <v>96519</v>
      </c>
      <c r="F49" s="19">
        <v>94638</v>
      </c>
      <c r="G49" s="21">
        <v>97384</v>
      </c>
      <c r="H49" s="19">
        <v>95592</v>
      </c>
      <c r="I49" s="21">
        <v>97707</v>
      </c>
      <c r="J49" s="19">
        <v>97215.8</v>
      </c>
      <c r="K49" s="21">
        <v>98551.71</v>
      </c>
    </row>
    <row r="50" spans="1:11" x14ac:dyDescent="0.2">
      <c r="A50" s="18">
        <v>46</v>
      </c>
      <c r="B50" s="19">
        <v>90921</v>
      </c>
      <c r="C50" s="20">
        <v>94161</v>
      </c>
      <c r="D50" s="19">
        <v>93662</v>
      </c>
      <c r="E50" s="21">
        <v>96339</v>
      </c>
      <c r="F50" s="19">
        <v>94383</v>
      </c>
      <c r="G50" s="21">
        <v>97245</v>
      </c>
      <c r="H50" s="19">
        <v>95364</v>
      </c>
      <c r="I50" s="21">
        <v>97575</v>
      </c>
      <c r="J50" s="19">
        <v>97076.98</v>
      </c>
      <c r="K50" s="21">
        <v>98471.49</v>
      </c>
    </row>
    <row r="51" spans="1:11" x14ac:dyDescent="0.2">
      <c r="A51" s="18">
        <v>47</v>
      </c>
      <c r="B51" s="19">
        <v>90471</v>
      </c>
      <c r="C51" s="20">
        <v>93921</v>
      </c>
      <c r="D51" s="19">
        <v>93274</v>
      </c>
      <c r="E51" s="21">
        <v>96141</v>
      </c>
      <c r="F51" s="19">
        <v>94097</v>
      </c>
      <c r="G51" s="21">
        <v>97089</v>
      </c>
      <c r="H51" s="19">
        <v>95110</v>
      </c>
      <c r="I51" s="21">
        <v>97427</v>
      </c>
      <c r="J51" s="19">
        <v>96923.6</v>
      </c>
      <c r="K51" s="21">
        <v>98383.26</v>
      </c>
    </row>
    <row r="52" spans="1:11" x14ac:dyDescent="0.2">
      <c r="A52" s="18">
        <v>48</v>
      </c>
      <c r="B52" s="19">
        <v>89982</v>
      </c>
      <c r="C52" s="20">
        <v>93655</v>
      </c>
      <c r="D52" s="19">
        <v>92837</v>
      </c>
      <c r="E52" s="21">
        <v>95923</v>
      </c>
      <c r="F52" s="19">
        <v>93772</v>
      </c>
      <c r="G52" s="21">
        <v>96915</v>
      </c>
      <c r="H52" s="19">
        <v>94826</v>
      </c>
      <c r="I52" s="21">
        <v>97260</v>
      </c>
      <c r="J52" s="19">
        <v>96758.73</v>
      </c>
      <c r="K52" s="21">
        <v>98289.4</v>
      </c>
    </row>
    <row r="53" spans="1:11" x14ac:dyDescent="0.2">
      <c r="A53" s="18">
        <v>49</v>
      </c>
      <c r="B53" s="19">
        <v>89448</v>
      </c>
      <c r="C53" s="20">
        <v>93362</v>
      </c>
      <c r="D53" s="19">
        <v>92352</v>
      </c>
      <c r="E53" s="21">
        <v>95684</v>
      </c>
      <c r="F53" s="19">
        <v>93411</v>
      </c>
      <c r="G53" s="21">
        <v>96724</v>
      </c>
      <c r="H53" s="19">
        <v>94514</v>
      </c>
      <c r="I53" s="21">
        <v>97079</v>
      </c>
      <c r="J53" s="19">
        <v>96586.21</v>
      </c>
      <c r="K53" s="21">
        <v>98192.88</v>
      </c>
    </row>
    <row r="54" spans="1:11" x14ac:dyDescent="0.2">
      <c r="A54" s="18">
        <v>50</v>
      </c>
      <c r="B54" s="19">
        <v>88867</v>
      </c>
      <c r="C54" s="20">
        <v>93039</v>
      </c>
      <c r="D54" s="19">
        <v>91822</v>
      </c>
      <c r="E54" s="21">
        <v>95425</v>
      </c>
      <c r="F54" s="19">
        <v>93016</v>
      </c>
      <c r="G54" s="21">
        <v>96518</v>
      </c>
      <c r="H54" s="19">
        <v>94175</v>
      </c>
      <c r="I54" s="21">
        <v>96886</v>
      </c>
      <c r="J54" s="19">
        <v>96406.37</v>
      </c>
      <c r="K54" s="21">
        <v>98094.29</v>
      </c>
    </row>
    <row r="55" spans="1:11" x14ac:dyDescent="0.2">
      <c r="A55" s="18">
        <v>51</v>
      </c>
      <c r="B55" s="19">
        <v>88233</v>
      </c>
      <c r="C55" s="20">
        <v>92685</v>
      </c>
      <c r="D55" s="19">
        <v>91232</v>
      </c>
      <c r="E55" s="21">
        <v>95152</v>
      </c>
      <c r="F55" s="19">
        <v>92590</v>
      </c>
      <c r="G55" s="21">
        <v>96299</v>
      </c>
      <c r="H55" s="19">
        <v>93821</v>
      </c>
      <c r="I55" s="21">
        <v>96685</v>
      </c>
      <c r="J55" s="19">
        <v>96217.9</v>
      </c>
      <c r="K55" s="21">
        <v>97993.35</v>
      </c>
    </row>
    <row r="56" spans="1:11" x14ac:dyDescent="0.2">
      <c r="A56" s="18">
        <v>52</v>
      </c>
      <c r="B56" s="19">
        <v>87539</v>
      </c>
      <c r="C56" s="20">
        <v>92300</v>
      </c>
      <c r="D56" s="19">
        <v>90574</v>
      </c>
      <c r="E56" s="21">
        <v>94849</v>
      </c>
      <c r="F56" s="19">
        <v>92130</v>
      </c>
      <c r="G56" s="21">
        <v>96062</v>
      </c>
      <c r="H56" s="19">
        <v>93436</v>
      </c>
      <c r="I56" s="21">
        <v>96467</v>
      </c>
      <c r="J56" s="19">
        <v>96019.02</v>
      </c>
      <c r="K56" s="21">
        <v>97889.97</v>
      </c>
    </row>
    <row r="57" spans="1:11" x14ac:dyDescent="0.2">
      <c r="A57" s="18">
        <v>53</v>
      </c>
      <c r="B57" s="19">
        <v>86781</v>
      </c>
      <c r="C57" s="20">
        <v>91884</v>
      </c>
      <c r="D57" s="19">
        <v>89841</v>
      </c>
      <c r="E57" s="21">
        <v>94519</v>
      </c>
      <c r="F57" s="19">
        <v>91625</v>
      </c>
      <c r="G57" s="21">
        <v>95803</v>
      </c>
      <c r="H57" s="19">
        <v>93009</v>
      </c>
      <c r="I57" s="21">
        <v>96232</v>
      </c>
      <c r="J57" s="19">
        <v>95807.87</v>
      </c>
      <c r="K57" s="21">
        <v>97783.86</v>
      </c>
    </row>
    <row r="58" spans="1:11" x14ac:dyDescent="0.2">
      <c r="A58" s="18">
        <v>54</v>
      </c>
      <c r="B58" s="19">
        <v>85956</v>
      </c>
      <c r="C58" s="20">
        <v>91436</v>
      </c>
      <c r="D58" s="19">
        <v>89032</v>
      </c>
      <c r="E58" s="21">
        <v>94151</v>
      </c>
      <c r="F58" s="19">
        <v>91059</v>
      </c>
      <c r="G58" s="21">
        <v>95516</v>
      </c>
      <c r="H58" s="19">
        <v>92523</v>
      </c>
      <c r="I58" s="21">
        <v>95968</v>
      </c>
      <c r="J58" s="19">
        <v>95582.05</v>
      </c>
      <c r="K58" s="21">
        <v>97674.54</v>
      </c>
    </row>
    <row r="59" spans="1:11" x14ac:dyDescent="0.2">
      <c r="A59" s="18">
        <v>55</v>
      </c>
      <c r="B59" s="19">
        <v>85059</v>
      </c>
      <c r="C59" s="20">
        <v>90953</v>
      </c>
      <c r="D59" s="19">
        <v>88141</v>
      </c>
      <c r="E59" s="21">
        <v>93745</v>
      </c>
      <c r="F59" s="19">
        <v>90431</v>
      </c>
      <c r="G59" s="21">
        <v>95203</v>
      </c>
      <c r="H59" s="19">
        <v>91985</v>
      </c>
      <c r="I59" s="21">
        <v>95678</v>
      </c>
      <c r="J59" s="19">
        <v>95338.89</v>
      </c>
      <c r="K59" s="21">
        <v>97561.82</v>
      </c>
    </row>
    <row r="60" spans="1:11" x14ac:dyDescent="0.2">
      <c r="A60" s="18">
        <v>56</v>
      </c>
      <c r="B60" s="19">
        <v>84091</v>
      </c>
      <c r="C60" s="20">
        <v>90433</v>
      </c>
      <c r="D60" s="19">
        <v>87165</v>
      </c>
      <c r="E60" s="21">
        <v>93306</v>
      </c>
      <c r="F60" s="19">
        <v>89728</v>
      </c>
      <c r="G60" s="21">
        <v>94863</v>
      </c>
      <c r="H60" s="19">
        <v>91372</v>
      </c>
      <c r="I60" s="21">
        <v>95353</v>
      </c>
      <c r="J60" s="19">
        <v>95072.320000000007</v>
      </c>
      <c r="K60" s="21">
        <v>97445.04</v>
      </c>
    </row>
    <row r="61" spans="1:11" x14ac:dyDescent="0.2">
      <c r="A61" s="18">
        <v>57</v>
      </c>
      <c r="B61" s="19">
        <v>83046</v>
      </c>
      <c r="C61" s="20">
        <v>89871</v>
      </c>
      <c r="D61" s="19">
        <v>86095</v>
      </c>
      <c r="E61" s="21">
        <v>92830</v>
      </c>
      <c r="F61" s="19">
        <v>88949</v>
      </c>
      <c r="G61" s="21">
        <v>94491</v>
      </c>
      <c r="H61" s="19">
        <v>90707</v>
      </c>
      <c r="I61" s="21">
        <v>95006</v>
      </c>
      <c r="J61" s="19">
        <v>94778.17</v>
      </c>
      <c r="K61" s="21">
        <v>97323.92</v>
      </c>
    </row>
    <row r="62" spans="1:11" x14ac:dyDescent="0.2">
      <c r="A62" s="18">
        <v>58</v>
      </c>
      <c r="B62" s="19">
        <v>81917</v>
      </c>
      <c r="C62" s="20">
        <v>89263</v>
      </c>
      <c r="D62" s="19">
        <v>84940</v>
      </c>
      <c r="E62" s="21">
        <v>92311</v>
      </c>
      <c r="F62" s="19">
        <v>88088</v>
      </c>
      <c r="G62" s="21">
        <v>94081</v>
      </c>
      <c r="H62" s="19">
        <v>89988</v>
      </c>
      <c r="I62" s="21">
        <v>94635</v>
      </c>
      <c r="J62" s="19">
        <v>94455.07</v>
      </c>
      <c r="K62" s="21">
        <v>97197.5</v>
      </c>
    </row>
    <row r="63" spans="1:11" x14ac:dyDescent="0.2">
      <c r="A63" s="18">
        <v>59</v>
      </c>
      <c r="B63" s="19">
        <v>80699</v>
      </c>
      <c r="C63" s="20">
        <v>88603</v>
      </c>
      <c r="D63" s="19">
        <v>83705</v>
      </c>
      <c r="E63" s="21">
        <v>91752</v>
      </c>
      <c r="F63" s="19">
        <v>87136</v>
      </c>
      <c r="G63" s="21">
        <v>93630</v>
      </c>
      <c r="H63" s="19">
        <v>89210</v>
      </c>
      <c r="I63" s="21">
        <v>94244</v>
      </c>
      <c r="J63" s="19">
        <v>94103.89</v>
      </c>
      <c r="K63" s="21">
        <v>97064.73</v>
      </c>
    </row>
    <row r="64" spans="1:11" x14ac:dyDescent="0.2">
      <c r="A64" s="18">
        <v>60</v>
      </c>
      <c r="B64" s="19">
        <v>79380</v>
      </c>
      <c r="C64" s="20">
        <v>87886</v>
      </c>
      <c r="D64" s="19">
        <v>82345</v>
      </c>
      <c r="E64" s="21">
        <v>91127</v>
      </c>
      <c r="F64" s="19">
        <v>86085</v>
      </c>
      <c r="G64" s="21">
        <v>93137</v>
      </c>
      <c r="H64" s="19">
        <v>88369</v>
      </c>
      <c r="I64" s="21">
        <v>93828</v>
      </c>
      <c r="J64" s="19">
        <v>93728.7</v>
      </c>
      <c r="K64" s="21">
        <v>96925.05</v>
      </c>
    </row>
    <row r="65" spans="1:11" x14ac:dyDescent="0.2">
      <c r="A65" s="18">
        <v>61</v>
      </c>
      <c r="B65" s="19">
        <v>77954</v>
      </c>
      <c r="C65" s="20">
        <v>87105</v>
      </c>
      <c r="D65" s="19">
        <v>80899</v>
      </c>
      <c r="E65" s="21">
        <v>90441</v>
      </c>
      <c r="F65" s="19">
        <v>84931</v>
      </c>
      <c r="G65" s="21">
        <v>92602</v>
      </c>
      <c r="H65" s="19">
        <v>87448</v>
      </c>
      <c r="I65" s="21">
        <v>93378</v>
      </c>
      <c r="J65" s="19">
        <v>93320.7</v>
      </c>
      <c r="K65" s="21">
        <v>96774.91</v>
      </c>
    </row>
    <row r="66" spans="1:11" x14ac:dyDescent="0.2">
      <c r="A66" s="18">
        <v>62</v>
      </c>
      <c r="B66" s="19">
        <v>76411</v>
      </c>
      <c r="C66" s="20">
        <v>86253</v>
      </c>
      <c r="D66" s="19">
        <v>79358</v>
      </c>
      <c r="E66" s="21">
        <v>89686</v>
      </c>
      <c r="F66" s="19">
        <v>83669</v>
      </c>
      <c r="G66" s="21">
        <v>92022</v>
      </c>
      <c r="H66" s="19">
        <v>86428</v>
      </c>
      <c r="I66" s="21">
        <v>92876</v>
      </c>
      <c r="J66" s="19">
        <v>92873.04</v>
      </c>
      <c r="K66" s="21">
        <v>96612.91</v>
      </c>
    </row>
    <row r="67" spans="1:11" x14ac:dyDescent="0.2">
      <c r="A67" s="18">
        <v>63</v>
      </c>
      <c r="B67" s="19">
        <v>74744</v>
      </c>
      <c r="C67" s="20">
        <v>85321</v>
      </c>
      <c r="D67" s="19">
        <v>77730</v>
      </c>
      <c r="E67" s="21">
        <v>88866</v>
      </c>
      <c r="F67" s="19">
        <v>82295</v>
      </c>
      <c r="G67" s="21">
        <v>91387</v>
      </c>
      <c r="H67" s="19">
        <v>85297</v>
      </c>
      <c r="I67" s="21">
        <v>92312</v>
      </c>
      <c r="J67" s="19">
        <v>92380.44</v>
      </c>
      <c r="K67" s="21">
        <v>96437.07</v>
      </c>
    </row>
    <row r="68" spans="1:11" x14ac:dyDescent="0.2">
      <c r="A68" s="18">
        <v>64</v>
      </c>
      <c r="B68" s="19">
        <v>72954</v>
      </c>
      <c r="C68" s="20">
        <v>84304</v>
      </c>
      <c r="D68" s="19">
        <v>76018</v>
      </c>
      <c r="E68" s="21">
        <v>87973</v>
      </c>
      <c r="F68" s="19">
        <v>80804</v>
      </c>
      <c r="G68" s="21">
        <v>90688</v>
      </c>
      <c r="H68" s="19">
        <v>84045</v>
      </c>
      <c r="I68" s="21">
        <v>91686</v>
      </c>
      <c r="J68" s="19">
        <v>91836.23</v>
      </c>
      <c r="K68" s="21">
        <v>96244.87</v>
      </c>
    </row>
    <row r="69" spans="1:11" x14ac:dyDescent="0.2">
      <c r="A69" s="18">
        <v>65</v>
      </c>
      <c r="B69" s="19">
        <v>71038</v>
      </c>
      <c r="C69" s="20">
        <v>83195</v>
      </c>
      <c r="D69" s="19">
        <v>74195</v>
      </c>
      <c r="E69" s="21">
        <v>87009</v>
      </c>
      <c r="F69" s="19">
        <v>79189</v>
      </c>
      <c r="G69" s="21">
        <v>89917</v>
      </c>
      <c r="H69" s="19">
        <v>82680</v>
      </c>
      <c r="I69" s="21">
        <v>91006</v>
      </c>
      <c r="J69" s="19">
        <v>91233.78</v>
      </c>
      <c r="K69" s="21">
        <v>96033.32</v>
      </c>
    </row>
    <row r="70" spans="1:11" x14ac:dyDescent="0.2">
      <c r="A70" s="18">
        <v>66</v>
      </c>
      <c r="B70" s="19">
        <v>69000</v>
      </c>
      <c r="C70" s="20">
        <v>81986</v>
      </c>
      <c r="D70" s="19">
        <v>72224</v>
      </c>
      <c r="E70" s="21">
        <v>85958</v>
      </c>
      <c r="F70" s="19">
        <v>77444</v>
      </c>
      <c r="G70" s="21">
        <v>89067</v>
      </c>
      <c r="H70" s="19">
        <v>81171</v>
      </c>
      <c r="I70" s="21">
        <v>90258</v>
      </c>
      <c r="J70" s="19">
        <v>90565.77</v>
      </c>
      <c r="K70" s="21">
        <v>95799.09</v>
      </c>
    </row>
    <row r="71" spans="1:11" x14ac:dyDescent="0.2">
      <c r="A71" s="18">
        <v>67</v>
      </c>
      <c r="B71" s="19">
        <v>66845</v>
      </c>
      <c r="C71" s="20">
        <v>80667</v>
      </c>
      <c r="D71" s="19">
        <v>70130</v>
      </c>
      <c r="E71" s="21">
        <v>84802</v>
      </c>
      <c r="F71" s="19">
        <v>75570</v>
      </c>
      <c r="G71" s="21">
        <v>88135</v>
      </c>
      <c r="H71" s="19">
        <v>79525</v>
      </c>
      <c r="I71" s="21">
        <v>89441</v>
      </c>
      <c r="J71" s="19">
        <v>89824.04</v>
      </c>
      <c r="K71" s="21">
        <v>95538.23</v>
      </c>
    </row>
    <row r="72" spans="1:11" x14ac:dyDescent="0.2">
      <c r="A72" s="18">
        <v>68</v>
      </c>
      <c r="B72" s="19">
        <v>64577</v>
      </c>
      <c r="C72" s="20">
        <v>79229</v>
      </c>
      <c r="D72" s="19">
        <v>67904</v>
      </c>
      <c r="E72" s="21">
        <v>83535</v>
      </c>
      <c r="F72" s="19">
        <v>73584</v>
      </c>
      <c r="G72" s="21">
        <v>87115</v>
      </c>
      <c r="H72" s="19">
        <v>77753</v>
      </c>
      <c r="I72" s="21">
        <v>88547</v>
      </c>
      <c r="J72" s="19">
        <v>88998.56</v>
      </c>
      <c r="K72" s="21">
        <v>95248.18</v>
      </c>
    </row>
    <row r="73" spans="1:11" x14ac:dyDescent="0.2">
      <c r="A73" s="18">
        <v>69</v>
      </c>
      <c r="B73" s="19">
        <v>62197</v>
      </c>
      <c r="C73" s="20">
        <v>77656</v>
      </c>
      <c r="D73" s="19">
        <v>65558</v>
      </c>
      <c r="E73" s="21">
        <v>82152</v>
      </c>
      <c r="F73" s="19">
        <v>71480</v>
      </c>
      <c r="G73" s="21">
        <v>85983</v>
      </c>
      <c r="H73" s="19">
        <v>75822</v>
      </c>
      <c r="I73" s="21">
        <v>87553</v>
      </c>
      <c r="J73" s="19">
        <v>88077.16</v>
      </c>
      <c r="K73" s="21">
        <v>94924.43</v>
      </c>
    </row>
    <row r="74" spans="1:11" x14ac:dyDescent="0.2">
      <c r="A74" s="18">
        <v>70</v>
      </c>
      <c r="B74" s="19">
        <v>59690</v>
      </c>
      <c r="C74" s="20">
        <v>75923</v>
      </c>
      <c r="D74" s="19">
        <v>63075</v>
      </c>
      <c r="E74" s="21">
        <v>80629</v>
      </c>
      <c r="F74" s="19">
        <v>69262</v>
      </c>
      <c r="G74" s="21">
        <v>84728</v>
      </c>
      <c r="H74" s="19">
        <v>73737</v>
      </c>
      <c r="I74" s="21">
        <v>86471</v>
      </c>
      <c r="J74" s="19">
        <v>87046.39</v>
      </c>
      <c r="K74" s="21">
        <v>94560.58</v>
      </c>
    </row>
    <row r="75" spans="1:11" x14ac:dyDescent="0.2">
      <c r="A75" s="18">
        <v>71</v>
      </c>
      <c r="B75" s="19">
        <v>57046</v>
      </c>
      <c r="C75" s="20">
        <v>74007</v>
      </c>
      <c r="D75" s="19">
        <v>60417</v>
      </c>
      <c r="E75" s="21">
        <v>78927</v>
      </c>
      <c r="F75" s="19">
        <v>66891</v>
      </c>
      <c r="G75" s="21">
        <v>83331</v>
      </c>
      <c r="H75" s="19">
        <v>71485</v>
      </c>
      <c r="I75" s="21">
        <v>85271</v>
      </c>
      <c r="J75" s="19">
        <v>85891.28</v>
      </c>
      <c r="K75" s="21">
        <v>94148.01</v>
      </c>
    </row>
    <row r="76" spans="1:11" x14ac:dyDescent="0.2">
      <c r="A76" s="18">
        <v>72</v>
      </c>
      <c r="B76" s="19">
        <v>54247</v>
      </c>
      <c r="C76" s="20">
        <v>71874</v>
      </c>
      <c r="D76" s="19">
        <v>57600</v>
      </c>
      <c r="E76" s="21">
        <v>77036</v>
      </c>
      <c r="F76" s="19">
        <v>64417</v>
      </c>
      <c r="G76" s="21">
        <v>81800</v>
      </c>
      <c r="H76" s="19">
        <v>69051</v>
      </c>
      <c r="I76" s="21">
        <v>83947</v>
      </c>
      <c r="J76" s="19">
        <v>84595.35</v>
      </c>
      <c r="K76" s="21">
        <v>93676.23</v>
      </c>
    </row>
    <row r="77" spans="1:11" x14ac:dyDescent="0.2">
      <c r="A77" s="18">
        <v>73</v>
      </c>
      <c r="B77" s="19">
        <v>51294</v>
      </c>
      <c r="C77" s="20">
        <v>69503</v>
      </c>
      <c r="D77" s="19">
        <v>54618</v>
      </c>
      <c r="E77" s="21">
        <v>74937</v>
      </c>
      <c r="F77" s="19">
        <v>61821</v>
      </c>
      <c r="G77" s="21">
        <v>80129</v>
      </c>
      <c r="H77" s="19">
        <v>66484</v>
      </c>
      <c r="I77" s="21">
        <v>82469</v>
      </c>
      <c r="J77" s="19">
        <v>83139.89</v>
      </c>
      <c r="K77" s="21">
        <v>93132.81</v>
      </c>
    </row>
    <row r="78" spans="1:11" x14ac:dyDescent="0.2">
      <c r="A78" s="18">
        <v>74</v>
      </c>
      <c r="B78" s="19">
        <v>48218</v>
      </c>
      <c r="C78" s="20">
        <v>66896</v>
      </c>
      <c r="D78" s="19">
        <v>51496</v>
      </c>
      <c r="E78" s="21">
        <v>72624</v>
      </c>
      <c r="F78" s="19">
        <v>59116</v>
      </c>
      <c r="G78" s="21">
        <v>78310</v>
      </c>
      <c r="H78" s="19">
        <v>63813</v>
      </c>
      <c r="I78" s="21">
        <v>80836</v>
      </c>
      <c r="J78" s="19">
        <v>81504.61</v>
      </c>
      <c r="K78" s="21">
        <v>92502.77</v>
      </c>
    </row>
    <row r="79" spans="1:11" x14ac:dyDescent="0.2">
      <c r="A79" s="18">
        <v>75</v>
      </c>
      <c r="B79" s="19">
        <v>45050</v>
      </c>
      <c r="C79" s="20">
        <v>64052</v>
      </c>
      <c r="D79" s="19">
        <v>48260</v>
      </c>
      <c r="E79" s="21">
        <v>70086</v>
      </c>
      <c r="F79" s="19">
        <v>56286</v>
      </c>
      <c r="G79" s="21">
        <v>76310</v>
      </c>
      <c r="H79" s="19">
        <v>60993</v>
      </c>
      <c r="I79" s="21">
        <v>79019</v>
      </c>
      <c r="J79" s="19">
        <v>79668.149999999994</v>
      </c>
      <c r="K79" s="21">
        <v>91768.11</v>
      </c>
    </row>
    <row r="80" spans="1:11" x14ac:dyDescent="0.2">
      <c r="A80" s="18">
        <v>76</v>
      </c>
      <c r="B80" s="19">
        <v>41828</v>
      </c>
      <c r="C80" s="20">
        <v>60986</v>
      </c>
      <c r="D80" s="19">
        <v>44936</v>
      </c>
      <c r="E80" s="21">
        <v>67323</v>
      </c>
      <c r="F80" s="19">
        <v>53324</v>
      </c>
      <c r="G80" s="21">
        <v>74107</v>
      </c>
      <c r="H80" s="19">
        <v>58044</v>
      </c>
      <c r="I80" s="21">
        <v>77004</v>
      </c>
      <c r="J80" s="19">
        <v>77603.789999999994</v>
      </c>
      <c r="K80" s="21">
        <v>90907.33</v>
      </c>
    </row>
    <row r="81" spans="1:11" x14ac:dyDescent="0.2">
      <c r="A81" s="18">
        <v>77</v>
      </c>
      <c r="B81" s="19">
        <v>38584</v>
      </c>
      <c r="C81" s="20">
        <v>57704</v>
      </c>
      <c r="D81" s="19">
        <v>41508</v>
      </c>
      <c r="E81" s="21">
        <v>64303</v>
      </c>
      <c r="F81" s="19">
        <v>50223</v>
      </c>
      <c r="G81" s="21">
        <v>71678</v>
      </c>
      <c r="H81" s="19">
        <v>55004</v>
      </c>
      <c r="I81" s="21">
        <v>74823</v>
      </c>
      <c r="J81" s="19">
        <v>75290.03</v>
      </c>
      <c r="K81" s="21">
        <v>89894.17</v>
      </c>
    </row>
    <row r="82" spans="1:11" x14ac:dyDescent="0.2">
      <c r="A82" s="18">
        <v>78</v>
      </c>
      <c r="B82" s="19">
        <v>35347</v>
      </c>
      <c r="C82" s="20">
        <v>54215</v>
      </c>
      <c r="D82" s="19">
        <v>38048</v>
      </c>
      <c r="E82" s="21">
        <v>61041</v>
      </c>
      <c r="F82" s="19">
        <v>47042</v>
      </c>
      <c r="G82" s="21">
        <v>69015</v>
      </c>
      <c r="H82" s="19">
        <v>51934</v>
      </c>
      <c r="I82" s="21">
        <v>72518</v>
      </c>
      <c r="J82" s="19">
        <v>72715.11</v>
      </c>
      <c r="K82" s="21">
        <v>88699.12</v>
      </c>
    </row>
    <row r="83" spans="1:11" x14ac:dyDescent="0.2">
      <c r="A83" s="18">
        <v>79</v>
      </c>
      <c r="B83" s="19">
        <v>32144</v>
      </c>
      <c r="C83" s="20">
        <v>50546</v>
      </c>
      <c r="D83" s="19">
        <v>34595</v>
      </c>
      <c r="E83" s="21">
        <v>57554</v>
      </c>
      <c r="F83" s="19">
        <v>43774</v>
      </c>
      <c r="G83" s="21">
        <v>66115</v>
      </c>
      <c r="H83" s="19">
        <v>48768</v>
      </c>
      <c r="I83" s="21">
        <v>70033</v>
      </c>
      <c r="J83" s="19">
        <v>69873.039999999994</v>
      </c>
      <c r="K83" s="21">
        <v>87289.87</v>
      </c>
    </row>
    <row r="84" spans="1:11" x14ac:dyDescent="0.2">
      <c r="A84" s="18">
        <v>80</v>
      </c>
      <c r="B84" s="19">
        <v>28998</v>
      </c>
      <c r="C84" s="20">
        <v>46726</v>
      </c>
      <c r="D84" s="19">
        <v>31178</v>
      </c>
      <c r="E84" s="21">
        <v>53872</v>
      </c>
      <c r="F84" s="19">
        <v>40417</v>
      </c>
      <c r="G84" s="21">
        <v>62959</v>
      </c>
      <c r="H84" s="19">
        <v>45403</v>
      </c>
      <c r="I84" s="21">
        <v>67249</v>
      </c>
      <c r="J84" s="19">
        <v>66765.16</v>
      </c>
      <c r="K84" s="21">
        <v>85631.54</v>
      </c>
    </row>
    <row r="85" spans="1:11" x14ac:dyDescent="0.2">
      <c r="A85" s="18">
        <v>81</v>
      </c>
      <c r="B85" s="19">
        <v>25931</v>
      </c>
      <c r="C85" s="20">
        <v>42799</v>
      </c>
      <c r="D85" s="19">
        <v>27824</v>
      </c>
      <c r="E85" s="21">
        <v>50026</v>
      </c>
      <c r="F85" s="19">
        <v>36988</v>
      </c>
      <c r="G85" s="21">
        <v>59544</v>
      </c>
      <c r="H85" s="19">
        <v>41715</v>
      </c>
      <c r="I85" s="21">
        <v>63982</v>
      </c>
      <c r="J85" s="19">
        <v>63386.58</v>
      </c>
      <c r="K85" s="21">
        <v>83685.48</v>
      </c>
    </row>
    <row r="86" spans="1:11" x14ac:dyDescent="0.2">
      <c r="A86" s="18">
        <v>82</v>
      </c>
      <c r="B86" s="19">
        <v>22960</v>
      </c>
      <c r="C86" s="20">
        <v>38795</v>
      </c>
      <c r="D86" s="19">
        <v>24550</v>
      </c>
      <c r="E86" s="21">
        <v>46049</v>
      </c>
      <c r="F86" s="19">
        <v>33480</v>
      </c>
      <c r="G86" s="21">
        <v>55838</v>
      </c>
      <c r="H86" s="19">
        <v>37831</v>
      </c>
      <c r="I86" s="21">
        <v>60266</v>
      </c>
      <c r="J86" s="19">
        <v>59729.49</v>
      </c>
      <c r="K86" s="21">
        <v>81401.95</v>
      </c>
    </row>
    <row r="87" spans="1:11" x14ac:dyDescent="0.2">
      <c r="A87" s="18">
        <v>83</v>
      </c>
      <c r="B87" s="19">
        <v>20089</v>
      </c>
      <c r="C87" s="20">
        <v>34764</v>
      </c>
      <c r="D87" s="19">
        <v>21411</v>
      </c>
      <c r="E87" s="21">
        <v>41974</v>
      </c>
      <c r="F87" s="19">
        <v>29963</v>
      </c>
      <c r="G87" s="21">
        <v>51872</v>
      </c>
      <c r="H87" s="19">
        <v>33942</v>
      </c>
      <c r="I87" s="21">
        <v>56316</v>
      </c>
      <c r="J87" s="19">
        <v>55802.22</v>
      </c>
      <c r="K87" s="21">
        <v>78727.81</v>
      </c>
    </row>
    <row r="88" spans="1:11" x14ac:dyDescent="0.2">
      <c r="A88" s="18">
        <v>84</v>
      </c>
      <c r="B88" s="19">
        <v>17335</v>
      </c>
      <c r="C88" s="20">
        <v>30766</v>
      </c>
      <c r="D88" s="19">
        <v>18438</v>
      </c>
      <c r="E88" s="21">
        <v>37848</v>
      </c>
      <c r="F88" s="19">
        <v>26488</v>
      </c>
      <c r="G88" s="21">
        <v>47677</v>
      </c>
      <c r="H88" s="19">
        <v>30212</v>
      </c>
      <c r="I88" s="21">
        <v>52243</v>
      </c>
      <c r="J88" s="19">
        <v>51623.02</v>
      </c>
      <c r="K88" s="21">
        <v>75608.850000000006</v>
      </c>
    </row>
    <row r="89" spans="1:11" x14ac:dyDescent="0.2">
      <c r="A89" s="18">
        <v>85</v>
      </c>
      <c r="B89" s="19">
        <v>14725</v>
      </c>
      <c r="C89" s="20">
        <v>26864</v>
      </c>
      <c r="D89" s="19">
        <v>15661</v>
      </c>
      <c r="E89" s="21">
        <v>33722</v>
      </c>
      <c r="F89" s="19">
        <v>23107</v>
      </c>
      <c r="G89" s="21">
        <v>43322</v>
      </c>
      <c r="H89" s="19">
        <v>26734</v>
      </c>
      <c r="I89" s="21">
        <v>48186</v>
      </c>
      <c r="J89" s="19">
        <v>47221.23</v>
      </c>
      <c r="K89" s="21">
        <v>71995.960000000006</v>
      </c>
    </row>
    <row r="90" spans="1:11" x14ac:dyDescent="0.2">
      <c r="A90" s="18">
        <v>86</v>
      </c>
      <c r="B90" s="19">
        <v>12291</v>
      </c>
      <c r="C90" s="20">
        <v>23123</v>
      </c>
      <c r="D90" s="19">
        <v>13105</v>
      </c>
      <c r="E90" s="21">
        <v>29650</v>
      </c>
      <c r="F90" s="19">
        <v>19860</v>
      </c>
      <c r="G90" s="21">
        <v>38854</v>
      </c>
      <c r="H90" s="19">
        <v>23394</v>
      </c>
      <c r="I90" s="21">
        <v>44049</v>
      </c>
      <c r="J90" s="19">
        <v>42632.51</v>
      </c>
      <c r="K90" s="21">
        <v>67855.11</v>
      </c>
    </row>
    <row r="91" spans="1:11" x14ac:dyDescent="0.2">
      <c r="A91" s="18">
        <v>87</v>
      </c>
      <c r="B91" s="19">
        <v>10065</v>
      </c>
      <c r="C91" s="20">
        <v>19602</v>
      </c>
      <c r="D91" s="19">
        <v>10789</v>
      </c>
      <c r="E91" s="21">
        <v>25692</v>
      </c>
      <c r="F91" s="19">
        <v>16806</v>
      </c>
      <c r="G91" s="21">
        <v>34335</v>
      </c>
      <c r="H91" s="19">
        <v>20198</v>
      </c>
      <c r="I91" s="21">
        <v>39816</v>
      </c>
      <c r="J91" s="19">
        <v>37910.620000000003</v>
      </c>
      <c r="K91" s="21">
        <v>63171.95</v>
      </c>
    </row>
    <row r="92" spans="1:11" x14ac:dyDescent="0.2">
      <c r="A92" s="18">
        <v>88</v>
      </c>
      <c r="B92" s="19">
        <v>8073</v>
      </c>
      <c r="C92" s="20">
        <v>16352</v>
      </c>
      <c r="D92" s="19">
        <v>8728</v>
      </c>
      <c r="E92" s="21">
        <v>21906</v>
      </c>
      <c r="F92" s="19">
        <v>14007</v>
      </c>
      <c r="G92" s="21">
        <v>29876</v>
      </c>
      <c r="H92" s="19">
        <v>17146</v>
      </c>
      <c r="I92" s="21">
        <v>35463</v>
      </c>
      <c r="J92" s="19">
        <v>33138.89</v>
      </c>
      <c r="K92" s="21">
        <v>57961.46</v>
      </c>
    </row>
    <row r="93" spans="1:11" x14ac:dyDescent="0.2">
      <c r="A93" s="18">
        <v>89</v>
      </c>
      <c r="B93" s="19">
        <v>6333</v>
      </c>
      <c r="C93" s="20">
        <v>13413</v>
      </c>
      <c r="D93" s="19">
        <v>6927</v>
      </c>
      <c r="E93" s="21">
        <v>18348</v>
      </c>
      <c r="F93" s="19">
        <v>11491</v>
      </c>
      <c r="G93" s="21">
        <v>25567</v>
      </c>
      <c r="H93" s="19">
        <v>14330</v>
      </c>
      <c r="I93" s="21">
        <v>31144</v>
      </c>
      <c r="J93" s="19">
        <v>28427.200000000001</v>
      </c>
      <c r="K93" s="21">
        <v>52276.31</v>
      </c>
    </row>
    <row r="94" spans="1:11" x14ac:dyDescent="0.2">
      <c r="A94" s="18">
        <v>90</v>
      </c>
      <c r="B94" s="19">
        <v>4852</v>
      </c>
      <c r="C94" s="20">
        <v>10810</v>
      </c>
      <c r="D94" s="19">
        <v>5384</v>
      </c>
      <c r="E94" s="21">
        <v>15068</v>
      </c>
      <c r="F94" s="19">
        <v>9271</v>
      </c>
      <c r="G94" s="21">
        <v>21484</v>
      </c>
      <c r="H94" s="19">
        <v>11765</v>
      </c>
      <c r="I94" s="21">
        <v>26895</v>
      </c>
      <c r="J94" s="19">
        <v>23902.3</v>
      </c>
      <c r="K94" s="21">
        <v>46215.55</v>
      </c>
    </row>
    <row r="95" spans="1:11" x14ac:dyDescent="0.2">
      <c r="A95" s="18">
        <v>91</v>
      </c>
      <c r="B95" s="19">
        <v>3626</v>
      </c>
      <c r="C95" s="20">
        <v>8554</v>
      </c>
      <c r="D95" s="19">
        <v>4091</v>
      </c>
      <c r="E95" s="21">
        <v>12108</v>
      </c>
      <c r="F95" s="19">
        <v>7343</v>
      </c>
      <c r="G95" s="21">
        <v>17690</v>
      </c>
      <c r="H95" s="19">
        <v>9475</v>
      </c>
      <c r="I95" s="21">
        <v>22803</v>
      </c>
      <c r="J95" s="19">
        <v>19702.02</v>
      </c>
      <c r="K95" s="21">
        <v>39999.879999999997</v>
      </c>
    </row>
    <row r="96" spans="1:11" x14ac:dyDescent="0.2">
      <c r="A96" s="18">
        <v>92</v>
      </c>
      <c r="B96" s="19">
        <v>2640</v>
      </c>
      <c r="C96" s="20">
        <v>6641</v>
      </c>
      <c r="D96" s="19">
        <v>3034</v>
      </c>
      <c r="E96" s="21">
        <v>9498</v>
      </c>
      <c r="F96" s="19">
        <v>5671</v>
      </c>
      <c r="G96" s="21">
        <v>14141</v>
      </c>
      <c r="H96" s="19">
        <v>7465</v>
      </c>
      <c r="I96" s="21">
        <v>18917</v>
      </c>
      <c r="J96" s="19">
        <v>15853.29</v>
      </c>
      <c r="K96" s="21">
        <v>33705.14</v>
      </c>
    </row>
    <row r="97" spans="1:11" x14ac:dyDescent="0.2">
      <c r="A97" s="18">
        <v>93</v>
      </c>
      <c r="B97" s="19">
        <v>1871</v>
      </c>
      <c r="C97" s="20">
        <v>5056</v>
      </c>
      <c r="D97" s="19">
        <v>2191</v>
      </c>
      <c r="E97" s="21">
        <v>7256</v>
      </c>
      <c r="F97" s="19">
        <v>4284</v>
      </c>
      <c r="G97" s="21">
        <v>11010</v>
      </c>
      <c r="H97" s="19">
        <v>5765</v>
      </c>
      <c r="I97" s="21">
        <v>15385</v>
      </c>
      <c r="J97" s="19">
        <v>12440.68</v>
      </c>
      <c r="K97" s="21">
        <v>27619.07</v>
      </c>
    </row>
    <row r="98" spans="1:11" x14ac:dyDescent="0.2">
      <c r="A98" s="18">
        <v>94</v>
      </c>
      <c r="B98" s="19">
        <v>1289</v>
      </c>
      <c r="C98" s="20">
        <v>3772</v>
      </c>
      <c r="D98" s="19">
        <v>1537</v>
      </c>
      <c r="E98" s="21">
        <v>5383</v>
      </c>
      <c r="F98" s="19">
        <v>3159</v>
      </c>
      <c r="G98" s="21">
        <v>8325</v>
      </c>
      <c r="H98" s="19">
        <v>4362</v>
      </c>
      <c r="I98" s="21">
        <v>12250</v>
      </c>
      <c r="J98" s="19">
        <v>9510.68</v>
      </c>
      <c r="K98" s="21">
        <v>21983.32</v>
      </c>
    </row>
    <row r="99" spans="1:11" x14ac:dyDescent="0.2">
      <c r="A99" s="18">
        <v>95</v>
      </c>
      <c r="B99" s="19">
        <v>863</v>
      </c>
      <c r="C99" s="20">
        <v>2757</v>
      </c>
      <c r="D99" s="19">
        <v>1045</v>
      </c>
      <c r="E99" s="21">
        <v>3866</v>
      </c>
      <c r="F99" s="19">
        <v>2270</v>
      </c>
      <c r="G99" s="21">
        <v>6092</v>
      </c>
      <c r="H99" s="19">
        <v>3223</v>
      </c>
      <c r="I99" s="21">
        <v>9514</v>
      </c>
      <c r="J99" s="19">
        <v>7075.05</v>
      </c>
      <c r="K99" s="21">
        <v>16974.62</v>
      </c>
    </row>
    <row r="100" spans="1:11" x14ac:dyDescent="0.2">
      <c r="A100" s="18">
        <v>96</v>
      </c>
      <c r="B100" s="19">
        <v>561</v>
      </c>
      <c r="C100" s="20">
        <v>1972</v>
      </c>
      <c r="D100" s="19">
        <v>686</v>
      </c>
      <c r="E100" s="21">
        <v>2679</v>
      </c>
      <c r="F100" s="19">
        <v>1586</v>
      </c>
      <c r="G100" s="21">
        <v>4299</v>
      </c>
      <c r="H100" s="19">
        <v>2311</v>
      </c>
      <c r="I100" s="21">
        <v>7172</v>
      </c>
      <c r="J100" s="19">
        <v>5115.54</v>
      </c>
      <c r="K100" s="21">
        <v>12698.17</v>
      </c>
    </row>
    <row r="101" spans="1:11" x14ac:dyDescent="0.2">
      <c r="A101" s="18">
        <v>97</v>
      </c>
      <c r="B101" s="19">
        <v>354</v>
      </c>
      <c r="C101" s="20">
        <v>1381</v>
      </c>
      <c r="D101" s="19">
        <v>434</v>
      </c>
      <c r="E101" s="21">
        <v>1784</v>
      </c>
      <c r="F101" s="19">
        <v>1076</v>
      </c>
      <c r="G101" s="21">
        <v>2913</v>
      </c>
      <c r="H101" s="19">
        <v>1593</v>
      </c>
      <c r="I101" s="21">
        <v>5211</v>
      </c>
      <c r="J101" s="19">
        <v>3590.22</v>
      </c>
      <c r="K101" s="21">
        <v>9189.34</v>
      </c>
    </row>
    <row r="102" spans="1:11" x14ac:dyDescent="0.2">
      <c r="A102" s="18">
        <v>98</v>
      </c>
      <c r="B102" s="19">
        <v>216</v>
      </c>
      <c r="C102" s="20">
        <v>946</v>
      </c>
      <c r="D102" s="19">
        <v>264</v>
      </c>
      <c r="E102" s="21">
        <v>1138</v>
      </c>
      <c r="F102" s="19">
        <v>706</v>
      </c>
      <c r="G102" s="21">
        <v>1886</v>
      </c>
      <c r="H102" s="19">
        <v>1060</v>
      </c>
      <c r="I102" s="21">
        <v>3659</v>
      </c>
      <c r="J102" s="19">
        <v>2442.5300000000002</v>
      </c>
      <c r="K102" s="21">
        <v>6423.14</v>
      </c>
    </row>
    <row r="103" spans="1:11" x14ac:dyDescent="0.2">
      <c r="A103" s="18">
        <v>99</v>
      </c>
      <c r="B103" s="19">
        <v>128</v>
      </c>
      <c r="C103" s="20">
        <v>633</v>
      </c>
      <c r="D103" s="19">
        <v>154</v>
      </c>
      <c r="E103" s="21">
        <v>691</v>
      </c>
      <c r="F103" s="19">
        <v>447</v>
      </c>
      <c r="G103" s="21">
        <v>1162</v>
      </c>
      <c r="H103" s="19">
        <v>678</v>
      </c>
      <c r="I103" s="21">
        <v>2477</v>
      </c>
      <c r="J103" s="19">
        <v>1608.35</v>
      </c>
      <c r="K103" s="21">
        <v>4328.84</v>
      </c>
    </row>
    <row r="104" spans="1:11" x14ac:dyDescent="0.2">
      <c r="A104" s="18">
        <v>100</v>
      </c>
      <c r="B104" s="19">
        <v>73</v>
      </c>
      <c r="C104" s="20">
        <v>414</v>
      </c>
      <c r="D104" s="19">
        <v>85</v>
      </c>
      <c r="E104" s="21">
        <v>398</v>
      </c>
      <c r="F104" s="19">
        <v>272</v>
      </c>
      <c r="G104" s="21">
        <v>676</v>
      </c>
      <c r="H104" s="19">
        <v>417</v>
      </c>
      <c r="I104" s="21">
        <v>1612</v>
      </c>
      <c r="J104" s="19">
        <v>1023.47</v>
      </c>
      <c r="K104" s="21">
        <v>2807.85</v>
      </c>
    </row>
    <row r="105" spans="1:11" x14ac:dyDescent="0.2">
      <c r="A105" s="18">
        <v>101</v>
      </c>
      <c r="B105" s="19">
        <v>41</v>
      </c>
      <c r="C105" s="20">
        <v>265</v>
      </c>
      <c r="D105" s="19">
        <v>45</v>
      </c>
      <c r="E105" s="21">
        <v>216</v>
      </c>
      <c r="F105" s="19">
        <v>159</v>
      </c>
      <c r="G105" s="21">
        <v>370</v>
      </c>
      <c r="H105" s="19">
        <v>245</v>
      </c>
      <c r="I105" s="21">
        <v>1005</v>
      </c>
      <c r="J105" s="19">
        <v>628.27</v>
      </c>
      <c r="K105" s="21">
        <v>1749.37</v>
      </c>
    </row>
    <row r="106" spans="1:11" x14ac:dyDescent="0.2">
      <c r="A106" s="18">
        <v>102</v>
      </c>
      <c r="B106" s="19">
        <v>22</v>
      </c>
      <c r="C106" s="20">
        <v>166</v>
      </c>
      <c r="D106" s="19">
        <v>22</v>
      </c>
      <c r="E106" s="21">
        <v>110</v>
      </c>
      <c r="F106" s="19">
        <v>89</v>
      </c>
      <c r="G106" s="21">
        <v>189</v>
      </c>
      <c r="H106" s="19">
        <v>137</v>
      </c>
      <c r="I106" s="21">
        <v>600</v>
      </c>
      <c r="J106" s="19">
        <v>373.43</v>
      </c>
      <c r="K106" s="21">
        <v>1049.1300000000001</v>
      </c>
    </row>
    <row r="107" spans="1:11" x14ac:dyDescent="0.2">
      <c r="A107" s="18">
        <v>103</v>
      </c>
      <c r="B107" s="19">
        <v>11</v>
      </c>
      <c r="C107" s="20">
        <v>101</v>
      </c>
      <c r="D107" s="19">
        <v>11</v>
      </c>
      <c r="E107" s="21">
        <v>52</v>
      </c>
      <c r="F107" s="19">
        <v>47</v>
      </c>
      <c r="G107" s="21">
        <v>89</v>
      </c>
      <c r="H107" s="19">
        <v>72</v>
      </c>
      <c r="I107" s="21">
        <v>342</v>
      </c>
      <c r="J107" s="19">
        <v>214.68</v>
      </c>
      <c r="K107" s="21">
        <v>604.73</v>
      </c>
    </row>
    <row r="108" spans="1:11" x14ac:dyDescent="0.2">
      <c r="A108" s="18">
        <v>104</v>
      </c>
      <c r="B108" s="19">
        <v>6</v>
      </c>
      <c r="C108" s="20">
        <v>60</v>
      </c>
      <c r="D108" s="19">
        <v>5</v>
      </c>
      <c r="E108" s="21">
        <v>23</v>
      </c>
      <c r="F108" s="19">
        <v>24</v>
      </c>
      <c r="G108" s="21">
        <v>39</v>
      </c>
      <c r="H108" s="19">
        <v>36</v>
      </c>
      <c r="I108" s="21">
        <v>186</v>
      </c>
      <c r="J108" s="19">
        <v>119.24</v>
      </c>
      <c r="K108" s="21">
        <v>334.48</v>
      </c>
    </row>
    <row r="109" spans="1:11" x14ac:dyDescent="0.2">
      <c r="A109" s="18">
        <v>105</v>
      </c>
      <c r="B109" s="19">
        <v>3</v>
      </c>
      <c r="C109" s="20">
        <v>35</v>
      </c>
      <c r="D109" s="19">
        <v>0</v>
      </c>
      <c r="E109" s="21">
        <v>0</v>
      </c>
      <c r="F109" s="19">
        <v>11</v>
      </c>
      <c r="G109" s="21">
        <v>15</v>
      </c>
      <c r="H109" s="19">
        <v>17</v>
      </c>
      <c r="I109" s="21">
        <v>96</v>
      </c>
      <c r="J109" s="23">
        <v>63.91</v>
      </c>
      <c r="K109" s="24">
        <v>177.2</v>
      </c>
    </row>
    <row r="110" spans="1:11" x14ac:dyDescent="0.2">
      <c r="A110" s="18">
        <v>106</v>
      </c>
      <c r="B110" s="19">
        <v>1</v>
      </c>
      <c r="C110" s="20">
        <v>20</v>
      </c>
      <c r="D110" s="19">
        <v>0</v>
      </c>
      <c r="E110" s="21">
        <v>0</v>
      </c>
      <c r="F110" s="19">
        <v>5</v>
      </c>
      <c r="G110" s="21">
        <v>5</v>
      </c>
      <c r="H110" s="19">
        <v>7</v>
      </c>
      <c r="I110" s="21">
        <v>47</v>
      </c>
      <c r="J110" s="23">
        <v>33.01</v>
      </c>
      <c r="K110" s="24">
        <v>89.75</v>
      </c>
    </row>
    <row r="111" spans="1:11" x14ac:dyDescent="0.2">
      <c r="A111" s="18">
        <v>107</v>
      </c>
      <c r="B111" s="19">
        <v>0</v>
      </c>
      <c r="C111" s="20">
        <v>11</v>
      </c>
      <c r="D111" s="19">
        <v>0</v>
      </c>
      <c r="E111" s="21">
        <v>0</v>
      </c>
      <c r="F111" s="19">
        <v>0</v>
      </c>
      <c r="G111" s="21">
        <v>0</v>
      </c>
      <c r="H111" s="19">
        <v>3</v>
      </c>
      <c r="I111" s="21">
        <v>22</v>
      </c>
      <c r="J111" s="23">
        <v>0</v>
      </c>
      <c r="K111" s="24">
        <v>0</v>
      </c>
    </row>
    <row r="112" spans="1:11" x14ac:dyDescent="0.2">
      <c r="A112" s="18">
        <v>108</v>
      </c>
      <c r="B112" s="19">
        <v>0</v>
      </c>
      <c r="C112" s="20">
        <v>6</v>
      </c>
      <c r="D112" s="19">
        <v>0</v>
      </c>
      <c r="E112" s="21">
        <v>0</v>
      </c>
      <c r="F112" s="19">
        <v>0</v>
      </c>
      <c r="G112" s="21">
        <v>0</v>
      </c>
      <c r="H112" s="19">
        <v>1</v>
      </c>
      <c r="I112" s="21">
        <v>9</v>
      </c>
      <c r="J112" s="23">
        <v>0</v>
      </c>
      <c r="K112" s="24">
        <v>0</v>
      </c>
    </row>
    <row r="113" spans="1:11" x14ac:dyDescent="0.2">
      <c r="A113" s="18">
        <v>109</v>
      </c>
      <c r="B113" s="19">
        <v>0</v>
      </c>
      <c r="C113" s="20">
        <v>3</v>
      </c>
      <c r="D113" s="19">
        <v>0</v>
      </c>
      <c r="E113" s="21">
        <v>0</v>
      </c>
      <c r="F113" s="19">
        <v>0</v>
      </c>
      <c r="G113" s="21">
        <v>0</v>
      </c>
      <c r="H113" s="19">
        <v>0</v>
      </c>
      <c r="I113" s="21">
        <v>4</v>
      </c>
      <c r="J113" s="23">
        <v>0</v>
      </c>
      <c r="K113" s="24">
        <v>0</v>
      </c>
    </row>
    <row r="114" spans="1:11" x14ac:dyDescent="0.2">
      <c r="A114" s="18">
        <v>110</v>
      </c>
      <c r="B114" s="19">
        <v>0</v>
      </c>
      <c r="C114" s="20">
        <v>2</v>
      </c>
      <c r="D114" s="19">
        <v>0</v>
      </c>
      <c r="E114" s="21">
        <v>0</v>
      </c>
      <c r="F114" s="19">
        <v>0</v>
      </c>
      <c r="G114" s="21">
        <v>0</v>
      </c>
      <c r="H114" s="19">
        <v>0</v>
      </c>
      <c r="I114" s="21">
        <v>1</v>
      </c>
      <c r="J114" s="23">
        <v>0</v>
      </c>
      <c r="K114" s="24">
        <v>0</v>
      </c>
    </row>
    <row r="115" spans="1:11" x14ac:dyDescent="0.2">
      <c r="A115" s="25">
        <v>111</v>
      </c>
      <c r="B115" s="19">
        <v>0</v>
      </c>
      <c r="C115" s="20">
        <v>1</v>
      </c>
      <c r="D115" s="19">
        <v>0</v>
      </c>
      <c r="E115" s="21">
        <v>0</v>
      </c>
      <c r="F115" s="19">
        <v>0</v>
      </c>
      <c r="G115" s="21">
        <v>0</v>
      </c>
      <c r="H115" s="19">
        <v>0</v>
      </c>
      <c r="I115" s="21">
        <v>1</v>
      </c>
      <c r="J115" s="23">
        <v>0</v>
      </c>
      <c r="K115" s="24">
        <v>0</v>
      </c>
    </row>
  </sheetData>
  <pageMargins left="0.75" right="0.75" top="1" bottom="1" header="0.5" footer="0.5"/>
  <pageSetup paperSize="9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2"/>
  <dimension ref="A1:Z122"/>
  <sheetViews>
    <sheetView zoomScaleNormal="100" workbookViewId="0">
      <pane ySplit="2805" topLeftCell="A40" activePane="bottomLeft"/>
      <selection activeCell="B5" sqref="B5"/>
      <selection pane="bottomLeft" activeCell="D63" sqref="D63"/>
    </sheetView>
  </sheetViews>
  <sheetFormatPr defaultRowHeight="12.75" x14ac:dyDescent="0.2"/>
  <cols>
    <col min="1" max="1" width="19.42578125" style="27" bestFit="1" customWidth="1"/>
    <col min="2" max="2" width="17.5703125" style="27" customWidth="1"/>
    <col min="3" max="3" width="15" style="27" customWidth="1"/>
    <col min="4" max="4" width="9.5703125" style="27" bestFit="1" customWidth="1"/>
    <col min="5" max="5" width="10.5703125" style="27" bestFit="1" customWidth="1"/>
    <col min="6" max="6" width="11.85546875" style="27" customWidth="1"/>
    <col min="7" max="8" width="11.42578125" style="27" bestFit="1" customWidth="1"/>
    <col min="9" max="9" width="11.42578125" style="27" customWidth="1"/>
    <col min="10" max="10" width="11.42578125" style="27" bestFit="1" customWidth="1"/>
    <col min="11" max="14" width="9.140625" style="27"/>
    <col min="15" max="15" width="12" style="27" bestFit="1" customWidth="1"/>
    <col min="16" max="16" width="9.5703125" style="27" bestFit="1" customWidth="1"/>
    <col min="17" max="17" width="10.5703125" style="27" bestFit="1" customWidth="1"/>
    <col min="18" max="18" width="9.140625" style="27"/>
    <col min="19" max="19" width="11.5703125" style="27" bestFit="1" customWidth="1"/>
    <col min="20" max="20" width="9.140625" style="27"/>
    <col min="21" max="21" width="9.5703125" style="27" bestFit="1" customWidth="1"/>
    <col min="22" max="22" width="11.42578125" style="27" customWidth="1"/>
    <col min="23" max="24" width="10" style="27" bestFit="1" customWidth="1"/>
    <col min="25" max="256" width="9.140625" style="27"/>
    <col min="257" max="257" width="19.42578125" style="27" bestFit="1" customWidth="1"/>
    <col min="258" max="258" width="17.5703125" style="27" customWidth="1"/>
    <col min="259" max="259" width="15" style="27" customWidth="1"/>
    <col min="260" max="260" width="9.5703125" style="27" bestFit="1" customWidth="1"/>
    <col min="261" max="261" width="10.5703125" style="27" bestFit="1" customWidth="1"/>
    <col min="262" max="262" width="11.85546875" style="27" customWidth="1"/>
    <col min="263" max="264" width="11.42578125" style="27" bestFit="1" customWidth="1"/>
    <col min="265" max="265" width="11.42578125" style="27" customWidth="1"/>
    <col min="266" max="266" width="11.42578125" style="27" bestFit="1" customWidth="1"/>
    <col min="267" max="270" width="9.140625" style="27"/>
    <col min="271" max="271" width="12" style="27" bestFit="1" customWidth="1"/>
    <col min="272" max="272" width="9.5703125" style="27" bestFit="1" customWidth="1"/>
    <col min="273" max="273" width="10.5703125" style="27" bestFit="1" customWidth="1"/>
    <col min="274" max="274" width="9.140625" style="27"/>
    <col min="275" max="275" width="11.5703125" style="27" bestFit="1" customWidth="1"/>
    <col min="276" max="276" width="9.140625" style="27"/>
    <col min="277" max="277" width="9.5703125" style="27" bestFit="1" customWidth="1"/>
    <col min="278" max="278" width="11.42578125" style="27" customWidth="1"/>
    <col min="279" max="280" width="10" style="27" bestFit="1" customWidth="1"/>
    <col min="281" max="512" width="9.140625" style="27"/>
    <col min="513" max="513" width="19.42578125" style="27" bestFit="1" customWidth="1"/>
    <col min="514" max="514" width="17.5703125" style="27" customWidth="1"/>
    <col min="515" max="515" width="15" style="27" customWidth="1"/>
    <col min="516" max="516" width="9.5703125" style="27" bestFit="1" customWidth="1"/>
    <col min="517" max="517" width="10.5703125" style="27" bestFit="1" customWidth="1"/>
    <col min="518" max="518" width="11.85546875" style="27" customWidth="1"/>
    <col min="519" max="520" width="11.42578125" style="27" bestFit="1" customWidth="1"/>
    <col min="521" max="521" width="11.42578125" style="27" customWidth="1"/>
    <col min="522" max="522" width="11.42578125" style="27" bestFit="1" customWidth="1"/>
    <col min="523" max="526" width="9.140625" style="27"/>
    <col min="527" max="527" width="12" style="27" bestFit="1" customWidth="1"/>
    <col min="528" max="528" width="9.5703125" style="27" bestFit="1" customWidth="1"/>
    <col min="529" max="529" width="10.5703125" style="27" bestFit="1" customWidth="1"/>
    <col min="530" max="530" width="9.140625" style="27"/>
    <col min="531" max="531" width="11.5703125" style="27" bestFit="1" customWidth="1"/>
    <col min="532" max="532" width="9.140625" style="27"/>
    <col min="533" max="533" width="9.5703125" style="27" bestFit="1" customWidth="1"/>
    <col min="534" max="534" width="11.42578125" style="27" customWidth="1"/>
    <col min="535" max="536" width="10" style="27" bestFit="1" customWidth="1"/>
    <col min="537" max="768" width="9.140625" style="27"/>
    <col min="769" max="769" width="19.42578125" style="27" bestFit="1" customWidth="1"/>
    <col min="770" max="770" width="17.5703125" style="27" customWidth="1"/>
    <col min="771" max="771" width="15" style="27" customWidth="1"/>
    <col min="772" max="772" width="9.5703125" style="27" bestFit="1" customWidth="1"/>
    <col min="773" max="773" width="10.5703125" style="27" bestFit="1" customWidth="1"/>
    <col min="774" max="774" width="11.85546875" style="27" customWidth="1"/>
    <col min="775" max="776" width="11.42578125" style="27" bestFit="1" customWidth="1"/>
    <col min="777" max="777" width="11.42578125" style="27" customWidth="1"/>
    <col min="778" max="778" width="11.42578125" style="27" bestFit="1" customWidth="1"/>
    <col min="779" max="782" width="9.140625" style="27"/>
    <col min="783" max="783" width="12" style="27" bestFit="1" customWidth="1"/>
    <col min="784" max="784" width="9.5703125" style="27" bestFit="1" customWidth="1"/>
    <col min="785" max="785" width="10.5703125" style="27" bestFit="1" customWidth="1"/>
    <col min="786" max="786" width="9.140625" style="27"/>
    <col min="787" max="787" width="11.5703125" style="27" bestFit="1" customWidth="1"/>
    <col min="788" max="788" width="9.140625" style="27"/>
    <col min="789" max="789" width="9.5703125" style="27" bestFit="1" customWidth="1"/>
    <col min="790" max="790" width="11.42578125" style="27" customWidth="1"/>
    <col min="791" max="792" width="10" style="27" bestFit="1" customWidth="1"/>
    <col min="793" max="1024" width="9.140625" style="27"/>
    <col min="1025" max="1025" width="19.42578125" style="27" bestFit="1" customWidth="1"/>
    <col min="1026" max="1026" width="17.5703125" style="27" customWidth="1"/>
    <col min="1027" max="1027" width="15" style="27" customWidth="1"/>
    <col min="1028" max="1028" width="9.5703125" style="27" bestFit="1" customWidth="1"/>
    <col min="1029" max="1029" width="10.5703125" style="27" bestFit="1" customWidth="1"/>
    <col min="1030" max="1030" width="11.85546875" style="27" customWidth="1"/>
    <col min="1031" max="1032" width="11.42578125" style="27" bestFit="1" customWidth="1"/>
    <col min="1033" max="1033" width="11.42578125" style="27" customWidth="1"/>
    <col min="1034" max="1034" width="11.42578125" style="27" bestFit="1" customWidth="1"/>
    <col min="1035" max="1038" width="9.140625" style="27"/>
    <col min="1039" max="1039" width="12" style="27" bestFit="1" customWidth="1"/>
    <col min="1040" max="1040" width="9.5703125" style="27" bestFit="1" customWidth="1"/>
    <col min="1041" max="1041" width="10.5703125" style="27" bestFit="1" customWidth="1"/>
    <col min="1042" max="1042" width="9.140625" style="27"/>
    <col min="1043" max="1043" width="11.5703125" style="27" bestFit="1" customWidth="1"/>
    <col min="1044" max="1044" width="9.140625" style="27"/>
    <col min="1045" max="1045" width="9.5703125" style="27" bestFit="1" customWidth="1"/>
    <col min="1046" max="1046" width="11.42578125" style="27" customWidth="1"/>
    <col min="1047" max="1048" width="10" style="27" bestFit="1" customWidth="1"/>
    <col min="1049" max="1280" width="9.140625" style="27"/>
    <col min="1281" max="1281" width="19.42578125" style="27" bestFit="1" customWidth="1"/>
    <col min="1282" max="1282" width="17.5703125" style="27" customWidth="1"/>
    <col min="1283" max="1283" width="15" style="27" customWidth="1"/>
    <col min="1284" max="1284" width="9.5703125" style="27" bestFit="1" customWidth="1"/>
    <col min="1285" max="1285" width="10.5703125" style="27" bestFit="1" customWidth="1"/>
    <col min="1286" max="1286" width="11.85546875" style="27" customWidth="1"/>
    <col min="1287" max="1288" width="11.42578125" style="27" bestFit="1" customWidth="1"/>
    <col min="1289" max="1289" width="11.42578125" style="27" customWidth="1"/>
    <col min="1290" max="1290" width="11.42578125" style="27" bestFit="1" customWidth="1"/>
    <col min="1291" max="1294" width="9.140625" style="27"/>
    <col min="1295" max="1295" width="12" style="27" bestFit="1" customWidth="1"/>
    <col min="1296" max="1296" width="9.5703125" style="27" bestFit="1" customWidth="1"/>
    <col min="1297" max="1297" width="10.5703125" style="27" bestFit="1" customWidth="1"/>
    <col min="1298" max="1298" width="9.140625" style="27"/>
    <col min="1299" max="1299" width="11.5703125" style="27" bestFit="1" customWidth="1"/>
    <col min="1300" max="1300" width="9.140625" style="27"/>
    <col min="1301" max="1301" width="9.5703125" style="27" bestFit="1" customWidth="1"/>
    <col min="1302" max="1302" width="11.42578125" style="27" customWidth="1"/>
    <col min="1303" max="1304" width="10" style="27" bestFit="1" customWidth="1"/>
    <col min="1305" max="1536" width="9.140625" style="27"/>
    <col min="1537" max="1537" width="19.42578125" style="27" bestFit="1" customWidth="1"/>
    <col min="1538" max="1538" width="17.5703125" style="27" customWidth="1"/>
    <col min="1539" max="1539" width="15" style="27" customWidth="1"/>
    <col min="1540" max="1540" width="9.5703125" style="27" bestFit="1" customWidth="1"/>
    <col min="1541" max="1541" width="10.5703125" style="27" bestFit="1" customWidth="1"/>
    <col min="1542" max="1542" width="11.85546875" style="27" customWidth="1"/>
    <col min="1543" max="1544" width="11.42578125" style="27" bestFit="1" customWidth="1"/>
    <col min="1545" max="1545" width="11.42578125" style="27" customWidth="1"/>
    <col min="1546" max="1546" width="11.42578125" style="27" bestFit="1" customWidth="1"/>
    <col min="1547" max="1550" width="9.140625" style="27"/>
    <col min="1551" max="1551" width="12" style="27" bestFit="1" customWidth="1"/>
    <col min="1552" max="1552" width="9.5703125" style="27" bestFit="1" customWidth="1"/>
    <col min="1553" max="1553" width="10.5703125" style="27" bestFit="1" customWidth="1"/>
    <col min="1554" max="1554" width="9.140625" style="27"/>
    <col min="1555" max="1555" width="11.5703125" style="27" bestFit="1" customWidth="1"/>
    <col min="1556" max="1556" width="9.140625" style="27"/>
    <col min="1557" max="1557" width="9.5703125" style="27" bestFit="1" customWidth="1"/>
    <col min="1558" max="1558" width="11.42578125" style="27" customWidth="1"/>
    <col min="1559" max="1560" width="10" style="27" bestFit="1" customWidth="1"/>
    <col min="1561" max="1792" width="9.140625" style="27"/>
    <col min="1793" max="1793" width="19.42578125" style="27" bestFit="1" customWidth="1"/>
    <col min="1794" max="1794" width="17.5703125" style="27" customWidth="1"/>
    <col min="1795" max="1795" width="15" style="27" customWidth="1"/>
    <col min="1796" max="1796" width="9.5703125" style="27" bestFit="1" customWidth="1"/>
    <col min="1797" max="1797" width="10.5703125" style="27" bestFit="1" customWidth="1"/>
    <col min="1798" max="1798" width="11.85546875" style="27" customWidth="1"/>
    <col min="1799" max="1800" width="11.42578125" style="27" bestFit="1" customWidth="1"/>
    <col min="1801" max="1801" width="11.42578125" style="27" customWidth="1"/>
    <col min="1802" max="1802" width="11.42578125" style="27" bestFit="1" customWidth="1"/>
    <col min="1803" max="1806" width="9.140625" style="27"/>
    <col min="1807" max="1807" width="12" style="27" bestFit="1" customWidth="1"/>
    <col min="1808" max="1808" width="9.5703125" style="27" bestFit="1" customWidth="1"/>
    <col min="1809" max="1809" width="10.5703125" style="27" bestFit="1" customWidth="1"/>
    <col min="1810" max="1810" width="9.140625" style="27"/>
    <col min="1811" max="1811" width="11.5703125" style="27" bestFit="1" customWidth="1"/>
    <col min="1812" max="1812" width="9.140625" style="27"/>
    <col min="1813" max="1813" width="9.5703125" style="27" bestFit="1" customWidth="1"/>
    <col min="1814" max="1814" width="11.42578125" style="27" customWidth="1"/>
    <col min="1815" max="1816" width="10" style="27" bestFit="1" customWidth="1"/>
    <col min="1817" max="2048" width="9.140625" style="27"/>
    <col min="2049" max="2049" width="19.42578125" style="27" bestFit="1" customWidth="1"/>
    <col min="2050" max="2050" width="17.5703125" style="27" customWidth="1"/>
    <col min="2051" max="2051" width="15" style="27" customWidth="1"/>
    <col min="2052" max="2052" width="9.5703125" style="27" bestFit="1" customWidth="1"/>
    <col min="2053" max="2053" width="10.5703125" style="27" bestFit="1" customWidth="1"/>
    <col min="2054" max="2054" width="11.85546875" style="27" customWidth="1"/>
    <col min="2055" max="2056" width="11.42578125" style="27" bestFit="1" customWidth="1"/>
    <col min="2057" max="2057" width="11.42578125" style="27" customWidth="1"/>
    <col min="2058" max="2058" width="11.42578125" style="27" bestFit="1" customWidth="1"/>
    <col min="2059" max="2062" width="9.140625" style="27"/>
    <col min="2063" max="2063" width="12" style="27" bestFit="1" customWidth="1"/>
    <col min="2064" max="2064" width="9.5703125" style="27" bestFit="1" customWidth="1"/>
    <col min="2065" max="2065" width="10.5703125" style="27" bestFit="1" customWidth="1"/>
    <col min="2066" max="2066" width="9.140625" style="27"/>
    <col min="2067" max="2067" width="11.5703125" style="27" bestFit="1" customWidth="1"/>
    <col min="2068" max="2068" width="9.140625" style="27"/>
    <col min="2069" max="2069" width="9.5703125" style="27" bestFit="1" customWidth="1"/>
    <col min="2070" max="2070" width="11.42578125" style="27" customWidth="1"/>
    <col min="2071" max="2072" width="10" style="27" bestFit="1" customWidth="1"/>
    <col min="2073" max="2304" width="9.140625" style="27"/>
    <col min="2305" max="2305" width="19.42578125" style="27" bestFit="1" customWidth="1"/>
    <col min="2306" max="2306" width="17.5703125" style="27" customWidth="1"/>
    <col min="2307" max="2307" width="15" style="27" customWidth="1"/>
    <col min="2308" max="2308" width="9.5703125" style="27" bestFit="1" customWidth="1"/>
    <col min="2309" max="2309" width="10.5703125" style="27" bestFit="1" customWidth="1"/>
    <col min="2310" max="2310" width="11.85546875" style="27" customWidth="1"/>
    <col min="2311" max="2312" width="11.42578125" style="27" bestFit="1" customWidth="1"/>
    <col min="2313" max="2313" width="11.42578125" style="27" customWidth="1"/>
    <col min="2314" max="2314" width="11.42578125" style="27" bestFit="1" customWidth="1"/>
    <col min="2315" max="2318" width="9.140625" style="27"/>
    <col min="2319" max="2319" width="12" style="27" bestFit="1" customWidth="1"/>
    <col min="2320" max="2320" width="9.5703125" style="27" bestFit="1" customWidth="1"/>
    <col min="2321" max="2321" width="10.5703125" style="27" bestFit="1" customWidth="1"/>
    <col min="2322" max="2322" width="9.140625" style="27"/>
    <col min="2323" max="2323" width="11.5703125" style="27" bestFit="1" customWidth="1"/>
    <col min="2324" max="2324" width="9.140625" style="27"/>
    <col min="2325" max="2325" width="9.5703125" style="27" bestFit="1" customWidth="1"/>
    <col min="2326" max="2326" width="11.42578125" style="27" customWidth="1"/>
    <col min="2327" max="2328" width="10" style="27" bestFit="1" customWidth="1"/>
    <col min="2329" max="2560" width="9.140625" style="27"/>
    <col min="2561" max="2561" width="19.42578125" style="27" bestFit="1" customWidth="1"/>
    <col min="2562" max="2562" width="17.5703125" style="27" customWidth="1"/>
    <col min="2563" max="2563" width="15" style="27" customWidth="1"/>
    <col min="2564" max="2564" width="9.5703125" style="27" bestFit="1" customWidth="1"/>
    <col min="2565" max="2565" width="10.5703125" style="27" bestFit="1" customWidth="1"/>
    <col min="2566" max="2566" width="11.85546875" style="27" customWidth="1"/>
    <col min="2567" max="2568" width="11.42578125" style="27" bestFit="1" customWidth="1"/>
    <col min="2569" max="2569" width="11.42578125" style="27" customWidth="1"/>
    <col min="2570" max="2570" width="11.42578125" style="27" bestFit="1" customWidth="1"/>
    <col min="2571" max="2574" width="9.140625" style="27"/>
    <col min="2575" max="2575" width="12" style="27" bestFit="1" customWidth="1"/>
    <col min="2576" max="2576" width="9.5703125" style="27" bestFit="1" customWidth="1"/>
    <col min="2577" max="2577" width="10.5703125" style="27" bestFit="1" customWidth="1"/>
    <col min="2578" max="2578" width="9.140625" style="27"/>
    <col min="2579" max="2579" width="11.5703125" style="27" bestFit="1" customWidth="1"/>
    <col min="2580" max="2580" width="9.140625" style="27"/>
    <col min="2581" max="2581" width="9.5703125" style="27" bestFit="1" customWidth="1"/>
    <col min="2582" max="2582" width="11.42578125" style="27" customWidth="1"/>
    <col min="2583" max="2584" width="10" style="27" bestFit="1" customWidth="1"/>
    <col min="2585" max="2816" width="9.140625" style="27"/>
    <col min="2817" max="2817" width="19.42578125" style="27" bestFit="1" customWidth="1"/>
    <col min="2818" max="2818" width="17.5703125" style="27" customWidth="1"/>
    <col min="2819" max="2819" width="15" style="27" customWidth="1"/>
    <col min="2820" max="2820" width="9.5703125" style="27" bestFit="1" customWidth="1"/>
    <col min="2821" max="2821" width="10.5703125" style="27" bestFit="1" customWidth="1"/>
    <col min="2822" max="2822" width="11.85546875" style="27" customWidth="1"/>
    <col min="2823" max="2824" width="11.42578125" style="27" bestFit="1" customWidth="1"/>
    <col min="2825" max="2825" width="11.42578125" style="27" customWidth="1"/>
    <col min="2826" max="2826" width="11.42578125" style="27" bestFit="1" customWidth="1"/>
    <col min="2827" max="2830" width="9.140625" style="27"/>
    <col min="2831" max="2831" width="12" style="27" bestFit="1" customWidth="1"/>
    <col min="2832" max="2832" width="9.5703125" style="27" bestFit="1" customWidth="1"/>
    <col min="2833" max="2833" width="10.5703125" style="27" bestFit="1" customWidth="1"/>
    <col min="2834" max="2834" width="9.140625" style="27"/>
    <col min="2835" max="2835" width="11.5703125" style="27" bestFit="1" customWidth="1"/>
    <col min="2836" max="2836" width="9.140625" style="27"/>
    <col min="2837" max="2837" width="9.5703125" style="27" bestFit="1" customWidth="1"/>
    <col min="2838" max="2838" width="11.42578125" style="27" customWidth="1"/>
    <col min="2839" max="2840" width="10" style="27" bestFit="1" customWidth="1"/>
    <col min="2841" max="3072" width="9.140625" style="27"/>
    <col min="3073" max="3073" width="19.42578125" style="27" bestFit="1" customWidth="1"/>
    <col min="3074" max="3074" width="17.5703125" style="27" customWidth="1"/>
    <col min="3075" max="3075" width="15" style="27" customWidth="1"/>
    <col min="3076" max="3076" width="9.5703125" style="27" bestFit="1" customWidth="1"/>
    <col min="3077" max="3077" width="10.5703125" style="27" bestFit="1" customWidth="1"/>
    <col min="3078" max="3078" width="11.85546875" style="27" customWidth="1"/>
    <col min="3079" max="3080" width="11.42578125" style="27" bestFit="1" customWidth="1"/>
    <col min="3081" max="3081" width="11.42578125" style="27" customWidth="1"/>
    <col min="3082" max="3082" width="11.42578125" style="27" bestFit="1" customWidth="1"/>
    <col min="3083" max="3086" width="9.140625" style="27"/>
    <col min="3087" max="3087" width="12" style="27" bestFit="1" customWidth="1"/>
    <col min="3088" max="3088" width="9.5703125" style="27" bestFit="1" customWidth="1"/>
    <col min="3089" max="3089" width="10.5703125" style="27" bestFit="1" customWidth="1"/>
    <col min="3090" max="3090" width="9.140625" style="27"/>
    <col min="3091" max="3091" width="11.5703125" style="27" bestFit="1" customWidth="1"/>
    <col min="3092" max="3092" width="9.140625" style="27"/>
    <col min="3093" max="3093" width="9.5703125" style="27" bestFit="1" customWidth="1"/>
    <col min="3094" max="3094" width="11.42578125" style="27" customWidth="1"/>
    <col min="3095" max="3096" width="10" style="27" bestFit="1" customWidth="1"/>
    <col min="3097" max="3328" width="9.140625" style="27"/>
    <col min="3329" max="3329" width="19.42578125" style="27" bestFit="1" customWidth="1"/>
    <col min="3330" max="3330" width="17.5703125" style="27" customWidth="1"/>
    <col min="3331" max="3331" width="15" style="27" customWidth="1"/>
    <col min="3332" max="3332" width="9.5703125" style="27" bestFit="1" customWidth="1"/>
    <col min="3333" max="3333" width="10.5703125" style="27" bestFit="1" customWidth="1"/>
    <col min="3334" max="3334" width="11.85546875" style="27" customWidth="1"/>
    <col min="3335" max="3336" width="11.42578125" style="27" bestFit="1" customWidth="1"/>
    <col min="3337" max="3337" width="11.42578125" style="27" customWidth="1"/>
    <col min="3338" max="3338" width="11.42578125" style="27" bestFit="1" customWidth="1"/>
    <col min="3339" max="3342" width="9.140625" style="27"/>
    <col min="3343" max="3343" width="12" style="27" bestFit="1" customWidth="1"/>
    <col min="3344" max="3344" width="9.5703125" style="27" bestFit="1" customWidth="1"/>
    <col min="3345" max="3345" width="10.5703125" style="27" bestFit="1" customWidth="1"/>
    <col min="3346" max="3346" width="9.140625" style="27"/>
    <col min="3347" max="3347" width="11.5703125" style="27" bestFit="1" customWidth="1"/>
    <col min="3348" max="3348" width="9.140625" style="27"/>
    <col min="3349" max="3349" width="9.5703125" style="27" bestFit="1" customWidth="1"/>
    <col min="3350" max="3350" width="11.42578125" style="27" customWidth="1"/>
    <col min="3351" max="3352" width="10" style="27" bestFit="1" customWidth="1"/>
    <col min="3353" max="3584" width="9.140625" style="27"/>
    <col min="3585" max="3585" width="19.42578125" style="27" bestFit="1" customWidth="1"/>
    <col min="3586" max="3586" width="17.5703125" style="27" customWidth="1"/>
    <col min="3587" max="3587" width="15" style="27" customWidth="1"/>
    <col min="3588" max="3588" width="9.5703125" style="27" bestFit="1" customWidth="1"/>
    <col min="3589" max="3589" width="10.5703125" style="27" bestFit="1" customWidth="1"/>
    <col min="3590" max="3590" width="11.85546875" style="27" customWidth="1"/>
    <col min="3591" max="3592" width="11.42578125" style="27" bestFit="1" customWidth="1"/>
    <col min="3593" max="3593" width="11.42578125" style="27" customWidth="1"/>
    <col min="3594" max="3594" width="11.42578125" style="27" bestFit="1" customWidth="1"/>
    <col min="3595" max="3598" width="9.140625" style="27"/>
    <col min="3599" max="3599" width="12" style="27" bestFit="1" customWidth="1"/>
    <col min="3600" max="3600" width="9.5703125" style="27" bestFit="1" customWidth="1"/>
    <col min="3601" max="3601" width="10.5703125" style="27" bestFit="1" customWidth="1"/>
    <col min="3602" max="3602" width="9.140625" style="27"/>
    <col min="3603" max="3603" width="11.5703125" style="27" bestFit="1" customWidth="1"/>
    <col min="3604" max="3604" width="9.140625" style="27"/>
    <col min="3605" max="3605" width="9.5703125" style="27" bestFit="1" customWidth="1"/>
    <col min="3606" max="3606" width="11.42578125" style="27" customWidth="1"/>
    <col min="3607" max="3608" width="10" style="27" bestFit="1" customWidth="1"/>
    <col min="3609" max="3840" width="9.140625" style="27"/>
    <col min="3841" max="3841" width="19.42578125" style="27" bestFit="1" customWidth="1"/>
    <col min="3842" max="3842" width="17.5703125" style="27" customWidth="1"/>
    <col min="3843" max="3843" width="15" style="27" customWidth="1"/>
    <col min="3844" max="3844" width="9.5703125" style="27" bestFit="1" customWidth="1"/>
    <col min="3845" max="3845" width="10.5703125" style="27" bestFit="1" customWidth="1"/>
    <col min="3846" max="3846" width="11.85546875" style="27" customWidth="1"/>
    <col min="3847" max="3848" width="11.42578125" style="27" bestFit="1" customWidth="1"/>
    <col min="3849" max="3849" width="11.42578125" style="27" customWidth="1"/>
    <col min="3850" max="3850" width="11.42578125" style="27" bestFit="1" customWidth="1"/>
    <col min="3851" max="3854" width="9.140625" style="27"/>
    <col min="3855" max="3855" width="12" style="27" bestFit="1" customWidth="1"/>
    <col min="3856" max="3856" width="9.5703125" style="27" bestFit="1" customWidth="1"/>
    <col min="3857" max="3857" width="10.5703125" style="27" bestFit="1" customWidth="1"/>
    <col min="3858" max="3858" width="9.140625" style="27"/>
    <col min="3859" max="3859" width="11.5703125" style="27" bestFit="1" customWidth="1"/>
    <col min="3860" max="3860" width="9.140625" style="27"/>
    <col min="3861" max="3861" width="9.5703125" style="27" bestFit="1" customWidth="1"/>
    <col min="3862" max="3862" width="11.42578125" style="27" customWidth="1"/>
    <col min="3863" max="3864" width="10" style="27" bestFit="1" customWidth="1"/>
    <col min="3865" max="4096" width="9.140625" style="27"/>
    <col min="4097" max="4097" width="19.42578125" style="27" bestFit="1" customWidth="1"/>
    <col min="4098" max="4098" width="17.5703125" style="27" customWidth="1"/>
    <col min="4099" max="4099" width="15" style="27" customWidth="1"/>
    <col min="4100" max="4100" width="9.5703125" style="27" bestFit="1" customWidth="1"/>
    <col min="4101" max="4101" width="10.5703125" style="27" bestFit="1" customWidth="1"/>
    <col min="4102" max="4102" width="11.85546875" style="27" customWidth="1"/>
    <col min="4103" max="4104" width="11.42578125" style="27" bestFit="1" customWidth="1"/>
    <col min="4105" max="4105" width="11.42578125" style="27" customWidth="1"/>
    <col min="4106" max="4106" width="11.42578125" style="27" bestFit="1" customWidth="1"/>
    <col min="4107" max="4110" width="9.140625" style="27"/>
    <col min="4111" max="4111" width="12" style="27" bestFit="1" customWidth="1"/>
    <col min="4112" max="4112" width="9.5703125" style="27" bestFit="1" customWidth="1"/>
    <col min="4113" max="4113" width="10.5703125" style="27" bestFit="1" customWidth="1"/>
    <col min="4114" max="4114" width="9.140625" style="27"/>
    <col min="4115" max="4115" width="11.5703125" style="27" bestFit="1" customWidth="1"/>
    <col min="4116" max="4116" width="9.140625" style="27"/>
    <col min="4117" max="4117" width="9.5703125" style="27" bestFit="1" customWidth="1"/>
    <col min="4118" max="4118" width="11.42578125" style="27" customWidth="1"/>
    <col min="4119" max="4120" width="10" style="27" bestFit="1" customWidth="1"/>
    <col min="4121" max="4352" width="9.140625" style="27"/>
    <col min="4353" max="4353" width="19.42578125" style="27" bestFit="1" customWidth="1"/>
    <col min="4354" max="4354" width="17.5703125" style="27" customWidth="1"/>
    <col min="4355" max="4355" width="15" style="27" customWidth="1"/>
    <col min="4356" max="4356" width="9.5703125" style="27" bestFit="1" customWidth="1"/>
    <col min="4357" max="4357" width="10.5703125" style="27" bestFit="1" customWidth="1"/>
    <col min="4358" max="4358" width="11.85546875" style="27" customWidth="1"/>
    <col min="4359" max="4360" width="11.42578125" style="27" bestFit="1" customWidth="1"/>
    <col min="4361" max="4361" width="11.42578125" style="27" customWidth="1"/>
    <col min="4362" max="4362" width="11.42578125" style="27" bestFit="1" customWidth="1"/>
    <col min="4363" max="4366" width="9.140625" style="27"/>
    <col min="4367" max="4367" width="12" style="27" bestFit="1" customWidth="1"/>
    <col min="4368" max="4368" width="9.5703125" style="27" bestFit="1" customWidth="1"/>
    <col min="4369" max="4369" width="10.5703125" style="27" bestFit="1" customWidth="1"/>
    <col min="4370" max="4370" width="9.140625" style="27"/>
    <col min="4371" max="4371" width="11.5703125" style="27" bestFit="1" customWidth="1"/>
    <col min="4372" max="4372" width="9.140625" style="27"/>
    <col min="4373" max="4373" width="9.5703125" style="27" bestFit="1" customWidth="1"/>
    <col min="4374" max="4374" width="11.42578125" style="27" customWidth="1"/>
    <col min="4375" max="4376" width="10" style="27" bestFit="1" customWidth="1"/>
    <col min="4377" max="4608" width="9.140625" style="27"/>
    <col min="4609" max="4609" width="19.42578125" style="27" bestFit="1" customWidth="1"/>
    <col min="4610" max="4610" width="17.5703125" style="27" customWidth="1"/>
    <col min="4611" max="4611" width="15" style="27" customWidth="1"/>
    <col min="4612" max="4612" width="9.5703125" style="27" bestFit="1" customWidth="1"/>
    <col min="4613" max="4613" width="10.5703125" style="27" bestFit="1" customWidth="1"/>
    <col min="4614" max="4614" width="11.85546875" style="27" customWidth="1"/>
    <col min="4615" max="4616" width="11.42578125" style="27" bestFit="1" customWidth="1"/>
    <col min="4617" max="4617" width="11.42578125" style="27" customWidth="1"/>
    <col min="4618" max="4618" width="11.42578125" style="27" bestFit="1" customWidth="1"/>
    <col min="4619" max="4622" width="9.140625" style="27"/>
    <col min="4623" max="4623" width="12" style="27" bestFit="1" customWidth="1"/>
    <col min="4624" max="4624" width="9.5703125" style="27" bestFit="1" customWidth="1"/>
    <col min="4625" max="4625" width="10.5703125" style="27" bestFit="1" customWidth="1"/>
    <col min="4626" max="4626" width="9.140625" style="27"/>
    <col min="4627" max="4627" width="11.5703125" style="27" bestFit="1" customWidth="1"/>
    <col min="4628" max="4628" width="9.140625" style="27"/>
    <col min="4629" max="4629" width="9.5703125" style="27" bestFit="1" customWidth="1"/>
    <col min="4630" max="4630" width="11.42578125" style="27" customWidth="1"/>
    <col min="4631" max="4632" width="10" style="27" bestFit="1" customWidth="1"/>
    <col min="4633" max="4864" width="9.140625" style="27"/>
    <col min="4865" max="4865" width="19.42578125" style="27" bestFit="1" customWidth="1"/>
    <col min="4866" max="4866" width="17.5703125" style="27" customWidth="1"/>
    <col min="4867" max="4867" width="15" style="27" customWidth="1"/>
    <col min="4868" max="4868" width="9.5703125" style="27" bestFit="1" customWidth="1"/>
    <col min="4869" max="4869" width="10.5703125" style="27" bestFit="1" customWidth="1"/>
    <col min="4870" max="4870" width="11.85546875" style="27" customWidth="1"/>
    <col min="4871" max="4872" width="11.42578125" style="27" bestFit="1" customWidth="1"/>
    <col min="4873" max="4873" width="11.42578125" style="27" customWidth="1"/>
    <col min="4874" max="4874" width="11.42578125" style="27" bestFit="1" customWidth="1"/>
    <col min="4875" max="4878" width="9.140625" style="27"/>
    <col min="4879" max="4879" width="12" style="27" bestFit="1" customWidth="1"/>
    <col min="4880" max="4880" width="9.5703125" style="27" bestFit="1" customWidth="1"/>
    <col min="4881" max="4881" width="10.5703125" style="27" bestFit="1" customWidth="1"/>
    <col min="4882" max="4882" width="9.140625" style="27"/>
    <col min="4883" max="4883" width="11.5703125" style="27" bestFit="1" customWidth="1"/>
    <col min="4884" max="4884" width="9.140625" style="27"/>
    <col min="4885" max="4885" width="9.5703125" style="27" bestFit="1" customWidth="1"/>
    <col min="4886" max="4886" width="11.42578125" style="27" customWidth="1"/>
    <col min="4887" max="4888" width="10" style="27" bestFit="1" customWidth="1"/>
    <col min="4889" max="5120" width="9.140625" style="27"/>
    <col min="5121" max="5121" width="19.42578125" style="27" bestFit="1" customWidth="1"/>
    <col min="5122" max="5122" width="17.5703125" style="27" customWidth="1"/>
    <col min="5123" max="5123" width="15" style="27" customWidth="1"/>
    <col min="5124" max="5124" width="9.5703125" style="27" bestFit="1" customWidth="1"/>
    <col min="5125" max="5125" width="10.5703125" style="27" bestFit="1" customWidth="1"/>
    <col min="5126" max="5126" width="11.85546875" style="27" customWidth="1"/>
    <col min="5127" max="5128" width="11.42578125" style="27" bestFit="1" customWidth="1"/>
    <col min="5129" max="5129" width="11.42578125" style="27" customWidth="1"/>
    <col min="5130" max="5130" width="11.42578125" style="27" bestFit="1" customWidth="1"/>
    <col min="5131" max="5134" width="9.140625" style="27"/>
    <col min="5135" max="5135" width="12" style="27" bestFit="1" customWidth="1"/>
    <col min="5136" max="5136" width="9.5703125" style="27" bestFit="1" customWidth="1"/>
    <col min="5137" max="5137" width="10.5703125" style="27" bestFit="1" customWidth="1"/>
    <col min="5138" max="5138" width="9.140625" style="27"/>
    <col min="5139" max="5139" width="11.5703125" style="27" bestFit="1" customWidth="1"/>
    <col min="5140" max="5140" width="9.140625" style="27"/>
    <col min="5141" max="5141" width="9.5703125" style="27" bestFit="1" customWidth="1"/>
    <col min="5142" max="5142" width="11.42578125" style="27" customWidth="1"/>
    <col min="5143" max="5144" width="10" style="27" bestFit="1" customWidth="1"/>
    <col min="5145" max="5376" width="9.140625" style="27"/>
    <col min="5377" max="5377" width="19.42578125" style="27" bestFit="1" customWidth="1"/>
    <col min="5378" max="5378" width="17.5703125" style="27" customWidth="1"/>
    <col min="5379" max="5379" width="15" style="27" customWidth="1"/>
    <col min="5380" max="5380" width="9.5703125" style="27" bestFit="1" customWidth="1"/>
    <col min="5381" max="5381" width="10.5703125" style="27" bestFit="1" customWidth="1"/>
    <col min="5382" max="5382" width="11.85546875" style="27" customWidth="1"/>
    <col min="5383" max="5384" width="11.42578125" style="27" bestFit="1" customWidth="1"/>
    <col min="5385" max="5385" width="11.42578125" style="27" customWidth="1"/>
    <col min="5386" max="5386" width="11.42578125" style="27" bestFit="1" customWidth="1"/>
    <col min="5387" max="5390" width="9.140625" style="27"/>
    <col min="5391" max="5391" width="12" style="27" bestFit="1" customWidth="1"/>
    <col min="5392" max="5392" width="9.5703125" style="27" bestFit="1" customWidth="1"/>
    <col min="5393" max="5393" width="10.5703125" style="27" bestFit="1" customWidth="1"/>
    <col min="5394" max="5394" width="9.140625" style="27"/>
    <col min="5395" max="5395" width="11.5703125" style="27" bestFit="1" customWidth="1"/>
    <col min="5396" max="5396" width="9.140625" style="27"/>
    <col min="5397" max="5397" width="9.5703125" style="27" bestFit="1" customWidth="1"/>
    <col min="5398" max="5398" width="11.42578125" style="27" customWidth="1"/>
    <col min="5399" max="5400" width="10" style="27" bestFit="1" customWidth="1"/>
    <col min="5401" max="5632" width="9.140625" style="27"/>
    <col min="5633" max="5633" width="19.42578125" style="27" bestFit="1" customWidth="1"/>
    <col min="5634" max="5634" width="17.5703125" style="27" customWidth="1"/>
    <col min="5635" max="5635" width="15" style="27" customWidth="1"/>
    <col min="5636" max="5636" width="9.5703125" style="27" bestFit="1" customWidth="1"/>
    <col min="5637" max="5637" width="10.5703125" style="27" bestFit="1" customWidth="1"/>
    <col min="5638" max="5638" width="11.85546875" style="27" customWidth="1"/>
    <col min="5639" max="5640" width="11.42578125" style="27" bestFit="1" customWidth="1"/>
    <col min="5641" max="5641" width="11.42578125" style="27" customWidth="1"/>
    <col min="5642" max="5642" width="11.42578125" style="27" bestFit="1" customWidth="1"/>
    <col min="5643" max="5646" width="9.140625" style="27"/>
    <col min="5647" max="5647" width="12" style="27" bestFit="1" customWidth="1"/>
    <col min="5648" max="5648" width="9.5703125" style="27" bestFit="1" customWidth="1"/>
    <col min="5649" max="5649" width="10.5703125" style="27" bestFit="1" customWidth="1"/>
    <col min="5650" max="5650" width="9.140625" style="27"/>
    <col min="5651" max="5651" width="11.5703125" style="27" bestFit="1" customWidth="1"/>
    <col min="5652" max="5652" width="9.140625" style="27"/>
    <col min="5653" max="5653" width="9.5703125" style="27" bestFit="1" customWidth="1"/>
    <col min="5654" max="5654" width="11.42578125" style="27" customWidth="1"/>
    <col min="5655" max="5656" width="10" style="27" bestFit="1" customWidth="1"/>
    <col min="5657" max="5888" width="9.140625" style="27"/>
    <col min="5889" max="5889" width="19.42578125" style="27" bestFit="1" customWidth="1"/>
    <col min="5890" max="5890" width="17.5703125" style="27" customWidth="1"/>
    <col min="5891" max="5891" width="15" style="27" customWidth="1"/>
    <col min="5892" max="5892" width="9.5703125" style="27" bestFit="1" customWidth="1"/>
    <col min="5893" max="5893" width="10.5703125" style="27" bestFit="1" customWidth="1"/>
    <col min="5894" max="5894" width="11.85546875" style="27" customWidth="1"/>
    <col min="5895" max="5896" width="11.42578125" style="27" bestFit="1" customWidth="1"/>
    <col min="5897" max="5897" width="11.42578125" style="27" customWidth="1"/>
    <col min="5898" max="5898" width="11.42578125" style="27" bestFit="1" customWidth="1"/>
    <col min="5899" max="5902" width="9.140625" style="27"/>
    <col min="5903" max="5903" width="12" style="27" bestFit="1" customWidth="1"/>
    <col min="5904" max="5904" width="9.5703125" style="27" bestFit="1" customWidth="1"/>
    <col min="5905" max="5905" width="10.5703125" style="27" bestFit="1" customWidth="1"/>
    <col min="5906" max="5906" width="9.140625" style="27"/>
    <col min="5907" max="5907" width="11.5703125" style="27" bestFit="1" customWidth="1"/>
    <col min="5908" max="5908" width="9.140625" style="27"/>
    <col min="5909" max="5909" width="9.5703125" style="27" bestFit="1" customWidth="1"/>
    <col min="5910" max="5910" width="11.42578125" style="27" customWidth="1"/>
    <col min="5911" max="5912" width="10" style="27" bestFit="1" customWidth="1"/>
    <col min="5913" max="6144" width="9.140625" style="27"/>
    <col min="6145" max="6145" width="19.42578125" style="27" bestFit="1" customWidth="1"/>
    <col min="6146" max="6146" width="17.5703125" style="27" customWidth="1"/>
    <col min="6147" max="6147" width="15" style="27" customWidth="1"/>
    <col min="6148" max="6148" width="9.5703125" style="27" bestFit="1" customWidth="1"/>
    <col min="6149" max="6149" width="10.5703125" style="27" bestFit="1" customWidth="1"/>
    <col min="6150" max="6150" width="11.85546875" style="27" customWidth="1"/>
    <col min="6151" max="6152" width="11.42578125" style="27" bestFit="1" customWidth="1"/>
    <col min="6153" max="6153" width="11.42578125" style="27" customWidth="1"/>
    <col min="6154" max="6154" width="11.42578125" style="27" bestFit="1" customWidth="1"/>
    <col min="6155" max="6158" width="9.140625" style="27"/>
    <col min="6159" max="6159" width="12" style="27" bestFit="1" customWidth="1"/>
    <col min="6160" max="6160" width="9.5703125" style="27" bestFit="1" customWidth="1"/>
    <col min="6161" max="6161" width="10.5703125" style="27" bestFit="1" customWidth="1"/>
    <col min="6162" max="6162" width="9.140625" style="27"/>
    <col min="6163" max="6163" width="11.5703125" style="27" bestFit="1" customWidth="1"/>
    <col min="6164" max="6164" width="9.140625" style="27"/>
    <col min="6165" max="6165" width="9.5703125" style="27" bestFit="1" customWidth="1"/>
    <col min="6166" max="6166" width="11.42578125" style="27" customWidth="1"/>
    <col min="6167" max="6168" width="10" style="27" bestFit="1" customWidth="1"/>
    <col min="6169" max="6400" width="9.140625" style="27"/>
    <col min="6401" max="6401" width="19.42578125" style="27" bestFit="1" customWidth="1"/>
    <col min="6402" max="6402" width="17.5703125" style="27" customWidth="1"/>
    <col min="6403" max="6403" width="15" style="27" customWidth="1"/>
    <col min="6404" max="6404" width="9.5703125" style="27" bestFit="1" customWidth="1"/>
    <col min="6405" max="6405" width="10.5703125" style="27" bestFit="1" customWidth="1"/>
    <col min="6406" max="6406" width="11.85546875" style="27" customWidth="1"/>
    <col min="6407" max="6408" width="11.42578125" style="27" bestFit="1" customWidth="1"/>
    <col min="6409" max="6409" width="11.42578125" style="27" customWidth="1"/>
    <col min="6410" max="6410" width="11.42578125" style="27" bestFit="1" customWidth="1"/>
    <col min="6411" max="6414" width="9.140625" style="27"/>
    <col min="6415" max="6415" width="12" style="27" bestFit="1" customWidth="1"/>
    <col min="6416" max="6416" width="9.5703125" style="27" bestFit="1" customWidth="1"/>
    <col min="6417" max="6417" width="10.5703125" style="27" bestFit="1" customWidth="1"/>
    <col min="6418" max="6418" width="9.140625" style="27"/>
    <col min="6419" max="6419" width="11.5703125" style="27" bestFit="1" customWidth="1"/>
    <col min="6420" max="6420" width="9.140625" style="27"/>
    <col min="6421" max="6421" width="9.5703125" style="27" bestFit="1" customWidth="1"/>
    <col min="6422" max="6422" width="11.42578125" style="27" customWidth="1"/>
    <col min="6423" max="6424" width="10" style="27" bestFit="1" customWidth="1"/>
    <col min="6425" max="6656" width="9.140625" style="27"/>
    <col min="6657" max="6657" width="19.42578125" style="27" bestFit="1" customWidth="1"/>
    <col min="6658" max="6658" width="17.5703125" style="27" customWidth="1"/>
    <col min="6659" max="6659" width="15" style="27" customWidth="1"/>
    <col min="6660" max="6660" width="9.5703125" style="27" bestFit="1" customWidth="1"/>
    <col min="6661" max="6661" width="10.5703125" style="27" bestFit="1" customWidth="1"/>
    <col min="6662" max="6662" width="11.85546875" style="27" customWidth="1"/>
    <col min="6663" max="6664" width="11.42578125" style="27" bestFit="1" customWidth="1"/>
    <col min="6665" max="6665" width="11.42578125" style="27" customWidth="1"/>
    <col min="6666" max="6666" width="11.42578125" style="27" bestFit="1" customWidth="1"/>
    <col min="6667" max="6670" width="9.140625" style="27"/>
    <col min="6671" max="6671" width="12" style="27" bestFit="1" customWidth="1"/>
    <col min="6672" max="6672" width="9.5703125" style="27" bestFit="1" customWidth="1"/>
    <col min="6673" max="6673" width="10.5703125" style="27" bestFit="1" customWidth="1"/>
    <col min="6674" max="6674" width="9.140625" style="27"/>
    <col min="6675" max="6675" width="11.5703125" style="27" bestFit="1" customWidth="1"/>
    <col min="6676" max="6676" width="9.140625" style="27"/>
    <col min="6677" max="6677" width="9.5703125" style="27" bestFit="1" customWidth="1"/>
    <col min="6678" max="6678" width="11.42578125" style="27" customWidth="1"/>
    <col min="6679" max="6680" width="10" style="27" bestFit="1" customWidth="1"/>
    <col min="6681" max="6912" width="9.140625" style="27"/>
    <col min="6913" max="6913" width="19.42578125" style="27" bestFit="1" customWidth="1"/>
    <col min="6914" max="6914" width="17.5703125" style="27" customWidth="1"/>
    <col min="6915" max="6915" width="15" style="27" customWidth="1"/>
    <col min="6916" max="6916" width="9.5703125" style="27" bestFit="1" customWidth="1"/>
    <col min="6917" max="6917" width="10.5703125" style="27" bestFit="1" customWidth="1"/>
    <col min="6918" max="6918" width="11.85546875" style="27" customWidth="1"/>
    <col min="6919" max="6920" width="11.42578125" style="27" bestFit="1" customWidth="1"/>
    <col min="6921" max="6921" width="11.42578125" style="27" customWidth="1"/>
    <col min="6922" max="6922" width="11.42578125" style="27" bestFit="1" customWidth="1"/>
    <col min="6923" max="6926" width="9.140625" style="27"/>
    <col min="6927" max="6927" width="12" style="27" bestFit="1" customWidth="1"/>
    <col min="6928" max="6928" width="9.5703125" style="27" bestFit="1" customWidth="1"/>
    <col min="6929" max="6929" width="10.5703125" style="27" bestFit="1" customWidth="1"/>
    <col min="6930" max="6930" width="9.140625" style="27"/>
    <col min="6931" max="6931" width="11.5703125" style="27" bestFit="1" customWidth="1"/>
    <col min="6932" max="6932" width="9.140625" style="27"/>
    <col min="6933" max="6933" width="9.5703125" style="27" bestFit="1" customWidth="1"/>
    <col min="6934" max="6934" width="11.42578125" style="27" customWidth="1"/>
    <col min="6935" max="6936" width="10" style="27" bestFit="1" customWidth="1"/>
    <col min="6937" max="7168" width="9.140625" style="27"/>
    <col min="7169" max="7169" width="19.42578125" style="27" bestFit="1" customWidth="1"/>
    <col min="7170" max="7170" width="17.5703125" style="27" customWidth="1"/>
    <col min="7171" max="7171" width="15" style="27" customWidth="1"/>
    <col min="7172" max="7172" width="9.5703125" style="27" bestFit="1" customWidth="1"/>
    <col min="7173" max="7173" width="10.5703125" style="27" bestFit="1" customWidth="1"/>
    <col min="7174" max="7174" width="11.85546875" style="27" customWidth="1"/>
    <col min="7175" max="7176" width="11.42578125" style="27" bestFit="1" customWidth="1"/>
    <col min="7177" max="7177" width="11.42578125" style="27" customWidth="1"/>
    <col min="7178" max="7178" width="11.42578125" style="27" bestFit="1" customWidth="1"/>
    <col min="7179" max="7182" width="9.140625" style="27"/>
    <col min="7183" max="7183" width="12" style="27" bestFit="1" customWidth="1"/>
    <col min="7184" max="7184" width="9.5703125" style="27" bestFit="1" customWidth="1"/>
    <col min="7185" max="7185" width="10.5703125" style="27" bestFit="1" customWidth="1"/>
    <col min="7186" max="7186" width="9.140625" style="27"/>
    <col min="7187" max="7187" width="11.5703125" style="27" bestFit="1" customWidth="1"/>
    <col min="7188" max="7188" width="9.140625" style="27"/>
    <col min="7189" max="7189" width="9.5703125" style="27" bestFit="1" customWidth="1"/>
    <col min="7190" max="7190" width="11.42578125" style="27" customWidth="1"/>
    <col min="7191" max="7192" width="10" style="27" bestFit="1" customWidth="1"/>
    <col min="7193" max="7424" width="9.140625" style="27"/>
    <col min="7425" max="7425" width="19.42578125" style="27" bestFit="1" customWidth="1"/>
    <col min="7426" max="7426" width="17.5703125" style="27" customWidth="1"/>
    <col min="7427" max="7427" width="15" style="27" customWidth="1"/>
    <col min="7428" max="7428" width="9.5703125" style="27" bestFit="1" customWidth="1"/>
    <col min="7429" max="7429" width="10.5703125" style="27" bestFit="1" customWidth="1"/>
    <col min="7430" max="7430" width="11.85546875" style="27" customWidth="1"/>
    <col min="7431" max="7432" width="11.42578125" style="27" bestFit="1" customWidth="1"/>
    <col min="7433" max="7433" width="11.42578125" style="27" customWidth="1"/>
    <col min="7434" max="7434" width="11.42578125" style="27" bestFit="1" customWidth="1"/>
    <col min="7435" max="7438" width="9.140625" style="27"/>
    <col min="7439" max="7439" width="12" style="27" bestFit="1" customWidth="1"/>
    <col min="7440" max="7440" width="9.5703125" style="27" bestFit="1" customWidth="1"/>
    <col min="7441" max="7441" width="10.5703125" style="27" bestFit="1" customWidth="1"/>
    <col min="7442" max="7442" width="9.140625" style="27"/>
    <col min="7443" max="7443" width="11.5703125" style="27" bestFit="1" customWidth="1"/>
    <col min="7444" max="7444" width="9.140625" style="27"/>
    <col min="7445" max="7445" width="9.5703125" style="27" bestFit="1" customWidth="1"/>
    <col min="7446" max="7446" width="11.42578125" style="27" customWidth="1"/>
    <col min="7447" max="7448" width="10" style="27" bestFit="1" customWidth="1"/>
    <col min="7449" max="7680" width="9.140625" style="27"/>
    <col min="7681" max="7681" width="19.42578125" style="27" bestFit="1" customWidth="1"/>
    <col min="7682" max="7682" width="17.5703125" style="27" customWidth="1"/>
    <col min="7683" max="7683" width="15" style="27" customWidth="1"/>
    <col min="7684" max="7684" width="9.5703125" style="27" bestFit="1" customWidth="1"/>
    <col min="7685" max="7685" width="10.5703125" style="27" bestFit="1" customWidth="1"/>
    <col min="7686" max="7686" width="11.85546875" style="27" customWidth="1"/>
    <col min="7687" max="7688" width="11.42578125" style="27" bestFit="1" customWidth="1"/>
    <col min="7689" max="7689" width="11.42578125" style="27" customWidth="1"/>
    <col min="7690" max="7690" width="11.42578125" style="27" bestFit="1" customWidth="1"/>
    <col min="7691" max="7694" width="9.140625" style="27"/>
    <col min="7695" max="7695" width="12" style="27" bestFit="1" customWidth="1"/>
    <col min="7696" max="7696" width="9.5703125" style="27" bestFit="1" customWidth="1"/>
    <col min="7697" max="7697" width="10.5703125" style="27" bestFit="1" customWidth="1"/>
    <col min="7698" max="7698" width="9.140625" style="27"/>
    <col min="7699" max="7699" width="11.5703125" style="27" bestFit="1" customWidth="1"/>
    <col min="7700" max="7700" width="9.140625" style="27"/>
    <col min="7701" max="7701" width="9.5703125" style="27" bestFit="1" customWidth="1"/>
    <col min="7702" max="7702" width="11.42578125" style="27" customWidth="1"/>
    <col min="7703" max="7704" width="10" style="27" bestFit="1" customWidth="1"/>
    <col min="7705" max="7936" width="9.140625" style="27"/>
    <col min="7937" max="7937" width="19.42578125" style="27" bestFit="1" customWidth="1"/>
    <col min="7938" max="7938" width="17.5703125" style="27" customWidth="1"/>
    <col min="7939" max="7939" width="15" style="27" customWidth="1"/>
    <col min="7940" max="7940" width="9.5703125" style="27" bestFit="1" customWidth="1"/>
    <col min="7941" max="7941" width="10.5703125" style="27" bestFit="1" customWidth="1"/>
    <col min="7942" max="7942" width="11.85546875" style="27" customWidth="1"/>
    <col min="7943" max="7944" width="11.42578125" style="27" bestFit="1" customWidth="1"/>
    <col min="7945" max="7945" width="11.42578125" style="27" customWidth="1"/>
    <col min="7946" max="7946" width="11.42578125" style="27" bestFit="1" customWidth="1"/>
    <col min="7947" max="7950" width="9.140625" style="27"/>
    <col min="7951" max="7951" width="12" style="27" bestFit="1" customWidth="1"/>
    <col min="7952" max="7952" width="9.5703125" style="27" bestFit="1" customWidth="1"/>
    <col min="7953" max="7953" width="10.5703125" style="27" bestFit="1" customWidth="1"/>
    <col min="7954" max="7954" width="9.140625" style="27"/>
    <col min="7955" max="7955" width="11.5703125" style="27" bestFit="1" customWidth="1"/>
    <col min="7956" max="7956" width="9.140625" style="27"/>
    <col min="7957" max="7957" width="9.5703125" style="27" bestFit="1" customWidth="1"/>
    <col min="7958" max="7958" width="11.42578125" style="27" customWidth="1"/>
    <col min="7959" max="7960" width="10" style="27" bestFit="1" customWidth="1"/>
    <col min="7961" max="8192" width="9.140625" style="27"/>
    <col min="8193" max="8193" width="19.42578125" style="27" bestFit="1" customWidth="1"/>
    <col min="8194" max="8194" width="17.5703125" style="27" customWidth="1"/>
    <col min="8195" max="8195" width="15" style="27" customWidth="1"/>
    <col min="8196" max="8196" width="9.5703125" style="27" bestFit="1" customWidth="1"/>
    <col min="8197" max="8197" width="10.5703125" style="27" bestFit="1" customWidth="1"/>
    <col min="8198" max="8198" width="11.85546875" style="27" customWidth="1"/>
    <col min="8199" max="8200" width="11.42578125" style="27" bestFit="1" customWidth="1"/>
    <col min="8201" max="8201" width="11.42578125" style="27" customWidth="1"/>
    <col min="8202" max="8202" width="11.42578125" style="27" bestFit="1" customWidth="1"/>
    <col min="8203" max="8206" width="9.140625" style="27"/>
    <col min="8207" max="8207" width="12" style="27" bestFit="1" customWidth="1"/>
    <col min="8208" max="8208" width="9.5703125" style="27" bestFit="1" customWidth="1"/>
    <col min="8209" max="8209" width="10.5703125" style="27" bestFit="1" customWidth="1"/>
    <col min="8210" max="8210" width="9.140625" style="27"/>
    <col min="8211" max="8211" width="11.5703125" style="27" bestFit="1" customWidth="1"/>
    <col min="8212" max="8212" width="9.140625" style="27"/>
    <col min="8213" max="8213" width="9.5703125" style="27" bestFit="1" customWidth="1"/>
    <col min="8214" max="8214" width="11.42578125" style="27" customWidth="1"/>
    <col min="8215" max="8216" width="10" style="27" bestFit="1" customWidth="1"/>
    <col min="8217" max="8448" width="9.140625" style="27"/>
    <col min="8449" max="8449" width="19.42578125" style="27" bestFit="1" customWidth="1"/>
    <col min="8450" max="8450" width="17.5703125" style="27" customWidth="1"/>
    <col min="8451" max="8451" width="15" style="27" customWidth="1"/>
    <col min="8452" max="8452" width="9.5703125" style="27" bestFit="1" customWidth="1"/>
    <col min="8453" max="8453" width="10.5703125" style="27" bestFit="1" customWidth="1"/>
    <col min="8454" max="8454" width="11.85546875" style="27" customWidth="1"/>
    <col min="8455" max="8456" width="11.42578125" style="27" bestFit="1" customWidth="1"/>
    <col min="8457" max="8457" width="11.42578125" style="27" customWidth="1"/>
    <col min="8458" max="8458" width="11.42578125" style="27" bestFit="1" customWidth="1"/>
    <col min="8459" max="8462" width="9.140625" style="27"/>
    <col min="8463" max="8463" width="12" style="27" bestFit="1" customWidth="1"/>
    <col min="8464" max="8464" width="9.5703125" style="27" bestFit="1" customWidth="1"/>
    <col min="8465" max="8465" width="10.5703125" style="27" bestFit="1" customWidth="1"/>
    <col min="8466" max="8466" width="9.140625" style="27"/>
    <col min="8467" max="8467" width="11.5703125" style="27" bestFit="1" customWidth="1"/>
    <col min="8468" max="8468" width="9.140625" style="27"/>
    <col min="8469" max="8469" width="9.5703125" style="27" bestFit="1" customWidth="1"/>
    <col min="8470" max="8470" width="11.42578125" style="27" customWidth="1"/>
    <col min="8471" max="8472" width="10" style="27" bestFit="1" customWidth="1"/>
    <col min="8473" max="8704" width="9.140625" style="27"/>
    <col min="8705" max="8705" width="19.42578125" style="27" bestFit="1" customWidth="1"/>
    <col min="8706" max="8706" width="17.5703125" style="27" customWidth="1"/>
    <col min="8707" max="8707" width="15" style="27" customWidth="1"/>
    <col min="8708" max="8708" width="9.5703125" style="27" bestFit="1" customWidth="1"/>
    <col min="8709" max="8709" width="10.5703125" style="27" bestFit="1" customWidth="1"/>
    <col min="8710" max="8710" width="11.85546875" style="27" customWidth="1"/>
    <col min="8711" max="8712" width="11.42578125" style="27" bestFit="1" customWidth="1"/>
    <col min="8713" max="8713" width="11.42578125" style="27" customWidth="1"/>
    <col min="8714" max="8714" width="11.42578125" style="27" bestFit="1" customWidth="1"/>
    <col min="8715" max="8718" width="9.140625" style="27"/>
    <col min="8719" max="8719" width="12" style="27" bestFit="1" customWidth="1"/>
    <col min="8720" max="8720" width="9.5703125" style="27" bestFit="1" customWidth="1"/>
    <col min="8721" max="8721" width="10.5703125" style="27" bestFit="1" customWidth="1"/>
    <col min="8722" max="8722" width="9.140625" style="27"/>
    <col min="8723" max="8723" width="11.5703125" style="27" bestFit="1" customWidth="1"/>
    <col min="8724" max="8724" width="9.140625" style="27"/>
    <col min="8725" max="8725" width="9.5703125" style="27" bestFit="1" customWidth="1"/>
    <col min="8726" max="8726" width="11.42578125" style="27" customWidth="1"/>
    <col min="8727" max="8728" width="10" style="27" bestFit="1" customWidth="1"/>
    <col min="8729" max="8960" width="9.140625" style="27"/>
    <col min="8961" max="8961" width="19.42578125" style="27" bestFit="1" customWidth="1"/>
    <col min="8962" max="8962" width="17.5703125" style="27" customWidth="1"/>
    <col min="8963" max="8963" width="15" style="27" customWidth="1"/>
    <col min="8964" max="8964" width="9.5703125" style="27" bestFit="1" customWidth="1"/>
    <col min="8965" max="8965" width="10.5703125" style="27" bestFit="1" customWidth="1"/>
    <col min="8966" max="8966" width="11.85546875" style="27" customWidth="1"/>
    <col min="8967" max="8968" width="11.42578125" style="27" bestFit="1" customWidth="1"/>
    <col min="8969" max="8969" width="11.42578125" style="27" customWidth="1"/>
    <col min="8970" max="8970" width="11.42578125" style="27" bestFit="1" customWidth="1"/>
    <col min="8971" max="8974" width="9.140625" style="27"/>
    <col min="8975" max="8975" width="12" style="27" bestFit="1" customWidth="1"/>
    <col min="8976" max="8976" width="9.5703125" style="27" bestFit="1" customWidth="1"/>
    <col min="8977" max="8977" width="10.5703125" style="27" bestFit="1" customWidth="1"/>
    <col min="8978" max="8978" width="9.140625" style="27"/>
    <col min="8979" max="8979" width="11.5703125" style="27" bestFit="1" customWidth="1"/>
    <col min="8980" max="8980" width="9.140625" style="27"/>
    <col min="8981" max="8981" width="9.5703125" style="27" bestFit="1" customWidth="1"/>
    <col min="8982" max="8982" width="11.42578125" style="27" customWidth="1"/>
    <col min="8983" max="8984" width="10" style="27" bestFit="1" customWidth="1"/>
    <col min="8985" max="9216" width="9.140625" style="27"/>
    <col min="9217" max="9217" width="19.42578125" style="27" bestFit="1" customWidth="1"/>
    <col min="9218" max="9218" width="17.5703125" style="27" customWidth="1"/>
    <col min="9219" max="9219" width="15" style="27" customWidth="1"/>
    <col min="9220" max="9220" width="9.5703125" style="27" bestFit="1" customWidth="1"/>
    <col min="9221" max="9221" width="10.5703125" style="27" bestFit="1" customWidth="1"/>
    <col min="9222" max="9222" width="11.85546875" style="27" customWidth="1"/>
    <col min="9223" max="9224" width="11.42578125" style="27" bestFit="1" customWidth="1"/>
    <col min="9225" max="9225" width="11.42578125" style="27" customWidth="1"/>
    <col min="9226" max="9226" width="11.42578125" style="27" bestFit="1" customWidth="1"/>
    <col min="9227" max="9230" width="9.140625" style="27"/>
    <col min="9231" max="9231" width="12" style="27" bestFit="1" customWidth="1"/>
    <col min="9232" max="9232" width="9.5703125" style="27" bestFit="1" customWidth="1"/>
    <col min="9233" max="9233" width="10.5703125" style="27" bestFit="1" customWidth="1"/>
    <col min="9234" max="9234" width="9.140625" style="27"/>
    <col min="9235" max="9235" width="11.5703125" style="27" bestFit="1" customWidth="1"/>
    <col min="9236" max="9236" width="9.140625" style="27"/>
    <col min="9237" max="9237" width="9.5703125" style="27" bestFit="1" customWidth="1"/>
    <col min="9238" max="9238" width="11.42578125" style="27" customWidth="1"/>
    <col min="9239" max="9240" width="10" style="27" bestFit="1" customWidth="1"/>
    <col min="9241" max="9472" width="9.140625" style="27"/>
    <col min="9473" max="9473" width="19.42578125" style="27" bestFit="1" customWidth="1"/>
    <col min="9474" max="9474" width="17.5703125" style="27" customWidth="1"/>
    <col min="9475" max="9475" width="15" style="27" customWidth="1"/>
    <col min="9476" max="9476" width="9.5703125" style="27" bestFit="1" customWidth="1"/>
    <col min="9477" max="9477" width="10.5703125" style="27" bestFit="1" customWidth="1"/>
    <col min="9478" max="9478" width="11.85546875" style="27" customWidth="1"/>
    <col min="9479" max="9480" width="11.42578125" style="27" bestFit="1" customWidth="1"/>
    <col min="9481" max="9481" width="11.42578125" style="27" customWidth="1"/>
    <col min="9482" max="9482" width="11.42578125" style="27" bestFit="1" customWidth="1"/>
    <col min="9483" max="9486" width="9.140625" style="27"/>
    <col min="9487" max="9487" width="12" style="27" bestFit="1" customWidth="1"/>
    <col min="9488" max="9488" width="9.5703125" style="27" bestFit="1" customWidth="1"/>
    <col min="9489" max="9489" width="10.5703125" style="27" bestFit="1" customWidth="1"/>
    <col min="9490" max="9490" width="9.140625" style="27"/>
    <col min="9491" max="9491" width="11.5703125" style="27" bestFit="1" customWidth="1"/>
    <col min="9492" max="9492" width="9.140625" style="27"/>
    <col min="9493" max="9493" width="9.5703125" style="27" bestFit="1" customWidth="1"/>
    <col min="9494" max="9494" width="11.42578125" style="27" customWidth="1"/>
    <col min="9495" max="9496" width="10" style="27" bestFit="1" customWidth="1"/>
    <col min="9497" max="9728" width="9.140625" style="27"/>
    <col min="9729" max="9729" width="19.42578125" style="27" bestFit="1" customWidth="1"/>
    <col min="9730" max="9730" width="17.5703125" style="27" customWidth="1"/>
    <col min="9731" max="9731" width="15" style="27" customWidth="1"/>
    <col min="9732" max="9732" width="9.5703125" style="27" bestFit="1" customWidth="1"/>
    <col min="9733" max="9733" width="10.5703125" style="27" bestFit="1" customWidth="1"/>
    <col min="9734" max="9734" width="11.85546875" style="27" customWidth="1"/>
    <col min="9735" max="9736" width="11.42578125" style="27" bestFit="1" customWidth="1"/>
    <col min="9737" max="9737" width="11.42578125" style="27" customWidth="1"/>
    <col min="9738" max="9738" width="11.42578125" style="27" bestFit="1" customWidth="1"/>
    <col min="9739" max="9742" width="9.140625" style="27"/>
    <col min="9743" max="9743" width="12" style="27" bestFit="1" customWidth="1"/>
    <col min="9744" max="9744" width="9.5703125" style="27" bestFit="1" customWidth="1"/>
    <col min="9745" max="9745" width="10.5703125" style="27" bestFit="1" customWidth="1"/>
    <col min="9746" max="9746" width="9.140625" style="27"/>
    <col min="9747" max="9747" width="11.5703125" style="27" bestFit="1" customWidth="1"/>
    <col min="9748" max="9748" width="9.140625" style="27"/>
    <col min="9749" max="9749" width="9.5703125" style="27" bestFit="1" customWidth="1"/>
    <col min="9750" max="9750" width="11.42578125" style="27" customWidth="1"/>
    <col min="9751" max="9752" width="10" style="27" bestFit="1" customWidth="1"/>
    <col min="9753" max="9984" width="9.140625" style="27"/>
    <col min="9985" max="9985" width="19.42578125" style="27" bestFit="1" customWidth="1"/>
    <col min="9986" max="9986" width="17.5703125" style="27" customWidth="1"/>
    <col min="9987" max="9987" width="15" style="27" customWidth="1"/>
    <col min="9988" max="9988" width="9.5703125" style="27" bestFit="1" customWidth="1"/>
    <col min="9989" max="9989" width="10.5703125" style="27" bestFit="1" customWidth="1"/>
    <col min="9990" max="9990" width="11.85546875" style="27" customWidth="1"/>
    <col min="9991" max="9992" width="11.42578125" style="27" bestFit="1" customWidth="1"/>
    <col min="9993" max="9993" width="11.42578125" style="27" customWidth="1"/>
    <col min="9994" max="9994" width="11.42578125" style="27" bestFit="1" customWidth="1"/>
    <col min="9995" max="9998" width="9.140625" style="27"/>
    <col min="9999" max="9999" width="12" style="27" bestFit="1" customWidth="1"/>
    <col min="10000" max="10000" width="9.5703125" style="27" bestFit="1" customWidth="1"/>
    <col min="10001" max="10001" width="10.5703125" style="27" bestFit="1" customWidth="1"/>
    <col min="10002" max="10002" width="9.140625" style="27"/>
    <col min="10003" max="10003" width="11.5703125" style="27" bestFit="1" customWidth="1"/>
    <col min="10004" max="10004" width="9.140625" style="27"/>
    <col min="10005" max="10005" width="9.5703125" style="27" bestFit="1" customWidth="1"/>
    <col min="10006" max="10006" width="11.42578125" style="27" customWidth="1"/>
    <col min="10007" max="10008" width="10" style="27" bestFit="1" customWidth="1"/>
    <col min="10009" max="10240" width="9.140625" style="27"/>
    <col min="10241" max="10241" width="19.42578125" style="27" bestFit="1" customWidth="1"/>
    <col min="10242" max="10242" width="17.5703125" style="27" customWidth="1"/>
    <col min="10243" max="10243" width="15" style="27" customWidth="1"/>
    <col min="10244" max="10244" width="9.5703125" style="27" bestFit="1" customWidth="1"/>
    <col min="10245" max="10245" width="10.5703125" style="27" bestFit="1" customWidth="1"/>
    <col min="10246" max="10246" width="11.85546875" style="27" customWidth="1"/>
    <col min="10247" max="10248" width="11.42578125" style="27" bestFit="1" customWidth="1"/>
    <col min="10249" max="10249" width="11.42578125" style="27" customWidth="1"/>
    <col min="10250" max="10250" width="11.42578125" style="27" bestFit="1" customWidth="1"/>
    <col min="10251" max="10254" width="9.140625" style="27"/>
    <col min="10255" max="10255" width="12" style="27" bestFit="1" customWidth="1"/>
    <col min="10256" max="10256" width="9.5703125" style="27" bestFit="1" customWidth="1"/>
    <col min="10257" max="10257" width="10.5703125" style="27" bestFit="1" customWidth="1"/>
    <col min="10258" max="10258" width="9.140625" style="27"/>
    <col min="10259" max="10259" width="11.5703125" style="27" bestFit="1" customWidth="1"/>
    <col min="10260" max="10260" width="9.140625" style="27"/>
    <col min="10261" max="10261" width="9.5703125" style="27" bestFit="1" customWidth="1"/>
    <col min="10262" max="10262" width="11.42578125" style="27" customWidth="1"/>
    <col min="10263" max="10264" width="10" style="27" bestFit="1" customWidth="1"/>
    <col min="10265" max="10496" width="9.140625" style="27"/>
    <col min="10497" max="10497" width="19.42578125" style="27" bestFit="1" customWidth="1"/>
    <col min="10498" max="10498" width="17.5703125" style="27" customWidth="1"/>
    <col min="10499" max="10499" width="15" style="27" customWidth="1"/>
    <col min="10500" max="10500" width="9.5703125" style="27" bestFit="1" customWidth="1"/>
    <col min="10501" max="10501" width="10.5703125" style="27" bestFit="1" customWidth="1"/>
    <col min="10502" max="10502" width="11.85546875" style="27" customWidth="1"/>
    <col min="10503" max="10504" width="11.42578125" style="27" bestFit="1" customWidth="1"/>
    <col min="10505" max="10505" width="11.42578125" style="27" customWidth="1"/>
    <col min="10506" max="10506" width="11.42578125" style="27" bestFit="1" customWidth="1"/>
    <col min="10507" max="10510" width="9.140625" style="27"/>
    <col min="10511" max="10511" width="12" style="27" bestFit="1" customWidth="1"/>
    <col min="10512" max="10512" width="9.5703125" style="27" bestFit="1" customWidth="1"/>
    <col min="10513" max="10513" width="10.5703125" style="27" bestFit="1" customWidth="1"/>
    <col min="10514" max="10514" width="9.140625" style="27"/>
    <col min="10515" max="10515" width="11.5703125" style="27" bestFit="1" customWidth="1"/>
    <col min="10516" max="10516" width="9.140625" style="27"/>
    <col min="10517" max="10517" width="9.5703125" style="27" bestFit="1" customWidth="1"/>
    <col min="10518" max="10518" width="11.42578125" style="27" customWidth="1"/>
    <col min="10519" max="10520" width="10" style="27" bestFit="1" customWidth="1"/>
    <col min="10521" max="10752" width="9.140625" style="27"/>
    <col min="10753" max="10753" width="19.42578125" style="27" bestFit="1" customWidth="1"/>
    <col min="10754" max="10754" width="17.5703125" style="27" customWidth="1"/>
    <col min="10755" max="10755" width="15" style="27" customWidth="1"/>
    <col min="10756" max="10756" width="9.5703125" style="27" bestFit="1" customWidth="1"/>
    <col min="10757" max="10757" width="10.5703125" style="27" bestFit="1" customWidth="1"/>
    <col min="10758" max="10758" width="11.85546875" style="27" customWidth="1"/>
    <col min="10759" max="10760" width="11.42578125" style="27" bestFit="1" customWidth="1"/>
    <col min="10761" max="10761" width="11.42578125" style="27" customWidth="1"/>
    <col min="10762" max="10762" width="11.42578125" style="27" bestFit="1" customWidth="1"/>
    <col min="10763" max="10766" width="9.140625" style="27"/>
    <col min="10767" max="10767" width="12" style="27" bestFit="1" customWidth="1"/>
    <col min="10768" max="10768" width="9.5703125" style="27" bestFit="1" customWidth="1"/>
    <col min="10769" max="10769" width="10.5703125" style="27" bestFit="1" customWidth="1"/>
    <col min="10770" max="10770" width="9.140625" style="27"/>
    <col min="10771" max="10771" width="11.5703125" style="27" bestFit="1" customWidth="1"/>
    <col min="10772" max="10772" width="9.140625" style="27"/>
    <col min="10773" max="10773" width="9.5703125" style="27" bestFit="1" customWidth="1"/>
    <col min="10774" max="10774" width="11.42578125" style="27" customWidth="1"/>
    <col min="10775" max="10776" width="10" style="27" bestFit="1" customWidth="1"/>
    <col min="10777" max="11008" width="9.140625" style="27"/>
    <col min="11009" max="11009" width="19.42578125" style="27" bestFit="1" customWidth="1"/>
    <col min="11010" max="11010" width="17.5703125" style="27" customWidth="1"/>
    <col min="11011" max="11011" width="15" style="27" customWidth="1"/>
    <col min="11012" max="11012" width="9.5703125" style="27" bestFit="1" customWidth="1"/>
    <col min="11013" max="11013" width="10.5703125" style="27" bestFit="1" customWidth="1"/>
    <col min="11014" max="11014" width="11.85546875" style="27" customWidth="1"/>
    <col min="11015" max="11016" width="11.42578125" style="27" bestFit="1" customWidth="1"/>
    <col min="11017" max="11017" width="11.42578125" style="27" customWidth="1"/>
    <col min="11018" max="11018" width="11.42578125" style="27" bestFit="1" customWidth="1"/>
    <col min="11019" max="11022" width="9.140625" style="27"/>
    <col min="11023" max="11023" width="12" style="27" bestFit="1" customWidth="1"/>
    <col min="11024" max="11024" width="9.5703125" style="27" bestFit="1" customWidth="1"/>
    <col min="11025" max="11025" width="10.5703125" style="27" bestFit="1" customWidth="1"/>
    <col min="11026" max="11026" width="9.140625" style="27"/>
    <col min="11027" max="11027" width="11.5703125" style="27" bestFit="1" customWidth="1"/>
    <col min="11028" max="11028" width="9.140625" style="27"/>
    <col min="11029" max="11029" width="9.5703125" style="27" bestFit="1" customWidth="1"/>
    <col min="11030" max="11030" width="11.42578125" style="27" customWidth="1"/>
    <col min="11031" max="11032" width="10" style="27" bestFit="1" customWidth="1"/>
    <col min="11033" max="11264" width="9.140625" style="27"/>
    <col min="11265" max="11265" width="19.42578125" style="27" bestFit="1" customWidth="1"/>
    <col min="11266" max="11266" width="17.5703125" style="27" customWidth="1"/>
    <col min="11267" max="11267" width="15" style="27" customWidth="1"/>
    <col min="11268" max="11268" width="9.5703125" style="27" bestFit="1" customWidth="1"/>
    <col min="11269" max="11269" width="10.5703125" style="27" bestFit="1" customWidth="1"/>
    <col min="11270" max="11270" width="11.85546875" style="27" customWidth="1"/>
    <col min="11271" max="11272" width="11.42578125" style="27" bestFit="1" customWidth="1"/>
    <col min="11273" max="11273" width="11.42578125" style="27" customWidth="1"/>
    <col min="11274" max="11274" width="11.42578125" style="27" bestFit="1" customWidth="1"/>
    <col min="11275" max="11278" width="9.140625" style="27"/>
    <col min="11279" max="11279" width="12" style="27" bestFit="1" customWidth="1"/>
    <col min="11280" max="11280" width="9.5703125" style="27" bestFit="1" customWidth="1"/>
    <col min="11281" max="11281" width="10.5703125" style="27" bestFit="1" customWidth="1"/>
    <col min="11282" max="11282" width="9.140625" style="27"/>
    <col min="11283" max="11283" width="11.5703125" style="27" bestFit="1" customWidth="1"/>
    <col min="11284" max="11284" width="9.140625" style="27"/>
    <col min="11285" max="11285" width="9.5703125" style="27" bestFit="1" customWidth="1"/>
    <col min="11286" max="11286" width="11.42578125" style="27" customWidth="1"/>
    <col min="11287" max="11288" width="10" style="27" bestFit="1" customWidth="1"/>
    <col min="11289" max="11520" width="9.140625" style="27"/>
    <col min="11521" max="11521" width="19.42578125" style="27" bestFit="1" customWidth="1"/>
    <col min="11522" max="11522" width="17.5703125" style="27" customWidth="1"/>
    <col min="11523" max="11523" width="15" style="27" customWidth="1"/>
    <col min="11524" max="11524" width="9.5703125" style="27" bestFit="1" customWidth="1"/>
    <col min="11525" max="11525" width="10.5703125" style="27" bestFit="1" customWidth="1"/>
    <col min="11526" max="11526" width="11.85546875" style="27" customWidth="1"/>
    <col min="11527" max="11528" width="11.42578125" style="27" bestFit="1" customWidth="1"/>
    <col min="11529" max="11529" width="11.42578125" style="27" customWidth="1"/>
    <col min="11530" max="11530" width="11.42578125" style="27" bestFit="1" customWidth="1"/>
    <col min="11531" max="11534" width="9.140625" style="27"/>
    <col min="11535" max="11535" width="12" style="27" bestFit="1" customWidth="1"/>
    <col min="11536" max="11536" width="9.5703125" style="27" bestFit="1" customWidth="1"/>
    <col min="11537" max="11537" width="10.5703125" style="27" bestFit="1" customWidth="1"/>
    <col min="11538" max="11538" width="9.140625" style="27"/>
    <col min="11539" max="11539" width="11.5703125" style="27" bestFit="1" customWidth="1"/>
    <col min="11540" max="11540" width="9.140625" style="27"/>
    <col min="11541" max="11541" width="9.5703125" style="27" bestFit="1" customWidth="1"/>
    <col min="11542" max="11542" width="11.42578125" style="27" customWidth="1"/>
    <col min="11543" max="11544" width="10" style="27" bestFit="1" customWidth="1"/>
    <col min="11545" max="11776" width="9.140625" style="27"/>
    <col min="11777" max="11777" width="19.42578125" style="27" bestFit="1" customWidth="1"/>
    <col min="11778" max="11778" width="17.5703125" style="27" customWidth="1"/>
    <col min="11779" max="11779" width="15" style="27" customWidth="1"/>
    <col min="11780" max="11780" width="9.5703125" style="27" bestFit="1" customWidth="1"/>
    <col min="11781" max="11781" width="10.5703125" style="27" bestFit="1" customWidth="1"/>
    <col min="11782" max="11782" width="11.85546875" style="27" customWidth="1"/>
    <col min="11783" max="11784" width="11.42578125" style="27" bestFit="1" customWidth="1"/>
    <col min="11785" max="11785" width="11.42578125" style="27" customWidth="1"/>
    <col min="11786" max="11786" width="11.42578125" style="27" bestFit="1" customWidth="1"/>
    <col min="11787" max="11790" width="9.140625" style="27"/>
    <col min="11791" max="11791" width="12" style="27" bestFit="1" customWidth="1"/>
    <col min="11792" max="11792" width="9.5703125" style="27" bestFit="1" customWidth="1"/>
    <col min="11793" max="11793" width="10.5703125" style="27" bestFit="1" customWidth="1"/>
    <col min="11794" max="11794" width="9.140625" style="27"/>
    <col min="11795" max="11795" width="11.5703125" style="27" bestFit="1" customWidth="1"/>
    <col min="11796" max="11796" width="9.140625" style="27"/>
    <col min="11797" max="11797" width="9.5703125" style="27" bestFit="1" customWidth="1"/>
    <col min="11798" max="11798" width="11.42578125" style="27" customWidth="1"/>
    <col min="11799" max="11800" width="10" style="27" bestFit="1" customWidth="1"/>
    <col min="11801" max="12032" width="9.140625" style="27"/>
    <col min="12033" max="12033" width="19.42578125" style="27" bestFit="1" customWidth="1"/>
    <col min="12034" max="12034" width="17.5703125" style="27" customWidth="1"/>
    <col min="12035" max="12035" width="15" style="27" customWidth="1"/>
    <col min="12036" max="12036" width="9.5703125" style="27" bestFit="1" customWidth="1"/>
    <col min="12037" max="12037" width="10.5703125" style="27" bestFit="1" customWidth="1"/>
    <col min="12038" max="12038" width="11.85546875" style="27" customWidth="1"/>
    <col min="12039" max="12040" width="11.42578125" style="27" bestFit="1" customWidth="1"/>
    <col min="12041" max="12041" width="11.42578125" style="27" customWidth="1"/>
    <col min="12042" max="12042" width="11.42578125" style="27" bestFit="1" customWidth="1"/>
    <col min="12043" max="12046" width="9.140625" style="27"/>
    <col min="12047" max="12047" width="12" style="27" bestFit="1" customWidth="1"/>
    <col min="12048" max="12048" width="9.5703125" style="27" bestFit="1" customWidth="1"/>
    <col min="12049" max="12049" width="10.5703125" style="27" bestFit="1" customWidth="1"/>
    <col min="12050" max="12050" width="9.140625" style="27"/>
    <col min="12051" max="12051" width="11.5703125" style="27" bestFit="1" customWidth="1"/>
    <col min="12052" max="12052" width="9.140625" style="27"/>
    <col min="12053" max="12053" width="9.5703125" style="27" bestFit="1" customWidth="1"/>
    <col min="12054" max="12054" width="11.42578125" style="27" customWidth="1"/>
    <col min="12055" max="12056" width="10" style="27" bestFit="1" customWidth="1"/>
    <col min="12057" max="12288" width="9.140625" style="27"/>
    <col min="12289" max="12289" width="19.42578125" style="27" bestFit="1" customWidth="1"/>
    <col min="12290" max="12290" width="17.5703125" style="27" customWidth="1"/>
    <col min="12291" max="12291" width="15" style="27" customWidth="1"/>
    <col min="12292" max="12292" width="9.5703125" style="27" bestFit="1" customWidth="1"/>
    <col min="12293" max="12293" width="10.5703125" style="27" bestFit="1" customWidth="1"/>
    <col min="12294" max="12294" width="11.85546875" style="27" customWidth="1"/>
    <col min="12295" max="12296" width="11.42578125" style="27" bestFit="1" customWidth="1"/>
    <col min="12297" max="12297" width="11.42578125" style="27" customWidth="1"/>
    <col min="12298" max="12298" width="11.42578125" style="27" bestFit="1" customWidth="1"/>
    <col min="12299" max="12302" width="9.140625" style="27"/>
    <col min="12303" max="12303" width="12" style="27" bestFit="1" customWidth="1"/>
    <col min="12304" max="12304" width="9.5703125" style="27" bestFit="1" customWidth="1"/>
    <col min="12305" max="12305" width="10.5703125" style="27" bestFit="1" customWidth="1"/>
    <col min="12306" max="12306" width="9.140625" style="27"/>
    <col min="12307" max="12307" width="11.5703125" style="27" bestFit="1" customWidth="1"/>
    <col min="12308" max="12308" width="9.140625" style="27"/>
    <col min="12309" max="12309" width="9.5703125" style="27" bestFit="1" customWidth="1"/>
    <col min="12310" max="12310" width="11.42578125" style="27" customWidth="1"/>
    <col min="12311" max="12312" width="10" style="27" bestFit="1" customWidth="1"/>
    <col min="12313" max="12544" width="9.140625" style="27"/>
    <col min="12545" max="12545" width="19.42578125" style="27" bestFit="1" customWidth="1"/>
    <col min="12546" max="12546" width="17.5703125" style="27" customWidth="1"/>
    <col min="12547" max="12547" width="15" style="27" customWidth="1"/>
    <col min="12548" max="12548" width="9.5703125" style="27" bestFit="1" customWidth="1"/>
    <col min="12549" max="12549" width="10.5703125" style="27" bestFit="1" customWidth="1"/>
    <col min="12550" max="12550" width="11.85546875" style="27" customWidth="1"/>
    <col min="12551" max="12552" width="11.42578125" style="27" bestFit="1" customWidth="1"/>
    <col min="12553" max="12553" width="11.42578125" style="27" customWidth="1"/>
    <col min="12554" max="12554" width="11.42578125" style="27" bestFit="1" customWidth="1"/>
    <col min="12555" max="12558" width="9.140625" style="27"/>
    <col min="12559" max="12559" width="12" style="27" bestFit="1" customWidth="1"/>
    <col min="12560" max="12560" width="9.5703125" style="27" bestFit="1" customWidth="1"/>
    <col min="12561" max="12561" width="10.5703125" style="27" bestFit="1" customWidth="1"/>
    <col min="12562" max="12562" width="9.140625" style="27"/>
    <col min="12563" max="12563" width="11.5703125" style="27" bestFit="1" customWidth="1"/>
    <col min="12564" max="12564" width="9.140625" style="27"/>
    <col min="12565" max="12565" width="9.5703125" style="27" bestFit="1" customWidth="1"/>
    <col min="12566" max="12566" width="11.42578125" style="27" customWidth="1"/>
    <col min="12567" max="12568" width="10" style="27" bestFit="1" customWidth="1"/>
    <col min="12569" max="12800" width="9.140625" style="27"/>
    <col min="12801" max="12801" width="19.42578125" style="27" bestFit="1" customWidth="1"/>
    <col min="12802" max="12802" width="17.5703125" style="27" customWidth="1"/>
    <col min="12803" max="12803" width="15" style="27" customWidth="1"/>
    <col min="12804" max="12804" width="9.5703125" style="27" bestFit="1" customWidth="1"/>
    <col min="12805" max="12805" width="10.5703125" style="27" bestFit="1" customWidth="1"/>
    <col min="12806" max="12806" width="11.85546875" style="27" customWidth="1"/>
    <col min="12807" max="12808" width="11.42578125" style="27" bestFit="1" customWidth="1"/>
    <col min="12809" max="12809" width="11.42578125" style="27" customWidth="1"/>
    <col min="12810" max="12810" width="11.42578125" style="27" bestFit="1" customWidth="1"/>
    <col min="12811" max="12814" width="9.140625" style="27"/>
    <col min="12815" max="12815" width="12" style="27" bestFit="1" customWidth="1"/>
    <col min="12816" max="12816" width="9.5703125" style="27" bestFit="1" customWidth="1"/>
    <col min="12817" max="12817" width="10.5703125" style="27" bestFit="1" customWidth="1"/>
    <col min="12818" max="12818" width="9.140625" style="27"/>
    <col min="12819" max="12819" width="11.5703125" style="27" bestFit="1" customWidth="1"/>
    <col min="12820" max="12820" width="9.140625" style="27"/>
    <col min="12821" max="12821" width="9.5703125" style="27" bestFit="1" customWidth="1"/>
    <col min="12822" max="12822" width="11.42578125" style="27" customWidth="1"/>
    <col min="12823" max="12824" width="10" style="27" bestFit="1" customWidth="1"/>
    <col min="12825" max="13056" width="9.140625" style="27"/>
    <col min="13057" max="13057" width="19.42578125" style="27" bestFit="1" customWidth="1"/>
    <col min="13058" max="13058" width="17.5703125" style="27" customWidth="1"/>
    <col min="13059" max="13059" width="15" style="27" customWidth="1"/>
    <col min="13060" max="13060" width="9.5703125" style="27" bestFit="1" customWidth="1"/>
    <col min="13061" max="13061" width="10.5703125" style="27" bestFit="1" customWidth="1"/>
    <col min="13062" max="13062" width="11.85546875" style="27" customWidth="1"/>
    <col min="13063" max="13064" width="11.42578125" style="27" bestFit="1" customWidth="1"/>
    <col min="13065" max="13065" width="11.42578125" style="27" customWidth="1"/>
    <col min="13066" max="13066" width="11.42578125" style="27" bestFit="1" customWidth="1"/>
    <col min="13067" max="13070" width="9.140625" style="27"/>
    <col min="13071" max="13071" width="12" style="27" bestFit="1" customWidth="1"/>
    <col min="13072" max="13072" width="9.5703125" style="27" bestFit="1" customWidth="1"/>
    <col min="13073" max="13073" width="10.5703125" style="27" bestFit="1" customWidth="1"/>
    <col min="13074" max="13074" width="9.140625" style="27"/>
    <col min="13075" max="13075" width="11.5703125" style="27" bestFit="1" customWidth="1"/>
    <col min="13076" max="13076" width="9.140625" style="27"/>
    <col min="13077" max="13077" width="9.5703125" style="27" bestFit="1" customWidth="1"/>
    <col min="13078" max="13078" width="11.42578125" style="27" customWidth="1"/>
    <col min="13079" max="13080" width="10" style="27" bestFit="1" customWidth="1"/>
    <col min="13081" max="13312" width="9.140625" style="27"/>
    <col min="13313" max="13313" width="19.42578125" style="27" bestFit="1" customWidth="1"/>
    <col min="13314" max="13314" width="17.5703125" style="27" customWidth="1"/>
    <col min="13315" max="13315" width="15" style="27" customWidth="1"/>
    <col min="13316" max="13316" width="9.5703125" style="27" bestFit="1" customWidth="1"/>
    <col min="13317" max="13317" width="10.5703125" style="27" bestFit="1" customWidth="1"/>
    <col min="13318" max="13318" width="11.85546875" style="27" customWidth="1"/>
    <col min="13319" max="13320" width="11.42578125" style="27" bestFit="1" customWidth="1"/>
    <col min="13321" max="13321" width="11.42578125" style="27" customWidth="1"/>
    <col min="13322" max="13322" width="11.42578125" style="27" bestFit="1" customWidth="1"/>
    <col min="13323" max="13326" width="9.140625" style="27"/>
    <col min="13327" max="13327" width="12" style="27" bestFit="1" customWidth="1"/>
    <col min="13328" max="13328" width="9.5703125" style="27" bestFit="1" customWidth="1"/>
    <col min="13329" max="13329" width="10.5703125" style="27" bestFit="1" customWidth="1"/>
    <col min="13330" max="13330" width="9.140625" style="27"/>
    <col min="13331" max="13331" width="11.5703125" style="27" bestFit="1" customWidth="1"/>
    <col min="13332" max="13332" width="9.140625" style="27"/>
    <col min="13333" max="13333" width="9.5703125" style="27" bestFit="1" customWidth="1"/>
    <col min="13334" max="13334" width="11.42578125" style="27" customWidth="1"/>
    <col min="13335" max="13336" width="10" style="27" bestFit="1" customWidth="1"/>
    <col min="13337" max="13568" width="9.140625" style="27"/>
    <col min="13569" max="13569" width="19.42578125" style="27" bestFit="1" customWidth="1"/>
    <col min="13570" max="13570" width="17.5703125" style="27" customWidth="1"/>
    <col min="13571" max="13571" width="15" style="27" customWidth="1"/>
    <col min="13572" max="13572" width="9.5703125" style="27" bestFit="1" customWidth="1"/>
    <col min="13573" max="13573" width="10.5703125" style="27" bestFit="1" customWidth="1"/>
    <col min="13574" max="13574" width="11.85546875" style="27" customWidth="1"/>
    <col min="13575" max="13576" width="11.42578125" style="27" bestFit="1" customWidth="1"/>
    <col min="13577" max="13577" width="11.42578125" style="27" customWidth="1"/>
    <col min="13578" max="13578" width="11.42578125" style="27" bestFit="1" customWidth="1"/>
    <col min="13579" max="13582" width="9.140625" style="27"/>
    <col min="13583" max="13583" width="12" style="27" bestFit="1" customWidth="1"/>
    <col min="13584" max="13584" width="9.5703125" style="27" bestFit="1" customWidth="1"/>
    <col min="13585" max="13585" width="10.5703125" style="27" bestFit="1" customWidth="1"/>
    <col min="13586" max="13586" width="9.140625" style="27"/>
    <col min="13587" max="13587" width="11.5703125" style="27" bestFit="1" customWidth="1"/>
    <col min="13588" max="13588" width="9.140625" style="27"/>
    <col min="13589" max="13589" width="9.5703125" style="27" bestFit="1" customWidth="1"/>
    <col min="13590" max="13590" width="11.42578125" style="27" customWidth="1"/>
    <col min="13591" max="13592" width="10" style="27" bestFit="1" customWidth="1"/>
    <col min="13593" max="13824" width="9.140625" style="27"/>
    <col min="13825" max="13825" width="19.42578125" style="27" bestFit="1" customWidth="1"/>
    <col min="13826" max="13826" width="17.5703125" style="27" customWidth="1"/>
    <col min="13827" max="13827" width="15" style="27" customWidth="1"/>
    <col min="13828" max="13828" width="9.5703125" style="27" bestFit="1" customWidth="1"/>
    <col min="13829" max="13829" width="10.5703125" style="27" bestFit="1" customWidth="1"/>
    <col min="13830" max="13830" width="11.85546875" style="27" customWidth="1"/>
    <col min="13831" max="13832" width="11.42578125" style="27" bestFit="1" customWidth="1"/>
    <col min="13833" max="13833" width="11.42578125" style="27" customWidth="1"/>
    <col min="13834" max="13834" width="11.42578125" style="27" bestFit="1" customWidth="1"/>
    <col min="13835" max="13838" width="9.140625" style="27"/>
    <col min="13839" max="13839" width="12" style="27" bestFit="1" customWidth="1"/>
    <col min="13840" max="13840" width="9.5703125" style="27" bestFit="1" customWidth="1"/>
    <col min="13841" max="13841" width="10.5703125" style="27" bestFit="1" customWidth="1"/>
    <col min="13842" max="13842" width="9.140625" style="27"/>
    <col min="13843" max="13843" width="11.5703125" style="27" bestFit="1" customWidth="1"/>
    <col min="13844" max="13844" width="9.140625" style="27"/>
    <col min="13845" max="13845" width="9.5703125" style="27" bestFit="1" customWidth="1"/>
    <col min="13846" max="13846" width="11.42578125" style="27" customWidth="1"/>
    <col min="13847" max="13848" width="10" style="27" bestFit="1" customWidth="1"/>
    <col min="13849" max="14080" width="9.140625" style="27"/>
    <col min="14081" max="14081" width="19.42578125" style="27" bestFit="1" customWidth="1"/>
    <col min="14082" max="14082" width="17.5703125" style="27" customWidth="1"/>
    <col min="14083" max="14083" width="15" style="27" customWidth="1"/>
    <col min="14084" max="14084" width="9.5703125" style="27" bestFit="1" customWidth="1"/>
    <col min="14085" max="14085" width="10.5703125" style="27" bestFit="1" customWidth="1"/>
    <col min="14086" max="14086" width="11.85546875" style="27" customWidth="1"/>
    <col min="14087" max="14088" width="11.42578125" style="27" bestFit="1" customWidth="1"/>
    <col min="14089" max="14089" width="11.42578125" style="27" customWidth="1"/>
    <col min="14090" max="14090" width="11.42578125" style="27" bestFit="1" customWidth="1"/>
    <col min="14091" max="14094" width="9.140625" style="27"/>
    <col min="14095" max="14095" width="12" style="27" bestFit="1" customWidth="1"/>
    <col min="14096" max="14096" width="9.5703125" style="27" bestFit="1" customWidth="1"/>
    <col min="14097" max="14097" width="10.5703125" style="27" bestFit="1" customWidth="1"/>
    <col min="14098" max="14098" width="9.140625" style="27"/>
    <col min="14099" max="14099" width="11.5703125" style="27" bestFit="1" customWidth="1"/>
    <col min="14100" max="14100" width="9.140625" style="27"/>
    <col min="14101" max="14101" width="9.5703125" style="27" bestFit="1" customWidth="1"/>
    <col min="14102" max="14102" width="11.42578125" style="27" customWidth="1"/>
    <col min="14103" max="14104" width="10" style="27" bestFit="1" customWidth="1"/>
    <col min="14105" max="14336" width="9.140625" style="27"/>
    <col min="14337" max="14337" width="19.42578125" style="27" bestFit="1" customWidth="1"/>
    <col min="14338" max="14338" width="17.5703125" style="27" customWidth="1"/>
    <col min="14339" max="14339" width="15" style="27" customWidth="1"/>
    <col min="14340" max="14340" width="9.5703125" style="27" bestFit="1" customWidth="1"/>
    <col min="14341" max="14341" width="10.5703125" style="27" bestFit="1" customWidth="1"/>
    <col min="14342" max="14342" width="11.85546875" style="27" customWidth="1"/>
    <col min="14343" max="14344" width="11.42578125" style="27" bestFit="1" customWidth="1"/>
    <col min="14345" max="14345" width="11.42578125" style="27" customWidth="1"/>
    <col min="14346" max="14346" width="11.42578125" style="27" bestFit="1" customWidth="1"/>
    <col min="14347" max="14350" width="9.140625" style="27"/>
    <col min="14351" max="14351" width="12" style="27" bestFit="1" customWidth="1"/>
    <col min="14352" max="14352" width="9.5703125" style="27" bestFit="1" customWidth="1"/>
    <col min="14353" max="14353" width="10.5703125" style="27" bestFit="1" customWidth="1"/>
    <col min="14354" max="14354" width="9.140625" style="27"/>
    <col min="14355" max="14355" width="11.5703125" style="27" bestFit="1" customWidth="1"/>
    <col min="14356" max="14356" width="9.140625" style="27"/>
    <col min="14357" max="14357" width="9.5703125" style="27" bestFit="1" customWidth="1"/>
    <col min="14358" max="14358" width="11.42578125" style="27" customWidth="1"/>
    <col min="14359" max="14360" width="10" style="27" bestFit="1" customWidth="1"/>
    <col min="14361" max="14592" width="9.140625" style="27"/>
    <col min="14593" max="14593" width="19.42578125" style="27" bestFit="1" customWidth="1"/>
    <col min="14594" max="14594" width="17.5703125" style="27" customWidth="1"/>
    <col min="14595" max="14595" width="15" style="27" customWidth="1"/>
    <col min="14596" max="14596" width="9.5703125" style="27" bestFit="1" customWidth="1"/>
    <col min="14597" max="14597" width="10.5703125" style="27" bestFit="1" customWidth="1"/>
    <col min="14598" max="14598" width="11.85546875" style="27" customWidth="1"/>
    <col min="14599" max="14600" width="11.42578125" style="27" bestFit="1" customWidth="1"/>
    <col min="14601" max="14601" width="11.42578125" style="27" customWidth="1"/>
    <col min="14602" max="14602" width="11.42578125" style="27" bestFit="1" customWidth="1"/>
    <col min="14603" max="14606" width="9.140625" style="27"/>
    <col min="14607" max="14607" width="12" style="27" bestFit="1" customWidth="1"/>
    <col min="14608" max="14608" width="9.5703125" style="27" bestFit="1" customWidth="1"/>
    <col min="14609" max="14609" width="10.5703125" style="27" bestFit="1" customWidth="1"/>
    <col min="14610" max="14610" width="9.140625" style="27"/>
    <col min="14611" max="14611" width="11.5703125" style="27" bestFit="1" customWidth="1"/>
    <col min="14612" max="14612" width="9.140625" style="27"/>
    <col min="14613" max="14613" width="9.5703125" style="27" bestFit="1" customWidth="1"/>
    <col min="14614" max="14614" width="11.42578125" style="27" customWidth="1"/>
    <col min="14615" max="14616" width="10" style="27" bestFit="1" customWidth="1"/>
    <col min="14617" max="14848" width="9.140625" style="27"/>
    <col min="14849" max="14849" width="19.42578125" style="27" bestFit="1" customWidth="1"/>
    <col min="14850" max="14850" width="17.5703125" style="27" customWidth="1"/>
    <col min="14851" max="14851" width="15" style="27" customWidth="1"/>
    <col min="14852" max="14852" width="9.5703125" style="27" bestFit="1" customWidth="1"/>
    <col min="14853" max="14853" width="10.5703125" style="27" bestFit="1" customWidth="1"/>
    <col min="14854" max="14854" width="11.85546875" style="27" customWidth="1"/>
    <col min="14855" max="14856" width="11.42578125" style="27" bestFit="1" customWidth="1"/>
    <col min="14857" max="14857" width="11.42578125" style="27" customWidth="1"/>
    <col min="14858" max="14858" width="11.42578125" style="27" bestFit="1" customWidth="1"/>
    <col min="14859" max="14862" width="9.140625" style="27"/>
    <col min="14863" max="14863" width="12" style="27" bestFit="1" customWidth="1"/>
    <col min="14864" max="14864" width="9.5703125" style="27" bestFit="1" customWidth="1"/>
    <col min="14865" max="14865" width="10.5703125" style="27" bestFit="1" customWidth="1"/>
    <col min="14866" max="14866" width="9.140625" style="27"/>
    <col min="14867" max="14867" width="11.5703125" style="27" bestFit="1" customWidth="1"/>
    <col min="14868" max="14868" width="9.140625" style="27"/>
    <col min="14869" max="14869" width="9.5703125" style="27" bestFit="1" customWidth="1"/>
    <col min="14870" max="14870" width="11.42578125" style="27" customWidth="1"/>
    <col min="14871" max="14872" width="10" style="27" bestFit="1" customWidth="1"/>
    <col min="14873" max="15104" width="9.140625" style="27"/>
    <col min="15105" max="15105" width="19.42578125" style="27" bestFit="1" customWidth="1"/>
    <col min="15106" max="15106" width="17.5703125" style="27" customWidth="1"/>
    <col min="15107" max="15107" width="15" style="27" customWidth="1"/>
    <col min="15108" max="15108" width="9.5703125" style="27" bestFit="1" customWidth="1"/>
    <col min="15109" max="15109" width="10.5703125" style="27" bestFit="1" customWidth="1"/>
    <col min="15110" max="15110" width="11.85546875" style="27" customWidth="1"/>
    <col min="15111" max="15112" width="11.42578125" style="27" bestFit="1" customWidth="1"/>
    <col min="15113" max="15113" width="11.42578125" style="27" customWidth="1"/>
    <col min="15114" max="15114" width="11.42578125" style="27" bestFit="1" customWidth="1"/>
    <col min="15115" max="15118" width="9.140625" style="27"/>
    <col min="15119" max="15119" width="12" style="27" bestFit="1" customWidth="1"/>
    <col min="15120" max="15120" width="9.5703125" style="27" bestFit="1" customWidth="1"/>
    <col min="15121" max="15121" width="10.5703125" style="27" bestFit="1" customWidth="1"/>
    <col min="15122" max="15122" width="9.140625" style="27"/>
    <col min="15123" max="15123" width="11.5703125" style="27" bestFit="1" customWidth="1"/>
    <col min="15124" max="15124" width="9.140625" style="27"/>
    <col min="15125" max="15125" width="9.5703125" style="27" bestFit="1" customWidth="1"/>
    <col min="15126" max="15126" width="11.42578125" style="27" customWidth="1"/>
    <col min="15127" max="15128" width="10" style="27" bestFit="1" customWidth="1"/>
    <col min="15129" max="15360" width="9.140625" style="27"/>
    <col min="15361" max="15361" width="19.42578125" style="27" bestFit="1" customWidth="1"/>
    <col min="15362" max="15362" width="17.5703125" style="27" customWidth="1"/>
    <col min="15363" max="15363" width="15" style="27" customWidth="1"/>
    <col min="15364" max="15364" width="9.5703125" style="27" bestFit="1" customWidth="1"/>
    <col min="15365" max="15365" width="10.5703125" style="27" bestFit="1" customWidth="1"/>
    <col min="15366" max="15366" width="11.85546875" style="27" customWidth="1"/>
    <col min="15367" max="15368" width="11.42578125" style="27" bestFit="1" customWidth="1"/>
    <col min="15369" max="15369" width="11.42578125" style="27" customWidth="1"/>
    <col min="15370" max="15370" width="11.42578125" style="27" bestFit="1" customWidth="1"/>
    <col min="15371" max="15374" width="9.140625" style="27"/>
    <col min="15375" max="15375" width="12" style="27" bestFit="1" customWidth="1"/>
    <col min="15376" max="15376" width="9.5703125" style="27" bestFit="1" customWidth="1"/>
    <col min="15377" max="15377" width="10.5703125" style="27" bestFit="1" customWidth="1"/>
    <col min="15378" max="15378" width="9.140625" style="27"/>
    <col min="15379" max="15379" width="11.5703125" style="27" bestFit="1" customWidth="1"/>
    <col min="15380" max="15380" width="9.140625" style="27"/>
    <col min="15381" max="15381" width="9.5703125" style="27" bestFit="1" customWidth="1"/>
    <col min="15382" max="15382" width="11.42578125" style="27" customWidth="1"/>
    <col min="15383" max="15384" width="10" style="27" bestFit="1" customWidth="1"/>
    <col min="15385" max="15616" width="9.140625" style="27"/>
    <col min="15617" max="15617" width="19.42578125" style="27" bestFit="1" customWidth="1"/>
    <col min="15618" max="15618" width="17.5703125" style="27" customWidth="1"/>
    <col min="15619" max="15619" width="15" style="27" customWidth="1"/>
    <col min="15620" max="15620" width="9.5703125" style="27" bestFit="1" customWidth="1"/>
    <col min="15621" max="15621" width="10.5703125" style="27" bestFit="1" customWidth="1"/>
    <col min="15622" max="15622" width="11.85546875" style="27" customWidth="1"/>
    <col min="15623" max="15624" width="11.42578125" style="27" bestFit="1" customWidth="1"/>
    <col min="15625" max="15625" width="11.42578125" style="27" customWidth="1"/>
    <col min="15626" max="15626" width="11.42578125" style="27" bestFit="1" customWidth="1"/>
    <col min="15627" max="15630" width="9.140625" style="27"/>
    <col min="15631" max="15631" width="12" style="27" bestFit="1" customWidth="1"/>
    <col min="15632" max="15632" width="9.5703125" style="27" bestFit="1" customWidth="1"/>
    <col min="15633" max="15633" width="10.5703125" style="27" bestFit="1" customWidth="1"/>
    <col min="15634" max="15634" width="9.140625" style="27"/>
    <col min="15635" max="15635" width="11.5703125" style="27" bestFit="1" customWidth="1"/>
    <col min="15636" max="15636" width="9.140625" style="27"/>
    <col min="15637" max="15637" width="9.5703125" style="27" bestFit="1" customWidth="1"/>
    <col min="15638" max="15638" width="11.42578125" style="27" customWidth="1"/>
    <col min="15639" max="15640" width="10" style="27" bestFit="1" customWidth="1"/>
    <col min="15641" max="15872" width="9.140625" style="27"/>
    <col min="15873" max="15873" width="19.42578125" style="27" bestFit="1" customWidth="1"/>
    <col min="15874" max="15874" width="17.5703125" style="27" customWidth="1"/>
    <col min="15875" max="15875" width="15" style="27" customWidth="1"/>
    <col min="15876" max="15876" width="9.5703125" style="27" bestFit="1" customWidth="1"/>
    <col min="15877" max="15877" width="10.5703125" style="27" bestFit="1" customWidth="1"/>
    <col min="15878" max="15878" width="11.85546875" style="27" customWidth="1"/>
    <col min="15879" max="15880" width="11.42578125" style="27" bestFit="1" customWidth="1"/>
    <col min="15881" max="15881" width="11.42578125" style="27" customWidth="1"/>
    <col min="15882" max="15882" width="11.42578125" style="27" bestFit="1" customWidth="1"/>
    <col min="15883" max="15886" width="9.140625" style="27"/>
    <col min="15887" max="15887" width="12" style="27" bestFit="1" customWidth="1"/>
    <col min="15888" max="15888" width="9.5703125" style="27" bestFit="1" customWidth="1"/>
    <col min="15889" max="15889" width="10.5703125" style="27" bestFit="1" customWidth="1"/>
    <col min="15890" max="15890" width="9.140625" style="27"/>
    <col min="15891" max="15891" width="11.5703125" style="27" bestFit="1" customWidth="1"/>
    <col min="15892" max="15892" width="9.140625" style="27"/>
    <col min="15893" max="15893" width="9.5703125" style="27" bestFit="1" customWidth="1"/>
    <col min="15894" max="15894" width="11.42578125" style="27" customWidth="1"/>
    <col min="15895" max="15896" width="10" style="27" bestFit="1" customWidth="1"/>
    <col min="15897" max="16128" width="9.140625" style="27"/>
    <col min="16129" max="16129" width="19.42578125" style="27" bestFit="1" customWidth="1"/>
    <col min="16130" max="16130" width="17.5703125" style="27" customWidth="1"/>
    <col min="16131" max="16131" width="15" style="27" customWidth="1"/>
    <col min="16132" max="16132" width="9.5703125" style="27" bestFit="1" customWidth="1"/>
    <col min="16133" max="16133" width="10.5703125" style="27" bestFit="1" customWidth="1"/>
    <col min="16134" max="16134" width="11.85546875" style="27" customWidth="1"/>
    <col min="16135" max="16136" width="11.42578125" style="27" bestFit="1" customWidth="1"/>
    <col min="16137" max="16137" width="11.42578125" style="27" customWidth="1"/>
    <col min="16138" max="16138" width="11.42578125" style="27" bestFit="1" customWidth="1"/>
    <col min="16139" max="16142" width="9.140625" style="27"/>
    <col min="16143" max="16143" width="12" style="27" bestFit="1" customWidth="1"/>
    <col min="16144" max="16144" width="9.5703125" style="27" bestFit="1" customWidth="1"/>
    <col min="16145" max="16145" width="10.5703125" style="27" bestFit="1" customWidth="1"/>
    <col min="16146" max="16146" width="9.140625" style="27"/>
    <col min="16147" max="16147" width="11.5703125" style="27" bestFit="1" customWidth="1"/>
    <col min="16148" max="16148" width="9.140625" style="27"/>
    <col min="16149" max="16149" width="9.5703125" style="27" bestFit="1" customWidth="1"/>
    <col min="16150" max="16150" width="11.42578125" style="27" customWidth="1"/>
    <col min="16151" max="16152" width="10" style="27" bestFit="1" customWidth="1"/>
    <col min="16153" max="16384" width="9.140625" style="27"/>
  </cols>
  <sheetData>
    <row r="1" spans="1:26" x14ac:dyDescent="0.2">
      <c r="A1" s="26" t="s">
        <v>43</v>
      </c>
    </row>
    <row r="3" spans="1:26" x14ac:dyDescent="0.2">
      <c r="A3" s="28" t="s">
        <v>44</v>
      </c>
      <c r="B3" s="29" t="s">
        <v>45</v>
      </c>
      <c r="C3" s="29" t="s">
        <v>46</v>
      </c>
      <c r="D3" s="29" t="s">
        <v>47</v>
      </c>
      <c r="F3" s="30" t="s">
        <v>48</v>
      </c>
    </row>
    <row r="4" spans="1:26" x14ac:dyDescent="0.2">
      <c r="A4" s="31" t="s">
        <v>49</v>
      </c>
      <c r="B4" s="32">
        <v>5</v>
      </c>
      <c r="C4" s="33">
        <v>0.02</v>
      </c>
      <c r="D4" s="32">
        <v>1</v>
      </c>
      <c r="F4" s="34" t="s">
        <v>50</v>
      </c>
      <c r="G4" s="35" t="s">
        <v>51</v>
      </c>
      <c r="H4" s="35" t="s">
        <v>52</v>
      </c>
      <c r="I4" s="35" t="s">
        <v>53</v>
      </c>
      <c r="J4" s="35" t="s">
        <v>54</v>
      </c>
      <c r="K4" s="35" t="s">
        <v>55</v>
      </c>
      <c r="L4" s="36"/>
    </row>
    <row r="5" spans="1:26" x14ac:dyDescent="0.2">
      <c r="F5" s="37" t="s">
        <v>47</v>
      </c>
      <c r="G5" s="38" t="s">
        <v>56</v>
      </c>
      <c r="H5" s="38" t="s">
        <v>57</v>
      </c>
      <c r="I5" s="38"/>
      <c r="J5" s="38"/>
      <c r="K5" s="38"/>
      <c r="L5" s="39"/>
    </row>
    <row r="8" spans="1:26" x14ac:dyDescent="0.2">
      <c r="D8" s="40" t="s">
        <v>58</v>
      </c>
      <c r="E8" s="41"/>
      <c r="F8" s="42"/>
      <c r="G8" s="42"/>
      <c r="H8" s="42"/>
      <c r="I8" s="43"/>
      <c r="J8" s="44" t="s">
        <v>59</v>
      </c>
      <c r="K8" s="45"/>
      <c r="L8" s="45"/>
      <c r="M8" s="46"/>
    </row>
    <row r="9" spans="1:26" x14ac:dyDescent="0.2">
      <c r="D9" s="47"/>
      <c r="E9" s="48"/>
      <c r="F9" s="48"/>
      <c r="G9" s="49"/>
      <c r="H9" s="48"/>
      <c r="I9" s="50"/>
      <c r="J9" s="51"/>
      <c r="K9" s="52"/>
      <c r="L9" s="52"/>
      <c r="M9" s="53"/>
    </row>
    <row r="10" spans="1:26" x14ac:dyDescent="0.2">
      <c r="B10" s="54" t="s">
        <v>60</v>
      </c>
      <c r="C10" s="55" t="s">
        <v>61</v>
      </c>
      <c r="D10" s="56" t="s">
        <v>62</v>
      </c>
      <c r="E10" s="56" t="s">
        <v>63</v>
      </c>
      <c r="F10" s="56" t="s">
        <v>64</v>
      </c>
      <c r="G10" s="56" t="s">
        <v>65</v>
      </c>
      <c r="H10" s="56" t="s">
        <v>66</v>
      </c>
      <c r="I10" s="56" t="s">
        <v>67</v>
      </c>
      <c r="J10" s="55" t="s">
        <v>68</v>
      </c>
      <c r="K10" s="55" t="s">
        <v>69</v>
      </c>
      <c r="L10" s="55" t="s">
        <v>70</v>
      </c>
      <c r="M10" s="55" t="s">
        <v>71</v>
      </c>
    </row>
    <row r="11" spans="1:26" x14ac:dyDescent="0.2">
      <c r="B11" s="57">
        <v>0</v>
      </c>
      <c r="C11" s="58">
        <f t="shared" ref="C11:C42" si="0">INDEX(CHOOSE(Opz_Bdem,Tavola71,Tavola81,Tavola91,Tavola98,TavolaRG48),1+B11,Opz_S)/100000</f>
        <v>1</v>
      </c>
      <c r="D11" s="59">
        <f>(1+Opz_Bfin)^(-$B11)*$C11</f>
        <v>1</v>
      </c>
      <c r="E11" s="59">
        <f>SUM(D11:$D$122)</f>
        <v>40.410151563498331</v>
      </c>
      <c r="F11" s="59">
        <f>SUM($E11:E$122)</f>
        <v>1253.9732430728343</v>
      </c>
      <c r="G11" s="59">
        <f t="shared" ref="G11:G42" si="1">(1+Opz_Bfin)^(-$B11-1)*($C11-$C12)</f>
        <v>4.6460784313724877E-3</v>
      </c>
      <c r="H11" s="59">
        <f>SUM($G11:G$122)</f>
        <v>0.20764408699022874</v>
      </c>
      <c r="I11" s="59">
        <f>SUM($H11:H$122)</f>
        <v>15.822440915011414</v>
      </c>
      <c r="J11" s="60">
        <f>IF(D11&gt;0,E11/D11,0)</f>
        <v>40.410151563498331</v>
      </c>
      <c r="K11" s="60">
        <f>IF(D11&gt;0,F11/D11,0)</f>
        <v>1253.9732430728343</v>
      </c>
      <c r="L11" s="60">
        <f>IF(D11&gt;0,H11/D11,0)</f>
        <v>0.20764408699022874</v>
      </c>
      <c r="M11" s="60">
        <f>IF(D11&gt;0,I11/D11,0)</f>
        <v>15.822440915011414</v>
      </c>
      <c r="P11" s="61"/>
      <c r="Q11" s="61"/>
      <c r="R11" s="61"/>
      <c r="S11" s="61"/>
      <c r="T11" s="61"/>
      <c r="U11" s="61"/>
      <c r="V11" s="61"/>
      <c r="W11" s="61"/>
      <c r="X11" s="61"/>
      <c r="Y11" s="61"/>
      <c r="Z11" s="61"/>
    </row>
    <row r="12" spans="1:26" x14ac:dyDescent="0.2">
      <c r="B12" s="57">
        <v>1</v>
      </c>
      <c r="C12" s="58">
        <f t="shared" si="0"/>
        <v>0.99526100000000006</v>
      </c>
      <c r="D12" s="59">
        <f>(1+Opz_Bfin)^(-$B12)*$C12</f>
        <v>0.97574607843137262</v>
      </c>
      <c r="E12" s="59">
        <f>SUM(D12:$D$122)</f>
        <v>39.410151563498339</v>
      </c>
      <c r="F12" s="59">
        <f>SUM($E12:E$122)</f>
        <v>1213.5630915093359</v>
      </c>
      <c r="G12" s="59">
        <f t="shared" si="1"/>
        <v>2.5249903883127657E-4</v>
      </c>
      <c r="H12" s="59">
        <f>SUM($G12:G$122)</f>
        <v>0.20299800855885625</v>
      </c>
      <c r="I12" s="59">
        <f>SUM($H12:H$122)</f>
        <v>15.614796828021186</v>
      </c>
      <c r="J12" s="60">
        <f>IF(D12&gt;0,E12/D12,0)</f>
        <v>40.389761675347778</v>
      </c>
      <c r="K12" s="60">
        <f>IF(D12&gt;0,F12/D12,0)</f>
        <v>1243.7283821424958</v>
      </c>
      <c r="L12" s="60">
        <f t="shared" ref="L12:L75" si="2">IF(D12&gt;0,H12/D12,0)</f>
        <v>0.20804388871867113</v>
      </c>
      <c r="M12" s="60">
        <f t="shared" ref="M12:M75" si="3">IF(D12&gt;0,I12/D12,0)</f>
        <v>16.002930652945921</v>
      </c>
      <c r="P12" s="61"/>
      <c r="Q12" s="61"/>
      <c r="R12" s="61"/>
      <c r="S12" s="61"/>
      <c r="T12" s="61"/>
      <c r="U12" s="61"/>
      <c r="V12" s="61"/>
      <c r="W12" s="61"/>
      <c r="X12" s="61"/>
      <c r="Y12" s="61"/>
      <c r="Z12" s="61"/>
    </row>
    <row r="13" spans="1:26" x14ac:dyDescent="0.2">
      <c r="B13" s="57">
        <v>2</v>
      </c>
      <c r="C13" s="58">
        <f t="shared" si="0"/>
        <v>0.9949983</v>
      </c>
      <c r="D13" s="59">
        <f>(1+Opz_Bfin)^(-$B13)*$C13</f>
        <v>0.95636130334486735</v>
      </c>
      <c r="E13" s="59">
        <f>SUM(D13:$D$122)</f>
        <v>38.434405485066961</v>
      </c>
      <c r="F13" s="59">
        <f>SUM($E13:E$122)</f>
        <v>1174.1529399458377</v>
      </c>
      <c r="G13" s="59">
        <f t="shared" si="1"/>
        <v>1.6405831844470254E-4</v>
      </c>
      <c r="H13" s="59">
        <f>SUM($G13:G$122)</f>
        <v>0.20274550952002499</v>
      </c>
      <c r="I13" s="59">
        <f>SUM($H13:H$122)</f>
        <v>15.411798819462332</v>
      </c>
      <c r="J13" s="60">
        <f t="shared" ref="J13:J76" si="4">IF(D13&gt;0,E13/D13,0)</f>
        <v>40.18816460959146</v>
      </c>
      <c r="K13" s="60">
        <f t="shared" ref="K13:K76" si="5">IF(D13&gt;0,F13/D13,0)</f>
        <v>1227.7294531253467</v>
      </c>
      <c r="L13" s="60">
        <f t="shared" si="2"/>
        <v>0.21199677236095177</v>
      </c>
      <c r="M13" s="60">
        <f t="shared" si="3"/>
        <v>16.115038077721952</v>
      </c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</row>
    <row r="14" spans="1:26" x14ac:dyDescent="0.2">
      <c r="B14" s="57">
        <v>3</v>
      </c>
      <c r="C14" s="58">
        <f t="shared" si="0"/>
        <v>0.99482419999999994</v>
      </c>
      <c r="D14" s="59">
        <f>(1+Opz_Bfin)^(-$B14)*$C14</f>
        <v>0.93744506260789595</v>
      </c>
      <c r="E14" s="59">
        <f>SUM(D14:$D$122)</f>
        <v>37.478044181722098</v>
      </c>
      <c r="F14" s="59">
        <f>SUM($E14:E$122)</f>
        <v>1135.7185344607708</v>
      </c>
      <c r="G14" s="59">
        <f t="shared" si="1"/>
        <v>1.2684397699334418E-4</v>
      </c>
      <c r="H14" s="59">
        <f>SUM($G14:G$122)</f>
        <v>0.20258145120158028</v>
      </c>
      <c r="I14" s="59">
        <f>SUM($H14:H$122)</f>
        <v>15.209053309942304</v>
      </c>
      <c r="J14" s="60">
        <f t="shared" si="4"/>
        <v>39.978923220803175</v>
      </c>
      <c r="K14" s="60">
        <f t="shared" si="5"/>
        <v>1211.5040974255005</v>
      </c>
      <c r="L14" s="60">
        <f t="shared" si="2"/>
        <v>0.21609954469013379</v>
      </c>
      <c r="M14" s="60">
        <f t="shared" si="3"/>
        <v>16.223940918342407</v>
      </c>
      <c r="P14" s="61"/>
      <c r="Q14" s="61"/>
      <c r="R14" s="61"/>
      <c r="S14" s="61"/>
      <c r="T14" s="61"/>
      <c r="U14" s="61"/>
      <c r="V14" s="61"/>
      <c r="W14" s="61"/>
      <c r="X14" s="61"/>
      <c r="Y14" s="61"/>
      <c r="Z14" s="61"/>
    </row>
    <row r="15" spans="1:26" x14ac:dyDescent="0.2">
      <c r="B15" s="57">
        <v>4</v>
      </c>
      <c r="C15" s="58">
        <f t="shared" si="0"/>
        <v>0.99468690000000004</v>
      </c>
      <c r="D15" s="59">
        <f t="shared" ref="D15:D42" si="6">(1+Opz_Bfin)^(-$B15)*$C15</f>
        <v>0.91893694289349281</v>
      </c>
      <c r="E15" s="59">
        <f>SUM(D15:$D$122)</f>
        <v>36.540599119114205</v>
      </c>
      <c r="F15" s="59">
        <f>SUM($E15:E$122)</f>
        <v>1098.2404902790488</v>
      </c>
      <c r="G15" s="59">
        <f t="shared" si="1"/>
        <v>1.0633279707407311E-4</v>
      </c>
      <c r="H15" s="59">
        <f>SUM($G15:G$122)</f>
        <v>0.20245460722458694</v>
      </c>
      <c r="I15" s="59">
        <f>SUM($H15:H$122)</f>
        <v>15.006471858740722</v>
      </c>
      <c r="J15" s="60">
        <f t="shared" si="4"/>
        <v>39.763989685796489</v>
      </c>
      <c r="K15" s="60">
        <f t="shared" si="5"/>
        <v>1195.1206214661213</v>
      </c>
      <c r="L15" s="60">
        <f t="shared" si="2"/>
        <v>0.22031392772948075</v>
      </c>
      <c r="M15" s="60">
        <f t="shared" si="3"/>
        <v>16.330252009990211</v>
      </c>
      <c r="P15" s="61"/>
      <c r="Q15" s="61"/>
      <c r="R15" s="61"/>
      <c r="S15" s="61"/>
      <c r="T15" s="61"/>
      <c r="U15" s="61"/>
      <c r="V15" s="61"/>
      <c r="W15" s="61"/>
      <c r="X15" s="61"/>
      <c r="Y15" s="61"/>
      <c r="Z15" s="61"/>
    </row>
    <row r="16" spans="1:26" x14ac:dyDescent="0.2">
      <c r="B16" s="57">
        <v>5</v>
      </c>
      <c r="C16" s="58">
        <f t="shared" si="0"/>
        <v>0.9945695</v>
      </c>
      <c r="D16" s="59">
        <f t="shared" si="6"/>
        <v>0.90081223866713456</v>
      </c>
      <c r="E16" s="59">
        <f>SUM(D16:$D$122)</f>
        <v>35.621662176220717</v>
      </c>
      <c r="F16" s="59">
        <f>SUM($E16:E$122)</f>
        <v>1061.6998911599349</v>
      </c>
      <c r="G16" s="59">
        <f t="shared" si="1"/>
        <v>9.6256097828990752E-5</v>
      </c>
      <c r="H16" s="59">
        <f>SUM($G16:G$122)</f>
        <v>0.20234827442751285</v>
      </c>
      <c r="I16" s="59">
        <f>SUM($H16:H$122)</f>
        <v>14.804017251516138</v>
      </c>
      <c r="J16" s="60">
        <f t="shared" si="4"/>
        <v>39.543936735281775</v>
      </c>
      <c r="K16" s="60">
        <f t="shared" si="5"/>
        <v>1178.6028714828008</v>
      </c>
      <c r="L16" s="60">
        <f t="shared" si="2"/>
        <v>0.22462869146506342</v>
      </c>
      <c r="M16" s="60">
        <f t="shared" si="3"/>
        <v>16.434076510128847</v>
      </c>
      <c r="P16" s="61"/>
      <c r="Q16" s="61"/>
      <c r="R16" s="61"/>
      <c r="S16" s="61"/>
      <c r="T16" s="61"/>
      <c r="U16" s="61"/>
      <c r="V16" s="61"/>
      <c r="W16" s="61"/>
      <c r="X16" s="61"/>
      <c r="Y16" s="61"/>
      <c r="Z16" s="61"/>
    </row>
    <row r="17" spans="2:26" x14ac:dyDescent="0.2">
      <c r="B17" s="57">
        <v>6</v>
      </c>
      <c r="C17" s="58">
        <f t="shared" si="0"/>
        <v>0.99446109999999999</v>
      </c>
      <c r="D17" s="59">
        <f t="shared" si="6"/>
        <v>0.88305299749740085</v>
      </c>
      <c r="E17" s="59">
        <f>SUM(D17:$D$122)</f>
        <v>34.720849937553581</v>
      </c>
      <c r="F17" s="59">
        <f>SUM($E17:E$122)</f>
        <v>1026.0782289837139</v>
      </c>
      <c r="G17" s="59">
        <f t="shared" si="1"/>
        <v>8.8274802111476322E-5</v>
      </c>
      <c r="H17" s="59">
        <f>SUM($G17:G$122)</f>
        <v>0.20225201832968387</v>
      </c>
      <c r="I17" s="59">
        <f>SUM($H17:H$122)</f>
        <v>14.601668977088623</v>
      </c>
      <c r="J17" s="60">
        <f t="shared" si="4"/>
        <v>39.319100932733967</v>
      </c>
      <c r="K17" s="60">
        <f t="shared" si="5"/>
        <v>1161.9667583844355</v>
      </c>
      <c r="L17" s="60">
        <f t="shared" si="2"/>
        <v>0.22903723661305977</v>
      </c>
      <c r="M17" s="60">
        <f t="shared" si="3"/>
        <v>16.535439003627413</v>
      </c>
      <c r="P17" s="61"/>
      <c r="Q17" s="61"/>
      <c r="R17" s="61"/>
      <c r="S17" s="61"/>
      <c r="T17" s="61"/>
      <c r="U17" s="61"/>
      <c r="V17" s="61"/>
      <c r="W17" s="61"/>
      <c r="X17" s="61"/>
      <c r="Y17" s="61"/>
      <c r="Z17" s="61"/>
    </row>
    <row r="18" spans="2:26" x14ac:dyDescent="0.2">
      <c r="B18" s="57">
        <v>7</v>
      </c>
      <c r="C18" s="58">
        <f t="shared" si="0"/>
        <v>0.99435969999999996</v>
      </c>
      <c r="D18" s="59">
        <f t="shared" si="6"/>
        <v>0.86564995803847777</v>
      </c>
      <c r="E18" s="59">
        <f>SUM(D18:$D$122)</f>
        <v>33.83779694005618</v>
      </c>
      <c r="F18" s="59">
        <f>SUM($E18:E$122)</f>
        <v>991.3573790461603</v>
      </c>
      <c r="G18" s="59">
        <f t="shared" si="1"/>
        <v>7.8094368963819337E-5</v>
      </c>
      <c r="H18" s="59">
        <f>SUM($G18:G$122)</f>
        <v>0.20216374352757238</v>
      </c>
      <c r="I18" s="59">
        <f>SUM($H18:H$122)</f>
        <v>14.399416958758939</v>
      </c>
      <c r="J18" s="60">
        <f t="shared" si="4"/>
        <v>39.089468700178813</v>
      </c>
      <c r="K18" s="60">
        <f t="shared" si="5"/>
        <v>1145.2173824308034</v>
      </c>
      <c r="L18" s="60">
        <f t="shared" si="2"/>
        <v>0.23353982940825868</v>
      </c>
      <c r="M18" s="60">
        <f t="shared" si="3"/>
        <v>16.634225907417985</v>
      </c>
      <c r="P18" s="61"/>
      <c r="Q18" s="61"/>
      <c r="R18" s="61"/>
      <c r="S18" s="61"/>
      <c r="T18" s="61"/>
      <c r="U18" s="61"/>
      <c r="V18" s="61"/>
      <c r="W18" s="61"/>
      <c r="X18" s="61"/>
      <c r="Y18" s="61"/>
      <c r="Z18" s="61"/>
    </row>
    <row r="19" spans="2:26" x14ac:dyDescent="0.2">
      <c r="B19" s="57">
        <v>8</v>
      </c>
      <c r="C19" s="58">
        <f t="shared" si="0"/>
        <v>0.99426820000000005</v>
      </c>
      <c r="D19" s="59">
        <f t="shared" si="6"/>
        <v>0.84859833508052418</v>
      </c>
      <c r="E19" s="59">
        <f>SUM(D19:$D$122)</f>
        <v>32.972146982017712</v>
      </c>
      <c r="F19" s="59">
        <f>SUM($E19:E$122)</f>
        <v>957.51958210610405</v>
      </c>
      <c r="G19" s="59">
        <f t="shared" si="1"/>
        <v>6.9032309434482078E-5</v>
      </c>
      <c r="H19" s="59">
        <f>SUM($G19:G$122)</f>
        <v>0.20208564915860858</v>
      </c>
      <c r="I19" s="59">
        <f>SUM($H19:H$122)</f>
        <v>14.197253215231369</v>
      </c>
      <c r="J19" s="60">
        <f t="shared" si="4"/>
        <v>38.854833457679312</v>
      </c>
      <c r="K19" s="60">
        <f t="shared" si="5"/>
        <v>1128.3543020565132</v>
      </c>
      <c r="L19" s="60">
        <f t="shared" si="2"/>
        <v>0.2381405204376609</v>
      </c>
      <c r="M19" s="60">
        <f t="shared" si="3"/>
        <v>16.730239299708476</v>
      </c>
      <c r="P19" s="61"/>
      <c r="Q19" s="61"/>
      <c r="R19" s="61"/>
      <c r="S19" s="61"/>
      <c r="T19" s="61"/>
      <c r="U19" s="61"/>
      <c r="V19" s="61"/>
      <c r="W19" s="61"/>
      <c r="X19" s="61"/>
      <c r="Y19" s="61"/>
      <c r="Z19" s="61"/>
    </row>
    <row r="20" spans="2:26" x14ac:dyDescent="0.2">
      <c r="B20" s="57">
        <v>9</v>
      </c>
      <c r="C20" s="58">
        <f t="shared" si="0"/>
        <v>0.99418570000000006</v>
      </c>
      <c r="D20" s="59">
        <f t="shared" si="6"/>
        <v>0.83189011973029514</v>
      </c>
      <c r="E20" s="59">
        <f>SUM(D20:$D$122)</f>
        <v>32.123548646937188</v>
      </c>
      <c r="F20" s="59">
        <f>SUM($E20:E$122)</f>
        <v>924.54743512408618</v>
      </c>
      <c r="G20" s="59">
        <f t="shared" si="1"/>
        <v>6.3576993240285662E-5</v>
      </c>
      <c r="H20" s="59">
        <f>SUM($G20:G$122)</f>
        <v>0.2020166168491741</v>
      </c>
      <c r="I20" s="59">
        <f>SUM($H20:H$122)</f>
        <v>13.995167566072761</v>
      </c>
      <c r="J20" s="60">
        <f t="shared" si="4"/>
        <v>38.615134240747899</v>
      </c>
      <c r="K20" s="60">
        <f t="shared" si="5"/>
        <v>1111.381675531657</v>
      </c>
      <c r="L20" s="60">
        <f t="shared" si="2"/>
        <v>0.2428405050833749</v>
      </c>
      <c r="M20" s="60">
        <f t="shared" si="3"/>
        <v>16.823336681303651</v>
      </c>
      <c r="P20" s="61"/>
      <c r="Q20" s="61"/>
      <c r="R20" s="61"/>
      <c r="S20" s="61"/>
      <c r="T20" s="61"/>
      <c r="U20" s="61"/>
      <c r="V20" s="61"/>
      <c r="W20" s="61"/>
      <c r="X20" s="61"/>
      <c r="Y20" s="61"/>
      <c r="Z20" s="61"/>
    </row>
    <row r="21" spans="2:26" x14ac:dyDescent="0.2">
      <c r="B21" s="57">
        <v>10</v>
      </c>
      <c r="C21" s="58">
        <f t="shared" si="0"/>
        <v>0.99410820000000011</v>
      </c>
      <c r="D21" s="59">
        <f t="shared" si="6"/>
        <v>0.81551497176195098</v>
      </c>
      <c r="E21" s="59">
        <f>SUM(D21:$D$122)</f>
        <v>31.291658527206899</v>
      </c>
      <c r="F21" s="59">
        <f>SUM($E21:E$122)</f>
        <v>892.42388647714915</v>
      </c>
      <c r="G21" s="59">
        <f t="shared" si="1"/>
        <v>6.4743174647041078E-5</v>
      </c>
      <c r="H21" s="59">
        <f>SUM($G21:G$122)</f>
        <v>0.2019530398559338</v>
      </c>
      <c r="I21" s="59">
        <f>SUM($H21:H$122)</f>
        <v>13.793150949223586</v>
      </c>
      <c r="J21" s="60">
        <f t="shared" si="4"/>
        <v>38.370428024883573</v>
      </c>
      <c r="K21" s="60">
        <f t="shared" si="5"/>
        <v>1094.3071769106011</v>
      </c>
      <c r="L21" s="60">
        <f t="shared" si="2"/>
        <v>0.24763866617875402</v>
      </c>
      <c r="M21" s="60">
        <f t="shared" si="3"/>
        <v>16.913424556048263</v>
      </c>
      <c r="P21" s="61"/>
      <c r="Q21" s="61"/>
      <c r="R21" s="61"/>
      <c r="S21" s="61"/>
      <c r="T21" s="61"/>
      <c r="U21" s="61"/>
      <c r="V21" s="61"/>
      <c r="W21" s="61"/>
      <c r="X21" s="61"/>
      <c r="Y21" s="61"/>
      <c r="Z21" s="61"/>
    </row>
    <row r="22" spans="2:26" x14ac:dyDescent="0.2">
      <c r="B22" s="57">
        <v>11</v>
      </c>
      <c r="C22" s="58">
        <f t="shared" si="0"/>
        <v>0.99402770000000007</v>
      </c>
      <c r="D22" s="59">
        <f t="shared" si="6"/>
        <v>0.79945973894491285</v>
      </c>
      <c r="E22" s="59">
        <f>SUM(D22:$D$122)</f>
        <v>30.476143555444949</v>
      </c>
      <c r="F22" s="59">
        <f>SUM($E22:E$122)</f>
        <v>861.13222794994226</v>
      </c>
      <c r="G22" s="59">
        <f t="shared" si="1"/>
        <v>7.2147125565826548E-5</v>
      </c>
      <c r="H22" s="59">
        <f>SUM($G22:G$122)</f>
        <v>0.20188829668128677</v>
      </c>
      <c r="I22" s="59">
        <f>SUM($H22:H$122)</f>
        <v>13.591197909367652</v>
      </c>
      <c r="J22" s="60">
        <f t="shared" si="4"/>
        <v>38.120923507249842</v>
      </c>
      <c r="K22" s="60">
        <f t="shared" si="5"/>
        <v>1077.1427077571432</v>
      </c>
      <c r="L22" s="60">
        <f t="shared" si="2"/>
        <v>0.25253091162255259</v>
      </c>
      <c r="M22" s="60">
        <f t="shared" si="3"/>
        <v>17.00047825710978</v>
      </c>
      <c r="P22" s="61"/>
      <c r="Q22" s="61"/>
      <c r="R22" s="61"/>
      <c r="S22" s="61"/>
      <c r="T22" s="61"/>
      <c r="U22" s="61"/>
      <c r="V22" s="61"/>
      <c r="W22" s="61"/>
      <c r="X22" s="61"/>
      <c r="Y22" s="61"/>
      <c r="Z22" s="61"/>
    </row>
    <row r="23" spans="2:26" x14ac:dyDescent="0.2">
      <c r="B23" s="57">
        <v>12</v>
      </c>
      <c r="C23" s="58">
        <f t="shared" si="0"/>
        <v>0.99393619999999994</v>
      </c>
      <c r="D23" s="59">
        <f t="shared" si="6"/>
        <v>0.78371191066356438</v>
      </c>
      <c r="E23" s="59">
        <f>SUM(D23:$D$122)</f>
        <v>29.676683816500031</v>
      </c>
      <c r="F23" s="59">
        <f>SUM($E23:E$122)</f>
        <v>830.65608439449727</v>
      </c>
      <c r="G23" s="59">
        <f t="shared" si="1"/>
        <v>8.6811552566454743E-5</v>
      </c>
      <c r="H23" s="59">
        <f>SUM($G23:G$122)</f>
        <v>0.20181614955572094</v>
      </c>
      <c r="I23" s="59">
        <f>SUM($H23:H$122)</f>
        <v>13.389309612686366</v>
      </c>
      <c r="J23" s="60">
        <f t="shared" si="4"/>
        <v>37.866827609360882</v>
      </c>
      <c r="K23" s="60">
        <f t="shared" si="5"/>
        <v>1059.8997834436198</v>
      </c>
      <c r="L23" s="60">
        <f t="shared" si="2"/>
        <v>0.2575131841301791</v>
      </c>
      <c r="M23" s="60">
        <f t="shared" si="3"/>
        <v>17.084478914387962</v>
      </c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</row>
    <row r="24" spans="2:26" x14ac:dyDescent="0.2">
      <c r="B24" s="57">
        <v>13</v>
      </c>
      <c r="C24" s="58">
        <f t="shared" si="0"/>
        <v>0.99382389999999998</v>
      </c>
      <c r="D24" s="59">
        <f t="shared" si="6"/>
        <v>0.76825819890190838</v>
      </c>
      <c r="E24" s="59">
        <f>SUM(D24:$D$122)</f>
        <v>28.892971905836468</v>
      </c>
      <c r="F24" s="59">
        <f>SUM($E24:E$122)</f>
        <v>800.97940057799724</v>
      </c>
      <c r="G24" s="59">
        <f t="shared" si="1"/>
        <v>1.0693616596941152E-4</v>
      </c>
      <c r="H24" s="59">
        <f>SUM($G24:G$122)</f>
        <v>0.20172933800315448</v>
      </c>
      <c r="I24" s="59">
        <f>SUM($H24:H$122)</f>
        <v>13.187493463130645</v>
      </c>
      <c r="J24" s="60">
        <f t="shared" si="4"/>
        <v>37.608413352612381</v>
      </c>
      <c r="K24" s="60">
        <f t="shared" si="5"/>
        <v>1042.5914122658999</v>
      </c>
      <c r="L24" s="60">
        <f t="shared" si="2"/>
        <v>0.26258013034093425</v>
      </c>
      <c r="M24" s="60">
        <f t="shared" si="3"/>
        <v>17.165444484653566</v>
      </c>
      <c r="P24" s="61"/>
      <c r="Q24" s="61"/>
      <c r="R24" s="61"/>
      <c r="S24" s="61"/>
      <c r="T24" s="61"/>
      <c r="U24" s="61"/>
      <c r="V24" s="61"/>
      <c r="W24" s="61"/>
      <c r="X24" s="61"/>
      <c r="Y24" s="61"/>
      <c r="Z24" s="61"/>
    </row>
    <row r="25" spans="2:26" x14ac:dyDescent="0.2">
      <c r="B25" s="57">
        <v>14</v>
      </c>
      <c r="C25" s="58">
        <f t="shared" si="0"/>
        <v>0.99368279999999998</v>
      </c>
      <c r="D25" s="59">
        <f t="shared" si="6"/>
        <v>0.75308737648296031</v>
      </c>
      <c r="E25" s="59">
        <f>SUM(D25:$D$122)</f>
        <v>28.124713706934557</v>
      </c>
      <c r="F25" s="59">
        <f>SUM($E25:E$122)</f>
        <v>772.08642867216065</v>
      </c>
      <c r="G25" s="59">
        <f t="shared" si="1"/>
        <v>1.3441136465486988E-4</v>
      </c>
      <c r="H25" s="59">
        <f>SUM($G25:G$122)</f>
        <v>0.20162240183718508</v>
      </c>
      <c r="I25" s="59">
        <f>SUM($H25:H$122)</f>
        <v>12.985764125127492</v>
      </c>
      <c r="J25" s="60">
        <f t="shared" si="4"/>
        <v>37.345883871114019</v>
      </c>
      <c r="K25" s="60">
        <f t="shared" si="5"/>
        <v>1025.2282175780572</v>
      </c>
      <c r="L25" s="60">
        <f t="shared" si="2"/>
        <v>0.26772776723305902</v>
      </c>
      <c r="M25" s="60">
        <f t="shared" si="3"/>
        <v>17.243369800956042</v>
      </c>
      <c r="P25" s="61"/>
      <c r="Q25" s="61"/>
      <c r="R25" s="61"/>
      <c r="S25" s="61"/>
      <c r="T25" s="61"/>
      <c r="U25" s="61"/>
      <c r="V25" s="61"/>
      <c r="W25" s="61"/>
      <c r="X25" s="61"/>
      <c r="Y25" s="61"/>
      <c r="Z25" s="61"/>
    </row>
    <row r="26" spans="2:26" x14ac:dyDescent="0.2">
      <c r="B26" s="57">
        <v>15</v>
      </c>
      <c r="C26" s="58">
        <f t="shared" si="0"/>
        <v>0.99350190000000005</v>
      </c>
      <c r="D26" s="59">
        <f t="shared" si="6"/>
        <v>0.73818654597158084</v>
      </c>
      <c r="E26" s="59">
        <f>SUM(D26:$D$122)</f>
        <v>27.371626330451598</v>
      </c>
      <c r="F26" s="59">
        <f>SUM($E26:E$122)</f>
        <v>743.96171496522607</v>
      </c>
      <c r="G26" s="59">
        <f t="shared" si="1"/>
        <v>1.8524377042764028E-4</v>
      </c>
      <c r="H26" s="59">
        <f>SUM($G26:G$122)</f>
        <v>0.20148799047253022</v>
      </c>
      <c r="I26" s="59">
        <f>SUM($H26:H$122)</f>
        <v>12.784141723290308</v>
      </c>
      <c r="J26" s="60">
        <f t="shared" si="4"/>
        <v>37.079551882682736</v>
      </c>
      <c r="K26" s="60">
        <f t="shared" si="5"/>
        <v>1007.823454687926</v>
      </c>
      <c r="L26" s="60">
        <f t="shared" si="2"/>
        <v>0.27294996308465264</v>
      </c>
      <c r="M26" s="60">
        <f t="shared" si="3"/>
        <v>17.318307673115569</v>
      </c>
      <c r="P26" s="61"/>
      <c r="Q26" s="61"/>
      <c r="R26" s="61"/>
      <c r="S26" s="61"/>
      <c r="T26" s="61"/>
      <c r="U26" s="61"/>
      <c r="V26" s="61"/>
      <c r="W26" s="61"/>
      <c r="X26" s="61"/>
      <c r="Y26" s="61"/>
      <c r="Z26" s="61"/>
    </row>
    <row r="27" spans="2:26" x14ac:dyDescent="0.2">
      <c r="B27" s="57">
        <v>16</v>
      </c>
      <c r="C27" s="58">
        <f t="shared" si="0"/>
        <v>0.9932475999999999</v>
      </c>
      <c r="D27" s="59">
        <f t="shared" si="6"/>
        <v>0.72352705620171043</v>
      </c>
      <c r="E27" s="59">
        <f>SUM(D27:$D$122)</f>
        <v>26.633439784480011</v>
      </c>
      <c r="F27" s="59">
        <f>SUM($E27:E$122)</f>
        <v>716.59008863477447</v>
      </c>
      <c r="G27" s="59">
        <f t="shared" si="1"/>
        <v>2.4824290671273481E-4</v>
      </c>
      <c r="H27" s="59">
        <f>SUM($G27:G$122)</f>
        <v>0.20130274670210258</v>
      </c>
      <c r="I27" s="59">
        <f>SUM($H27:H$122)</f>
        <v>12.582653732817777</v>
      </c>
      <c r="J27" s="60">
        <f t="shared" si="4"/>
        <v>36.810565073125524</v>
      </c>
      <c r="K27" s="60">
        <f t="shared" si="5"/>
        <v>990.41229003466322</v>
      </c>
      <c r="L27" s="60">
        <f t="shared" si="2"/>
        <v>0.27822421425244098</v>
      </c>
      <c r="M27" s="60">
        <f t="shared" si="3"/>
        <v>17.390716248916458</v>
      </c>
      <c r="P27" s="61"/>
      <c r="Q27" s="61"/>
      <c r="R27" s="61"/>
      <c r="S27" s="61"/>
      <c r="T27" s="61"/>
      <c r="U27" s="61"/>
      <c r="V27" s="61"/>
      <c r="W27" s="61"/>
      <c r="X27" s="61"/>
      <c r="Y27" s="61"/>
      <c r="Z27" s="61"/>
    </row>
    <row r="28" spans="2:26" x14ac:dyDescent="0.2">
      <c r="B28" s="57">
        <v>17</v>
      </c>
      <c r="C28" s="58">
        <f t="shared" si="0"/>
        <v>0.9929</v>
      </c>
      <c r="D28" s="59">
        <f t="shared" si="6"/>
        <v>0.7090920082714347</v>
      </c>
      <c r="E28" s="59">
        <f>SUM(D28:$D$122)</f>
        <v>25.9099127282783</v>
      </c>
      <c r="F28" s="59">
        <f>SUM($E28:E$122)</f>
        <v>689.95664885029441</v>
      </c>
      <c r="G28" s="59">
        <f t="shared" si="1"/>
        <v>3.0449931217256066E-4</v>
      </c>
      <c r="H28" s="59">
        <f>SUM($G28:G$122)</f>
        <v>0.20105450379538983</v>
      </c>
      <c r="I28" s="59">
        <f>SUM($H28:H$122)</f>
        <v>12.381350986115674</v>
      </c>
      <c r="J28" s="60">
        <f t="shared" si="4"/>
        <v>36.539563873296672</v>
      </c>
      <c r="K28" s="60">
        <f t="shared" si="5"/>
        <v>973.01427854505528</v>
      </c>
      <c r="L28" s="60">
        <f t="shared" si="2"/>
        <v>0.28353796326869302</v>
      </c>
      <c r="M28" s="60">
        <f t="shared" si="3"/>
        <v>17.460852529275993</v>
      </c>
      <c r="P28" s="61"/>
      <c r="Q28" s="61"/>
      <c r="R28" s="61"/>
      <c r="S28" s="61"/>
      <c r="T28" s="61"/>
      <c r="U28" s="61"/>
      <c r="V28" s="61"/>
      <c r="W28" s="61"/>
      <c r="X28" s="61"/>
      <c r="Y28" s="61"/>
      <c r="Z28" s="61"/>
    </row>
    <row r="29" spans="2:26" x14ac:dyDescent="0.2">
      <c r="B29" s="57">
        <v>18</v>
      </c>
      <c r="C29" s="58">
        <f t="shared" si="0"/>
        <v>0.99246509999999999</v>
      </c>
      <c r="D29" s="59">
        <f t="shared" si="6"/>
        <v>0.6948837440911948</v>
      </c>
      <c r="E29" s="59">
        <f>SUM(D29:$D$122)</f>
        <v>25.200820720006874</v>
      </c>
      <c r="F29" s="59">
        <f>SUM($E29:E$122)</f>
        <v>664.04673612201611</v>
      </c>
      <c r="G29" s="59">
        <f t="shared" si="1"/>
        <v>3.4335266603702968E-4</v>
      </c>
      <c r="H29" s="59">
        <f>SUM($G29:G$122)</f>
        <v>0.20075000448321728</v>
      </c>
      <c r="I29" s="59">
        <f>SUM($H29:H$122)</f>
        <v>12.180296482320284</v>
      </c>
      <c r="J29" s="60">
        <f t="shared" si="4"/>
        <v>36.266240121886604</v>
      </c>
      <c r="K29" s="60">
        <f t="shared" si="5"/>
        <v>955.62278117541962</v>
      </c>
      <c r="L29" s="60">
        <f t="shared" si="2"/>
        <v>0.28889725251202791</v>
      </c>
      <c r="M29" s="60">
        <f t="shared" si="3"/>
        <v>17.528538530211712</v>
      </c>
      <c r="P29" s="61"/>
      <c r="Q29" s="61"/>
      <c r="R29" s="61"/>
      <c r="S29" s="61"/>
      <c r="T29" s="61"/>
      <c r="U29" s="61"/>
      <c r="V29" s="61"/>
      <c r="W29" s="61"/>
      <c r="X29" s="61"/>
      <c r="Y29" s="61"/>
      <c r="Z29" s="61"/>
    </row>
    <row r="30" spans="2:26" x14ac:dyDescent="0.2">
      <c r="B30" s="57">
        <v>19</v>
      </c>
      <c r="C30" s="58">
        <f t="shared" si="0"/>
        <v>0.99196490000000004</v>
      </c>
      <c r="D30" s="59">
        <f t="shared" si="6"/>
        <v>0.68091521997238924</v>
      </c>
      <c r="E30" s="59">
        <f>SUM(D30:$D$122)</f>
        <v>24.505936975915674</v>
      </c>
      <c r="F30" s="59">
        <f>SUM($E30:E$122)</f>
        <v>638.84591540200915</v>
      </c>
      <c r="G30" s="59">
        <f t="shared" si="1"/>
        <v>3.504834702826684E-4</v>
      </c>
      <c r="H30" s="59">
        <f>SUM($G30:G$122)</f>
        <v>0.20040665181718023</v>
      </c>
      <c r="I30" s="59">
        <f>SUM($H30:H$122)</f>
        <v>11.979546477837069</v>
      </c>
      <c r="J30" s="60">
        <f t="shared" si="4"/>
        <v>35.989703647554506</v>
      </c>
      <c r="K30" s="60">
        <f t="shared" si="5"/>
        <v>938.21653072744357</v>
      </c>
      <c r="L30" s="60">
        <f t="shared" si="2"/>
        <v>0.29431953632246116</v>
      </c>
      <c r="M30" s="60">
        <f t="shared" si="3"/>
        <v>17.593301084271303</v>
      </c>
      <c r="P30" s="61"/>
      <c r="Q30" s="61"/>
      <c r="R30" s="61"/>
      <c r="S30" s="61"/>
      <c r="T30" s="61"/>
      <c r="U30" s="61"/>
      <c r="V30" s="61"/>
      <c r="W30" s="61"/>
      <c r="X30" s="61"/>
      <c r="Y30" s="61"/>
      <c r="Z30" s="61"/>
    </row>
    <row r="31" spans="2:26" x14ac:dyDescent="0.2">
      <c r="B31" s="57">
        <v>20</v>
      </c>
      <c r="C31" s="58">
        <f t="shared" si="0"/>
        <v>0.99144410000000005</v>
      </c>
      <c r="D31" s="59">
        <f t="shared" si="6"/>
        <v>0.66721345767911855</v>
      </c>
      <c r="E31" s="59">
        <f>SUM(D31:$D$122)</f>
        <v>23.825021755943283</v>
      </c>
      <c r="F31" s="59">
        <f>SUM($E31:E$122)</f>
        <v>614.33997842609358</v>
      </c>
      <c r="G31" s="59">
        <f t="shared" si="1"/>
        <v>3.5522329975033062E-4</v>
      </c>
      <c r="H31" s="59">
        <f>SUM($G31:G$122)</f>
        <v>0.20005616834689757</v>
      </c>
      <c r="I31" s="59">
        <f>SUM($H31:H$122)</f>
        <v>11.779139826019888</v>
      </c>
      <c r="J31" s="60">
        <f t="shared" si="4"/>
        <v>35.708245212585922</v>
      </c>
      <c r="K31" s="60">
        <f t="shared" si="5"/>
        <v>920.75477698404984</v>
      </c>
      <c r="L31" s="60">
        <f t="shared" si="2"/>
        <v>0.29983832916498238</v>
      </c>
      <c r="M31" s="60">
        <f t="shared" si="3"/>
        <v>17.654229977604562</v>
      </c>
      <c r="P31" s="61"/>
      <c r="Q31" s="61"/>
      <c r="R31" s="61"/>
      <c r="S31" s="61"/>
      <c r="T31" s="61"/>
      <c r="U31" s="61"/>
      <c r="V31" s="61"/>
      <c r="W31" s="61"/>
      <c r="X31" s="61"/>
      <c r="Y31" s="61"/>
      <c r="Z31" s="61"/>
    </row>
    <row r="32" spans="2:26" x14ac:dyDescent="0.2">
      <c r="B32" s="57">
        <v>21</v>
      </c>
      <c r="C32" s="58">
        <f t="shared" si="0"/>
        <v>0.99090570000000011</v>
      </c>
      <c r="D32" s="59">
        <f t="shared" si="6"/>
        <v>0.65377561756213065</v>
      </c>
      <c r="E32" s="59">
        <f>SUM(D32:$D$122)</f>
        <v>23.157808298264165</v>
      </c>
      <c r="F32" s="59">
        <f>SUM($E32:E$122)</f>
        <v>590.51495667015013</v>
      </c>
      <c r="G32" s="59">
        <f t="shared" si="1"/>
        <v>3.7109155498286656E-4</v>
      </c>
      <c r="H32" s="59">
        <f>SUM($G32:G$122)</f>
        <v>0.19970094504714725</v>
      </c>
      <c r="I32" s="59">
        <f>SUM($H32:H$122)</f>
        <v>11.579083657672991</v>
      </c>
      <c r="J32" s="60">
        <f t="shared" si="4"/>
        <v>35.4216457086875</v>
      </c>
      <c r="K32" s="60">
        <f t="shared" si="5"/>
        <v>903.23796239469175</v>
      </c>
      <c r="L32" s="60">
        <f t="shared" si="2"/>
        <v>0.30545792728063759</v>
      </c>
      <c r="M32" s="60">
        <f t="shared" si="3"/>
        <v>17.711097426438648</v>
      </c>
      <c r="P32" s="61"/>
      <c r="Q32" s="61"/>
      <c r="R32" s="61"/>
      <c r="S32" s="61"/>
      <c r="T32" s="61"/>
      <c r="U32" s="61"/>
      <c r="V32" s="61"/>
      <c r="W32" s="61"/>
      <c r="X32" s="61"/>
      <c r="Y32" s="61"/>
      <c r="Z32" s="61"/>
    </row>
    <row r="33" spans="2:26" x14ac:dyDescent="0.2">
      <c r="B33" s="57">
        <v>22</v>
      </c>
      <c r="C33" s="58">
        <f t="shared" si="0"/>
        <v>0.99033199999999999</v>
      </c>
      <c r="D33" s="59">
        <f t="shared" si="6"/>
        <v>0.64058539625102751</v>
      </c>
      <c r="E33" s="59">
        <f>SUM(D33:$D$122)</f>
        <v>22.504032680702039</v>
      </c>
      <c r="F33" s="59">
        <f>SUM($E33:E$122)</f>
        <v>567.35714837188596</v>
      </c>
      <c r="G33" s="59">
        <f t="shared" si="1"/>
        <v>3.8436190171656269E-4</v>
      </c>
      <c r="H33" s="59">
        <f>SUM($G33:G$122)</f>
        <v>0.19932985349216437</v>
      </c>
      <c r="I33" s="59">
        <f>SUM($H33:H$122)</f>
        <v>11.379382712625842</v>
      </c>
      <c r="J33" s="60">
        <f t="shared" si="4"/>
        <v>35.130417915245978</v>
      </c>
      <c r="K33" s="60">
        <f t="shared" si="5"/>
        <v>885.68542413282637</v>
      </c>
      <c r="L33" s="60">
        <f t="shared" si="2"/>
        <v>0.31116827617164811</v>
      </c>
      <c r="M33" s="60">
        <f t="shared" si="3"/>
        <v>17.764037049896437</v>
      </c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</row>
    <row r="34" spans="2:26" x14ac:dyDescent="0.2">
      <c r="B34" s="57">
        <v>23</v>
      </c>
      <c r="C34" s="58">
        <f t="shared" si="0"/>
        <v>0.98972589999999994</v>
      </c>
      <c r="D34" s="59">
        <f t="shared" si="6"/>
        <v>0.62764053638360462</v>
      </c>
      <c r="E34" s="59">
        <f>SUM(D34:$D$122)</f>
        <v>21.863447284451013</v>
      </c>
      <c r="F34" s="59">
        <f>SUM($E34:E$122)</f>
        <v>544.85311569118392</v>
      </c>
      <c r="G34" s="59">
        <f t="shared" si="1"/>
        <v>3.9504183343631259E-4</v>
      </c>
      <c r="H34" s="59">
        <f>SUM($G34:G$122)</f>
        <v>0.1989454915904478</v>
      </c>
      <c r="I34" s="59">
        <f>SUM($H34:H$122)</f>
        <v>11.18005285913368</v>
      </c>
      <c r="J34" s="60">
        <f t="shared" si="4"/>
        <v>34.834345484480302</v>
      </c>
      <c r="K34" s="60">
        <f t="shared" si="5"/>
        <v>868.0973966891421</v>
      </c>
      <c r="L34" s="60">
        <f t="shared" si="2"/>
        <v>0.31697361795136708</v>
      </c>
      <c r="M34" s="60">
        <f t="shared" si="3"/>
        <v>17.81282790234026</v>
      </c>
      <c r="P34" s="61"/>
      <c r="Q34" s="61"/>
      <c r="R34" s="61"/>
      <c r="S34" s="61"/>
      <c r="T34" s="61"/>
      <c r="U34" s="61"/>
      <c r="V34" s="61"/>
      <c r="W34" s="61"/>
      <c r="X34" s="61"/>
      <c r="Y34" s="61"/>
      <c r="Z34" s="61"/>
    </row>
    <row r="35" spans="2:26" x14ac:dyDescent="0.2">
      <c r="B35" s="57">
        <v>24</v>
      </c>
      <c r="C35" s="58">
        <f t="shared" si="0"/>
        <v>0.98909049999999998</v>
      </c>
      <c r="D35" s="59">
        <f t="shared" si="6"/>
        <v>0.61493881736617606</v>
      </c>
      <c r="E35" s="59">
        <f>SUM(D35:$D$122)</f>
        <v>21.235806748067404</v>
      </c>
      <c r="F35" s="59">
        <f>SUM($E35:E$122)</f>
        <v>522.98966840673302</v>
      </c>
      <c r="G35" s="59">
        <f t="shared" si="1"/>
        <v>4.0271704615807657E-4</v>
      </c>
      <c r="H35" s="59">
        <f>SUM($G35:G$122)</f>
        <v>0.1985504497570115</v>
      </c>
      <c r="I35" s="59">
        <f>SUM($H35:H$122)</f>
        <v>10.981107367543229</v>
      </c>
      <c r="J35" s="60">
        <f t="shared" si="4"/>
        <v>34.533202569682913</v>
      </c>
      <c r="K35" s="60">
        <f t="shared" si="5"/>
        <v>850.47431327677873</v>
      </c>
      <c r="L35" s="60">
        <f t="shared" si="2"/>
        <v>0.32287838098660987</v>
      </c>
      <c r="M35" s="60">
        <f t="shared" si="3"/>
        <v>17.857235642687257</v>
      </c>
      <c r="P35" s="61"/>
      <c r="Q35" s="61"/>
      <c r="R35" s="61"/>
      <c r="S35" s="61"/>
      <c r="T35" s="61"/>
      <c r="U35" s="61"/>
      <c r="V35" s="61"/>
      <c r="W35" s="61"/>
      <c r="X35" s="61"/>
      <c r="Y35" s="61"/>
      <c r="Z35" s="61"/>
    </row>
    <row r="36" spans="2:26" x14ac:dyDescent="0.2">
      <c r="B36" s="57">
        <v>25</v>
      </c>
      <c r="C36" s="58">
        <f t="shared" si="0"/>
        <v>0.98842979999999991</v>
      </c>
      <c r="D36" s="59">
        <f t="shared" si="6"/>
        <v>0.602478476450093</v>
      </c>
      <c r="E36" s="59">
        <f>SUM(D36:$D$122)</f>
        <v>20.620867930701223</v>
      </c>
      <c r="F36" s="59">
        <f>SUM($E36:E$122)</f>
        <v>501.75386165866576</v>
      </c>
      <c r="G36" s="59">
        <f t="shared" si="1"/>
        <v>4.0695149297024396E-4</v>
      </c>
      <c r="H36" s="59">
        <f>SUM($G36:G$122)</f>
        <v>0.19814773271085342</v>
      </c>
      <c r="I36" s="59">
        <f>SUM($H36:H$122)</f>
        <v>10.782556917786218</v>
      </c>
      <c r="J36" s="60">
        <f t="shared" si="4"/>
        <v>34.22672964551851</v>
      </c>
      <c r="K36" s="60">
        <f t="shared" si="5"/>
        <v>832.81624368572625</v>
      </c>
      <c r="L36" s="60">
        <f t="shared" si="2"/>
        <v>0.32888765400944114</v>
      </c>
      <c r="M36" s="60">
        <f t="shared" si="3"/>
        <v>17.89699937717095</v>
      </c>
      <c r="P36" s="61"/>
      <c r="Q36" s="61"/>
      <c r="R36" s="61"/>
      <c r="S36" s="61"/>
      <c r="T36" s="61"/>
      <c r="U36" s="61"/>
      <c r="V36" s="61"/>
      <c r="W36" s="61"/>
      <c r="X36" s="61"/>
      <c r="Y36" s="61"/>
      <c r="Z36" s="61"/>
    </row>
    <row r="37" spans="2:26" x14ac:dyDescent="0.2">
      <c r="B37" s="57">
        <v>26</v>
      </c>
      <c r="C37" s="58">
        <f t="shared" si="0"/>
        <v>0.98774880000000009</v>
      </c>
      <c r="D37" s="59">
        <f t="shared" si="6"/>
        <v>0.59025822149731699</v>
      </c>
      <c r="E37" s="59">
        <f>SUM(D37:$D$122)</f>
        <v>20.018389454251132</v>
      </c>
      <c r="F37" s="59">
        <f>SUM($E37:E$122)</f>
        <v>481.13299372796462</v>
      </c>
      <c r="G37" s="59">
        <f t="shared" si="1"/>
        <v>4.0740846536470673E-4</v>
      </c>
      <c r="H37" s="59">
        <f>SUM($G37:G$122)</f>
        <v>0.19774078121788319</v>
      </c>
      <c r="I37" s="59">
        <f>SUM($H37:H$122)</f>
        <v>10.584409185075364</v>
      </c>
      <c r="J37" s="60">
        <f t="shared" si="4"/>
        <v>33.91463045354994</v>
      </c>
      <c r="K37" s="60">
        <f t="shared" si="5"/>
        <v>815.12290080003845</v>
      </c>
      <c r="L37" s="60">
        <f t="shared" si="2"/>
        <v>0.33500724600882498</v>
      </c>
      <c r="M37" s="60">
        <f t="shared" si="3"/>
        <v>17.931828477078611</v>
      </c>
      <c r="P37" s="61"/>
      <c r="Q37" s="61"/>
      <c r="R37" s="61"/>
      <c r="S37" s="61"/>
      <c r="T37" s="61"/>
      <c r="U37" s="61"/>
      <c r="V37" s="61"/>
      <c r="W37" s="61"/>
      <c r="X37" s="61"/>
      <c r="Y37" s="61"/>
      <c r="Z37" s="61"/>
    </row>
    <row r="38" spans="2:26" x14ac:dyDescent="0.2">
      <c r="B38" s="57">
        <v>27</v>
      </c>
      <c r="C38" s="58">
        <f t="shared" si="0"/>
        <v>0.98705339999999997</v>
      </c>
      <c r="D38" s="59">
        <f t="shared" si="6"/>
        <v>0.57827712241435791</v>
      </c>
      <c r="E38" s="59">
        <f>SUM(D38:$D$122)</f>
        <v>19.42813123275382</v>
      </c>
      <c r="F38" s="59">
        <f>SUM($E38:E$122)</f>
        <v>461.11460427371344</v>
      </c>
      <c r="G38" s="59">
        <f t="shared" si="1"/>
        <v>4.0533612197774427E-4</v>
      </c>
      <c r="H38" s="59">
        <f>SUM($G38:G$122)</f>
        <v>0.19733337275251847</v>
      </c>
      <c r="I38" s="59">
        <f>SUM($H38:H$122)</f>
        <v>10.386668403857483</v>
      </c>
      <c r="J38" s="60">
        <f t="shared" si="4"/>
        <v>33.59657589710563</v>
      </c>
      <c r="K38" s="60">
        <f t="shared" si="5"/>
        <v>797.3938210602546</v>
      </c>
      <c r="L38" s="60">
        <f t="shared" si="2"/>
        <v>0.34124360986067415</v>
      </c>
      <c r="M38" s="60">
        <f t="shared" si="3"/>
        <v>17.961402935139866</v>
      </c>
      <c r="P38" s="61"/>
      <c r="Q38" s="61"/>
      <c r="R38" s="61"/>
      <c r="S38" s="61"/>
      <c r="T38" s="61"/>
      <c r="U38" s="61"/>
      <c r="V38" s="61"/>
      <c r="W38" s="61"/>
      <c r="X38" s="61"/>
      <c r="Y38" s="61"/>
      <c r="Z38" s="61"/>
    </row>
    <row r="39" spans="2:26" x14ac:dyDescent="0.2">
      <c r="B39" s="57">
        <v>28</v>
      </c>
      <c r="C39" s="58">
        <f t="shared" si="0"/>
        <v>0.98634770000000005</v>
      </c>
      <c r="D39" s="59">
        <f t="shared" si="6"/>
        <v>0.56653301918621612</v>
      </c>
      <c r="E39" s="59">
        <f>SUM(D39:$D$122)</f>
        <v>18.849854110339461</v>
      </c>
      <c r="F39" s="59">
        <f>SUM($E39:E$122)</f>
        <v>441.68647304095964</v>
      </c>
      <c r="G39" s="59">
        <f t="shared" si="1"/>
        <v>4.0211849825699494E-4</v>
      </c>
      <c r="H39" s="59">
        <f>SUM($G39:G$122)</f>
        <v>0.19692803663054073</v>
      </c>
      <c r="I39" s="59">
        <f>SUM($H39:H$122)</f>
        <v>10.189335031104964</v>
      </c>
      <c r="J39" s="60">
        <f t="shared" si="4"/>
        <v>33.272295650862361</v>
      </c>
      <c r="K39" s="60">
        <f t="shared" si="5"/>
        <v>779.63059183277687</v>
      </c>
      <c r="L39" s="60">
        <f t="shared" si="2"/>
        <v>0.3476020460615229</v>
      </c>
      <c r="M39" s="60">
        <f t="shared" si="3"/>
        <v>17.985421301200077</v>
      </c>
      <c r="P39" s="61"/>
      <c r="Q39" s="61"/>
      <c r="R39" s="61"/>
      <c r="S39" s="61"/>
      <c r="T39" s="61"/>
      <c r="U39" s="61"/>
      <c r="V39" s="61"/>
      <c r="W39" s="61"/>
      <c r="X39" s="61"/>
      <c r="Y39" s="61"/>
      <c r="Z39" s="61"/>
    </row>
    <row r="40" spans="2:26" x14ac:dyDescent="0.2">
      <c r="B40" s="57">
        <v>29</v>
      </c>
      <c r="C40" s="58">
        <f t="shared" si="0"/>
        <v>0.9856336</v>
      </c>
      <c r="D40" s="59">
        <f t="shared" si="6"/>
        <v>0.55502241011568043</v>
      </c>
      <c r="E40" s="59">
        <f>SUM(D40:$D$122)</f>
        <v>18.283321091153244</v>
      </c>
      <c r="F40" s="59">
        <f>SUM($E40:E$122)</f>
        <v>422.83661893062015</v>
      </c>
      <c r="G40" s="59">
        <f t="shared" si="1"/>
        <v>3.9831914639896815E-4</v>
      </c>
      <c r="H40" s="59">
        <f>SUM($G40:G$122)</f>
        <v>0.19652591813228373</v>
      </c>
      <c r="I40" s="59">
        <f>SUM($H40:H$122)</f>
        <v>9.9924069944744254</v>
      </c>
      <c r="J40" s="60">
        <f t="shared" si="4"/>
        <v>32.941590750078987</v>
      </c>
      <c r="K40" s="60">
        <f t="shared" si="5"/>
        <v>761.83701995472677</v>
      </c>
      <c r="L40" s="60">
        <f t="shared" si="2"/>
        <v>0.35408645588080462</v>
      </c>
      <c r="M40" s="60">
        <f t="shared" si="3"/>
        <v>18.003609966652988</v>
      </c>
      <c r="P40" s="61"/>
      <c r="Q40" s="61"/>
      <c r="R40" s="61"/>
      <c r="S40" s="61"/>
      <c r="T40" s="61"/>
      <c r="U40" s="61"/>
      <c r="V40" s="61"/>
      <c r="W40" s="61"/>
      <c r="X40" s="61"/>
      <c r="Y40" s="61"/>
      <c r="Z40" s="61"/>
    </row>
    <row r="41" spans="2:26" x14ac:dyDescent="0.2">
      <c r="B41" s="57">
        <v>30</v>
      </c>
      <c r="C41" s="58">
        <f t="shared" si="0"/>
        <v>0.98491210000000007</v>
      </c>
      <c r="D41" s="59">
        <f t="shared" si="6"/>
        <v>0.54374129861407194</v>
      </c>
      <c r="E41" s="59">
        <f>SUM(D41:$D$122)</f>
        <v>17.728298681037565</v>
      </c>
      <c r="F41" s="59">
        <f>SUM($E41:E$122)</f>
        <v>404.55329783946695</v>
      </c>
      <c r="G41" s="59">
        <f t="shared" si="1"/>
        <v>3.9289044932412848E-4</v>
      </c>
      <c r="H41" s="59">
        <f>SUM($G41:G$122)</f>
        <v>0.19612759898588478</v>
      </c>
      <c r="I41" s="59">
        <f>SUM($H41:H$122)</f>
        <v>9.7958810763421411</v>
      </c>
      <c r="J41" s="60">
        <f t="shared" si="4"/>
        <v>32.604289440998436</v>
      </c>
      <c r="K41" s="60">
        <f t="shared" si="5"/>
        <v>744.01797117603962</v>
      </c>
      <c r="L41" s="60">
        <f t="shared" si="2"/>
        <v>0.36070020703924699</v>
      </c>
      <c r="M41" s="60">
        <f t="shared" si="3"/>
        <v>18.015701770880025</v>
      </c>
      <c r="P41" s="61"/>
      <c r="Q41" s="61"/>
      <c r="R41" s="61"/>
      <c r="S41" s="61"/>
      <c r="T41" s="61"/>
      <c r="U41" s="61"/>
      <c r="V41" s="61"/>
      <c r="W41" s="61"/>
      <c r="X41" s="61"/>
      <c r="Y41" s="61"/>
      <c r="Z41" s="61"/>
    </row>
    <row r="42" spans="2:26" x14ac:dyDescent="0.2">
      <c r="B42" s="57">
        <v>31</v>
      </c>
      <c r="C42" s="58">
        <f t="shared" si="0"/>
        <v>0.9841861999999999</v>
      </c>
      <c r="D42" s="59">
        <f t="shared" si="6"/>
        <v>0.53268681407427609</v>
      </c>
      <c r="E42" s="59">
        <f>SUM(D42:$D$122)</f>
        <v>17.184557382423492</v>
      </c>
      <c r="F42" s="59">
        <f>SUM($E42:E$122)</f>
        <v>386.82499915842936</v>
      </c>
      <c r="G42" s="59">
        <f t="shared" si="1"/>
        <v>3.8646023495201676E-4</v>
      </c>
      <c r="H42" s="59">
        <f>SUM($G42:G$122)</f>
        <v>0.19573470853656064</v>
      </c>
      <c r="I42" s="59">
        <f>SUM($H42:H$122)</f>
        <v>9.5997534773562574</v>
      </c>
      <c r="J42" s="60">
        <f t="shared" si="4"/>
        <v>32.260151609510899</v>
      </c>
      <c r="K42" s="60">
        <f t="shared" si="5"/>
        <v>726.17716252404125</v>
      </c>
      <c r="L42" s="60">
        <f t="shared" si="2"/>
        <v>0.36744800765664914</v>
      </c>
      <c r="M42" s="60">
        <f t="shared" si="3"/>
        <v>18.021383716882657</v>
      </c>
      <c r="P42" s="61"/>
      <c r="Q42" s="61"/>
      <c r="R42" s="61"/>
      <c r="S42" s="61"/>
      <c r="T42" s="61"/>
      <c r="U42" s="61"/>
      <c r="V42" s="61"/>
      <c r="W42" s="61"/>
      <c r="X42" s="61"/>
      <c r="Y42" s="61"/>
      <c r="Z42" s="61"/>
    </row>
    <row r="43" spans="2:26" x14ac:dyDescent="0.2">
      <c r="B43" s="57">
        <v>32</v>
      </c>
      <c r="C43" s="58">
        <f t="shared" ref="C43:C74" si="7">INDEX(CHOOSE(Opz_Bdem,Tavola71,Tavola81,Tavola91,Tavola98,TavolaRG48),1+B43,Opz_S)/100000</f>
        <v>0.98345789999999988</v>
      </c>
      <c r="D43" s="59">
        <f t="shared" ref="D43:D74" si="8">(1+Opz_Bfin)^(-$B43)*$C43</f>
        <v>0.52185551434767141</v>
      </c>
      <c r="E43" s="59">
        <f>SUM(D43:$D$122)</f>
        <v>16.651870568349217</v>
      </c>
      <c r="F43" s="59">
        <f>SUM($E43:E$122)</f>
        <v>369.64044177600579</v>
      </c>
      <c r="G43" s="59">
        <f t="shared" ref="G43:G74" si="9">(1+Opz_Bfin)^(-$B43-1)*($C43-$C44)</f>
        <v>3.7961090350671091E-4</v>
      </c>
      <c r="H43" s="59">
        <f>SUM($G43:G$122)</f>
        <v>0.19534824830160863</v>
      </c>
      <c r="I43" s="59">
        <f>SUM($H43:H$122)</f>
        <v>9.4040187688196966</v>
      </c>
      <c r="J43" s="60">
        <f t="shared" si="4"/>
        <v>31.908967349256333</v>
      </c>
      <c r="K43" s="60">
        <f t="shared" si="5"/>
        <v>708.31950916157871</v>
      </c>
      <c r="L43" s="60">
        <f t="shared" si="2"/>
        <v>0.37433397354399406</v>
      </c>
      <c r="M43" s="60">
        <f t="shared" si="3"/>
        <v>18.020349522558721</v>
      </c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</row>
    <row r="44" spans="2:26" x14ac:dyDescent="0.2">
      <c r="B44" s="57">
        <v>33</v>
      </c>
      <c r="C44" s="58">
        <f t="shared" si="7"/>
        <v>0.98272820000000005</v>
      </c>
      <c r="D44" s="59">
        <f t="shared" si="8"/>
        <v>0.51124344237852404</v>
      </c>
      <c r="E44" s="59">
        <f>SUM(D44:$D$122)</f>
        <v>16.130015054001543</v>
      </c>
      <c r="F44" s="59">
        <f>SUM($E44:E$122)</f>
        <v>352.98857120765661</v>
      </c>
      <c r="G44" s="59">
        <f t="shared" si="9"/>
        <v>3.7242256654046528E-4</v>
      </c>
      <c r="H44" s="59">
        <f>SUM($G44:G$122)</f>
        <v>0.19496863739810191</v>
      </c>
      <c r="I44" s="59">
        <f>SUM($H44:H$122)</f>
        <v>9.2086705205180905</v>
      </c>
      <c r="J44" s="60">
        <f t="shared" si="4"/>
        <v>31.550556382606661</v>
      </c>
      <c r="K44" s="60">
        <f t="shared" si="5"/>
        <v>690.45104924065561</v>
      </c>
      <c r="L44" s="60">
        <f t="shared" si="2"/>
        <v>0.38136163955673269</v>
      </c>
      <c r="M44" s="60">
        <f t="shared" si="3"/>
        <v>18.012300515142847</v>
      </c>
      <c r="P44" s="61"/>
      <c r="Q44" s="61"/>
      <c r="R44" s="61"/>
      <c r="S44" s="61"/>
      <c r="T44" s="61"/>
      <c r="U44" s="61"/>
      <c r="V44" s="61"/>
      <c r="W44" s="61"/>
      <c r="X44" s="61"/>
      <c r="Y44" s="61"/>
      <c r="Z44" s="61"/>
    </row>
    <row r="45" spans="2:26" x14ac:dyDescent="0.2">
      <c r="B45" s="57">
        <v>34</v>
      </c>
      <c r="C45" s="58">
        <f t="shared" si="7"/>
        <v>0.98199800000000004</v>
      </c>
      <c r="D45" s="59">
        <f t="shared" si="8"/>
        <v>0.50084663858887535</v>
      </c>
      <c r="E45" s="59">
        <f>SUM(D45:$D$122)</f>
        <v>15.618771611623012</v>
      </c>
      <c r="F45" s="59">
        <f>SUM($E45:E$122)</f>
        <v>336.85855615365506</v>
      </c>
      <c r="G45" s="59">
        <f t="shared" si="9"/>
        <v>3.6632022954706284E-4</v>
      </c>
      <c r="H45" s="59">
        <f>SUM($G45:G$122)</f>
        <v>0.19459621483156145</v>
      </c>
      <c r="I45" s="59">
        <f>SUM($H45:H$122)</f>
        <v>9.0137018831199871</v>
      </c>
      <c r="J45" s="60">
        <f t="shared" si="4"/>
        <v>31.184738816713569</v>
      </c>
      <c r="K45" s="60">
        <f t="shared" si="5"/>
        <v>672.57825090480151</v>
      </c>
      <c r="L45" s="60">
        <f t="shared" si="2"/>
        <v>0.38853453300561647</v>
      </c>
      <c r="M45" s="60">
        <f t="shared" si="3"/>
        <v>17.996929975442978</v>
      </c>
      <c r="P45" s="61"/>
      <c r="Q45" s="61"/>
      <c r="R45" s="61"/>
      <c r="S45" s="61"/>
      <c r="T45" s="61"/>
      <c r="U45" s="61"/>
      <c r="V45" s="61"/>
      <c r="W45" s="61"/>
      <c r="X45" s="61"/>
      <c r="Y45" s="61"/>
      <c r="Z45" s="61"/>
    </row>
    <row r="46" spans="2:26" x14ac:dyDescent="0.2">
      <c r="B46" s="57">
        <v>35</v>
      </c>
      <c r="C46" s="58">
        <f t="shared" si="7"/>
        <v>0.98126539999999995</v>
      </c>
      <c r="D46" s="59">
        <f t="shared" si="8"/>
        <v>0.49065979603405624</v>
      </c>
      <c r="E46" s="59">
        <f>SUM(D46:$D$122)</f>
        <v>15.117924973034137</v>
      </c>
      <c r="F46" s="59">
        <f>SUM($E46:E$122)</f>
        <v>321.23978454203211</v>
      </c>
      <c r="G46" s="59">
        <f t="shared" si="9"/>
        <v>3.5742169892179139E-4</v>
      </c>
      <c r="H46" s="59">
        <f>SUM($G46:G$122)</f>
        <v>0.1942298946020144</v>
      </c>
      <c r="I46" s="59">
        <f>SUM($H46:H$122)</f>
        <v>8.8191056682884259</v>
      </c>
      <c r="J46" s="60">
        <f t="shared" si="4"/>
        <v>30.811419837595203</v>
      </c>
      <c r="K46" s="60">
        <f t="shared" si="5"/>
        <v>654.70981551489331</v>
      </c>
      <c r="L46" s="60">
        <f t="shared" si="2"/>
        <v>0.39585451298832947</v>
      </c>
      <c r="M46" s="60">
        <f t="shared" si="3"/>
        <v>17.973972474558114</v>
      </c>
      <c r="P46" s="61"/>
      <c r="Q46" s="61"/>
      <c r="R46" s="61"/>
      <c r="S46" s="61"/>
      <c r="T46" s="61"/>
      <c r="U46" s="61"/>
      <c r="V46" s="61"/>
      <c r="W46" s="61"/>
      <c r="X46" s="61"/>
      <c r="Y46" s="61"/>
      <c r="Z46" s="61"/>
    </row>
    <row r="47" spans="2:26" x14ac:dyDescent="0.2">
      <c r="B47" s="57">
        <v>36</v>
      </c>
      <c r="C47" s="58">
        <f t="shared" si="7"/>
        <v>0.98053630000000003</v>
      </c>
      <c r="D47" s="59">
        <f t="shared" si="8"/>
        <v>0.48068159402074123</v>
      </c>
      <c r="E47" s="59">
        <f>SUM(D47:$D$122)</f>
        <v>14.627265177000082</v>
      </c>
      <c r="F47" s="59">
        <f>SUM($E47:E$122)</f>
        <v>306.12185956899793</v>
      </c>
      <c r="G47" s="59">
        <f t="shared" si="9"/>
        <v>3.496925139179642E-4</v>
      </c>
      <c r="H47" s="59">
        <f>SUM($G47:G$122)</f>
        <v>0.19387247290309262</v>
      </c>
      <c r="I47" s="59">
        <f>SUM($H47:H$122)</f>
        <v>8.6248757736864103</v>
      </c>
      <c r="J47" s="60">
        <f t="shared" si="4"/>
        <v>30.430258530699888</v>
      </c>
      <c r="K47" s="60">
        <f t="shared" si="5"/>
        <v>636.84955566613371</v>
      </c>
      <c r="L47" s="60">
        <f t="shared" si="2"/>
        <v>0.40332826410392386</v>
      </c>
      <c r="M47" s="60">
        <f t="shared" si="3"/>
        <v>17.943012341167883</v>
      </c>
      <c r="P47" s="61"/>
      <c r="Q47" s="61"/>
      <c r="R47" s="61"/>
      <c r="S47" s="61"/>
      <c r="T47" s="61"/>
      <c r="U47" s="61"/>
      <c r="V47" s="61"/>
      <c r="W47" s="61"/>
      <c r="X47" s="61"/>
      <c r="Y47" s="61"/>
      <c r="Z47" s="61"/>
    </row>
    <row r="48" spans="2:26" x14ac:dyDescent="0.2">
      <c r="B48" s="57">
        <v>37</v>
      </c>
      <c r="C48" s="58">
        <f t="shared" si="7"/>
        <v>0.97980869999999998</v>
      </c>
      <c r="D48" s="59">
        <f t="shared" si="8"/>
        <v>0.47090677221229882</v>
      </c>
      <c r="E48" s="59">
        <f>SUM(D48:$D$122)</f>
        <v>14.146583582979341</v>
      </c>
      <c r="F48" s="59">
        <f>SUM($E48:E$122)</f>
        <v>291.49459439199779</v>
      </c>
      <c r="G48" s="59">
        <f t="shared" si="9"/>
        <v>3.490083501209897E-4</v>
      </c>
      <c r="H48" s="59">
        <f>SUM($G48:G$122)</f>
        <v>0.19352278038917464</v>
      </c>
      <c r="I48" s="59">
        <f>SUM($H48:H$122)</f>
        <v>8.4310033007833169</v>
      </c>
      <c r="J48" s="60">
        <f t="shared" si="4"/>
        <v>30.041155527492901</v>
      </c>
      <c r="K48" s="60">
        <f t="shared" si="5"/>
        <v>619.00701283731667</v>
      </c>
      <c r="L48" s="60">
        <f t="shared" si="2"/>
        <v>0.41095773475504149</v>
      </c>
      <c r="M48" s="60">
        <f t="shared" si="3"/>
        <v>17.903763118918089</v>
      </c>
      <c r="P48" s="61"/>
      <c r="Q48" s="61"/>
      <c r="R48" s="61"/>
      <c r="S48" s="61"/>
      <c r="T48" s="61"/>
      <c r="U48" s="61"/>
      <c r="V48" s="61"/>
      <c r="W48" s="61"/>
      <c r="X48" s="61"/>
      <c r="Y48" s="61"/>
      <c r="Z48" s="61"/>
    </row>
    <row r="49" spans="2:26" x14ac:dyDescent="0.2">
      <c r="B49" s="57">
        <v>38</v>
      </c>
      <c r="C49" s="58">
        <f t="shared" si="7"/>
        <v>0.97906800000000005</v>
      </c>
      <c r="D49" s="59">
        <f t="shared" si="8"/>
        <v>0.46132429774036798</v>
      </c>
      <c r="E49" s="59">
        <f>SUM(D49:$D$122)</f>
        <v>13.675676810767042</v>
      </c>
      <c r="F49" s="59">
        <f>SUM($E49:E$122)</f>
        <v>277.34801080901849</v>
      </c>
      <c r="G49" s="59">
        <f t="shared" si="9"/>
        <v>3.5685500264523705E-4</v>
      </c>
      <c r="H49" s="59">
        <f>SUM($G49:G$122)</f>
        <v>0.19317377203905367</v>
      </c>
      <c r="I49" s="59">
        <f>SUM($H49:H$122)</f>
        <v>8.2374805203941399</v>
      </c>
      <c r="J49" s="60">
        <f t="shared" si="4"/>
        <v>29.644388725572124</v>
      </c>
      <c r="K49" s="60">
        <f t="shared" si="5"/>
        <v>601.199659691693</v>
      </c>
      <c r="L49" s="60">
        <f t="shared" si="2"/>
        <v>0.41873747596917454</v>
      </c>
      <c r="M49" s="60">
        <f t="shared" si="3"/>
        <v>17.856160104166399</v>
      </c>
      <c r="P49" s="61"/>
      <c r="Q49" s="61"/>
      <c r="R49" s="61"/>
      <c r="S49" s="61"/>
      <c r="T49" s="61"/>
      <c r="U49" s="61"/>
      <c r="V49" s="61"/>
      <c r="W49" s="61"/>
      <c r="X49" s="61"/>
      <c r="Y49" s="61"/>
      <c r="Z49" s="61"/>
    </row>
    <row r="50" spans="2:26" x14ac:dyDescent="0.2">
      <c r="B50" s="57">
        <v>39</v>
      </c>
      <c r="C50" s="58">
        <f t="shared" si="7"/>
        <v>0.97829549999999998</v>
      </c>
      <c r="D50" s="59">
        <f t="shared" si="8"/>
        <v>0.45192186827222552</v>
      </c>
      <c r="E50" s="59">
        <f>SUM(D50:$D$122)</f>
        <v>13.214352513026673</v>
      </c>
      <c r="F50" s="59">
        <f>SUM($E50:E$122)</f>
        <v>263.67233399825136</v>
      </c>
      <c r="G50" s="59">
        <f t="shared" si="9"/>
        <v>3.7481210760731951E-4</v>
      </c>
      <c r="H50" s="59">
        <f>SUM($G50:G$122)</f>
        <v>0.19281691703640844</v>
      </c>
      <c r="I50" s="59">
        <f>SUM($H50:H$122)</f>
        <v>8.0443067483550852</v>
      </c>
      <c r="J50" s="60">
        <f t="shared" si="4"/>
        <v>29.240347592709774</v>
      </c>
      <c r="K50" s="60">
        <f t="shared" si="5"/>
        <v>583.44672499765443</v>
      </c>
      <c r="L50" s="60">
        <f t="shared" si="2"/>
        <v>0.42665985112333782</v>
      </c>
      <c r="M50" s="60">
        <f t="shared" si="3"/>
        <v>17.800215730010684</v>
      </c>
      <c r="P50" s="61"/>
      <c r="Q50" s="61"/>
      <c r="R50" s="61"/>
      <c r="S50" s="61"/>
      <c r="T50" s="61"/>
      <c r="U50" s="61"/>
      <c r="V50" s="61"/>
      <c r="W50" s="61"/>
      <c r="X50" s="61"/>
      <c r="Y50" s="61"/>
      <c r="Z50" s="61"/>
    </row>
    <row r="51" spans="2:26" x14ac:dyDescent="0.2">
      <c r="B51" s="57">
        <v>40</v>
      </c>
      <c r="C51" s="58">
        <f t="shared" si="7"/>
        <v>0.97746789999999995</v>
      </c>
      <c r="D51" s="59">
        <f t="shared" si="8"/>
        <v>0.44268584306124115</v>
      </c>
      <c r="E51" s="59">
        <f>SUM(D51:$D$122)</f>
        <v>12.762430644754449</v>
      </c>
      <c r="F51" s="59">
        <f>SUM($E51:E$122)</f>
        <v>250.45798148522471</v>
      </c>
      <c r="G51" s="59">
        <f t="shared" si="9"/>
        <v>3.9623471226594287E-4</v>
      </c>
      <c r="H51" s="59">
        <f>SUM($G51:G$122)</f>
        <v>0.19244210492880109</v>
      </c>
      <c r="I51" s="59">
        <f>SUM($H51:H$122)</f>
        <v>7.8514898313186734</v>
      </c>
      <c r="J51" s="60">
        <f t="shared" si="4"/>
        <v>28.829543218505172</v>
      </c>
      <c r="K51" s="60">
        <f t="shared" si="5"/>
        <v>565.76912365949852</v>
      </c>
      <c r="L51" s="60">
        <f t="shared" si="2"/>
        <v>0.43471483885284007</v>
      </c>
      <c r="M51" s="60">
        <f t="shared" si="3"/>
        <v>17.73603098988756</v>
      </c>
      <c r="P51" s="61"/>
      <c r="Q51" s="61"/>
      <c r="R51" s="61"/>
      <c r="S51" s="61"/>
      <c r="T51" s="61"/>
      <c r="U51" s="61"/>
      <c r="V51" s="61"/>
      <c r="W51" s="61"/>
      <c r="X51" s="61"/>
      <c r="Y51" s="61"/>
      <c r="Z51" s="61"/>
    </row>
    <row r="52" spans="2:26" x14ac:dyDescent="0.2">
      <c r="B52" s="57">
        <v>41</v>
      </c>
      <c r="C52" s="58">
        <f t="shared" si="7"/>
        <v>0.97657550000000004</v>
      </c>
      <c r="D52" s="59">
        <f t="shared" si="8"/>
        <v>0.43360949377914698</v>
      </c>
      <c r="E52" s="59">
        <f>SUM(D52:$D$122)</f>
        <v>12.319744801693208</v>
      </c>
      <c r="F52" s="59">
        <f>SUM($E52:E$122)</f>
        <v>237.69555084047028</v>
      </c>
      <c r="G52" s="59">
        <f t="shared" si="9"/>
        <v>4.200249534912107E-4</v>
      </c>
      <c r="H52" s="59">
        <f>SUM($G52:G$122)</f>
        <v>0.19204587021653516</v>
      </c>
      <c r="I52" s="59">
        <f>SUM($H52:H$122)</f>
        <v>7.659047726389872</v>
      </c>
      <c r="J52" s="60">
        <f t="shared" si="4"/>
        <v>28.412073486490819</v>
      </c>
      <c r="K52" s="60">
        <f t="shared" si="5"/>
        <v>548.17884352305543</v>
      </c>
      <c r="L52" s="60">
        <f t="shared" si="2"/>
        <v>0.44290051987272927</v>
      </c>
      <c r="M52" s="60">
        <f t="shared" si="3"/>
        <v>17.663468711528957</v>
      </c>
      <c r="P52" s="61"/>
      <c r="Q52" s="61"/>
      <c r="R52" s="61"/>
      <c r="S52" s="61"/>
      <c r="T52" s="61"/>
      <c r="U52" s="61"/>
      <c r="V52" s="61"/>
      <c r="W52" s="61"/>
      <c r="X52" s="61"/>
      <c r="Y52" s="61"/>
      <c r="Z52" s="61"/>
    </row>
    <row r="53" spans="2:26" x14ac:dyDescent="0.2">
      <c r="B53" s="57">
        <v>42</v>
      </c>
      <c r="C53" s="58">
        <f t="shared" si="7"/>
        <v>0.97561059999999999</v>
      </c>
      <c r="D53" s="59">
        <f t="shared" si="8"/>
        <v>0.4246873218888097</v>
      </c>
      <c r="E53" s="59">
        <f>SUM(D53:$D$122)</f>
        <v>11.88613530791406</v>
      </c>
      <c r="F53" s="59">
        <f>SUM($E53:E$122)</f>
        <v>225.37580603877706</v>
      </c>
      <c r="G53" s="59">
        <f t="shared" si="9"/>
        <v>4.47595068493932E-4</v>
      </c>
      <c r="H53" s="59">
        <f>SUM($G53:G$122)</f>
        <v>0.19162584526304394</v>
      </c>
      <c r="I53" s="59">
        <f>SUM($H53:H$122)</f>
        <v>7.4670018561733382</v>
      </c>
      <c r="J53" s="60">
        <f t="shared" si="4"/>
        <v>27.987968312899273</v>
      </c>
      <c r="K53" s="60">
        <f t="shared" si="5"/>
        <v>530.68644723466514</v>
      </c>
      <c r="L53" s="60">
        <f t="shared" si="2"/>
        <v>0.45121630759021059</v>
      </c>
      <c r="M53" s="60">
        <f t="shared" si="3"/>
        <v>17.582351700454872</v>
      </c>
      <c r="P53" s="61"/>
      <c r="Q53" s="61"/>
      <c r="R53" s="61"/>
      <c r="S53" s="61"/>
      <c r="T53" s="61"/>
      <c r="U53" s="61"/>
      <c r="V53" s="61"/>
      <c r="W53" s="61"/>
      <c r="X53" s="61"/>
      <c r="Y53" s="61"/>
      <c r="Z53" s="61"/>
    </row>
    <row r="54" spans="2:26" x14ac:dyDescent="0.2">
      <c r="B54" s="57">
        <v>43</v>
      </c>
      <c r="C54" s="58">
        <f t="shared" si="7"/>
        <v>0.97456179999999992</v>
      </c>
      <c r="D54" s="59">
        <f t="shared" si="8"/>
        <v>0.41591252443033916</v>
      </c>
      <c r="E54" s="59">
        <f>SUM(D54:$D$122)</f>
        <v>11.461447986025251</v>
      </c>
      <c r="F54" s="59">
        <f>SUM($E54:E$122)</f>
        <v>213.489670730863</v>
      </c>
      <c r="G54" s="59">
        <f t="shared" si="9"/>
        <v>4.795290864636879E-4</v>
      </c>
      <c r="H54" s="59">
        <f>SUM($G54:G$122)</f>
        <v>0.19117825019455001</v>
      </c>
      <c r="I54" s="59">
        <f>SUM($H54:H$122)</f>
        <v>7.2753760109102936</v>
      </c>
      <c r="J54" s="60">
        <f t="shared" si="4"/>
        <v>27.557352358464307</v>
      </c>
      <c r="K54" s="60">
        <f t="shared" si="5"/>
        <v>513.30426036886558</v>
      </c>
      <c r="L54" s="60">
        <f t="shared" si="2"/>
        <v>0.45965975767717066</v>
      </c>
      <c r="M54" s="60">
        <f t="shared" si="3"/>
        <v>17.49256293946695</v>
      </c>
      <c r="P54" s="61"/>
      <c r="Q54" s="61"/>
      <c r="R54" s="61"/>
      <c r="S54" s="61"/>
      <c r="T54" s="61"/>
      <c r="U54" s="61"/>
      <c r="V54" s="61"/>
      <c r="W54" s="61"/>
      <c r="X54" s="61"/>
      <c r="Y54" s="61"/>
      <c r="Z54" s="61"/>
    </row>
    <row r="55" spans="2:26" x14ac:dyDescent="0.2">
      <c r="B55" s="57">
        <v>44</v>
      </c>
      <c r="C55" s="58">
        <f t="shared" si="7"/>
        <v>0.97341570000000011</v>
      </c>
      <c r="D55" s="59">
        <f t="shared" si="8"/>
        <v>0.40727784780602566</v>
      </c>
      <c r="E55" s="59">
        <f>SUM(D55:$D$122)</f>
        <v>11.045535461594913</v>
      </c>
      <c r="F55" s="59">
        <f>SUM($E55:E$122)</f>
        <v>202.02822274483776</v>
      </c>
      <c r="G55" s="59">
        <f t="shared" si="9"/>
        <v>5.1590451851675186E-4</v>
      </c>
      <c r="H55" s="59">
        <f>SUM($G55:G$122)</f>
        <v>0.19069872110808633</v>
      </c>
      <c r="I55" s="59">
        <f>SUM($H55:H$122)</f>
        <v>7.0841977607157443</v>
      </c>
      <c r="J55" s="60">
        <f t="shared" si="4"/>
        <v>27.12039341470782</v>
      </c>
      <c r="K55" s="60">
        <f t="shared" si="5"/>
        <v>496.0452031288915</v>
      </c>
      <c r="L55" s="60">
        <f t="shared" si="2"/>
        <v>0.46822758010376853</v>
      </c>
      <c r="M55" s="60">
        <f t="shared" si="3"/>
        <v>17.394016882768781</v>
      </c>
      <c r="P55" s="61"/>
      <c r="Q55" s="61"/>
      <c r="R55" s="61"/>
      <c r="S55" s="61"/>
      <c r="T55" s="61"/>
      <c r="U55" s="61"/>
      <c r="V55" s="61"/>
      <c r="W55" s="61"/>
      <c r="X55" s="61"/>
      <c r="Y55" s="61"/>
      <c r="Z55" s="61"/>
    </row>
    <row r="56" spans="2:26" x14ac:dyDescent="0.2">
      <c r="B56" s="57">
        <v>45</v>
      </c>
      <c r="C56" s="58">
        <f t="shared" si="7"/>
        <v>0.97215800000000008</v>
      </c>
      <c r="D56" s="59">
        <f t="shared" si="8"/>
        <v>0.39877610313444961</v>
      </c>
      <c r="E56" s="59">
        <f>SUM(D56:$D$122)</f>
        <v>10.638257613788886</v>
      </c>
      <c r="F56" s="59">
        <f>SUM($E56:E$122)</f>
        <v>190.9826872832428</v>
      </c>
      <c r="G56" s="59">
        <f t="shared" si="9"/>
        <v>5.5826980514152649E-4</v>
      </c>
      <c r="H56" s="59">
        <f>SUM($G56:G$122)</f>
        <v>0.19018281658956956</v>
      </c>
      <c r="I56" s="59">
        <f>SUM($H56:H$122)</f>
        <v>6.8934990396076588</v>
      </c>
      <c r="J56" s="60">
        <f t="shared" si="4"/>
        <v>26.677269601087751</v>
      </c>
      <c r="K56" s="60">
        <f t="shared" si="5"/>
        <v>478.9220963394888</v>
      </c>
      <c r="L56" s="60">
        <f t="shared" si="2"/>
        <v>0.47691628233161293</v>
      </c>
      <c r="M56" s="60">
        <f t="shared" si="3"/>
        <v>17.286640261097784</v>
      </c>
      <c r="P56" s="61"/>
      <c r="Q56" s="61"/>
      <c r="R56" s="61"/>
      <c r="S56" s="61"/>
      <c r="T56" s="61"/>
      <c r="U56" s="61"/>
      <c r="V56" s="61"/>
      <c r="W56" s="61"/>
      <c r="X56" s="61"/>
      <c r="Y56" s="61"/>
      <c r="Z56" s="61"/>
    </row>
    <row r="57" spans="2:26" x14ac:dyDescent="0.2">
      <c r="B57" s="57">
        <v>46</v>
      </c>
      <c r="C57" s="58">
        <f t="shared" si="7"/>
        <v>0.97076979999999991</v>
      </c>
      <c r="D57" s="59">
        <f t="shared" si="8"/>
        <v>0.39039869405216193</v>
      </c>
      <c r="E57" s="59">
        <f>SUM(D57:$D$122)</f>
        <v>10.239481510654436</v>
      </c>
      <c r="F57" s="59">
        <f>SUM($E57:E$122)</f>
        <v>180.34442966945397</v>
      </c>
      <c r="G57" s="59">
        <f t="shared" si="9"/>
        <v>6.0472881169709096E-4</v>
      </c>
      <c r="H57" s="59">
        <f>SUM($G57:G$122)</f>
        <v>0.18962454678442806</v>
      </c>
      <c r="I57" s="59">
        <f>SUM($H57:H$122)</f>
        <v>6.7033162230180894</v>
      </c>
      <c r="J57" s="60">
        <f t="shared" si="4"/>
        <v>26.228267836588405</v>
      </c>
      <c r="K57" s="60">
        <f t="shared" si="5"/>
        <v>461.94936719065407</v>
      </c>
      <c r="L57" s="60">
        <f t="shared" si="2"/>
        <v>0.48572023849826695</v>
      </c>
      <c r="M57" s="60">
        <f t="shared" si="3"/>
        <v>17.170437107359909</v>
      </c>
      <c r="P57" s="61"/>
      <c r="Q57" s="61"/>
      <c r="R57" s="61"/>
      <c r="S57" s="61"/>
      <c r="T57" s="61"/>
      <c r="U57" s="61"/>
      <c r="V57" s="61"/>
      <c r="W57" s="61"/>
      <c r="X57" s="61"/>
      <c r="Y57" s="61"/>
      <c r="Z57" s="61"/>
    </row>
    <row r="58" spans="2:26" x14ac:dyDescent="0.2">
      <c r="B58" s="57">
        <v>47</v>
      </c>
      <c r="C58" s="58">
        <f t="shared" si="7"/>
        <v>0.9692360000000001</v>
      </c>
      <c r="D58" s="59">
        <f t="shared" si="8"/>
        <v>0.382139088886501</v>
      </c>
      <c r="E58" s="59">
        <f>SUM(D58:$D$122)</f>
        <v>9.8490828166022748</v>
      </c>
      <c r="F58" s="59">
        <f>SUM($E58:E$122)</f>
        <v>170.10494815879952</v>
      </c>
      <c r="G58" s="59">
        <f t="shared" si="9"/>
        <v>6.3728455524100162E-4</v>
      </c>
      <c r="H58" s="59">
        <f>SUM($G58:G$122)</f>
        <v>0.18901981797273096</v>
      </c>
      <c r="I58" s="59">
        <f>SUM($H58:H$122)</f>
        <v>6.5136916762336616</v>
      </c>
      <c r="J58" s="60">
        <f t="shared" si="4"/>
        <v>25.773554977851397</v>
      </c>
      <c r="K58" s="60">
        <f t="shared" si="5"/>
        <v>445.13883323075157</v>
      </c>
      <c r="L58" s="60">
        <f t="shared" si="2"/>
        <v>0.49463617690487471</v>
      </c>
      <c r="M58" s="60">
        <f t="shared" si="3"/>
        <v>17.045342561562162</v>
      </c>
      <c r="P58" s="61"/>
      <c r="Q58" s="61"/>
      <c r="R58" s="61"/>
      <c r="S58" s="61"/>
      <c r="T58" s="61"/>
      <c r="U58" s="61"/>
      <c r="V58" s="61"/>
      <c r="W58" s="61"/>
      <c r="X58" s="61"/>
      <c r="Y58" s="61"/>
      <c r="Z58" s="61"/>
    </row>
    <row r="59" spans="2:26" x14ac:dyDescent="0.2">
      <c r="B59" s="57">
        <v>48</v>
      </c>
      <c r="C59" s="58">
        <f t="shared" si="7"/>
        <v>0.96758729999999993</v>
      </c>
      <c r="D59" s="59">
        <f t="shared" si="8"/>
        <v>0.37400888101975993</v>
      </c>
      <c r="E59" s="59">
        <f>SUM(D59:$D$122)</f>
        <v>9.4669437277157744</v>
      </c>
      <c r="F59" s="59">
        <f>SUM($E59:E$122)</f>
        <v>160.25586534219724</v>
      </c>
      <c r="G59" s="59">
        <f t="shared" si="9"/>
        <v>6.5377910029029468E-4</v>
      </c>
      <c r="H59" s="59">
        <f>SUM($G59:G$122)</f>
        <v>0.18838253341748995</v>
      </c>
      <c r="I59" s="59">
        <f>SUM($H59:H$122)</f>
        <v>6.3246718582609294</v>
      </c>
      <c r="J59" s="60">
        <f t="shared" si="4"/>
        <v>25.312082702163455</v>
      </c>
      <c r="K59" s="60">
        <f t="shared" si="5"/>
        <v>428.48144382360397</v>
      </c>
      <c r="L59" s="60">
        <f t="shared" si="2"/>
        <v>0.50368465289875608</v>
      </c>
      <c r="M59" s="60">
        <f t="shared" si="3"/>
        <v>16.910485764445735</v>
      </c>
      <c r="P59" s="61"/>
      <c r="Q59" s="61"/>
      <c r="R59" s="61"/>
      <c r="S59" s="61"/>
      <c r="T59" s="61"/>
      <c r="U59" s="61"/>
      <c r="V59" s="61"/>
      <c r="W59" s="61"/>
      <c r="X59" s="61"/>
      <c r="Y59" s="61"/>
      <c r="Z59" s="61"/>
    </row>
    <row r="60" spans="2:26" x14ac:dyDescent="0.2">
      <c r="B60" s="57">
        <v>49</v>
      </c>
      <c r="C60" s="58">
        <f t="shared" si="7"/>
        <v>0.96586210000000006</v>
      </c>
      <c r="D60" s="59">
        <f t="shared" si="8"/>
        <v>0.36602159444849391</v>
      </c>
      <c r="E60" s="59">
        <f>SUM(D60:$D$122)</f>
        <v>9.0929348466960143</v>
      </c>
      <c r="F60" s="59">
        <f>SUM($E60:E$122)</f>
        <v>150.78892161448147</v>
      </c>
      <c r="G60" s="59">
        <f t="shared" si="9"/>
        <v>6.6815574321716135E-4</v>
      </c>
      <c r="H60" s="59">
        <f>SUM($G60:G$122)</f>
        <v>0.18772875431719965</v>
      </c>
      <c r="I60" s="59">
        <f>SUM($H60:H$122)</f>
        <v>6.1362893248434389</v>
      </c>
      <c r="J60" s="60">
        <f t="shared" si="4"/>
        <v>24.842618535654623</v>
      </c>
      <c r="K60" s="60">
        <f t="shared" si="5"/>
        <v>411.96728253611354</v>
      </c>
      <c r="L60" s="60">
        <f t="shared" si="2"/>
        <v>0.5128898326342235</v>
      </c>
      <c r="M60" s="60">
        <f t="shared" si="3"/>
        <v>16.764828682005344</v>
      </c>
      <c r="P60" s="61"/>
      <c r="Q60" s="61"/>
      <c r="R60" s="61"/>
      <c r="S60" s="61"/>
      <c r="T60" s="61"/>
      <c r="U60" s="61"/>
      <c r="V60" s="61"/>
      <c r="W60" s="61"/>
      <c r="X60" s="61"/>
      <c r="Y60" s="61"/>
      <c r="Z60" s="61"/>
    </row>
    <row r="61" spans="2:26" x14ac:dyDescent="0.2">
      <c r="B61" s="57">
        <v>50</v>
      </c>
      <c r="C61" s="58">
        <f t="shared" si="7"/>
        <v>0.96406369999999997</v>
      </c>
      <c r="D61" s="59">
        <f t="shared" si="8"/>
        <v>0.35817654469648275</v>
      </c>
      <c r="E61" s="59">
        <f>SUM(D61:$D$122)</f>
        <v>8.7269132522475186</v>
      </c>
      <c r="F61" s="59">
        <f>SUM($E61:E$122)</f>
        <v>141.69598676778548</v>
      </c>
      <c r="G61" s="59">
        <f t="shared" si="9"/>
        <v>6.8648882298501192E-4</v>
      </c>
      <c r="H61" s="59">
        <f>SUM($G61:G$122)</f>
        <v>0.1870605985739825</v>
      </c>
      <c r="I61" s="59">
        <f>SUM($H61:H$122)</f>
        <v>5.9485605705262401</v>
      </c>
      <c r="J61" s="60">
        <f t="shared" si="4"/>
        <v>24.364837344786682</v>
      </c>
      <c r="K61" s="60">
        <f t="shared" si="5"/>
        <v>395.60375704628581</v>
      </c>
      <c r="L61" s="60">
        <f t="shared" si="2"/>
        <v>0.52225809127869283</v>
      </c>
      <c r="M61" s="60">
        <f t="shared" si="3"/>
        <v>16.607900932114426</v>
      </c>
      <c r="P61" s="61"/>
      <c r="Q61" s="61"/>
      <c r="R61" s="61"/>
      <c r="S61" s="61"/>
      <c r="T61" s="61"/>
      <c r="U61" s="61"/>
      <c r="V61" s="61"/>
      <c r="W61" s="61"/>
      <c r="X61" s="61"/>
      <c r="Y61" s="61"/>
      <c r="Z61" s="61"/>
    </row>
    <row r="62" spans="2:26" x14ac:dyDescent="0.2">
      <c r="B62" s="57">
        <v>51</v>
      </c>
      <c r="C62" s="58">
        <f t="shared" si="7"/>
        <v>0.9621789999999999</v>
      </c>
      <c r="D62" s="59">
        <f t="shared" si="8"/>
        <v>0.35046698636964518</v>
      </c>
      <c r="E62" s="59">
        <f>SUM(D62:$D$122)</f>
        <v>8.3687367075510384</v>
      </c>
      <c r="F62" s="59">
        <f>SUM($E62:E$122)</f>
        <v>132.96907351553799</v>
      </c>
      <c r="G62" s="59">
        <f t="shared" si="9"/>
        <v>7.1020247210117776E-4</v>
      </c>
      <c r="H62" s="59">
        <f>SUM($G62:G$122)</f>
        <v>0.1863741097509975</v>
      </c>
      <c r="I62" s="59">
        <f>SUM($H62:H$122)</f>
        <v>5.761499971952257</v>
      </c>
      <c r="J62" s="60">
        <f t="shared" si="4"/>
        <v>23.878816074060538</v>
      </c>
      <c r="K62" s="60">
        <f t="shared" si="5"/>
        <v>379.40541816196236</v>
      </c>
      <c r="L62" s="60">
        <f t="shared" si="2"/>
        <v>0.53178792011646037</v>
      </c>
      <c r="M62" s="60">
        <f t="shared" si="3"/>
        <v>16.439494149316186</v>
      </c>
      <c r="P62" s="61"/>
      <c r="Q62" s="61"/>
      <c r="R62" s="61"/>
      <c r="S62" s="61"/>
      <c r="T62" s="61"/>
      <c r="U62" s="61"/>
      <c r="V62" s="61"/>
      <c r="W62" s="61"/>
      <c r="X62" s="61"/>
      <c r="Y62" s="61"/>
      <c r="Z62" s="61"/>
    </row>
    <row r="63" spans="2:26" x14ac:dyDescent="0.2">
      <c r="B63" s="57">
        <v>52</v>
      </c>
      <c r="C63" s="58">
        <f t="shared" si="7"/>
        <v>0.96019019999999999</v>
      </c>
      <c r="D63" s="59">
        <f t="shared" si="8"/>
        <v>0.34288488220402152</v>
      </c>
      <c r="E63" s="59">
        <f>SUM(D63:$D$122)</f>
        <v>8.0182697211813938</v>
      </c>
      <c r="F63" s="59">
        <f>SUM($E63:E$122)</f>
        <v>124.60033680798692</v>
      </c>
      <c r="G63" s="59">
        <f t="shared" si="9"/>
        <v>7.3923408333813594E-4</v>
      </c>
      <c r="H63" s="59">
        <f>SUM($G63:G$122)</f>
        <v>0.18566390727889631</v>
      </c>
      <c r="I63" s="59">
        <f>SUM($H63:H$122)</f>
        <v>5.5751258622012587</v>
      </c>
      <c r="J63" s="60">
        <f t="shared" si="4"/>
        <v>23.38472804528724</v>
      </c>
      <c r="K63" s="60">
        <f t="shared" si="5"/>
        <v>363.38824857798164</v>
      </c>
      <c r="L63" s="60">
        <f t="shared" si="2"/>
        <v>0.54147592068064276</v>
      </c>
      <c r="M63" s="60">
        <f t="shared" si="3"/>
        <v>16.259468269248387</v>
      </c>
      <c r="P63" s="61"/>
      <c r="Q63" s="61"/>
      <c r="R63" s="61"/>
      <c r="S63" s="61"/>
      <c r="T63" s="61"/>
      <c r="U63" s="61"/>
      <c r="V63" s="61"/>
      <c r="W63" s="61"/>
      <c r="X63" s="61"/>
      <c r="Y63" s="61"/>
      <c r="Z63" s="61"/>
    </row>
    <row r="64" spans="2:26" x14ac:dyDescent="0.2">
      <c r="B64" s="57">
        <v>53</v>
      </c>
      <c r="C64" s="58">
        <f t="shared" si="7"/>
        <v>0.95807869999999995</v>
      </c>
      <c r="D64" s="59">
        <f t="shared" si="8"/>
        <v>0.33542241513629084</v>
      </c>
      <c r="E64" s="59">
        <f>SUM(D64:$D$122)</f>
        <v>7.6753848389773713</v>
      </c>
      <c r="F64" s="59">
        <f>SUM($E64:E$122)</f>
        <v>116.58206708680551</v>
      </c>
      <c r="G64" s="59">
        <f t="shared" si="9"/>
        <v>7.7509177426792245E-4</v>
      </c>
      <c r="H64" s="59">
        <f>SUM($G64:G$122)</f>
        <v>0.18492467319555816</v>
      </c>
      <c r="I64" s="59">
        <f>SUM($H64:H$122)</f>
        <v>5.3894619549223624</v>
      </c>
      <c r="J64" s="60">
        <f t="shared" si="4"/>
        <v>22.882742752474257</v>
      </c>
      <c r="K64" s="60">
        <f t="shared" si="5"/>
        <v>347.56790788544998</v>
      </c>
      <c r="L64" s="60">
        <f t="shared" si="2"/>
        <v>0.55131876955932857</v>
      </c>
      <c r="M64" s="60">
        <f t="shared" si="3"/>
        <v>16.067685735112498</v>
      </c>
      <c r="P64" s="61"/>
      <c r="Q64" s="61"/>
      <c r="R64" s="61"/>
      <c r="S64" s="61"/>
      <c r="T64" s="61"/>
      <c r="U64" s="61"/>
      <c r="V64" s="61"/>
      <c r="W64" s="61"/>
      <c r="X64" s="61"/>
      <c r="Y64" s="61"/>
      <c r="Z64" s="61"/>
    </row>
    <row r="65" spans="2:26" x14ac:dyDescent="0.2">
      <c r="B65" s="57">
        <v>54</v>
      </c>
      <c r="C65" s="58">
        <f t="shared" si="7"/>
        <v>0.95582050000000007</v>
      </c>
      <c r="D65" s="59">
        <f t="shared" si="8"/>
        <v>0.32807041326131131</v>
      </c>
      <c r="E65" s="59">
        <f>SUM(D65:$D$122)</f>
        <v>7.3399624238410803</v>
      </c>
      <c r="F65" s="59">
        <f>SUM($E65:E$122)</f>
        <v>108.90668224782813</v>
      </c>
      <c r="G65" s="59">
        <f t="shared" si="9"/>
        <v>8.182437332137051E-4</v>
      </c>
      <c r="H65" s="59">
        <f>SUM($G65:G$122)</f>
        <v>0.18414958142129023</v>
      </c>
      <c r="I65" s="59">
        <f>SUM($H65:H$122)</f>
        <v>5.2045372817268039</v>
      </c>
      <c r="J65" s="60">
        <f t="shared" si="4"/>
        <v>22.373131276530955</v>
      </c>
      <c r="K65" s="60">
        <f t="shared" si="5"/>
        <v>331.96130417613392</v>
      </c>
      <c r="L65" s="60">
        <f t="shared" si="2"/>
        <v>0.56131115144056976</v>
      </c>
      <c r="M65" s="60">
        <f t="shared" si="3"/>
        <v>15.864086096606764</v>
      </c>
      <c r="P65" s="61"/>
      <c r="Q65" s="61"/>
      <c r="R65" s="61"/>
      <c r="S65" s="61"/>
      <c r="T65" s="61"/>
      <c r="U65" s="61"/>
      <c r="V65" s="61"/>
      <c r="W65" s="61"/>
      <c r="X65" s="61"/>
      <c r="Y65" s="61"/>
      <c r="Z65" s="61"/>
    </row>
    <row r="66" spans="2:26" x14ac:dyDescent="0.2">
      <c r="B66" s="57">
        <v>55</v>
      </c>
      <c r="C66" s="58">
        <f t="shared" si="7"/>
        <v>0.95338889999999998</v>
      </c>
      <c r="D66" s="59">
        <f t="shared" si="8"/>
        <v>0.32081941632689553</v>
      </c>
      <c r="E66" s="59">
        <f>SUM(D66:$D$122)</f>
        <v>7.0118920105797686</v>
      </c>
      <c r="F66" s="59">
        <f>SUM($E66:E$122)</f>
        <v>101.56671982398707</v>
      </c>
      <c r="G66" s="59">
        <f t="shared" si="9"/>
        <v>8.7943076277848084E-4</v>
      </c>
      <c r="H66" s="59">
        <f>SUM($G66:G$122)</f>
        <v>0.18333133768807652</v>
      </c>
      <c r="I66" s="59">
        <f>SUM($H66:H$122)</f>
        <v>5.0203877003055135</v>
      </c>
      <c r="J66" s="60">
        <f t="shared" si="4"/>
        <v>21.856195896307835</v>
      </c>
      <c r="K66" s="60">
        <f t="shared" si="5"/>
        <v>316.58532699435108</v>
      </c>
      <c r="L66" s="60">
        <f t="shared" si="2"/>
        <v>0.57144713928808166</v>
      </c>
      <c r="M66" s="60">
        <f t="shared" si="3"/>
        <v>15.648640465046052</v>
      </c>
      <c r="P66" s="61"/>
      <c r="Q66" s="61"/>
      <c r="R66" s="61"/>
      <c r="S66" s="61"/>
      <c r="T66" s="61"/>
      <c r="U66" s="61"/>
      <c r="V66" s="61"/>
      <c r="W66" s="61"/>
      <c r="X66" s="61"/>
      <c r="Y66" s="61"/>
      <c r="Z66" s="61"/>
    </row>
    <row r="67" spans="2:26" x14ac:dyDescent="0.2">
      <c r="B67" s="57">
        <v>56</v>
      </c>
      <c r="C67" s="58">
        <f t="shared" si="7"/>
        <v>0.9507232000000001</v>
      </c>
      <c r="D67" s="59">
        <f t="shared" si="8"/>
        <v>0.31364940877339359</v>
      </c>
      <c r="E67" s="59">
        <f>SUM(D67:$D$122)</f>
        <v>6.6910725942528737</v>
      </c>
      <c r="F67" s="59">
        <f>SUM($E67:E$122)</f>
        <v>94.5548278134073</v>
      </c>
      <c r="G67" s="59">
        <f t="shared" si="9"/>
        <v>9.5139105157720756E-4</v>
      </c>
      <c r="H67" s="59">
        <f>SUM($G67:G$122)</f>
        <v>0.18245190692529806</v>
      </c>
      <c r="I67" s="59">
        <f>SUM($H67:H$122)</f>
        <v>4.8370563626174379</v>
      </c>
      <c r="J67" s="60">
        <f t="shared" si="4"/>
        <v>21.332967342167258</v>
      </c>
      <c r="K67" s="60">
        <f t="shared" si="5"/>
        <v>301.46662218554212</v>
      </c>
      <c r="L67" s="60">
        <f t="shared" si="2"/>
        <v>0.58170652270260292</v>
      </c>
      <c r="M67" s="60">
        <f t="shared" si="3"/>
        <v>15.421857103235062</v>
      </c>
      <c r="P67" s="61"/>
      <c r="Q67" s="61"/>
      <c r="R67" s="61"/>
      <c r="S67" s="61"/>
      <c r="T67" s="61"/>
      <c r="U67" s="61"/>
      <c r="V67" s="61"/>
      <c r="W67" s="61"/>
      <c r="X67" s="61"/>
      <c r="Y67" s="61"/>
      <c r="Z67" s="61"/>
    </row>
    <row r="68" spans="2:26" x14ac:dyDescent="0.2">
      <c r="B68" s="57">
        <v>57</v>
      </c>
      <c r="C68" s="58">
        <f t="shared" si="7"/>
        <v>0.94778169999999995</v>
      </c>
      <c r="D68" s="59">
        <f t="shared" si="8"/>
        <v>0.30654802931449487</v>
      </c>
      <c r="E68" s="59">
        <f>SUM(D68:$D$122)</f>
        <v>6.3774231854794801</v>
      </c>
      <c r="F68" s="59">
        <f>SUM($E68:E$122)</f>
        <v>87.863755219154413</v>
      </c>
      <c r="G68" s="59">
        <f t="shared" si="9"/>
        <v>1.0245354636475579E-3</v>
      </c>
      <c r="H68" s="59">
        <f>SUM($G68:G$122)</f>
        <v>0.18150051587372085</v>
      </c>
      <c r="I68" s="59">
        <f>SUM($H68:H$122)</f>
        <v>4.65460445569214</v>
      </c>
      <c r="J68" s="60">
        <f t="shared" si="4"/>
        <v>20.803993422305549</v>
      </c>
      <c r="K68" s="60">
        <f t="shared" si="5"/>
        <v>286.6231285702147</v>
      </c>
      <c r="L68" s="60">
        <f t="shared" si="2"/>
        <v>0.59207856034695028</v>
      </c>
      <c r="M68" s="60">
        <f t="shared" si="3"/>
        <v>15.183932077791539</v>
      </c>
      <c r="P68" s="61"/>
      <c r="Q68" s="61"/>
      <c r="R68" s="61"/>
      <c r="S68" s="61"/>
      <c r="T68" s="61"/>
      <c r="U68" s="61"/>
      <c r="V68" s="61"/>
      <c r="W68" s="61"/>
      <c r="X68" s="61"/>
      <c r="Y68" s="61"/>
      <c r="Z68" s="61"/>
    </row>
    <row r="69" spans="2:26" x14ac:dyDescent="0.2">
      <c r="B69" s="57">
        <v>58</v>
      </c>
      <c r="C69" s="58">
        <f t="shared" si="7"/>
        <v>0.94455070000000008</v>
      </c>
      <c r="D69" s="59">
        <f t="shared" si="8"/>
        <v>0.2995127481780141</v>
      </c>
      <c r="E69" s="59">
        <f>SUM(D69:$D$122)</f>
        <v>6.070875156164985</v>
      </c>
      <c r="F69" s="59">
        <f>SUM($E69:E$122)</f>
        <v>81.486332033674913</v>
      </c>
      <c r="G69" s="59">
        <f t="shared" si="9"/>
        <v>1.0917410506180029E-3</v>
      </c>
      <c r="H69" s="59">
        <f>SUM($G69:G$122)</f>
        <v>0.18047598041007329</v>
      </c>
      <c r="I69" s="59">
        <f>SUM($H69:H$122)</f>
        <v>4.4731039398184187</v>
      </c>
      <c r="J69" s="60">
        <f t="shared" si="4"/>
        <v>20.269171155802646</v>
      </c>
      <c r="K69" s="60">
        <f t="shared" si="5"/>
        <v>272.06298406117884</v>
      </c>
      <c r="L69" s="60">
        <f t="shared" si="2"/>
        <v>0.60256527145485028</v>
      </c>
      <c r="M69" s="60">
        <f t="shared" si="3"/>
        <v>14.934602840877574</v>
      </c>
      <c r="P69" s="61"/>
      <c r="Q69" s="61"/>
      <c r="R69" s="61"/>
      <c r="S69" s="61"/>
      <c r="T69" s="61"/>
      <c r="U69" s="61"/>
      <c r="V69" s="61"/>
      <c r="W69" s="61"/>
      <c r="X69" s="61"/>
      <c r="Y69" s="61"/>
      <c r="Z69" s="61"/>
    </row>
    <row r="70" spans="2:26" x14ac:dyDescent="0.2">
      <c r="B70" s="57">
        <v>59</v>
      </c>
      <c r="C70" s="58">
        <f t="shared" si="7"/>
        <v>0.94103890000000001</v>
      </c>
      <c r="D70" s="59">
        <f t="shared" si="8"/>
        <v>0.29254820814351351</v>
      </c>
      <c r="E70" s="59">
        <f>SUM(D70:$D$122)</f>
        <v>5.7713624079869712</v>
      </c>
      <c r="F70" s="59">
        <f>SUM($E70:E$122)</f>
        <v>75.415456877509939</v>
      </c>
      <c r="G70" s="59">
        <f t="shared" si="9"/>
        <v>1.143512585527795E-3</v>
      </c>
      <c r="H70" s="59">
        <f>SUM($G70:G$122)</f>
        <v>0.17938423935945527</v>
      </c>
      <c r="I70" s="59">
        <f>SUM($H70:H$122)</f>
        <v>4.2926279594083461</v>
      </c>
      <c r="J70" s="60">
        <f t="shared" si="4"/>
        <v>19.727902093851661</v>
      </c>
      <c r="K70" s="60">
        <f t="shared" si="5"/>
        <v>257.78813466706953</v>
      </c>
      <c r="L70" s="60">
        <f t="shared" si="2"/>
        <v>0.61317839031663424</v>
      </c>
      <c r="M70" s="60">
        <f t="shared" si="3"/>
        <v>14.673232786654221</v>
      </c>
      <c r="P70" s="61"/>
      <c r="Q70" s="61"/>
      <c r="R70" s="61"/>
      <c r="S70" s="61"/>
      <c r="T70" s="61"/>
      <c r="U70" s="61"/>
      <c r="V70" s="61"/>
      <c r="W70" s="61"/>
      <c r="X70" s="61"/>
      <c r="Y70" s="61"/>
      <c r="Z70" s="61"/>
    </row>
    <row r="71" spans="2:26" x14ac:dyDescent="0.2">
      <c r="B71" s="57">
        <v>60</v>
      </c>
      <c r="C71" s="58">
        <f t="shared" si="7"/>
        <v>0.93728699999999998</v>
      </c>
      <c r="D71" s="59">
        <f t="shared" si="8"/>
        <v>0.2856684561826226</v>
      </c>
      <c r="E71" s="59">
        <f>SUM(D71:$D$122)</f>
        <v>5.4788141998434581</v>
      </c>
      <c r="F71" s="59">
        <f>SUM($E71:E$122)</f>
        <v>69.644094469522969</v>
      </c>
      <c r="G71" s="59">
        <f t="shared" si="9"/>
        <v>1.2191290658362733E-3</v>
      </c>
      <c r="H71" s="59">
        <f>SUM($G71:G$122)</f>
        <v>0.17824072677392749</v>
      </c>
      <c r="I71" s="59">
        <f>SUM($H71:H$122)</f>
        <v>4.1132437200488905</v>
      </c>
      <c r="J71" s="60">
        <f t="shared" si="4"/>
        <v>19.178926063649648</v>
      </c>
      <c r="K71" s="60">
        <f t="shared" si="5"/>
        <v>243.79343592979961</v>
      </c>
      <c r="L71" s="60">
        <f t="shared" si="2"/>
        <v>0.6239426262029486</v>
      </c>
      <c r="M71" s="60">
        <f t="shared" si="3"/>
        <v>14.398662614045737</v>
      </c>
      <c r="P71" s="61"/>
      <c r="Q71" s="61"/>
      <c r="R71" s="61"/>
      <c r="S71" s="61"/>
      <c r="T71" s="61"/>
      <c r="U71" s="61"/>
      <c r="V71" s="61"/>
      <c r="W71" s="61"/>
      <c r="X71" s="61"/>
      <c r="Y71" s="61"/>
      <c r="Z71" s="61"/>
    </row>
    <row r="72" spans="2:26" x14ac:dyDescent="0.2">
      <c r="B72" s="57">
        <v>61</v>
      </c>
      <c r="C72" s="58">
        <f t="shared" si="7"/>
        <v>0.93320700000000001</v>
      </c>
      <c r="D72" s="59">
        <f t="shared" si="8"/>
        <v>0.27884798483869577</v>
      </c>
      <c r="E72" s="59">
        <f>SUM(D72:$D$122)</f>
        <v>5.1931457436608355</v>
      </c>
      <c r="F72" s="59">
        <f>SUM($E72:E$122)</f>
        <v>64.165280269679499</v>
      </c>
      <c r="G72" s="59">
        <f t="shared" si="9"/>
        <v>1.3114074337088526E-3</v>
      </c>
      <c r="H72" s="59">
        <f>SUM($G72:G$122)</f>
        <v>0.17702159770809123</v>
      </c>
      <c r="I72" s="59">
        <f>SUM($H72:H$122)</f>
        <v>3.9350029932749639</v>
      </c>
      <c r="J72" s="60">
        <f t="shared" si="4"/>
        <v>18.623572792411952</v>
      </c>
      <c r="K72" s="60">
        <f t="shared" si="5"/>
        <v>230.10845965695955</v>
      </c>
      <c r="L72" s="60">
        <f t="shared" si="2"/>
        <v>0.63483190603113837</v>
      </c>
      <c r="M72" s="60">
        <f t="shared" si="3"/>
        <v>14.111642210902946</v>
      </c>
      <c r="P72" s="61"/>
      <c r="Q72" s="61"/>
      <c r="R72" s="61"/>
      <c r="S72" s="61"/>
      <c r="T72" s="61"/>
      <c r="U72" s="61"/>
      <c r="V72" s="61"/>
      <c r="W72" s="61"/>
      <c r="X72" s="61"/>
      <c r="Y72" s="61"/>
      <c r="Z72" s="61"/>
    </row>
    <row r="73" spans="2:26" x14ac:dyDescent="0.2">
      <c r="B73" s="57">
        <v>62</v>
      </c>
      <c r="C73" s="58">
        <f t="shared" si="7"/>
        <v>0.92873039999999996</v>
      </c>
      <c r="D73" s="59">
        <f t="shared" si="8"/>
        <v>0.27206896985913009</v>
      </c>
      <c r="E73" s="59">
        <f>SUM(D73:$D$122)</f>
        <v>4.9142977588221397</v>
      </c>
      <c r="F73" s="59">
        <f>SUM($E73:E$122)</f>
        <v>58.972134526018664</v>
      </c>
      <c r="G73" s="59">
        <f t="shared" si="9"/>
        <v>1.4147626521637386E-3</v>
      </c>
      <c r="H73" s="59">
        <f>SUM($G73:G$122)</f>
        <v>0.17571019027438237</v>
      </c>
      <c r="I73" s="59">
        <f>SUM($H73:H$122)</f>
        <v>3.7579813955668722</v>
      </c>
      <c r="J73" s="60">
        <f t="shared" si="4"/>
        <v>18.062691093977492</v>
      </c>
      <c r="K73" s="60">
        <f t="shared" si="5"/>
        <v>216.75435664917183</v>
      </c>
      <c r="L73" s="60">
        <f t="shared" si="2"/>
        <v>0.64582958639259858</v>
      </c>
      <c r="M73" s="60">
        <f t="shared" si="3"/>
        <v>13.812605669483927</v>
      </c>
      <c r="P73" s="61"/>
      <c r="Q73" s="61"/>
      <c r="R73" s="61"/>
      <c r="S73" s="61"/>
      <c r="T73" s="61"/>
      <c r="U73" s="61"/>
      <c r="V73" s="61"/>
      <c r="W73" s="61"/>
      <c r="X73" s="61"/>
      <c r="Y73" s="61"/>
      <c r="Z73" s="61"/>
    </row>
    <row r="74" spans="2:26" x14ac:dyDescent="0.2">
      <c r="B74" s="57">
        <v>63</v>
      </c>
      <c r="C74" s="58">
        <f t="shared" si="7"/>
        <v>0.92380439999999997</v>
      </c>
      <c r="D74" s="59">
        <f t="shared" si="8"/>
        <v>0.26531952152345406</v>
      </c>
      <c r="E74" s="59">
        <f>SUM(D74:$D$122)</f>
        <v>4.6422287889630089</v>
      </c>
      <c r="F74" s="59">
        <f>SUM($E74:E$122)</f>
        <v>54.05783676719652</v>
      </c>
      <c r="G74" s="59">
        <f t="shared" si="9"/>
        <v>1.5323413638198889E-3</v>
      </c>
      <c r="H74" s="59">
        <f>SUM($G74:G$122)</f>
        <v>0.17429542762221861</v>
      </c>
      <c r="I74" s="59">
        <f>SUM($H74:H$122)</f>
        <v>3.5822712052924897</v>
      </c>
      <c r="J74" s="60">
        <f t="shared" si="4"/>
        <v>17.496747929845181</v>
      </c>
      <c r="K74" s="60">
        <f t="shared" si="5"/>
        <v>203.74617162279876</v>
      </c>
      <c r="L74" s="60">
        <f t="shared" si="2"/>
        <v>0.65692651117950629</v>
      </c>
      <c r="M74" s="60">
        <f t="shared" si="3"/>
        <v>13.501724956849131</v>
      </c>
      <c r="P74" s="61"/>
      <c r="Q74" s="61"/>
      <c r="R74" s="61"/>
      <c r="S74" s="61"/>
      <c r="T74" s="61"/>
      <c r="U74" s="61"/>
      <c r="V74" s="61"/>
      <c r="W74" s="61"/>
      <c r="X74" s="61"/>
      <c r="Y74" s="61"/>
      <c r="Z74" s="61"/>
    </row>
    <row r="75" spans="2:26" x14ac:dyDescent="0.2">
      <c r="B75" s="57">
        <v>64</v>
      </c>
      <c r="C75" s="58">
        <f t="shared" ref="C75:C106" si="10">INDEX(CHOOSE(Opz_Bdem,Tavola71,Tavola81,Tavola91,Tavola98,TavolaRG48),1+B75,Opz_S)/100000</f>
        <v>0.91836229999999996</v>
      </c>
      <c r="D75" s="59">
        <f t="shared" ref="D75:D106" si="11">(1+Opz_Bfin)^(-$B75)*$C75</f>
        <v>0.2585848366003507</v>
      </c>
      <c r="E75" s="59">
        <f>SUM(D75:$D$122)</f>
        <v>4.3769092674395544</v>
      </c>
      <c r="F75" s="59">
        <f>SUM($E75:E$122)</f>
        <v>49.41560797823351</v>
      </c>
      <c r="G75" s="59">
        <f t="shared" ref="G75:G106" si="12">(1+Opz_Bfin)^(-$B75-1)*($C75-$C76)</f>
        <v>1.6630673760116561E-3</v>
      </c>
      <c r="H75" s="59">
        <f>SUM($G75:G$122)</f>
        <v>0.17276308625839873</v>
      </c>
      <c r="I75" s="59">
        <f>SUM($H75:H$122)</f>
        <v>3.4079757776702713</v>
      </c>
      <c r="J75" s="60">
        <f t="shared" si="4"/>
        <v>16.926395704339683</v>
      </c>
      <c r="K75" s="60">
        <f t="shared" si="5"/>
        <v>191.10017674627443</v>
      </c>
      <c r="L75" s="60">
        <f t="shared" si="2"/>
        <v>0.66810988815020267</v>
      </c>
      <c r="M75" s="60">
        <f t="shared" si="3"/>
        <v>13.17933341519705</v>
      </c>
      <c r="P75" s="61"/>
      <c r="Q75" s="61"/>
      <c r="R75" s="61"/>
      <c r="S75" s="61"/>
      <c r="T75" s="61"/>
      <c r="U75" s="61"/>
      <c r="V75" s="61"/>
      <c r="W75" s="61"/>
      <c r="X75" s="61"/>
      <c r="Y75" s="61"/>
      <c r="Z75" s="61"/>
    </row>
    <row r="76" spans="2:26" x14ac:dyDescent="0.2">
      <c r="B76" s="57">
        <v>65</v>
      </c>
      <c r="C76" s="58">
        <f t="shared" si="10"/>
        <v>0.91233779999999998</v>
      </c>
      <c r="D76" s="59">
        <f t="shared" si="11"/>
        <v>0.25185147831060667</v>
      </c>
      <c r="E76" s="59">
        <f>SUM(D76:$D$122)</f>
        <v>4.1183244308392037</v>
      </c>
      <c r="F76" s="59">
        <f>SUM($E76:E$122)</f>
        <v>45.038698710793966</v>
      </c>
      <c r="G76" s="59">
        <f t="shared" si="12"/>
        <v>1.8078884389552189E-3</v>
      </c>
      <c r="H76" s="59">
        <f>SUM($G76:G$122)</f>
        <v>0.17110001888238707</v>
      </c>
      <c r="I76" s="59">
        <f>SUM($H76:H$122)</f>
        <v>3.2352126914118728</v>
      </c>
      <c r="J76" s="60">
        <f t="shared" si="4"/>
        <v>16.352194787437789</v>
      </c>
      <c r="K76" s="60">
        <f t="shared" si="5"/>
        <v>178.83039247142338</v>
      </c>
      <c r="L76" s="60">
        <f t="shared" ref="L76:L122" si="13">IF(D76&gt;0,H76/D76,0)</f>
        <v>0.67936872965808293</v>
      </c>
      <c r="M76" s="60">
        <f t="shared" ref="M76:M122" si="14">IF(D76&gt;0,I76/D76,0)</f>
        <v>12.845716503684397</v>
      </c>
      <c r="P76" s="61"/>
      <c r="Q76" s="61"/>
      <c r="R76" s="61"/>
      <c r="S76" s="61"/>
      <c r="T76" s="61"/>
      <c r="U76" s="61"/>
      <c r="V76" s="61"/>
      <c r="W76" s="61"/>
      <c r="X76" s="61"/>
      <c r="Y76" s="61"/>
      <c r="Z76" s="61"/>
    </row>
    <row r="77" spans="2:26" x14ac:dyDescent="0.2">
      <c r="B77" s="57">
        <v>66</v>
      </c>
      <c r="C77" s="58">
        <f t="shared" si="10"/>
        <v>0.90565770000000001</v>
      </c>
      <c r="D77" s="59">
        <f t="shared" si="11"/>
        <v>0.24510532559105136</v>
      </c>
      <c r="E77" s="59">
        <f>SUM(D77:$D$122)</f>
        <v>3.8664729525285972</v>
      </c>
      <c r="F77" s="59">
        <f>SUM($E77:E$122)</f>
        <v>40.920374279954771</v>
      </c>
      <c r="G77" s="59">
        <f t="shared" si="12"/>
        <v>1.9680418835843921E-3</v>
      </c>
      <c r="H77" s="59">
        <f>SUM($G77:G$122)</f>
        <v>0.16929213044343186</v>
      </c>
      <c r="I77" s="59">
        <f>SUM($H77:H$122)</f>
        <v>3.0641126725294852</v>
      </c>
      <c r="J77" s="60">
        <f t="shared" ref="J77:J122" si="15">IF(D77&gt;0,E77/D77,0)</f>
        <v>15.774740688334353</v>
      </c>
      <c r="K77" s="60">
        <f t="shared" ref="K77:K122" si="16">IF(D77&gt;0,F77/D77,0)</f>
        <v>166.95016389904484</v>
      </c>
      <c r="L77" s="60">
        <f t="shared" si="13"/>
        <v>0.69069135905226786</v>
      </c>
      <c r="M77" s="60">
        <f t="shared" si="14"/>
        <v>12.50120806286289</v>
      </c>
      <c r="P77" s="61"/>
      <c r="Q77" s="61"/>
      <c r="R77" s="61"/>
      <c r="S77" s="61"/>
      <c r="T77" s="61"/>
      <c r="U77" s="61"/>
      <c r="V77" s="61"/>
      <c r="W77" s="61"/>
      <c r="X77" s="61"/>
      <c r="Y77" s="61"/>
      <c r="Z77" s="61"/>
    </row>
    <row r="78" spans="2:26" x14ac:dyDescent="0.2">
      <c r="B78" s="57">
        <v>67</v>
      </c>
      <c r="C78" s="58">
        <f t="shared" si="10"/>
        <v>0.89824039999999994</v>
      </c>
      <c r="D78" s="59">
        <f t="shared" si="11"/>
        <v>0.2383312969311718</v>
      </c>
      <c r="E78" s="59">
        <f>SUM(D78:$D$122)</f>
        <v>3.6213676269375457</v>
      </c>
      <c r="F78" s="59">
        <f>SUM($E78:E$122)</f>
        <v>37.053901327426161</v>
      </c>
      <c r="G78" s="59">
        <f t="shared" si="12"/>
        <v>2.1473106381943189E-3</v>
      </c>
      <c r="H78" s="59">
        <f>SUM($G78:G$122)</f>
        <v>0.16732408855984748</v>
      </c>
      <c r="I78" s="59">
        <f>SUM($H78:H$122)</f>
        <v>2.8948205420860535</v>
      </c>
      <c r="J78" s="60">
        <f t="shared" si="15"/>
        <v>15.1946793122322</v>
      </c>
      <c r="K78" s="60">
        <f t="shared" si="16"/>
        <v>155.47224306897064</v>
      </c>
      <c r="L78" s="60">
        <f t="shared" si="13"/>
        <v>0.70206511152485929</v>
      </c>
      <c r="M78" s="60">
        <f t="shared" si="14"/>
        <v>12.146203957938662</v>
      </c>
      <c r="P78" s="61"/>
      <c r="Q78" s="61"/>
      <c r="R78" s="61"/>
      <c r="S78" s="61"/>
      <c r="T78" s="61"/>
      <c r="U78" s="61"/>
      <c r="V78" s="61"/>
      <c r="W78" s="61"/>
      <c r="X78" s="61"/>
      <c r="Y78" s="61"/>
      <c r="Z78" s="61"/>
    </row>
    <row r="79" spans="2:26" x14ac:dyDescent="0.2">
      <c r="B79" s="57">
        <v>68</v>
      </c>
      <c r="C79" s="58">
        <f t="shared" si="10"/>
        <v>0.88998559999999993</v>
      </c>
      <c r="D79" s="59">
        <f t="shared" si="11"/>
        <v>0.23151082360805258</v>
      </c>
      <c r="E79" s="59">
        <f>SUM(D79:$D$122)</f>
        <v>3.3830363300063739</v>
      </c>
      <c r="F79" s="59">
        <f>SUM($E79:E$122)</f>
        <v>33.432533700488619</v>
      </c>
      <c r="G79" s="59">
        <f t="shared" si="12"/>
        <v>2.3498295252485685E-3</v>
      </c>
      <c r="H79" s="59">
        <f>SUM($G79:G$122)</f>
        <v>0.16517677792165314</v>
      </c>
      <c r="I79" s="59">
        <f>SUM($H79:H$122)</f>
        <v>2.7274964535262063</v>
      </c>
      <c r="J79" s="60">
        <f t="shared" si="15"/>
        <v>14.612864648323521</v>
      </c>
      <c r="K79" s="60">
        <f t="shared" si="16"/>
        <v>144.41024043476187</v>
      </c>
      <c r="L79" s="60">
        <f t="shared" si="13"/>
        <v>0.71347324218973507</v>
      </c>
      <c r="M79" s="60">
        <f t="shared" si="14"/>
        <v>11.78129130646545</v>
      </c>
      <c r="P79" s="61"/>
      <c r="Q79" s="61"/>
      <c r="R79" s="61"/>
      <c r="S79" s="61"/>
      <c r="T79" s="61"/>
      <c r="U79" s="61"/>
      <c r="V79" s="61"/>
      <c r="W79" s="61"/>
      <c r="X79" s="61"/>
      <c r="Y79" s="61"/>
      <c r="Z79" s="61"/>
    </row>
    <row r="80" spans="2:26" x14ac:dyDescent="0.2">
      <c r="B80" s="57">
        <v>69</v>
      </c>
      <c r="C80" s="58">
        <f t="shared" si="10"/>
        <v>0.88077159999999999</v>
      </c>
      <c r="D80" s="59">
        <f t="shared" si="11"/>
        <v>0.22462156616892062</v>
      </c>
      <c r="E80" s="59">
        <f>SUM(D80:$D$122)</f>
        <v>3.1515255063983219</v>
      </c>
      <c r="F80" s="59">
        <f>SUM($E80:E$122)</f>
        <v>30.049497370482243</v>
      </c>
      <c r="G80" s="59">
        <f t="shared" si="12"/>
        <v>2.577209638083233E-3</v>
      </c>
      <c r="H80" s="59">
        <f>SUM($G80:G$122)</f>
        <v>0.1628269483964046</v>
      </c>
      <c r="I80" s="59">
        <f>SUM($H80:H$122)</f>
        <v>2.5623196756045532</v>
      </c>
      <c r="J80" s="60">
        <f t="shared" si="15"/>
        <v>14.030378116179198</v>
      </c>
      <c r="K80" s="60">
        <f t="shared" si="16"/>
        <v>133.77832717934271</v>
      </c>
      <c r="L80" s="60">
        <f t="shared" si="13"/>
        <v>0.72489454674158471</v>
      </c>
      <c r="M80" s="60">
        <f t="shared" si="14"/>
        <v>11.407273661682286</v>
      </c>
      <c r="P80" s="61"/>
      <c r="Q80" s="61"/>
      <c r="R80" s="61"/>
      <c r="S80" s="61"/>
      <c r="T80" s="61"/>
      <c r="U80" s="61"/>
      <c r="V80" s="61"/>
      <c r="W80" s="61"/>
      <c r="X80" s="61"/>
      <c r="Y80" s="61"/>
      <c r="Z80" s="61"/>
    </row>
    <row r="81" spans="2:26" x14ac:dyDescent="0.2">
      <c r="B81" s="57">
        <v>70</v>
      </c>
      <c r="C81" s="58">
        <f t="shared" si="10"/>
        <v>0.87046389999999996</v>
      </c>
      <c r="D81" s="59">
        <f t="shared" si="11"/>
        <v>0.21764001209615266</v>
      </c>
      <c r="E81" s="59">
        <f>SUM(D81:$D$122)</f>
        <v>2.9269039402294013</v>
      </c>
      <c r="F81" s="59">
        <f>SUM($E81:E$122)</f>
        <v>26.897971864083917</v>
      </c>
      <c r="G81" s="59">
        <f t="shared" si="12"/>
        <v>2.8314646798845555E-3</v>
      </c>
      <c r="H81" s="59">
        <f>SUM($G81:G$122)</f>
        <v>0.16024973875832135</v>
      </c>
      <c r="I81" s="59">
        <f>SUM($H81:H$122)</f>
        <v>2.3994927272081483</v>
      </c>
      <c r="J81" s="60">
        <f t="shared" si="15"/>
        <v>13.448372438686985</v>
      </c>
      <c r="K81" s="60">
        <f t="shared" si="16"/>
        <v>123.58927756446035</v>
      </c>
      <c r="L81" s="60">
        <f t="shared" si="13"/>
        <v>0.7363064227708439</v>
      </c>
      <c r="M81" s="60">
        <f t="shared" si="14"/>
        <v>11.025053270756391</v>
      </c>
      <c r="P81" s="61"/>
      <c r="Q81" s="61"/>
      <c r="R81" s="61"/>
      <c r="S81" s="61"/>
      <c r="T81" s="61"/>
      <c r="U81" s="61"/>
      <c r="V81" s="61"/>
      <c r="W81" s="61"/>
      <c r="X81" s="61"/>
      <c r="Y81" s="61"/>
      <c r="Z81" s="61"/>
    </row>
    <row r="82" spans="2:26" x14ac:dyDescent="0.2">
      <c r="B82" s="57">
        <v>71</v>
      </c>
      <c r="C82" s="58">
        <f t="shared" si="10"/>
        <v>0.85891280000000003</v>
      </c>
      <c r="D82" s="59">
        <f t="shared" si="11"/>
        <v>0.21054109619869651</v>
      </c>
      <c r="E82" s="59">
        <f>SUM(D82:$D$122)</f>
        <v>2.7092639281332485</v>
      </c>
      <c r="F82" s="59">
        <f>SUM($E82:E$122)</f>
        <v>23.971067923854516</v>
      </c>
      <c r="G82" s="59">
        <f t="shared" si="12"/>
        <v>3.1143626102350815E-3</v>
      </c>
      <c r="H82" s="59">
        <f>SUM($G82:G$122)</f>
        <v>0.15741827407843678</v>
      </c>
      <c r="I82" s="59">
        <f>SUM($H82:H$122)</f>
        <v>2.2392429884498277</v>
      </c>
      <c r="J82" s="60">
        <f t="shared" si="15"/>
        <v>12.868100228643256</v>
      </c>
      <c r="K82" s="60">
        <f t="shared" si="16"/>
        <v>113.85457925626078</v>
      </c>
      <c r="L82" s="60">
        <f t="shared" si="13"/>
        <v>0.74768430924228924</v>
      </c>
      <c r="M82" s="60">
        <f t="shared" si="14"/>
        <v>10.635657498128344</v>
      </c>
      <c r="P82" s="61"/>
      <c r="Q82" s="61"/>
      <c r="R82" s="61"/>
      <c r="S82" s="61"/>
      <c r="T82" s="61"/>
      <c r="U82" s="61"/>
      <c r="V82" s="61"/>
      <c r="W82" s="61"/>
      <c r="X82" s="61"/>
      <c r="Y82" s="61"/>
      <c r="Z82" s="61"/>
    </row>
    <row r="83" spans="2:26" x14ac:dyDescent="0.2">
      <c r="B83" s="57">
        <v>72</v>
      </c>
      <c r="C83" s="58">
        <f t="shared" si="10"/>
        <v>0.84595350000000002</v>
      </c>
      <c r="D83" s="59">
        <f t="shared" si="11"/>
        <v>0.20329847680025168</v>
      </c>
      <c r="E83" s="59">
        <f>SUM(D83:$D$122)</f>
        <v>2.4987228319345518</v>
      </c>
      <c r="F83" s="59">
        <f>SUM($E83:E$122)</f>
        <v>21.261803995721266</v>
      </c>
      <c r="G83" s="59">
        <f t="shared" si="12"/>
        <v>3.429159893722152E-3</v>
      </c>
      <c r="H83" s="59">
        <f>SUM($G83:G$122)</f>
        <v>0.15430391146820172</v>
      </c>
      <c r="I83" s="59">
        <f>SUM($H83:H$122)</f>
        <v>2.0818247143713906</v>
      </c>
      <c r="J83" s="60">
        <f t="shared" si="15"/>
        <v>12.290907788697503</v>
      </c>
      <c r="K83" s="60">
        <f t="shared" si="16"/>
        <v>104.58417756180131</v>
      </c>
      <c r="L83" s="60">
        <f t="shared" si="13"/>
        <v>0.75900180806475526</v>
      </c>
      <c r="M83" s="60">
        <f t="shared" si="14"/>
        <v>10.240237640426892</v>
      </c>
      <c r="P83" s="61"/>
      <c r="Q83" s="61"/>
      <c r="R83" s="61"/>
      <c r="S83" s="61"/>
      <c r="T83" s="61"/>
      <c r="U83" s="61"/>
      <c r="V83" s="61"/>
      <c r="W83" s="61"/>
      <c r="X83" s="61"/>
      <c r="Y83" s="61"/>
      <c r="Z83" s="61"/>
    </row>
    <row r="84" spans="2:26" x14ac:dyDescent="0.2">
      <c r="B84" s="57">
        <v>73</v>
      </c>
      <c r="C84" s="58">
        <f t="shared" si="10"/>
        <v>0.83139889999999994</v>
      </c>
      <c r="D84" s="59">
        <f t="shared" si="11"/>
        <v>0.19588307226338736</v>
      </c>
      <c r="E84" s="59">
        <f>SUM(D84:$D$122)</f>
        <v>2.2954243551342999</v>
      </c>
      <c r="F84" s="59">
        <f>SUM($E84:E$122)</f>
        <v>18.763081163786715</v>
      </c>
      <c r="G84" s="59">
        <f t="shared" si="12"/>
        <v>3.7772820499077501E-3</v>
      </c>
      <c r="H84" s="59">
        <f>SUM($G84:G$122)</f>
        <v>0.15087475157447958</v>
      </c>
      <c r="I84" s="59">
        <f>SUM($H84:H$122)</f>
        <v>1.9275208029031894</v>
      </c>
      <c r="J84" s="60">
        <f t="shared" si="15"/>
        <v>11.718339561510641</v>
      </c>
      <c r="K84" s="60">
        <f t="shared" si="16"/>
        <v>95.787149685694075</v>
      </c>
      <c r="L84" s="60">
        <f t="shared" si="13"/>
        <v>0.7702286360488112</v>
      </c>
      <c r="M84" s="60">
        <f t="shared" si="14"/>
        <v>9.840160155908805</v>
      </c>
      <c r="P84" s="61"/>
      <c r="Q84" s="61"/>
      <c r="R84" s="61"/>
      <c r="S84" s="61"/>
      <c r="T84" s="61"/>
      <c r="U84" s="61"/>
      <c r="V84" s="61"/>
      <c r="W84" s="61"/>
      <c r="X84" s="61"/>
      <c r="Y84" s="61"/>
      <c r="Z84" s="61"/>
    </row>
    <row r="85" spans="2:26" x14ac:dyDescent="0.2">
      <c r="B85" s="57">
        <v>74</v>
      </c>
      <c r="C85" s="58">
        <f t="shared" si="10"/>
        <v>0.8150461</v>
      </c>
      <c r="D85" s="59">
        <f t="shared" si="11"/>
        <v>0.1882649456592955</v>
      </c>
      <c r="E85" s="59">
        <f>SUM(D85:$D$122)</f>
        <v>2.0995412828709128</v>
      </c>
      <c r="F85" s="59">
        <f>SUM($E85:E$122)</f>
        <v>16.467656808652418</v>
      </c>
      <c r="G85" s="59">
        <f t="shared" si="12"/>
        <v>4.1588053238431058E-3</v>
      </c>
      <c r="H85" s="59">
        <f>SUM($G85:G$122)</f>
        <v>0.14709746952457181</v>
      </c>
      <c r="I85" s="59">
        <f>SUM($H85:H$122)</f>
        <v>1.7766460513287097</v>
      </c>
      <c r="J85" s="60">
        <f t="shared" si="15"/>
        <v>11.152056350790172</v>
      </c>
      <c r="K85" s="60">
        <f t="shared" si="16"/>
        <v>87.470648085778336</v>
      </c>
      <c r="L85" s="60">
        <f t="shared" si="13"/>
        <v>0.78133222841587946</v>
      </c>
      <c r="M85" s="60">
        <f t="shared" si="14"/>
        <v>9.4369456040102104</v>
      </c>
      <c r="P85" s="61"/>
      <c r="Q85" s="61"/>
      <c r="R85" s="61"/>
      <c r="S85" s="61"/>
      <c r="T85" s="61"/>
      <c r="U85" s="61"/>
      <c r="V85" s="61"/>
      <c r="W85" s="61"/>
      <c r="X85" s="61"/>
      <c r="Y85" s="61"/>
      <c r="Z85" s="61"/>
    </row>
    <row r="86" spans="2:26" x14ac:dyDescent="0.2">
      <c r="B86" s="57">
        <v>75</v>
      </c>
      <c r="C86" s="58">
        <f t="shared" si="10"/>
        <v>0.79668149999999993</v>
      </c>
      <c r="D86" s="59">
        <f t="shared" si="11"/>
        <v>0.18041467081272117</v>
      </c>
      <c r="E86" s="59">
        <f>SUM(D86:$D$122)</f>
        <v>1.9112763372116177</v>
      </c>
      <c r="F86" s="59">
        <f>SUM($E86:E$122)</f>
        <v>14.368115525781505</v>
      </c>
      <c r="G86" s="59">
        <f t="shared" si="12"/>
        <v>4.5832376987485907E-3</v>
      </c>
      <c r="H86" s="59">
        <f>SUM($G86:G$122)</f>
        <v>0.1429386642007287</v>
      </c>
      <c r="I86" s="59">
        <f>SUM($H86:H$122)</f>
        <v>1.629548581804138</v>
      </c>
      <c r="J86" s="60">
        <f t="shared" si="15"/>
        <v>10.593796660780495</v>
      </c>
      <c r="K86" s="60">
        <f t="shared" si="16"/>
        <v>79.639396624769375</v>
      </c>
      <c r="L86" s="60">
        <f t="shared" si="13"/>
        <v>0.79227849684744156</v>
      </c>
      <c r="M86" s="60">
        <f t="shared" si="14"/>
        <v>9.0322398642163932</v>
      </c>
      <c r="P86" s="61"/>
      <c r="Q86" s="61"/>
      <c r="R86" s="61"/>
      <c r="S86" s="61"/>
      <c r="T86" s="61"/>
      <c r="U86" s="61"/>
      <c r="V86" s="61"/>
      <c r="W86" s="61"/>
      <c r="X86" s="61"/>
      <c r="Y86" s="61"/>
      <c r="Z86" s="61"/>
    </row>
    <row r="87" spans="2:26" x14ac:dyDescent="0.2">
      <c r="B87" s="57">
        <v>76</v>
      </c>
      <c r="C87" s="58">
        <f t="shared" si="10"/>
        <v>0.77603789999999995</v>
      </c>
      <c r="D87" s="59">
        <f t="shared" si="11"/>
        <v>0.17229389054901723</v>
      </c>
      <c r="E87" s="59">
        <f>SUM(D87:$D$122)</f>
        <v>1.7308616663988967</v>
      </c>
      <c r="F87" s="59">
        <f>SUM($E87:E$122)</f>
        <v>12.456839188569887</v>
      </c>
      <c r="G87" s="59">
        <f t="shared" si="12"/>
        <v>5.0362245194050265E-3</v>
      </c>
      <c r="H87" s="59">
        <f>SUM($G87:G$122)</f>
        <v>0.13835542650198013</v>
      </c>
      <c r="I87" s="59">
        <f>SUM($H87:H$122)</f>
        <v>1.4866099176034091</v>
      </c>
      <c r="J87" s="60">
        <f t="shared" si="15"/>
        <v>10.0459839921397</v>
      </c>
      <c r="K87" s="60">
        <f t="shared" si="16"/>
        <v>72.29994719415744</v>
      </c>
      <c r="L87" s="60">
        <f t="shared" si="13"/>
        <v>0.8030199217227515</v>
      </c>
      <c r="M87" s="60">
        <f t="shared" si="14"/>
        <v>8.6283379687248516</v>
      </c>
      <c r="P87" s="61"/>
      <c r="Q87" s="61"/>
      <c r="R87" s="61"/>
      <c r="S87" s="61"/>
      <c r="T87" s="61"/>
      <c r="U87" s="61"/>
      <c r="V87" s="61"/>
      <c r="W87" s="61"/>
      <c r="X87" s="61"/>
      <c r="Y87" s="61"/>
      <c r="Z87" s="61"/>
    </row>
    <row r="88" spans="2:26" x14ac:dyDescent="0.2">
      <c r="B88" s="57">
        <v>77</v>
      </c>
      <c r="C88" s="58">
        <f t="shared" si="10"/>
        <v>0.75290029999999997</v>
      </c>
      <c r="D88" s="59">
        <f t="shared" si="11"/>
        <v>0.1638793544502197</v>
      </c>
      <c r="E88" s="59">
        <f>SUM(D88:$D$122)</f>
        <v>1.5585677758498795</v>
      </c>
      <c r="F88" s="59">
        <f>SUM($E88:E$122)</f>
        <v>10.725977522170991</v>
      </c>
      <c r="G88" s="59">
        <f t="shared" si="12"/>
        <v>5.4947804335741934E-3</v>
      </c>
      <c r="H88" s="59">
        <f>SUM($G88:G$122)</f>
        <v>0.13331920198257508</v>
      </c>
      <c r="I88" s="59">
        <f>SUM($H88:H$122)</f>
        <v>1.3482544911014287</v>
      </c>
      <c r="J88" s="60">
        <f t="shared" si="15"/>
        <v>9.5104583556515845</v>
      </c>
      <c r="K88" s="60">
        <f t="shared" si="16"/>
        <v>65.450450168993882</v>
      </c>
      <c r="L88" s="60">
        <f t="shared" si="13"/>
        <v>0.81352042439898897</v>
      </c>
      <c r="M88" s="60">
        <f t="shared" si="14"/>
        <v>8.227116195475233</v>
      </c>
      <c r="P88" s="61"/>
      <c r="Q88" s="61"/>
      <c r="R88" s="61"/>
      <c r="S88" s="61"/>
      <c r="T88" s="61"/>
      <c r="U88" s="61"/>
      <c r="V88" s="61"/>
      <c r="W88" s="61"/>
      <c r="X88" s="61"/>
      <c r="Y88" s="61"/>
      <c r="Z88" s="61"/>
    </row>
    <row r="89" spans="2:26" x14ac:dyDescent="0.2">
      <c r="B89" s="57">
        <v>78</v>
      </c>
      <c r="C89" s="58">
        <f t="shared" si="10"/>
        <v>0.72715110000000005</v>
      </c>
      <c r="D89" s="59">
        <f t="shared" si="11"/>
        <v>0.15517125334115101</v>
      </c>
      <c r="E89" s="59">
        <f>SUM(D89:$D$122)</f>
        <v>1.39468842139966</v>
      </c>
      <c r="F89" s="59">
        <f>SUM($E89:E$122)</f>
        <v>9.1674097463211126</v>
      </c>
      <c r="G89" s="59">
        <f t="shared" si="12"/>
        <v>5.9459492923322138E-3</v>
      </c>
      <c r="H89" s="59">
        <f>SUM($G89:G$122)</f>
        <v>0.12782442154900087</v>
      </c>
      <c r="I89" s="59">
        <f>SUM($H89:H$122)</f>
        <v>1.2149352891188536</v>
      </c>
      <c r="J89" s="60">
        <f t="shared" si="15"/>
        <v>8.9880592659348739</v>
      </c>
      <c r="K89" s="60">
        <f t="shared" si="16"/>
        <v>59.079304632322255</v>
      </c>
      <c r="L89" s="60">
        <f t="shared" si="13"/>
        <v>0.82376354380519889</v>
      </c>
      <c r="M89" s="60">
        <f t="shared" si="14"/>
        <v>7.8296415280462002</v>
      </c>
      <c r="P89" s="61"/>
      <c r="Q89" s="61"/>
      <c r="R89" s="61"/>
      <c r="S89" s="61"/>
      <c r="T89" s="61"/>
      <c r="U89" s="61"/>
      <c r="V89" s="61"/>
      <c r="W89" s="61"/>
      <c r="X89" s="61"/>
      <c r="Y89" s="61"/>
      <c r="Z89" s="61"/>
    </row>
    <row r="90" spans="2:26" x14ac:dyDescent="0.2">
      <c r="B90" s="57">
        <v>79</v>
      </c>
      <c r="C90" s="58">
        <f t="shared" si="10"/>
        <v>0.69873039999999997</v>
      </c>
      <c r="D90" s="59">
        <f t="shared" si="11"/>
        <v>0.14618273045389429</v>
      </c>
      <c r="E90" s="59">
        <f>SUM(D90:$D$122)</f>
        <v>1.2395171680585091</v>
      </c>
      <c r="F90" s="59">
        <f>SUM($E90:E$122)</f>
        <v>7.7727213249214531</v>
      </c>
      <c r="G90" s="59">
        <f t="shared" si="12"/>
        <v>6.3745642197458562E-3</v>
      </c>
      <c r="H90" s="59">
        <f>SUM($G90:G$122)</f>
        <v>0.12187847225666865</v>
      </c>
      <c r="I90" s="59">
        <f>SUM($H90:H$122)</f>
        <v>1.0871108675698531</v>
      </c>
      <c r="J90" s="60">
        <f t="shared" si="15"/>
        <v>8.4792311937930993</v>
      </c>
      <c r="K90" s="60">
        <f t="shared" si="16"/>
        <v>53.171269279122896</v>
      </c>
      <c r="L90" s="60">
        <f t="shared" si="13"/>
        <v>0.83374056482758641</v>
      </c>
      <c r="M90" s="60">
        <f t="shared" si="14"/>
        <v>7.436657286359317</v>
      </c>
      <c r="P90" s="61"/>
      <c r="Q90" s="61"/>
      <c r="R90" s="61"/>
      <c r="S90" s="61"/>
      <c r="T90" s="61"/>
      <c r="U90" s="61"/>
      <c r="V90" s="61"/>
      <c r="W90" s="61"/>
      <c r="X90" s="61"/>
      <c r="Y90" s="61"/>
      <c r="Z90" s="61"/>
    </row>
    <row r="91" spans="2:26" x14ac:dyDescent="0.2">
      <c r="B91" s="57">
        <v>80</v>
      </c>
      <c r="C91" s="58">
        <f t="shared" si="10"/>
        <v>0.66765160000000001</v>
      </c>
      <c r="D91" s="59">
        <f t="shared" si="11"/>
        <v>0.13694183818603284</v>
      </c>
      <c r="E91" s="59">
        <f>SUM(D91:$D$122)</f>
        <v>1.0933344376046148</v>
      </c>
      <c r="F91" s="59">
        <f>SUM($E91:E$122)</f>
        <v>6.5332041568629435</v>
      </c>
      <c r="G91" s="59">
        <f t="shared" si="12"/>
        <v>6.7939178959735263E-3</v>
      </c>
      <c r="H91" s="59">
        <f>SUM($G91:G$122)</f>
        <v>0.1155039080369228</v>
      </c>
      <c r="I91" s="59">
        <f>SUM($H91:H$122)</f>
        <v>0.96523239531318461</v>
      </c>
      <c r="J91" s="60">
        <f t="shared" si="15"/>
        <v>7.9839328293471645</v>
      </c>
      <c r="K91" s="60">
        <f t="shared" si="16"/>
        <v>47.707875426556726</v>
      </c>
      <c r="L91" s="60">
        <f t="shared" si="13"/>
        <v>0.84345229746378148</v>
      </c>
      <c r="M91" s="60">
        <f t="shared" si="14"/>
        <v>7.0484842915715431</v>
      </c>
      <c r="P91" s="61"/>
      <c r="Q91" s="61"/>
      <c r="R91" s="61"/>
      <c r="S91" s="61"/>
      <c r="T91" s="61"/>
      <c r="U91" s="61"/>
      <c r="V91" s="61"/>
      <c r="W91" s="61"/>
      <c r="X91" s="61"/>
      <c r="Y91" s="61"/>
      <c r="Z91" s="61"/>
    </row>
    <row r="92" spans="2:26" x14ac:dyDescent="0.2">
      <c r="B92" s="57">
        <v>81</v>
      </c>
      <c r="C92" s="58">
        <f t="shared" si="10"/>
        <v>0.63386580000000003</v>
      </c>
      <c r="D92" s="59">
        <f t="shared" si="11"/>
        <v>0.12746278620798024</v>
      </c>
      <c r="E92" s="59">
        <f>SUM(D92:$D$122)</f>
        <v>0.95639259941858157</v>
      </c>
      <c r="F92" s="59">
        <f>SUM($E92:E$122)</f>
        <v>5.4398697192583283</v>
      </c>
      <c r="G92" s="59">
        <f t="shared" si="12"/>
        <v>7.2097725469146201E-3</v>
      </c>
      <c r="H92" s="59">
        <f>SUM($G92:G$122)</f>
        <v>0.10870999014094926</v>
      </c>
      <c r="I92" s="59">
        <f>SUM($H92:H$122)</f>
        <v>0.84972848727626171</v>
      </c>
      <c r="J92" s="60">
        <f t="shared" si="15"/>
        <v>7.5033084390454299</v>
      </c>
      <c r="K92" s="60">
        <f t="shared" si="16"/>
        <v>42.678101437247157</v>
      </c>
      <c r="L92" s="60">
        <f t="shared" si="13"/>
        <v>0.85287630511675649</v>
      </c>
      <c r="M92" s="60">
        <f t="shared" si="14"/>
        <v>6.6664829206680372</v>
      </c>
      <c r="P92" s="61"/>
      <c r="Q92" s="61"/>
      <c r="R92" s="61"/>
      <c r="S92" s="61"/>
      <c r="T92" s="61"/>
      <c r="U92" s="61"/>
      <c r="V92" s="61"/>
      <c r="W92" s="61"/>
      <c r="X92" s="61"/>
      <c r="Y92" s="61"/>
      <c r="Z92" s="61"/>
    </row>
    <row r="93" spans="2:26" x14ac:dyDescent="0.2">
      <c r="B93" s="57">
        <v>82</v>
      </c>
      <c r="C93" s="58">
        <f t="shared" si="10"/>
        <v>0.59729489999999996</v>
      </c>
      <c r="D93" s="59">
        <f t="shared" si="11"/>
        <v>0.11775374334326211</v>
      </c>
      <c r="E93" s="59">
        <f>SUM(D93:$D$122)</f>
        <v>0.82892981321060133</v>
      </c>
      <c r="F93" s="59">
        <f>SUM($E93:E$122)</f>
        <v>4.4834771198397476</v>
      </c>
      <c r="G93" s="59">
        <f t="shared" si="12"/>
        <v>7.5906069511072413E-3</v>
      </c>
      <c r="H93" s="59">
        <f>SUM($G93:G$122)</f>
        <v>0.10150021759403464</v>
      </c>
      <c r="I93" s="59">
        <f>SUM($H93:H$122)</f>
        <v>0.74101849713531254</v>
      </c>
      <c r="J93" s="60">
        <f t="shared" si="15"/>
        <v>7.0395198460417596</v>
      </c>
      <c r="K93" s="60">
        <f t="shared" si="16"/>
        <v>38.075028381645865</v>
      </c>
      <c r="L93" s="60">
        <f t="shared" si="13"/>
        <v>0.8619701990972205</v>
      </c>
      <c r="M93" s="60">
        <f t="shared" si="14"/>
        <v>6.2929506620879225</v>
      </c>
      <c r="P93" s="61"/>
      <c r="Q93" s="61"/>
      <c r="R93" s="61"/>
      <c r="S93" s="61"/>
      <c r="T93" s="61"/>
      <c r="U93" s="61"/>
      <c r="V93" s="61"/>
      <c r="W93" s="61"/>
      <c r="X93" s="61"/>
      <c r="Y93" s="61"/>
      <c r="Z93" s="61"/>
    </row>
    <row r="94" spans="2:26" x14ac:dyDescent="0.2">
      <c r="B94" s="57">
        <v>83</v>
      </c>
      <c r="C94" s="58">
        <f t="shared" si="10"/>
        <v>0.55802220000000002</v>
      </c>
      <c r="D94" s="59">
        <f t="shared" si="11"/>
        <v>0.10785423946385561</v>
      </c>
      <c r="E94" s="59">
        <f>SUM(D94:$D$122)</f>
        <v>0.71117606986733928</v>
      </c>
      <c r="F94" s="59">
        <f>SUM($E94:E$122)</f>
        <v>3.6545473066291447</v>
      </c>
      <c r="G94" s="59">
        <f t="shared" si="12"/>
        <v>7.9191528820992275E-3</v>
      </c>
      <c r="H94" s="59">
        <f>SUM($G94:G$122)</f>
        <v>9.3909610642927396E-2</v>
      </c>
      <c r="I94" s="59">
        <f>SUM($H94:H$122)</f>
        <v>0.63951827954127782</v>
      </c>
      <c r="J94" s="60">
        <f t="shared" si="15"/>
        <v>6.5938629153809982</v>
      </c>
      <c r="K94" s="60">
        <f t="shared" si="16"/>
        <v>33.884132184288092</v>
      </c>
      <c r="L94" s="60">
        <f t="shared" si="13"/>
        <v>0.87070857028664717</v>
      </c>
      <c r="M94" s="60">
        <f t="shared" si="14"/>
        <v>5.9294681666694693</v>
      </c>
      <c r="P94" s="61"/>
      <c r="Q94" s="61"/>
      <c r="R94" s="61"/>
      <c r="S94" s="61"/>
      <c r="T94" s="61"/>
      <c r="U94" s="61"/>
      <c r="V94" s="61"/>
      <c r="W94" s="61"/>
      <c r="X94" s="61"/>
      <c r="Y94" s="61"/>
      <c r="Z94" s="61"/>
    </row>
    <row r="95" spans="2:26" x14ac:dyDescent="0.2">
      <c r="B95" s="57">
        <v>84</v>
      </c>
      <c r="C95" s="58">
        <f t="shared" si="10"/>
        <v>0.51623019999999997</v>
      </c>
      <c r="D95" s="59">
        <f t="shared" si="11"/>
        <v>9.7820297572661169E-2</v>
      </c>
      <c r="E95" s="59">
        <f>SUM(D95:$D$122)</f>
        <v>0.60332183040348375</v>
      </c>
      <c r="F95" s="59">
        <f>SUM($E95:E$122)</f>
        <v>2.9433712367618052</v>
      </c>
      <c r="G95" s="59">
        <f t="shared" si="12"/>
        <v>8.1773901668241861E-3</v>
      </c>
      <c r="H95" s="59">
        <f>SUM($G95:G$122)</f>
        <v>8.5990457760828171E-2</v>
      </c>
      <c r="I95" s="59">
        <f>SUM($H95:H$122)</f>
        <v>0.54560866889835047</v>
      </c>
      <c r="J95" s="60">
        <f t="shared" si="15"/>
        <v>6.1676548259867516</v>
      </c>
      <c r="K95" s="60">
        <f t="shared" si="16"/>
        <v>30.089575576842439</v>
      </c>
      <c r="L95" s="60">
        <f t="shared" si="13"/>
        <v>0.87906559164731879</v>
      </c>
      <c r="M95" s="60">
        <f t="shared" si="14"/>
        <v>5.5776631480094503</v>
      </c>
      <c r="P95" s="61"/>
      <c r="Q95" s="61"/>
      <c r="R95" s="61"/>
      <c r="S95" s="61"/>
      <c r="T95" s="61"/>
      <c r="U95" s="61"/>
      <c r="V95" s="61"/>
      <c r="W95" s="61"/>
      <c r="X95" s="61"/>
      <c r="Y95" s="61"/>
      <c r="Z95" s="61"/>
    </row>
    <row r="96" spans="2:26" x14ac:dyDescent="0.2">
      <c r="B96" s="57">
        <v>85</v>
      </c>
      <c r="C96" s="58">
        <f t="shared" si="10"/>
        <v>0.47221230000000003</v>
      </c>
      <c r="D96" s="59">
        <f t="shared" si="11"/>
        <v>8.7724862355392633E-2</v>
      </c>
      <c r="E96" s="59">
        <f>SUM(D96:$D$122)</f>
        <v>0.50550153283082255</v>
      </c>
      <c r="F96" s="59">
        <f>SUM($E96:E$122)</f>
        <v>2.3400494063583213</v>
      </c>
      <c r="G96" s="59">
        <f t="shared" si="12"/>
        <v>8.3575077247561667E-3</v>
      </c>
      <c r="H96" s="59">
        <f>SUM($G96:G$122)</f>
        <v>7.7813067594003985E-2</v>
      </c>
      <c r="I96" s="59">
        <f>SUM($H96:H$122)</f>
        <v>0.4596182111375221</v>
      </c>
      <c r="J96" s="60">
        <f t="shared" si="15"/>
        <v>5.7623519633798352</v>
      </c>
      <c r="K96" s="60">
        <f t="shared" si="16"/>
        <v>26.674871222690193</v>
      </c>
      <c r="L96" s="60">
        <f t="shared" si="13"/>
        <v>0.88701270660039577</v>
      </c>
      <c r="M96" s="60">
        <f t="shared" si="14"/>
        <v>5.2393152727388506</v>
      </c>
      <c r="P96" s="61"/>
      <c r="Q96" s="61"/>
      <c r="R96" s="61"/>
      <c r="S96" s="61"/>
      <c r="T96" s="61"/>
      <c r="U96" s="61"/>
      <c r="V96" s="61"/>
      <c r="W96" s="61"/>
      <c r="X96" s="61"/>
      <c r="Y96" s="61"/>
      <c r="Z96" s="61"/>
    </row>
    <row r="97" spans="2:26" x14ac:dyDescent="0.2">
      <c r="B97" s="57">
        <v>86</v>
      </c>
      <c r="C97" s="58">
        <f t="shared" si="10"/>
        <v>0.42632510000000001</v>
      </c>
      <c r="D97" s="59">
        <f t="shared" si="11"/>
        <v>7.7647259290334655E-2</v>
      </c>
      <c r="E97" s="59">
        <f>SUM(D97:$D$122)</f>
        <v>0.41777667047542993</v>
      </c>
      <c r="F97" s="59">
        <f>SUM($E97:E$122)</f>
        <v>1.8345478735274989</v>
      </c>
      <c r="G97" s="59">
        <f t="shared" si="12"/>
        <v>8.4314238577977794E-3</v>
      </c>
      <c r="H97" s="59">
        <f>SUM($G97:G$122)</f>
        <v>6.9455559869247799E-2</v>
      </c>
      <c r="I97" s="59">
        <f>SUM($H97:H$122)</f>
        <v>0.38180514354351808</v>
      </c>
      <c r="J97" s="60">
        <f t="shared" si="15"/>
        <v>5.3804432286953077</v>
      </c>
      <c r="K97" s="60">
        <f t="shared" si="16"/>
        <v>23.626691917970362</v>
      </c>
      <c r="L97" s="60">
        <f t="shared" si="13"/>
        <v>0.8945011131628372</v>
      </c>
      <c r="M97" s="60">
        <f t="shared" si="14"/>
        <v>4.9171747597154951</v>
      </c>
      <c r="P97" s="61"/>
      <c r="Q97" s="61"/>
      <c r="R97" s="61"/>
      <c r="S97" s="61"/>
      <c r="T97" s="61"/>
      <c r="U97" s="61"/>
      <c r="V97" s="61"/>
      <c r="W97" s="61"/>
      <c r="X97" s="61"/>
      <c r="Y97" s="61"/>
      <c r="Z97" s="61"/>
    </row>
    <row r="98" spans="2:26" x14ac:dyDescent="0.2">
      <c r="B98" s="57">
        <v>87</v>
      </c>
      <c r="C98" s="58">
        <f t="shared" si="10"/>
        <v>0.3791062</v>
      </c>
      <c r="D98" s="59">
        <f t="shared" si="11"/>
        <v>6.7693340152334247E-2</v>
      </c>
      <c r="E98" s="59">
        <f>SUM(D98:$D$122)</f>
        <v>0.34012941118509527</v>
      </c>
      <c r="F98" s="59">
        <f>SUM($E98:E$122)</f>
        <v>1.4167712030520692</v>
      </c>
      <c r="G98" s="59">
        <f t="shared" si="12"/>
        <v>8.3533513156993592E-3</v>
      </c>
      <c r="H98" s="59">
        <f>SUM($G98:G$122)</f>
        <v>6.1024136011450014E-2</v>
      </c>
      <c r="I98" s="59">
        <f>SUM($H98:H$122)</f>
        <v>0.31234958367427035</v>
      </c>
      <c r="J98" s="60">
        <f t="shared" si="15"/>
        <v>5.0245623929869963</v>
      </c>
      <c r="K98" s="60">
        <f t="shared" si="16"/>
        <v>20.929255372298467</v>
      </c>
      <c r="L98" s="60">
        <f t="shared" si="13"/>
        <v>0.9014791687649607</v>
      </c>
      <c r="M98" s="60">
        <f t="shared" si="14"/>
        <v>4.6141848366674179</v>
      </c>
      <c r="P98" s="61"/>
      <c r="Q98" s="61"/>
      <c r="R98" s="61"/>
      <c r="S98" s="61"/>
      <c r="T98" s="61"/>
      <c r="U98" s="61"/>
      <c r="V98" s="61"/>
      <c r="W98" s="61"/>
      <c r="X98" s="61"/>
      <c r="Y98" s="61"/>
      <c r="Z98" s="61"/>
    </row>
    <row r="99" spans="2:26" x14ac:dyDescent="0.2">
      <c r="B99" s="57">
        <v>88</v>
      </c>
      <c r="C99" s="58">
        <f t="shared" si="10"/>
        <v>0.33138889999999999</v>
      </c>
      <c r="D99" s="59">
        <f t="shared" si="11"/>
        <v>5.8012668441491076E-2</v>
      </c>
      <c r="E99" s="59">
        <f>SUM(D99:$D$122)</f>
        <v>0.27243607103276096</v>
      </c>
      <c r="F99" s="59">
        <f>SUM($E99:E$122)</f>
        <v>1.0766417918669737</v>
      </c>
      <c r="G99" s="59">
        <f t="shared" si="12"/>
        <v>8.0865154756975897E-3</v>
      </c>
      <c r="H99" s="59">
        <f>SUM($G99:G$122)</f>
        <v>5.267078469575065E-2</v>
      </c>
      <c r="I99" s="59">
        <f>SUM($H99:H$122)</f>
        <v>0.25132544766282039</v>
      </c>
      <c r="J99" s="60">
        <f t="shared" si="15"/>
        <v>4.6961478992735444</v>
      </c>
      <c r="K99" s="60">
        <f t="shared" si="16"/>
        <v>18.55873588977941</v>
      </c>
      <c r="L99" s="60">
        <f t="shared" si="13"/>
        <v>0.9079186686416949</v>
      </c>
      <c r="M99" s="60">
        <f t="shared" si="14"/>
        <v>4.3322511171210083</v>
      </c>
      <c r="P99" s="61"/>
      <c r="Q99" s="61"/>
      <c r="R99" s="61"/>
      <c r="S99" s="61"/>
      <c r="T99" s="61"/>
      <c r="U99" s="61"/>
      <c r="V99" s="61"/>
      <c r="W99" s="61"/>
      <c r="X99" s="61"/>
      <c r="Y99" s="61"/>
      <c r="Z99" s="61"/>
    </row>
    <row r="100" spans="2:26" x14ac:dyDescent="0.2">
      <c r="B100" s="57">
        <v>89</v>
      </c>
      <c r="C100" s="58">
        <f t="shared" si="10"/>
        <v>0.28427200000000002</v>
      </c>
      <c r="D100" s="59">
        <f t="shared" si="11"/>
        <v>4.878864966301915E-2</v>
      </c>
      <c r="E100" s="59">
        <f>SUM(D100:$D$122)</f>
        <v>0.21442340259126993</v>
      </c>
      <c r="F100" s="59">
        <f>SUM($E100:E$122)</f>
        <v>0.80420572083421293</v>
      </c>
      <c r="G100" s="59">
        <f t="shared" si="12"/>
        <v>7.6136608483022717E-3</v>
      </c>
      <c r="H100" s="59">
        <f>SUM($G100:G$122)</f>
        <v>4.4584269220053069E-2</v>
      </c>
      <c r="I100" s="59">
        <f>SUM($H100:H$122)</f>
        <v>0.19865466296706971</v>
      </c>
      <c r="J100" s="60">
        <f t="shared" si="15"/>
        <v>4.39494439941015</v>
      </c>
      <c r="K100" s="60">
        <f t="shared" si="16"/>
        <v>16.483459296144144</v>
      </c>
      <c r="L100" s="60">
        <f t="shared" si="13"/>
        <v>0.91382461961940875</v>
      </c>
      <c r="M100" s="60">
        <f t="shared" si="14"/>
        <v>4.0717393151720307</v>
      </c>
      <c r="P100" s="61"/>
      <c r="Q100" s="61"/>
      <c r="R100" s="61"/>
      <c r="S100" s="61"/>
      <c r="T100" s="61"/>
      <c r="U100" s="61"/>
      <c r="V100" s="61"/>
      <c r="W100" s="61"/>
      <c r="X100" s="61"/>
      <c r="Y100" s="61"/>
      <c r="Z100" s="61"/>
    </row>
    <row r="101" spans="2:26" x14ac:dyDescent="0.2">
      <c r="B101" s="57">
        <v>90</v>
      </c>
      <c r="C101" s="58">
        <f t="shared" si="10"/>
        <v>0.23902299999999999</v>
      </c>
      <c r="D101" s="59">
        <f t="shared" si="11"/>
        <v>4.0218348625245912E-2</v>
      </c>
      <c r="E101" s="59">
        <f>SUM(D101:$D$122)</f>
        <v>0.16563475292825078</v>
      </c>
      <c r="F101" s="59">
        <f>SUM($E101:E$122)</f>
        <v>0.58978231824294303</v>
      </c>
      <c r="G101" s="59">
        <f t="shared" si="12"/>
        <v>6.9288731736476521E-3</v>
      </c>
      <c r="H101" s="59">
        <f>SUM($G101:G$122)</f>
        <v>3.6970608371750799E-2</v>
      </c>
      <c r="I101" s="59">
        <f>SUM($H101:H$122)</f>
        <v>0.15407039374701662</v>
      </c>
      <c r="J101" s="60">
        <f t="shared" si="15"/>
        <v>4.1183877158068674</v>
      </c>
      <c r="K101" s="60">
        <f t="shared" si="16"/>
        <v>14.664508573898138</v>
      </c>
      <c r="L101" s="60">
        <f t="shared" si="13"/>
        <v>0.91924729969006147</v>
      </c>
      <c r="M101" s="60">
        <f t="shared" si="14"/>
        <v>3.8308483320049436</v>
      </c>
      <c r="P101" s="61"/>
      <c r="Q101" s="61"/>
      <c r="R101" s="61"/>
      <c r="S101" s="61"/>
      <c r="T101" s="61"/>
      <c r="U101" s="61"/>
      <c r="V101" s="61"/>
      <c r="W101" s="61"/>
      <c r="X101" s="61"/>
      <c r="Y101" s="61"/>
      <c r="Z101" s="61"/>
    </row>
    <row r="102" spans="2:26" x14ac:dyDescent="0.2">
      <c r="B102" s="57">
        <v>91</v>
      </c>
      <c r="C102" s="58">
        <f t="shared" si="10"/>
        <v>0.19702020000000001</v>
      </c>
      <c r="D102" s="59">
        <f t="shared" si="11"/>
        <v>3.2500880380515011E-2</v>
      </c>
      <c r="E102" s="59">
        <f>SUM(D102:$D$122)</f>
        <v>0.12541640430300488</v>
      </c>
      <c r="F102" s="59">
        <f>SUM($E102:E$122)</f>
        <v>0.42414756531469222</v>
      </c>
      <c r="G102" s="59">
        <f t="shared" si="12"/>
        <v>6.2244594640499546E-3</v>
      </c>
      <c r="H102" s="59">
        <f>SUM($G102:G$122)</f>
        <v>3.0041735198103148E-2</v>
      </c>
      <c r="I102" s="59">
        <f>SUM($H102:H$122)</f>
        <v>0.11709978537526579</v>
      </c>
      <c r="J102" s="60">
        <f t="shared" si="15"/>
        <v>3.858861754963252</v>
      </c>
      <c r="K102" s="60">
        <f t="shared" si="16"/>
        <v>13.050340801505733</v>
      </c>
      <c r="L102" s="60">
        <f t="shared" si="13"/>
        <v>0.92433604402032832</v>
      </c>
      <c r="M102" s="60">
        <f t="shared" si="14"/>
        <v>3.6029727196396091</v>
      </c>
      <c r="P102" s="61"/>
      <c r="Q102" s="61"/>
      <c r="R102" s="61"/>
      <c r="S102" s="61"/>
      <c r="T102" s="61"/>
      <c r="U102" s="61"/>
      <c r="V102" s="61"/>
      <c r="W102" s="61"/>
      <c r="X102" s="61"/>
      <c r="Y102" s="61"/>
      <c r="Z102" s="61"/>
    </row>
    <row r="103" spans="2:26" x14ac:dyDescent="0.2">
      <c r="B103" s="57">
        <v>92</v>
      </c>
      <c r="C103" s="58">
        <f t="shared" si="10"/>
        <v>0.1585329</v>
      </c>
      <c r="D103" s="59">
        <f t="shared" si="11"/>
        <v>2.5639148752141228E-2</v>
      </c>
      <c r="E103" s="59">
        <f>SUM(D103:$D$122)</f>
        <v>9.2915523922489848E-2</v>
      </c>
      <c r="F103" s="59">
        <f>SUM($E103:E$122)</f>
        <v>0.29873116101168734</v>
      </c>
      <c r="G103" s="59">
        <f t="shared" si="12"/>
        <v>5.4109146703528134E-3</v>
      </c>
      <c r="H103" s="59">
        <f>SUM($G103:G$122)</f>
        <v>2.3817275734053196E-2</v>
      </c>
      <c r="I103" s="59">
        <f>SUM($H103:H$122)</f>
        <v>8.7058050177162657E-2</v>
      </c>
      <c r="J103" s="60">
        <f t="shared" si="15"/>
        <v>3.6239707027999555</v>
      </c>
      <c r="K103" s="60">
        <f t="shared" si="16"/>
        <v>11.65136814406676</v>
      </c>
      <c r="L103" s="60">
        <f t="shared" si="13"/>
        <v>0.92894175092549125</v>
      </c>
      <c r="M103" s="60">
        <f t="shared" si="14"/>
        <v>3.3955125038966862</v>
      </c>
      <c r="P103" s="61"/>
      <c r="Q103" s="61"/>
      <c r="R103" s="61"/>
      <c r="S103" s="61"/>
      <c r="T103" s="61"/>
      <c r="U103" s="61"/>
      <c r="V103" s="61"/>
      <c r="W103" s="61"/>
      <c r="X103" s="61"/>
      <c r="Y103" s="61"/>
      <c r="Z103" s="61"/>
    </row>
    <row r="104" spans="2:26" x14ac:dyDescent="0.2">
      <c r="B104" s="57">
        <v>93</v>
      </c>
      <c r="C104" s="58">
        <f t="shared" si="10"/>
        <v>0.1244068</v>
      </c>
      <c r="D104" s="59">
        <f t="shared" si="11"/>
        <v>1.9725505674883688E-2</v>
      </c>
      <c r="E104" s="59">
        <f>SUM(D104:$D$122)</f>
        <v>6.727637517034861E-2</v>
      </c>
      <c r="F104" s="59">
        <f>SUM($E104:E$122)</f>
        <v>0.20581563708919745</v>
      </c>
      <c r="G104" s="59">
        <f t="shared" si="12"/>
        <v>4.5546129301337274E-3</v>
      </c>
      <c r="H104" s="59">
        <f>SUM($G104:G$122)</f>
        <v>1.8406361063700381E-2</v>
      </c>
      <c r="I104" s="59">
        <f>SUM($H104:H$122)</f>
        <v>6.3240774443109452E-2</v>
      </c>
      <c r="J104" s="60">
        <f t="shared" si="15"/>
        <v>3.4106286692569316</v>
      </c>
      <c r="K104" s="60">
        <f t="shared" si="16"/>
        <v>10.433985342705849</v>
      </c>
      <c r="L104" s="60">
        <f t="shared" si="13"/>
        <v>0.93312492805378566</v>
      </c>
      <c r="M104" s="60">
        <f t="shared" si="14"/>
        <v>3.2060407213607389</v>
      </c>
      <c r="P104" s="61"/>
      <c r="Q104" s="61"/>
      <c r="R104" s="61"/>
      <c r="S104" s="61"/>
      <c r="T104" s="61"/>
      <c r="U104" s="61"/>
      <c r="V104" s="61"/>
      <c r="W104" s="61"/>
      <c r="X104" s="61"/>
      <c r="Y104" s="61"/>
      <c r="Z104" s="61"/>
    </row>
    <row r="105" spans="2:26" x14ac:dyDescent="0.2">
      <c r="B105" s="57">
        <v>94</v>
      </c>
      <c r="C105" s="58">
        <f t="shared" si="10"/>
        <v>9.5106800000000005E-2</v>
      </c>
      <c r="D105" s="59">
        <f t="shared" si="11"/>
        <v>1.4784118123673806E-2</v>
      </c>
      <c r="E105" s="59">
        <f>SUM(D105:$D$122)</f>
        <v>4.7550869495464915E-2</v>
      </c>
      <c r="F105" s="59">
        <f>SUM($E105:E$122)</f>
        <v>0.13853926191884883</v>
      </c>
      <c r="G105" s="59">
        <f t="shared" si="12"/>
        <v>3.7118891424150493E-3</v>
      </c>
      <c r="H105" s="59">
        <f>SUM($G105:G$122)</f>
        <v>1.3851748133566655E-2</v>
      </c>
      <c r="I105" s="59">
        <f>SUM($H105:H$122)</f>
        <v>4.4834413379409063E-2</v>
      </c>
      <c r="J105" s="60">
        <f t="shared" si="15"/>
        <v>3.2163480498252861</v>
      </c>
      <c r="K105" s="60">
        <f t="shared" si="16"/>
        <v>9.3708167616035158</v>
      </c>
      <c r="L105" s="60">
        <f t="shared" si="13"/>
        <v>0.93693435196421038</v>
      </c>
      <c r="M105" s="60">
        <f t="shared" si="14"/>
        <v>3.0326065446958062</v>
      </c>
      <c r="P105" s="61"/>
      <c r="Q105" s="61"/>
      <c r="R105" s="61"/>
      <c r="S105" s="61"/>
      <c r="T105" s="61"/>
      <c r="U105" s="61"/>
      <c r="V105" s="61"/>
      <c r="W105" s="61"/>
      <c r="X105" s="61"/>
      <c r="Y105" s="61"/>
      <c r="Z105" s="61"/>
    </row>
    <row r="106" spans="2:26" x14ac:dyDescent="0.2">
      <c r="B106" s="57">
        <v>95</v>
      </c>
      <c r="C106" s="58">
        <f t="shared" si="10"/>
        <v>7.0750500000000008E-2</v>
      </c>
      <c r="D106" s="59">
        <f t="shared" si="11"/>
        <v>1.078234431216712E-2</v>
      </c>
      <c r="E106" s="59">
        <f>SUM(D106:$D$122)</f>
        <v>3.2766751371791109E-2</v>
      </c>
      <c r="F106" s="59">
        <f>SUM($E106:E$122)</f>
        <v>9.0988392423383954E-2</v>
      </c>
      <c r="G106" s="59">
        <f t="shared" si="12"/>
        <v>2.9277298120853851E-3</v>
      </c>
      <c r="H106" s="59">
        <f>SUM($G106:G$122)</f>
        <v>1.0139858991151607E-2</v>
      </c>
      <c r="I106" s="59">
        <f>SUM($H106:H$122)</f>
        <v>3.0982665245842412E-2</v>
      </c>
      <c r="J106" s="60">
        <f t="shared" si="15"/>
        <v>3.0389264545017474</v>
      </c>
      <c r="K106" s="60">
        <f t="shared" si="16"/>
        <v>8.4386465307651068</v>
      </c>
      <c r="L106" s="60">
        <f t="shared" si="13"/>
        <v>0.94041320677447549</v>
      </c>
      <c r="M106" s="60">
        <f t="shared" si="14"/>
        <v>2.8734627970357658</v>
      </c>
      <c r="P106" s="61"/>
      <c r="Q106" s="61"/>
      <c r="R106" s="61"/>
      <c r="S106" s="61"/>
      <c r="T106" s="61"/>
      <c r="U106" s="61"/>
      <c r="V106" s="61"/>
      <c r="W106" s="61"/>
      <c r="X106" s="61"/>
      <c r="Y106" s="61"/>
      <c r="Z106" s="61"/>
    </row>
    <row r="107" spans="2:26" x14ac:dyDescent="0.2">
      <c r="B107" s="57">
        <v>96</v>
      </c>
      <c r="C107" s="58">
        <f t="shared" ref="C107:C122" si="17">INDEX(CHOOSE(Opz_Bdem,Tavola71,Tavola81,Tavola91,Tavola98,TavolaRG48),1+B107,Opz_S)/100000</f>
        <v>5.1155399999999997E-2</v>
      </c>
      <c r="D107" s="59">
        <f t="shared" ref="D107:D122" si="18">(1+Opz_Bfin)^(-$B107)*$C107</f>
        <v>7.6431959841568864E-3</v>
      </c>
      <c r="E107" s="59">
        <f>SUM(D107:$D$122)</f>
        <v>2.1984407059623998E-2</v>
      </c>
      <c r="F107" s="59">
        <f>SUM($E107:E$122)</f>
        <v>5.8221641051592839E-2</v>
      </c>
      <c r="G107" s="59">
        <f t="shared" ref="G107:G122" si="19">(1+Opz_Bfin)^(-$B107-1)*($C107-$C108)</f>
        <v>2.2343144994782494E-3</v>
      </c>
      <c r="H107" s="59">
        <f>SUM($G107:G$122)</f>
        <v>7.2121291790662205E-3</v>
      </c>
      <c r="I107" s="59">
        <f>SUM($H107:H$122)</f>
        <v>2.0842806254690805E-2</v>
      </c>
      <c r="J107" s="60">
        <f t="shared" si="15"/>
        <v>2.8763369544879041</v>
      </c>
      <c r="K107" s="60">
        <f t="shared" si="16"/>
        <v>7.6174470957276146</v>
      </c>
      <c r="L107" s="60">
        <f t="shared" si="13"/>
        <v>0.94360123618651182</v>
      </c>
      <c r="M107" s="60">
        <f t="shared" si="14"/>
        <v>2.7269752467285393</v>
      </c>
      <c r="P107" s="61"/>
      <c r="Q107" s="61"/>
      <c r="R107" s="61"/>
      <c r="S107" s="61"/>
      <c r="T107" s="61"/>
      <c r="U107" s="61"/>
      <c r="V107" s="61"/>
      <c r="W107" s="61"/>
      <c r="X107" s="61"/>
      <c r="Y107" s="61"/>
      <c r="Z107" s="61"/>
    </row>
    <row r="108" spans="2:26" x14ac:dyDescent="0.2">
      <c r="B108" s="57">
        <v>97</v>
      </c>
      <c r="C108" s="58">
        <f t="shared" si="17"/>
        <v>3.5902199999999995E-2</v>
      </c>
      <c r="D108" s="59">
        <f t="shared" si="18"/>
        <v>5.2590148967539916E-3</v>
      </c>
      <c r="E108" s="59">
        <f>SUM(D108:$D$122)</f>
        <v>1.4341211075467111E-2</v>
      </c>
      <c r="F108" s="59">
        <f>SUM($E108:E$122)</f>
        <v>3.6237233991968841E-2</v>
      </c>
      <c r="G108" s="59">
        <f t="shared" si="19"/>
        <v>1.6481918599055726E-3</v>
      </c>
      <c r="H108" s="59">
        <f>SUM($G108:G$122)</f>
        <v>4.9778146795879706E-3</v>
      </c>
      <c r="I108" s="59">
        <f>SUM($H108:H$122)</f>
        <v>1.3630677075624585E-2</v>
      </c>
      <c r="J108" s="60">
        <f t="shared" si="15"/>
        <v>2.7269766975406173</v>
      </c>
      <c r="K108" s="60">
        <f t="shared" si="16"/>
        <v>6.8904984494977297</v>
      </c>
      <c r="L108" s="60">
        <f t="shared" si="13"/>
        <v>0.94652986867567435</v>
      </c>
      <c r="M108" s="60">
        <f t="shared" si="14"/>
        <v>2.5918688848053679</v>
      </c>
      <c r="P108" s="61"/>
      <c r="Q108" s="61"/>
      <c r="R108" s="61"/>
      <c r="S108" s="61"/>
      <c r="T108" s="61"/>
      <c r="U108" s="61"/>
      <c r="V108" s="61"/>
      <c r="W108" s="61"/>
      <c r="X108" s="61"/>
      <c r="Y108" s="61"/>
      <c r="Z108" s="61"/>
    </row>
    <row r="109" spans="2:26" x14ac:dyDescent="0.2">
      <c r="B109" s="57">
        <v>98</v>
      </c>
      <c r="C109" s="58">
        <f t="shared" si="17"/>
        <v>2.44253E-2</v>
      </c>
      <c r="D109" s="59">
        <f t="shared" si="18"/>
        <v>3.5077050976963812E-3</v>
      </c>
      <c r="E109" s="59">
        <f>SUM(D109:$D$122)</f>
        <v>9.0821961787131197E-3</v>
      </c>
      <c r="F109" s="59">
        <f>SUM($E109:E$122)</f>
        <v>2.1896022916501737E-2</v>
      </c>
      <c r="G109" s="59">
        <f t="shared" si="19"/>
        <v>1.1744722738855583E-3</v>
      </c>
      <c r="H109" s="59">
        <f>SUM($G109:G$122)</f>
        <v>3.3296228196823983E-3</v>
      </c>
      <c r="I109" s="59">
        <f>SUM($H109:H$122)</f>
        <v>8.652862396036614E-3</v>
      </c>
      <c r="J109" s="60">
        <f t="shared" si="15"/>
        <v>2.5892131538303147</v>
      </c>
      <c r="K109" s="60">
        <f t="shared" si="16"/>
        <v>6.2422644739666211</v>
      </c>
      <c r="L109" s="60">
        <f t="shared" si="13"/>
        <v>0.94923111463077814</v>
      </c>
      <c r="M109" s="60">
        <f t="shared" si="14"/>
        <v>2.4668158112035181</v>
      </c>
      <c r="P109" s="61"/>
      <c r="Q109" s="61"/>
      <c r="R109" s="61"/>
      <c r="S109" s="61"/>
      <c r="T109" s="61"/>
      <c r="U109" s="61"/>
      <c r="V109" s="61"/>
      <c r="W109" s="61"/>
      <c r="X109" s="61"/>
      <c r="Y109" s="61"/>
      <c r="Z109" s="61"/>
    </row>
    <row r="110" spans="2:26" x14ac:dyDescent="0.2">
      <c r="B110" s="57">
        <v>99</v>
      </c>
      <c r="C110" s="58">
        <f t="shared" si="17"/>
        <v>1.6083500000000001E-2</v>
      </c>
      <c r="D110" s="59">
        <f t="shared" si="18"/>
        <v>2.2644542924834424E-3</v>
      </c>
      <c r="E110" s="59">
        <f>SUM(D110:$D$122)</f>
        <v>5.5744910810167376E-3</v>
      </c>
      <c r="F110" s="59">
        <f>SUM($E110:E$122)</f>
        <v>1.281382673778861E-2</v>
      </c>
      <c r="G110" s="59">
        <f t="shared" si="19"/>
        <v>8.0732721854617523E-4</v>
      </c>
      <c r="H110" s="59">
        <f>SUM($G110:G$122)</f>
        <v>2.1551505457968398E-3</v>
      </c>
      <c r="I110" s="59">
        <f>SUM($H110:H$122)</f>
        <v>5.3232395763542157E-3</v>
      </c>
      <c r="J110" s="60">
        <f t="shared" si="15"/>
        <v>2.4617370726009025</v>
      </c>
      <c r="K110" s="60">
        <f t="shared" si="16"/>
        <v>5.6586819969484123</v>
      </c>
      <c r="L110" s="60">
        <f t="shared" si="13"/>
        <v>0.95173064563527643</v>
      </c>
      <c r="M110" s="60">
        <f t="shared" si="14"/>
        <v>2.3507825236411297</v>
      </c>
      <c r="P110" s="61"/>
      <c r="Q110" s="61"/>
      <c r="R110" s="61"/>
      <c r="S110" s="61"/>
      <c r="T110" s="61"/>
      <c r="U110" s="61"/>
      <c r="V110" s="61"/>
      <c r="W110" s="61"/>
      <c r="X110" s="61"/>
      <c r="Y110" s="61"/>
      <c r="Z110" s="61"/>
    </row>
    <row r="111" spans="2:26" x14ac:dyDescent="0.2">
      <c r="B111" s="57">
        <v>100</v>
      </c>
      <c r="C111" s="58">
        <f t="shared" si="17"/>
        <v>1.0234700000000001E-2</v>
      </c>
      <c r="D111" s="59">
        <f t="shared" si="18"/>
        <v>1.4127260093787686E-3</v>
      </c>
      <c r="E111" s="59">
        <f>SUM(D111:$D$122)</f>
        <v>3.3100367885332952E-3</v>
      </c>
      <c r="F111" s="59">
        <f>SUM($E111:E$122)</f>
        <v>7.2393356567718751E-3</v>
      </c>
      <c r="G111" s="59">
        <f t="shared" si="19"/>
        <v>5.3481008467205033E-4</v>
      </c>
      <c r="H111" s="59">
        <f>SUM($G111:G$122)</f>
        <v>1.3478233272506642E-3</v>
      </c>
      <c r="I111" s="59">
        <f>SUM($H111:H$122)</f>
        <v>3.1680890305573759E-3</v>
      </c>
      <c r="J111" s="60">
        <f t="shared" si="15"/>
        <v>2.3430139790438553</v>
      </c>
      <c r="K111" s="60">
        <f t="shared" si="16"/>
        <v>5.1243734515479735</v>
      </c>
      <c r="L111" s="60">
        <f t="shared" si="13"/>
        <v>0.95405854943051227</v>
      </c>
      <c r="M111" s="60">
        <f t="shared" si="14"/>
        <v>2.2425360682291888</v>
      </c>
      <c r="P111" s="61"/>
      <c r="Q111" s="61"/>
      <c r="R111" s="61"/>
      <c r="S111" s="61"/>
      <c r="T111" s="61"/>
      <c r="U111" s="61"/>
      <c r="V111" s="61"/>
      <c r="W111" s="61"/>
      <c r="X111" s="61"/>
      <c r="Y111" s="61"/>
      <c r="Z111" s="61"/>
    </row>
    <row r="112" spans="2:26" x14ac:dyDescent="0.2">
      <c r="B112" s="57">
        <v>101</v>
      </c>
      <c r="C112" s="58">
        <f t="shared" si="17"/>
        <v>6.2826999999999996E-3</v>
      </c>
      <c r="D112" s="59">
        <f t="shared" si="18"/>
        <v>8.5021541471889906E-4</v>
      </c>
      <c r="E112" s="59">
        <f>SUM(D112:$D$122)</f>
        <v>1.8973107791545268E-3</v>
      </c>
      <c r="F112" s="59">
        <f>SUM($E112:E$122)</f>
        <v>3.9292988682385795E-3</v>
      </c>
      <c r="G112" s="59">
        <f t="shared" si="19"/>
        <v>3.3810381930674276E-4</v>
      </c>
      <c r="H112" s="59">
        <f>SUM($G112:G$122)</f>
        <v>8.1301324257861422E-4</v>
      </c>
      <c r="I112" s="59">
        <f>SUM($H112:H$122)</f>
        <v>1.8202657033067116E-3</v>
      </c>
      <c r="J112" s="60">
        <f t="shared" si="15"/>
        <v>2.2315647850043061</v>
      </c>
      <c r="K112" s="60">
        <f t="shared" si="16"/>
        <v>4.62153331992657</v>
      </c>
      <c r="L112" s="60">
        <f t="shared" si="13"/>
        <v>0.9562438277450136</v>
      </c>
      <c r="M112" s="60">
        <f t="shared" si="14"/>
        <v>2.1409464846135888</v>
      </c>
      <c r="P112" s="61"/>
      <c r="Q112" s="61"/>
      <c r="R112" s="61"/>
      <c r="S112" s="61"/>
      <c r="T112" s="61"/>
      <c r="U112" s="61"/>
      <c r="V112" s="61"/>
      <c r="W112" s="61"/>
      <c r="X112" s="61"/>
      <c r="Y112" s="61"/>
      <c r="Z112" s="61"/>
    </row>
    <row r="113" spans="2:26" x14ac:dyDescent="0.2">
      <c r="B113" s="57">
        <v>102</v>
      </c>
      <c r="C113" s="58">
        <f t="shared" si="17"/>
        <v>3.7342999999999999E-3</v>
      </c>
      <c r="D113" s="59">
        <f t="shared" si="18"/>
        <v>4.9544070492747196E-4</v>
      </c>
      <c r="E113" s="59">
        <f>SUM(D113:$D$122)</f>
        <v>1.0470953644356276E-3</v>
      </c>
      <c r="F113" s="59">
        <f>SUM($E113:E$122)</f>
        <v>2.0319880890840524E-3</v>
      </c>
      <c r="G113" s="59">
        <f t="shared" si="19"/>
        <v>2.0648858228209868E-4</v>
      </c>
      <c r="H113" s="59">
        <f>SUM($G113:G$122)</f>
        <v>4.7490942327187147E-4</v>
      </c>
      <c r="I113" s="59">
        <f>SUM($H113:H$122)</f>
        <v>1.0072524607280973E-3</v>
      </c>
      <c r="J113" s="60">
        <f t="shared" si="15"/>
        <v>2.1134625274459693</v>
      </c>
      <c r="K113" s="60">
        <f t="shared" si="16"/>
        <v>4.1013749352337072</v>
      </c>
      <c r="L113" s="60">
        <f t="shared" si="13"/>
        <v>0.9585595582853732</v>
      </c>
      <c r="M113" s="60">
        <f t="shared" si="14"/>
        <v>2.0330434110688382</v>
      </c>
      <c r="P113" s="61"/>
      <c r="Q113" s="61"/>
      <c r="R113" s="61"/>
      <c r="S113" s="61"/>
      <c r="T113" s="61"/>
      <c r="U113" s="61"/>
      <c r="V113" s="61"/>
      <c r="W113" s="61"/>
      <c r="X113" s="61"/>
      <c r="Y113" s="61"/>
      <c r="Z113" s="61"/>
    </row>
    <row r="114" spans="2:26" x14ac:dyDescent="0.2">
      <c r="B114" s="57">
        <v>103</v>
      </c>
      <c r="C114" s="58">
        <f t="shared" si="17"/>
        <v>2.1467999999999999E-3</v>
      </c>
      <c r="D114" s="59">
        <f t="shared" si="18"/>
        <v>2.7923759901934454E-4</v>
      </c>
      <c r="E114" s="59">
        <f>SUM(D114:$D$122)</f>
        <v>5.5165465950815572E-4</v>
      </c>
      <c r="F114" s="59">
        <f>SUM($E114:E$122)</f>
        <v>9.8489272464842462E-4</v>
      </c>
      <c r="G114" s="59">
        <f t="shared" si="19"/>
        <v>1.2170616206888062E-4</v>
      </c>
      <c r="H114" s="59">
        <f>SUM($G114:G$122)</f>
        <v>2.6842084098977278E-4</v>
      </c>
      <c r="I114" s="59">
        <f>SUM($H114:H$122)</f>
        <v>5.3234303745622585E-4</v>
      </c>
      <c r="J114" s="60">
        <f t="shared" si="15"/>
        <v>1.9755744263863948</v>
      </c>
      <c r="K114" s="60">
        <f t="shared" si="16"/>
        <v>3.5270777578208401</v>
      </c>
      <c r="L114" s="60">
        <f t="shared" si="13"/>
        <v>0.96126324654144302</v>
      </c>
      <c r="M114" s="60">
        <f t="shared" si="14"/>
        <v>1.906416038978143</v>
      </c>
      <c r="P114" s="61"/>
      <c r="Q114" s="61"/>
      <c r="R114" s="61"/>
      <c r="S114" s="61"/>
      <c r="T114" s="61"/>
      <c r="U114" s="61"/>
      <c r="V114" s="61"/>
      <c r="W114" s="61"/>
      <c r="X114" s="61"/>
      <c r="Y114" s="61"/>
      <c r="Z114" s="61"/>
    </row>
    <row r="115" spans="2:26" x14ac:dyDescent="0.2">
      <c r="B115" s="57">
        <v>104</v>
      </c>
      <c r="C115" s="58">
        <f t="shared" si="17"/>
        <v>1.1923999999999999E-3</v>
      </c>
      <c r="D115" s="59">
        <f t="shared" si="18"/>
        <v>1.5205618991086885E-4</v>
      </c>
      <c r="E115" s="59">
        <f>SUM(D115:$D$122)</f>
        <v>2.7241706048881118E-4</v>
      </c>
      <c r="F115" s="59">
        <f>SUM($E115:E$122)</f>
        <v>4.332380651402689E-4</v>
      </c>
      <c r="G115" s="59">
        <f t="shared" si="19"/>
        <v>6.9173959486620943E-5</v>
      </c>
      <c r="H115" s="59">
        <f>SUM($G115:G$122)</f>
        <v>1.4671467892089221E-4</v>
      </c>
      <c r="I115" s="59">
        <f>SUM($H115:H$122)</f>
        <v>2.6392219646645301E-4</v>
      </c>
      <c r="J115" s="60">
        <f t="shared" si="15"/>
        <v>1.7915552181630656</v>
      </c>
      <c r="K115" s="60">
        <f t="shared" si="16"/>
        <v>2.8491971645101795</v>
      </c>
      <c r="L115" s="60">
        <f t="shared" si="13"/>
        <v>0.96487146631052845</v>
      </c>
      <c r="M115" s="60">
        <f t="shared" si="14"/>
        <v>1.735688607094239</v>
      </c>
      <c r="P115" s="61"/>
      <c r="Q115" s="61"/>
      <c r="R115" s="61"/>
      <c r="S115" s="61"/>
      <c r="T115" s="61"/>
      <c r="U115" s="61"/>
      <c r="V115" s="61"/>
      <c r="W115" s="61"/>
      <c r="X115" s="61"/>
      <c r="Y115" s="61"/>
      <c r="Z115" s="61"/>
    </row>
    <row r="116" spans="2:26" x14ac:dyDescent="0.2">
      <c r="B116" s="57">
        <v>105</v>
      </c>
      <c r="C116" s="58">
        <f t="shared" si="17"/>
        <v>6.3909999999999998E-4</v>
      </c>
      <c r="D116" s="59">
        <f t="shared" si="18"/>
        <v>7.9900736504426976E-5</v>
      </c>
      <c r="E116" s="59">
        <f>SUM(D116:$D$122)</f>
        <v>1.2036087057794234E-4</v>
      </c>
      <c r="F116" s="59">
        <f>SUM($E116:E$122)</f>
        <v>1.6082100465145772E-4</v>
      </c>
      <c r="G116" s="59">
        <f t="shared" si="19"/>
        <v>3.7873921322981666E-5</v>
      </c>
      <c r="H116" s="59">
        <f>SUM($G116:G$122)</f>
        <v>7.7540719434271237E-5</v>
      </c>
      <c r="I116" s="59">
        <f>SUM($H116:H$122)</f>
        <v>1.1720751754556081E-4</v>
      </c>
      <c r="J116" s="60">
        <f t="shared" si="15"/>
        <v>1.5063799890164171</v>
      </c>
      <c r="K116" s="60">
        <f t="shared" si="16"/>
        <v>2.0127599780328342</v>
      </c>
      <c r="L116" s="60">
        <f t="shared" si="13"/>
        <v>0.97046313747026625</v>
      </c>
      <c r="M116" s="60">
        <f t="shared" si="14"/>
        <v>1.4669141070942047</v>
      </c>
      <c r="P116" s="61"/>
      <c r="Q116" s="61"/>
      <c r="R116" s="61"/>
      <c r="S116" s="61"/>
      <c r="T116" s="61"/>
      <c r="U116" s="61"/>
      <c r="V116" s="61"/>
      <c r="W116" s="61"/>
      <c r="X116" s="61"/>
      <c r="Y116" s="61"/>
      <c r="Z116" s="61"/>
    </row>
    <row r="117" spans="2:26" x14ac:dyDescent="0.2">
      <c r="B117" s="57">
        <v>106</v>
      </c>
      <c r="C117" s="58">
        <f t="shared" si="17"/>
        <v>3.301E-4</v>
      </c>
      <c r="D117" s="59">
        <f t="shared" si="18"/>
        <v>4.0460134073515367E-5</v>
      </c>
      <c r="E117" s="59">
        <f>SUM(D117:$D$122)</f>
        <v>4.0460134073515367E-5</v>
      </c>
      <c r="F117" s="59">
        <f>SUM($E117:E$122)</f>
        <v>4.0460134073515367E-5</v>
      </c>
      <c r="G117" s="59">
        <f t="shared" si="19"/>
        <v>3.9666798111289578E-5</v>
      </c>
      <c r="H117" s="59">
        <f>SUM($G117:G$122)</f>
        <v>3.9666798111289578E-5</v>
      </c>
      <c r="I117" s="59">
        <f>SUM($H117:H$122)</f>
        <v>3.9666798111289578E-5</v>
      </c>
      <c r="J117" s="60">
        <f t="shared" si="15"/>
        <v>1</v>
      </c>
      <c r="K117" s="60">
        <f t="shared" si="16"/>
        <v>1</v>
      </c>
      <c r="L117" s="60">
        <f t="shared" si="13"/>
        <v>0.98039215686274517</v>
      </c>
      <c r="M117" s="60">
        <f t="shared" si="14"/>
        <v>0.98039215686274517</v>
      </c>
      <c r="P117" s="61"/>
      <c r="Q117" s="61"/>
      <c r="R117" s="61"/>
      <c r="S117" s="61"/>
      <c r="T117" s="61"/>
      <c r="U117" s="61"/>
      <c r="V117" s="61"/>
      <c r="W117" s="61"/>
      <c r="X117" s="61"/>
      <c r="Y117" s="61"/>
      <c r="Z117" s="61"/>
    </row>
    <row r="118" spans="2:26" x14ac:dyDescent="0.2">
      <c r="B118" s="57">
        <v>107</v>
      </c>
      <c r="C118" s="58">
        <f t="shared" si="17"/>
        <v>0</v>
      </c>
      <c r="D118" s="59">
        <f t="shared" si="18"/>
        <v>0</v>
      </c>
      <c r="E118" s="59">
        <f>SUM(D118:$D$122)</f>
        <v>0</v>
      </c>
      <c r="F118" s="59">
        <f>SUM($E118:E$122)</f>
        <v>0</v>
      </c>
      <c r="G118" s="59">
        <f t="shared" si="19"/>
        <v>0</v>
      </c>
      <c r="H118" s="59">
        <f>SUM($G118:G$122)</f>
        <v>0</v>
      </c>
      <c r="I118" s="59">
        <f>SUM($H118:H$122)</f>
        <v>0</v>
      </c>
      <c r="J118" s="60">
        <f t="shared" si="15"/>
        <v>0</v>
      </c>
      <c r="K118" s="60">
        <f t="shared" si="16"/>
        <v>0</v>
      </c>
      <c r="L118" s="60">
        <f t="shared" si="13"/>
        <v>0</v>
      </c>
      <c r="M118" s="60">
        <f t="shared" si="14"/>
        <v>0</v>
      </c>
      <c r="P118" s="61"/>
      <c r="Q118" s="61"/>
      <c r="R118" s="61"/>
      <c r="S118" s="61"/>
      <c r="T118" s="61"/>
      <c r="U118" s="61"/>
      <c r="V118" s="61"/>
      <c r="W118" s="61"/>
      <c r="X118" s="61"/>
      <c r="Y118" s="61"/>
      <c r="Z118" s="61"/>
    </row>
    <row r="119" spans="2:26" x14ac:dyDescent="0.2">
      <c r="B119" s="57">
        <v>108</v>
      </c>
      <c r="C119" s="58">
        <f t="shared" si="17"/>
        <v>0</v>
      </c>
      <c r="D119" s="59">
        <f t="shared" si="18"/>
        <v>0</v>
      </c>
      <c r="E119" s="59">
        <f>SUM(D119:$D$122)</f>
        <v>0</v>
      </c>
      <c r="F119" s="59">
        <f>SUM($E119:E$122)</f>
        <v>0</v>
      </c>
      <c r="G119" s="59">
        <f t="shared" si="19"/>
        <v>0</v>
      </c>
      <c r="H119" s="59">
        <f>SUM($G119:G$122)</f>
        <v>0</v>
      </c>
      <c r="I119" s="59">
        <f>SUM($H119:H$122)</f>
        <v>0</v>
      </c>
      <c r="J119" s="60">
        <f t="shared" si="15"/>
        <v>0</v>
      </c>
      <c r="K119" s="60">
        <f t="shared" si="16"/>
        <v>0</v>
      </c>
      <c r="L119" s="60">
        <f t="shared" si="13"/>
        <v>0</v>
      </c>
      <c r="M119" s="60">
        <f t="shared" si="14"/>
        <v>0</v>
      </c>
      <c r="P119" s="61"/>
      <c r="Q119" s="61"/>
      <c r="R119" s="61"/>
      <c r="S119" s="61"/>
      <c r="T119" s="61"/>
      <c r="U119" s="61"/>
      <c r="V119" s="61"/>
      <c r="W119" s="61"/>
      <c r="X119" s="61"/>
      <c r="Y119" s="61"/>
      <c r="Z119" s="61"/>
    </row>
    <row r="120" spans="2:26" x14ac:dyDescent="0.2">
      <c r="B120" s="57">
        <v>109</v>
      </c>
      <c r="C120" s="58">
        <f t="shared" si="17"/>
        <v>0</v>
      </c>
      <c r="D120" s="59">
        <f t="shared" si="18"/>
        <v>0</v>
      </c>
      <c r="E120" s="59">
        <f>SUM(D120:$D$122)</f>
        <v>0</v>
      </c>
      <c r="F120" s="59">
        <f>SUM($E120:E$122)</f>
        <v>0</v>
      </c>
      <c r="G120" s="59">
        <f t="shared" si="19"/>
        <v>0</v>
      </c>
      <c r="H120" s="59">
        <f>SUM($G120:G$122)</f>
        <v>0</v>
      </c>
      <c r="I120" s="59">
        <f>SUM($H120:H$122)</f>
        <v>0</v>
      </c>
      <c r="J120" s="60">
        <f t="shared" si="15"/>
        <v>0</v>
      </c>
      <c r="K120" s="60">
        <f t="shared" si="16"/>
        <v>0</v>
      </c>
      <c r="L120" s="60">
        <f t="shared" si="13"/>
        <v>0</v>
      </c>
      <c r="M120" s="60">
        <f t="shared" si="14"/>
        <v>0</v>
      </c>
      <c r="P120" s="61"/>
      <c r="Q120" s="61"/>
      <c r="R120" s="61"/>
      <c r="S120" s="61"/>
      <c r="T120" s="61"/>
      <c r="U120" s="61"/>
      <c r="V120" s="61"/>
      <c r="W120" s="61"/>
      <c r="X120" s="61"/>
      <c r="Y120" s="61"/>
      <c r="Z120" s="61"/>
    </row>
    <row r="121" spans="2:26" x14ac:dyDescent="0.2">
      <c r="B121" s="57">
        <v>110</v>
      </c>
      <c r="C121" s="58">
        <f t="shared" si="17"/>
        <v>0</v>
      </c>
      <c r="D121" s="59">
        <f t="shared" si="18"/>
        <v>0</v>
      </c>
      <c r="E121" s="59">
        <f>SUM(D121:$D$122)</f>
        <v>0</v>
      </c>
      <c r="F121" s="59">
        <f>SUM($E121:E$122)</f>
        <v>0</v>
      </c>
      <c r="G121" s="59">
        <f t="shared" si="19"/>
        <v>0</v>
      </c>
      <c r="H121" s="59">
        <f>SUM($G121:G$122)</f>
        <v>0</v>
      </c>
      <c r="I121" s="59">
        <f>SUM($H121:H$122)</f>
        <v>0</v>
      </c>
      <c r="J121" s="60">
        <f t="shared" si="15"/>
        <v>0</v>
      </c>
      <c r="K121" s="60">
        <f t="shared" si="16"/>
        <v>0</v>
      </c>
      <c r="L121" s="60">
        <f t="shared" si="13"/>
        <v>0</v>
      </c>
      <c r="M121" s="60">
        <f t="shared" si="14"/>
        <v>0</v>
      </c>
      <c r="P121" s="61"/>
      <c r="Q121" s="61"/>
      <c r="R121" s="61"/>
      <c r="S121" s="61"/>
      <c r="T121" s="61"/>
      <c r="U121" s="61"/>
      <c r="V121" s="61"/>
      <c r="W121" s="61"/>
      <c r="X121" s="61"/>
      <c r="Y121" s="61"/>
      <c r="Z121" s="61"/>
    </row>
    <row r="122" spans="2:26" x14ac:dyDescent="0.2">
      <c r="B122" s="57">
        <v>111</v>
      </c>
      <c r="C122" s="58">
        <f t="shared" si="17"/>
        <v>0</v>
      </c>
      <c r="D122" s="59">
        <f t="shared" si="18"/>
        <v>0</v>
      </c>
      <c r="E122" s="59">
        <f>SUM(D122:$D$122)</f>
        <v>0</v>
      </c>
      <c r="F122" s="59">
        <f>SUM($E122:E$122)</f>
        <v>0</v>
      </c>
      <c r="G122" s="59">
        <f t="shared" si="19"/>
        <v>0</v>
      </c>
      <c r="H122" s="59">
        <f>SUM($G122:G$122)</f>
        <v>0</v>
      </c>
      <c r="I122" s="59">
        <f>SUM($H122:H$122)</f>
        <v>0</v>
      </c>
      <c r="J122" s="60">
        <f t="shared" si="15"/>
        <v>0</v>
      </c>
      <c r="K122" s="60">
        <f t="shared" si="16"/>
        <v>0</v>
      </c>
      <c r="L122" s="60">
        <f t="shared" si="13"/>
        <v>0</v>
      </c>
      <c r="M122" s="60">
        <f t="shared" si="14"/>
        <v>0</v>
      </c>
      <c r="P122" s="61"/>
      <c r="Q122" s="61"/>
      <c r="R122" s="61"/>
      <c r="S122" s="61"/>
      <c r="T122" s="61"/>
      <c r="U122" s="61"/>
      <c r="V122" s="61"/>
      <c r="W122" s="61"/>
      <c r="X122" s="61"/>
      <c r="Y122" s="61"/>
      <c r="Z122" s="61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17"/>
  <dimension ref="A1:R42"/>
  <sheetViews>
    <sheetView topLeftCell="A10" zoomScale="130" zoomScaleNormal="130" workbookViewId="0">
      <selection activeCell="F29" sqref="F29"/>
    </sheetView>
  </sheetViews>
  <sheetFormatPr defaultRowHeight="12.75" x14ac:dyDescent="0.2"/>
  <cols>
    <col min="1" max="1" width="12.5703125" customWidth="1"/>
    <col min="2" max="2" width="10.85546875" bestFit="1" customWidth="1"/>
    <col min="3" max="3" width="13.42578125" customWidth="1"/>
    <col min="4" max="4" width="9.85546875" customWidth="1"/>
    <col min="5" max="5" width="14" customWidth="1"/>
    <col min="6" max="7" width="12.7109375" customWidth="1"/>
    <col min="14" max="14" width="16.85546875" customWidth="1"/>
  </cols>
  <sheetData>
    <row r="1" spans="1:18" x14ac:dyDescent="0.2">
      <c r="A1" s="67" t="s">
        <v>81</v>
      </c>
      <c r="B1" s="68"/>
      <c r="C1" s="68"/>
      <c r="D1" s="68"/>
      <c r="E1" s="68"/>
      <c r="F1" s="68"/>
      <c r="G1" s="68"/>
    </row>
    <row r="2" spans="1:18" x14ac:dyDescent="0.2">
      <c r="A2" s="63" t="s">
        <v>26</v>
      </c>
      <c r="B2" s="64"/>
      <c r="C2" s="64"/>
      <c r="D2" s="64"/>
      <c r="E2" s="64"/>
      <c r="F2" s="64"/>
      <c r="G2" s="64"/>
    </row>
    <row r="5" spans="1:18" x14ac:dyDescent="0.2">
      <c r="A5" s="62" t="s">
        <v>84</v>
      </c>
      <c r="B5" s="101"/>
      <c r="C5" s="101"/>
      <c r="D5" s="101"/>
      <c r="E5" s="101"/>
      <c r="F5" s="101"/>
      <c r="G5" s="101"/>
      <c r="I5" s="113" t="s">
        <v>89</v>
      </c>
      <c r="J5" s="113"/>
      <c r="K5" s="113"/>
    </row>
    <row r="6" spans="1:18" x14ac:dyDescent="0.2">
      <c r="A6" t="s">
        <v>0</v>
      </c>
      <c r="I6" s="69" t="s">
        <v>119</v>
      </c>
      <c r="J6" s="70"/>
      <c r="K6" s="70"/>
    </row>
    <row r="7" spans="1:18" x14ac:dyDescent="0.2">
      <c r="A7" t="s">
        <v>6</v>
      </c>
      <c r="B7" s="68">
        <f>Opz_S</f>
        <v>1</v>
      </c>
    </row>
    <row r="8" spans="1:18" x14ac:dyDescent="0.2">
      <c r="A8" t="s">
        <v>1</v>
      </c>
      <c r="B8" s="70">
        <v>50</v>
      </c>
    </row>
    <row r="9" spans="1:18" x14ac:dyDescent="0.2">
      <c r="A9" t="s">
        <v>2</v>
      </c>
      <c r="B9" s="70">
        <v>15</v>
      </c>
    </row>
    <row r="10" spans="1:18" x14ac:dyDescent="0.2">
      <c r="A10" t="s">
        <v>4</v>
      </c>
      <c r="B10" s="70">
        <v>10</v>
      </c>
      <c r="I10" s="116" t="s">
        <v>99</v>
      </c>
      <c r="J10" s="115"/>
      <c r="K10" s="112"/>
    </row>
    <row r="11" spans="1:18" x14ac:dyDescent="0.2">
      <c r="A11" t="s">
        <v>3</v>
      </c>
      <c r="B11" s="70">
        <v>1000</v>
      </c>
      <c r="I11" s="93" t="s">
        <v>101</v>
      </c>
      <c r="J11" s="93"/>
      <c r="K11" s="70"/>
    </row>
    <row r="12" spans="1:18" x14ac:dyDescent="0.2">
      <c r="A12" s="4" t="s">
        <v>11</v>
      </c>
      <c r="C12" s="4"/>
    </row>
    <row r="13" spans="1:18" x14ac:dyDescent="0.2">
      <c r="A13" t="s">
        <v>13</v>
      </c>
      <c r="B13" s="71">
        <f>Opz_Bfin</f>
        <v>0.02</v>
      </c>
      <c r="C13" s="1"/>
    </row>
    <row r="14" spans="1:18" x14ac:dyDescent="0.2">
      <c r="A14" t="s">
        <v>10</v>
      </c>
      <c r="B14" s="1" t="s">
        <v>9</v>
      </c>
      <c r="C14" s="1"/>
    </row>
    <row r="15" spans="1:18" ht="13.5" thickBot="1" x14ac:dyDescent="0.25">
      <c r="A15" t="s">
        <v>19</v>
      </c>
      <c r="B15" s="145">
        <v>0.55000000000000004</v>
      </c>
      <c r="C15" s="114" t="s">
        <v>129</v>
      </c>
      <c r="F15" s="141" t="s">
        <v>142</v>
      </c>
      <c r="I15" s="65" t="s">
        <v>123</v>
      </c>
    </row>
    <row r="16" spans="1:18" x14ac:dyDescent="0.2">
      <c r="A16" t="s">
        <v>20</v>
      </c>
      <c r="B16" s="72">
        <v>0.04</v>
      </c>
      <c r="C16" s="114" t="s">
        <v>129</v>
      </c>
      <c r="F16" s="141" t="s">
        <v>130</v>
      </c>
      <c r="I16" s="130" t="s">
        <v>124</v>
      </c>
      <c r="J16" s="131"/>
      <c r="K16" s="131"/>
      <c r="L16" s="131"/>
      <c r="M16" s="131"/>
      <c r="N16" s="131"/>
      <c r="O16" s="131"/>
      <c r="P16" s="131"/>
      <c r="Q16" s="131"/>
      <c r="R16" s="132"/>
    </row>
    <row r="17" spans="1:18" x14ac:dyDescent="0.2">
      <c r="A17" t="s">
        <v>21</v>
      </c>
      <c r="B17" s="73">
        <v>1.5E-3</v>
      </c>
      <c r="C17" s="114" t="s">
        <v>90</v>
      </c>
      <c r="F17" s="142" t="s">
        <v>128</v>
      </c>
      <c r="I17" s="133" t="s">
        <v>125</v>
      </c>
      <c r="J17" s="134"/>
      <c r="K17" s="134"/>
      <c r="L17" s="134"/>
      <c r="M17" s="134"/>
      <c r="N17" s="134"/>
      <c r="O17" s="134"/>
      <c r="P17" s="134"/>
      <c r="Q17" s="134"/>
      <c r="R17" s="135"/>
    </row>
    <row r="18" spans="1:18" x14ac:dyDescent="0.2">
      <c r="A18" t="s">
        <v>8</v>
      </c>
      <c r="B18" s="74">
        <f>B11*('Tavole Attuariali'!D76+'Tavole Attuariali'!H61-'Tavole Attuariali'!H76)/'Tavole Attuariali'!D61</f>
        <v>747.70964756819819</v>
      </c>
      <c r="C18" s="114" t="s">
        <v>91</v>
      </c>
      <c r="D18" s="2"/>
      <c r="F18" s="2"/>
      <c r="G18" s="2"/>
      <c r="I18" s="133" t="s">
        <v>126</v>
      </c>
      <c r="J18" s="136"/>
      <c r="K18" s="136"/>
      <c r="L18" s="136"/>
      <c r="M18" s="136"/>
      <c r="N18" s="136"/>
      <c r="O18" s="136"/>
      <c r="P18" s="136"/>
      <c r="Q18" s="136"/>
      <c r="R18" s="137"/>
    </row>
    <row r="19" spans="1:18" ht="13.5" thickBot="1" x14ac:dyDescent="0.25">
      <c r="A19" t="s">
        <v>7</v>
      </c>
      <c r="B19" s="74">
        <f>B18/('Tavole Attuariali'!E61-'Tavole Attuariali'!E71)*'Tavole Attuariali'!D61</f>
        <v>82.451936865651518</v>
      </c>
      <c r="C19" s="114" t="s">
        <v>92</v>
      </c>
      <c r="D19" s="2"/>
      <c r="F19" s="2"/>
      <c r="G19" s="2"/>
      <c r="I19" s="138" t="s">
        <v>127</v>
      </c>
      <c r="J19" s="139"/>
      <c r="K19" s="139"/>
      <c r="L19" s="139"/>
      <c r="M19" s="139"/>
      <c r="N19" s="139"/>
      <c r="O19" s="139"/>
      <c r="P19" s="139"/>
      <c r="Q19" s="139"/>
      <c r="R19" s="140"/>
    </row>
    <row r="20" spans="1:18" x14ac:dyDescent="0.2">
      <c r="A20" t="s">
        <v>22</v>
      </c>
      <c r="B20" s="74">
        <f>B21*('Tavole Attuariali'!E61-'Tavole Attuariali'!E71)/'Tavole Attuariali'!D61</f>
        <v>852.84909232911707</v>
      </c>
      <c r="C20" s="114" t="s">
        <v>93</v>
      </c>
      <c r="D20" s="66"/>
      <c r="E20" s="144" t="s">
        <v>136</v>
      </c>
      <c r="F20" s="2"/>
      <c r="G20" s="2"/>
    </row>
    <row r="21" spans="1:18" x14ac:dyDescent="0.2">
      <c r="A21" t="s">
        <v>23</v>
      </c>
      <c r="B21" s="74">
        <f>(B19+0.15%*B11*('Tavole Attuariali'!E61-'Tavole Attuariali'!E76)/('Tavole Attuariali'!E61-'Tavole Attuariali'!E71))/(1-B15/('Tavole Attuariali'!E61-'Tavole Attuariali'!E71)*'Tavole Attuariali'!D61-0.04)</f>
        <v>94.045943830402152</v>
      </c>
      <c r="C21" s="114" t="s">
        <v>94</v>
      </c>
      <c r="D21" s="65"/>
      <c r="E21" s="65"/>
      <c r="F21" s="2"/>
      <c r="G21" s="2"/>
    </row>
    <row r="22" spans="1:18" ht="15.75" x14ac:dyDescent="0.3">
      <c r="A22" s="78" t="s">
        <v>82</v>
      </c>
      <c r="B22" s="77"/>
      <c r="C22" s="78" t="s">
        <v>78</v>
      </c>
      <c r="D22" s="78" t="s">
        <v>79</v>
      </c>
      <c r="E22" s="78" t="s">
        <v>80</v>
      </c>
      <c r="F22" s="2"/>
      <c r="G22" s="2"/>
    </row>
    <row r="23" spans="1:18" ht="15.75" x14ac:dyDescent="0.25">
      <c r="A23" s="79" t="s">
        <v>24</v>
      </c>
      <c r="B23" s="148">
        <f>(B21-B19)/B21</f>
        <v>0.12328024466061713</v>
      </c>
      <c r="C23" s="80">
        <f>M29/B21</f>
        <v>6.064996676664134E-2</v>
      </c>
      <c r="D23" s="80">
        <f>M31/B21</f>
        <v>0.04</v>
      </c>
      <c r="E23" s="80">
        <f>M33/B21</f>
        <v>2.2630277893975689E-2</v>
      </c>
      <c r="F23" s="147"/>
      <c r="J23" s="65"/>
    </row>
    <row r="24" spans="1:18" x14ac:dyDescent="0.2">
      <c r="F24" s="2"/>
      <c r="J24" s="3"/>
    </row>
    <row r="25" spans="1:18" x14ac:dyDescent="0.2">
      <c r="A25" s="3" t="s">
        <v>95</v>
      </c>
    </row>
    <row r="26" spans="1:18" x14ac:dyDescent="0.2">
      <c r="A26" s="75" t="s">
        <v>5</v>
      </c>
      <c r="B26" s="75" t="s">
        <v>72</v>
      </c>
      <c r="C26" s="75" t="s">
        <v>73</v>
      </c>
      <c r="D26" s="75" t="s">
        <v>74</v>
      </c>
      <c r="E26" s="75" t="s">
        <v>75</v>
      </c>
      <c r="F26" s="75" t="s">
        <v>76</v>
      </c>
      <c r="G26" s="75" t="s">
        <v>77</v>
      </c>
      <c r="H26" s="153" t="s">
        <v>17</v>
      </c>
      <c r="J26" s="143" t="s">
        <v>131</v>
      </c>
      <c r="K26" s="136"/>
      <c r="L26" s="136"/>
      <c r="M26" s="146" t="s">
        <v>135</v>
      </c>
      <c r="N26" s="136"/>
      <c r="O26" s="136"/>
      <c r="P26" s="136"/>
      <c r="Q26" s="64"/>
    </row>
    <row r="27" spans="1:18" x14ac:dyDescent="0.2">
      <c r="A27" s="76">
        <v>0</v>
      </c>
      <c r="B27" s="127">
        <v>0</v>
      </c>
      <c r="C27" s="149">
        <f>-$M$29*('Tavole Attuariali'!E61-'Tavole Attuariali'!$E$71)/'Tavole Attuariali'!D61</f>
        <v>-51.725269106721179</v>
      </c>
      <c r="D27" s="150">
        <f>$B$17*$B$11*('Tavole Attuariali'!E61-'Tavole Attuariali'!$E$76)/'Tavole Attuariali'!D61-Riserve!$M$33*('Tavole Attuariali'!E61-'Tavole Attuariali'!$E$71)/'Tavole Attuariali'!D61</f>
        <v>0</v>
      </c>
      <c r="E27" s="152">
        <f>B27+C27</f>
        <v>-51.725269106721179</v>
      </c>
      <c r="F27" s="127">
        <f>B27+D27</f>
        <v>0</v>
      </c>
      <c r="G27" s="127">
        <f>B27+C27+D27</f>
        <v>-51.725269106721179</v>
      </c>
      <c r="H27" s="153">
        <v>7.1342568107396588E-3</v>
      </c>
      <c r="J27" s="136"/>
      <c r="K27" s="136"/>
      <c r="L27" s="136"/>
      <c r="M27" s="136"/>
      <c r="N27" s="136"/>
      <c r="O27" s="136"/>
      <c r="P27" s="136"/>
      <c r="Q27" s="64"/>
    </row>
    <row r="28" spans="1:18" x14ac:dyDescent="0.2">
      <c r="A28" s="76">
        <f t="shared" ref="A28:A42" si="0">A27+1</f>
        <v>1</v>
      </c>
      <c r="B28" s="127">
        <f>((B27+$B$19)*(1+$B$13)-$B$11*H27)/(1-H27)</f>
        <v>77.519764701513608</v>
      </c>
      <c r="C28" s="149">
        <f>-$M$29*('Tavole Attuariali'!E62-'Tavole Attuariali'!$E$71)/'Tavole Attuariali'!D62</f>
        <v>-47.033762286261712</v>
      </c>
      <c r="D28" s="150">
        <f>$B$17*$B$11*('Tavole Attuariali'!E62-'Tavole Attuariali'!$E$76)/'Tavole Attuariali'!D62-Riserve!$M$33*('Tavole Attuariali'!E62-'Tavole Attuariali'!$E$71)/'Tavole Attuariali'!D62</f>
        <v>0.64210684978704435</v>
      </c>
      <c r="E28" s="127">
        <f t="shared" ref="E28:E42" si="1">B28+C28</f>
        <v>30.486002415251896</v>
      </c>
      <c r="F28" s="127">
        <f t="shared" ref="F28:F42" si="2">B28+D28</f>
        <v>78.161871551300649</v>
      </c>
      <c r="G28" s="127">
        <f t="shared" ref="G28:G42" si="3">B28+C28+D28</f>
        <v>31.12810926503894</v>
      </c>
      <c r="H28" s="153">
        <v>7.8655378373170427E-3</v>
      </c>
      <c r="J28" s="136"/>
      <c r="K28" s="136"/>
      <c r="L28" s="136"/>
      <c r="M28" s="136"/>
      <c r="N28" s="136"/>
      <c r="O28" s="136"/>
      <c r="P28" s="136"/>
      <c r="Q28" s="64"/>
    </row>
    <row r="29" spans="1:18" x14ac:dyDescent="0.2">
      <c r="A29" s="76">
        <f t="shared" si="0"/>
        <v>2</v>
      </c>
      <c r="B29" s="127">
        <f t="shared" ref="B29:B37" si="4">((B28+$B$19)*(1+$B$13)-$B$11*H28)/(1-H28)</f>
        <v>156.53684423243581</v>
      </c>
      <c r="C29" s="149">
        <f>-$M$29*('Tavole Attuariali'!E63-'Tavole Attuariali'!$E$71)/'Tavole Attuariali'!D63</f>
        <v>-42.243793364266736</v>
      </c>
      <c r="D29" s="150">
        <f>$B$17*$B$11*('Tavole Attuariali'!E63-'Tavole Attuariali'!$E$76)/'Tavole Attuariali'!D63-Riserve!$M$33*('Tavole Attuariali'!E63-'Tavole Attuariali'!$E$71)/'Tavole Attuariali'!D63</f>
        <v>1.2984844823856161</v>
      </c>
      <c r="E29" s="127">
        <f t="shared" si="1"/>
        <v>114.29305086816908</v>
      </c>
      <c r="F29" s="127">
        <f t="shared" si="2"/>
        <v>157.83532871482143</v>
      </c>
      <c r="G29" s="127">
        <f t="shared" si="3"/>
        <v>115.59153535055469</v>
      </c>
      <c r="H29" s="153">
        <v>8.6589977038805908E-3</v>
      </c>
      <c r="J29" s="146" t="s">
        <v>134</v>
      </c>
      <c r="K29" s="136"/>
      <c r="L29" s="136"/>
      <c r="M29" s="134">
        <f>B15*B21/('Tavole Attuariali'!E61-'Tavole Attuariali'!E71)*'Tavole Attuariali'!D61</f>
        <v>5.7038833678513088</v>
      </c>
      <c r="N29" s="146" t="s">
        <v>143</v>
      </c>
      <c r="O29" s="136"/>
      <c r="P29" s="136"/>
      <c r="Q29" s="64"/>
    </row>
    <row r="30" spans="1:18" x14ac:dyDescent="0.2">
      <c r="A30" s="76">
        <f t="shared" si="0"/>
        <v>3</v>
      </c>
      <c r="B30" s="127">
        <f t="shared" si="4"/>
        <v>237.16315422403952</v>
      </c>
      <c r="C30" s="149">
        <f>-$M$29*('Tavole Attuariali'!E64-'Tavole Attuariali'!$E$71)/'Tavole Attuariali'!D64</f>
        <v>-37.352848734857496</v>
      </c>
      <c r="D30" s="150">
        <f>$B$17*$B$11*('Tavole Attuariali'!E64-'Tavole Attuariali'!$E$76)/'Tavole Attuariali'!D64-Riserve!$M$33*('Tavole Attuariali'!E64-'Tavole Attuariali'!$E$71)/'Tavole Attuariali'!D64</f>
        <v>1.9696370501055451</v>
      </c>
      <c r="E30" s="127">
        <f t="shared" si="1"/>
        <v>199.81030548918201</v>
      </c>
      <c r="F30" s="127">
        <f t="shared" si="2"/>
        <v>239.13279127414506</v>
      </c>
      <c r="G30" s="127">
        <f t="shared" si="3"/>
        <v>201.77994253928756</v>
      </c>
      <c r="H30" s="153">
        <v>9.5066892522556543E-3</v>
      </c>
      <c r="J30" s="136"/>
      <c r="K30" s="136"/>
      <c r="L30" s="136"/>
      <c r="M30" s="136"/>
      <c r="N30" s="136"/>
      <c r="O30" s="136"/>
      <c r="P30" s="136"/>
      <c r="Q30" s="64"/>
    </row>
    <row r="31" spans="1:18" x14ac:dyDescent="0.2">
      <c r="A31" s="76">
        <f t="shared" si="0"/>
        <v>4</v>
      </c>
      <c r="B31" s="127">
        <f t="shared" si="4"/>
        <v>319.53845646902562</v>
      </c>
      <c r="C31" s="149">
        <f>-$M$29*('Tavole Attuariali'!E65-'Tavole Attuariali'!$E$71)/'Tavole Attuariali'!D65</f>
        <v>-32.358213270242302</v>
      </c>
      <c r="D31" s="150">
        <f>$B$17*$B$11*('Tavole Attuariali'!E65-'Tavole Attuariali'!$E$76)/'Tavole Attuariali'!D65-Riserve!$M$33*('Tavole Attuariali'!E65-'Tavole Attuariali'!$E$71)/'Tavole Attuariali'!D65</f>
        <v>2.6561419017033145</v>
      </c>
      <c r="E31" s="127">
        <f t="shared" si="1"/>
        <v>287.18024319878333</v>
      </c>
      <c r="F31" s="127">
        <f t="shared" si="2"/>
        <v>322.19459837072895</v>
      </c>
      <c r="G31" s="127">
        <f t="shared" si="3"/>
        <v>289.83638510048667</v>
      </c>
      <c r="H31" s="153">
        <v>1.0435571687840329E-2</v>
      </c>
      <c r="J31" s="146" t="s">
        <v>132</v>
      </c>
      <c r="K31" s="136"/>
      <c r="L31" s="136"/>
      <c r="M31" s="134">
        <f>B16*B21</f>
        <v>3.7618377532160863</v>
      </c>
      <c r="N31" s="136"/>
      <c r="O31" s="136"/>
      <c r="P31" s="136"/>
      <c r="Q31" s="64"/>
    </row>
    <row r="32" spans="1:18" x14ac:dyDescent="0.2">
      <c r="A32" s="76">
        <f t="shared" si="0"/>
        <v>5</v>
      </c>
      <c r="B32" s="127">
        <f t="shared" si="4"/>
        <v>403.80860313976206</v>
      </c>
      <c r="C32" s="149">
        <f>-$M$29*('Tavole Attuariali'!E66-'Tavole Attuariali'!$E$71)/'Tavole Attuariali'!D66</f>
        <v>-27.25675748181845</v>
      </c>
      <c r="D32" s="150">
        <f>$B$17*$B$11*('Tavole Attuariali'!E66-'Tavole Attuariali'!$E$76)/'Tavole Attuariali'!D66-Riserve!$M$33*('Tavole Attuariali'!E66-'Tavole Attuariali'!$E$71)/'Tavole Attuariali'!D66</f>
        <v>3.3586607072994266</v>
      </c>
      <c r="E32" s="127">
        <f t="shared" si="1"/>
        <v>376.5518456579436</v>
      </c>
      <c r="F32" s="127">
        <f t="shared" si="2"/>
        <v>407.16726384706146</v>
      </c>
      <c r="G32" s="127">
        <f t="shared" si="3"/>
        <v>379.91050636524301</v>
      </c>
      <c r="H32" s="153">
        <v>1.1380336002069048E-2</v>
      </c>
      <c r="J32" s="136"/>
      <c r="K32" s="136"/>
      <c r="L32" s="136"/>
      <c r="M32" s="136"/>
      <c r="N32" s="136"/>
      <c r="O32" s="136"/>
      <c r="P32" s="136"/>
      <c r="Q32" s="64"/>
    </row>
    <row r="33" spans="1:17" x14ac:dyDescent="0.2">
      <c r="A33" s="76">
        <f t="shared" si="0"/>
        <v>6</v>
      </c>
      <c r="B33" s="127">
        <f t="shared" si="4"/>
        <v>490.18387196925818</v>
      </c>
      <c r="C33" s="149">
        <f>-$M$29*('Tavole Attuariali'!E67-'Tavole Attuariali'!$E$71)/'Tavole Attuariali'!D67</f>
        <v>-22.045571584053793</v>
      </c>
      <c r="D33" s="150">
        <f>$B$17*$B$11*('Tavole Attuariali'!E67-'Tavole Attuariali'!$E$76)/'Tavole Attuariali'!D67-Riserve!$M$33*('Tavole Attuariali'!E67-'Tavole Attuariali'!$E$71)/'Tavole Attuariali'!D67</f>
        <v>4.0780879212079313</v>
      </c>
      <c r="E33" s="127">
        <f t="shared" si="1"/>
        <v>468.13830038520439</v>
      </c>
      <c r="F33" s="127">
        <f t="shared" si="2"/>
        <v>494.26195989046613</v>
      </c>
      <c r="G33" s="127">
        <f t="shared" si="3"/>
        <v>472.21638830641234</v>
      </c>
      <c r="H33" s="153">
        <v>1.242701359241782E-2</v>
      </c>
      <c r="J33" s="146" t="s">
        <v>133</v>
      </c>
      <c r="K33" s="136"/>
      <c r="L33" s="136"/>
      <c r="M33" s="134">
        <f>B11*0.15%*('Tavole Attuariali'!E61-'Tavole Attuariali'!E76)/('Tavole Attuariali'!E61-'Tavole Attuariali'!E71)</f>
        <v>2.128285843683229</v>
      </c>
      <c r="N33" s="136"/>
      <c r="O33" s="136"/>
      <c r="P33" s="136"/>
      <c r="Q33" s="64"/>
    </row>
    <row r="34" spans="1:17" x14ac:dyDescent="0.2">
      <c r="A34" s="76">
        <f t="shared" si="0"/>
        <v>7</v>
      </c>
      <c r="B34" s="127">
        <f t="shared" si="4"/>
        <v>578.8549497477436</v>
      </c>
      <c r="C34" s="149">
        <f>-$M$29*('Tavole Attuariali'!E68-'Tavole Attuariali'!$E$71)/'Tavole Attuariali'!D68</f>
        <v>-16.720253784807753</v>
      </c>
      <c r="D34" s="150">
        <f>$B$17*$B$11*('Tavole Attuariali'!E68-'Tavole Attuariali'!$E$76)/'Tavole Attuariali'!D68-Riserve!$M$33*('Tavole Attuariali'!E68-'Tavole Attuariali'!$E$71)/'Tavole Attuariali'!D68</f>
        <v>4.815399897124454</v>
      </c>
      <c r="E34" s="127">
        <f t="shared" si="1"/>
        <v>562.13469596293589</v>
      </c>
      <c r="F34" s="127">
        <f t="shared" si="2"/>
        <v>583.67034964486811</v>
      </c>
      <c r="G34" s="127">
        <f t="shared" si="3"/>
        <v>566.9500958600604</v>
      </c>
      <c r="H34" s="153">
        <v>1.3594875129446357E-2</v>
      </c>
    </row>
    <row r="35" spans="1:17" x14ac:dyDescent="0.2">
      <c r="A35" s="76">
        <f t="shared" si="0"/>
        <v>8</v>
      </c>
      <c r="B35" s="127">
        <f t="shared" si="4"/>
        <v>670.04735939804846</v>
      </c>
      <c r="C35" s="149">
        <f>-$M$29*('Tavole Attuariali'!E69-'Tavole Attuariali'!$E$71)/'Tavole Attuariali'!D69</f>
        <v>-11.275134905140545</v>
      </c>
      <c r="D35" s="150">
        <f>$B$17*$B$11*('Tavole Attuariali'!E69-'Tavole Attuariali'!$E$76)/'Tavole Attuariali'!D69-Riserve!$M$33*('Tavole Attuariali'!E69-'Tavole Attuariali'!$E$71)/'Tavole Attuariali'!D69</f>
        <v>5.5715529512626842</v>
      </c>
      <c r="E35" s="127">
        <f t="shared" si="1"/>
        <v>658.77222449290787</v>
      </c>
      <c r="F35" s="127">
        <f t="shared" si="2"/>
        <v>675.61891234931113</v>
      </c>
      <c r="G35" s="127">
        <f t="shared" si="3"/>
        <v>664.34377744417054</v>
      </c>
      <c r="H35" s="153">
        <v>1.4868708570870477E-2</v>
      </c>
    </row>
    <row r="36" spans="1:17" x14ac:dyDescent="0.2">
      <c r="A36" s="76">
        <f t="shared" si="0"/>
        <v>9</v>
      </c>
      <c r="B36" s="127">
        <f t="shared" si="4"/>
        <v>764.04087472055642</v>
      </c>
      <c r="C36" s="149">
        <f>-$M$29*('Tavole Attuariali'!E70-'Tavole Attuariali'!$E$71)/'Tavole Attuariali'!D70</f>
        <v>-5.7038833678513017</v>
      </c>
      <c r="D36" s="150">
        <f>$B$17*$B$11*('Tavole Attuariali'!E70-'Tavole Attuariali'!$E$76)/'Tavole Attuariali'!D70-Riserve!$M$33*('Tavole Attuariali'!E70-'Tavole Attuariali'!$E$71)/'Tavole Attuariali'!D70</f>
        <v>6.3474350689715209</v>
      </c>
      <c r="E36" s="127">
        <f t="shared" si="1"/>
        <v>758.33699135270513</v>
      </c>
      <c r="F36" s="127">
        <f t="shared" si="2"/>
        <v>770.38830978952797</v>
      </c>
      <c r="G36" s="127">
        <f t="shared" si="3"/>
        <v>764.68442642167668</v>
      </c>
      <c r="H36" s="153">
        <v>1.6344688286100244E-2</v>
      </c>
      <c r="J36" s="144" t="s">
        <v>137</v>
      </c>
      <c r="K36" s="64"/>
      <c r="L36" s="64"/>
      <c r="M36" s="64"/>
    </row>
    <row r="37" spans="1:17" x14ac:dyDescent="0.2">
      <c r="A37" s="76">
        <f t="shared" si="0"/>
        <v>10</v>
      </c>
      <c r="B37" s="127">
        <f t="shared" si="4"/>
        <v>861.15326115191874</v>
      </c>
      <c r="C37" s="149">
        <f>-$M$29*('Tavole Attuariali'!E71-'Tavole Attuariali'!$E$71)/'Tavole Attuariali'!D71</f>
        <v>0</v>
      </c>
      <c r="D37" s="150">
        <f>$B$17*$B$11*('Tavole Attuariali'!E71-'Tavole Attuariali'!$E$76)/'Tavole Attuariali'!D71-Riserve!$M$33*('Tavole Attuariali'!E71-'Tavole Attuariali'!$E$71)/'Tavole Attuariali'!D71</f>
        <v>7.1437171635141166</v>
      </c>
      <c r="E37" s="127">
        <f t="shared" si="1"/>
        <v>861.15326115191874</v>
      </c>
      <c r="F37" s="127">
        <f t="shared" si="2"/>
        <v>868.29697831543285</v>
      </c>
      <c r="G37" s="127">
        <f t="shared" si="3"/>
        <v>868.29697831543285</v>
      </c>
      <c r="H37" s="153">
        <v>1.7964222726127414E-2</v>
      </c>
      <c r="J37" s="144" t="s">
        <v>138</v>
      </c>
      <c r="K37" s="64"/>
      <c r="L37" s="64"/>
      <c r="M37" s="64"/>
    </row>
    <row r="38" spans="1:17" x14ac:dyDescent="0.2">
      <c r="A38" s="76">
        <f t="shared" si="0"/>
        <v>11</v>
      </c>
      <c r="B38" s="151">
        <f t="shared" ref="B38:B42" si="5">((B37)*(1+$B$13)-$B$11*H37)/(1-H37)</f>
        <v>876.15148405013326</v>
      </c>
      <c r="C38" s="151"/>
      <c r="D38" s="151">
        <f>$B$17*$B$11*('Tavole Attuariali'!E72-'Tavole Attuariali'!$E$76)/'Tavole Attuariali'!D72</f>
        <v>5.7817594420310039</v>
      </c>
      <c r="E38" s="127">
        <f t="shared" si="1"/>
        <v>876.15148405013326</v>
      </c>
      <c r="F38" s="127">
        <f t="shared" si="2"/>
        <v>881.93324349216425</v>
      </c>
      <c r="G38" s="127">
        <f t="shared" si="3"/>
        <v>881.93324349216425</v>
      </c>
      <c r="H38" s="153">
        <v>1.9793724504194851E-2</v>
      </c>
    </row>
    <row r="39" spans="1:17" x14ac:dyDescent="0.2">
      <c r="A39" s="76">
        <f t="shared" si="0"/>
        <v>12</v>
      </c>
      <c r="B39" s="151">
        <f t="shared" si="5"/>
        <v>891.52743771704286</v>
      </c>
      <c r="C39" s="151"/>
      <c r="D39" s="151">
        <f>$B$17*$B$11*('Tavole Attuariali'!E73-'Tavole Attuariali'!$E$76)/'Tavole Attuariali'!D73</f>
        <v>4.3884460348146428</v>
      </c>
      <c r="E39" s="127">
        <f t="shared" si="1"/>
        <v>891.52743771704286</v>
      </c>
      <c r="F39" s="127">
        <f t="shared" si="2"/>
        <v>895.91588375185745</v>
      </c>
      <c r="G39" s="127">
        <f t="shared" si="3"/>
        <v>895.91588375185745</v>
      </c>
      <c r="H39" s="153">
        <v>2.1816230647419825E-2</v>
      </c>
      <c r="J39" s="144" t="s">
        <v>139</v>
      </c>
      <c r="K39" s="64"/>
      <c r="L39" s="64"/>
      <c r="M39" s="64"/>
    </row>
    <row r="40" spans="1:17" x14ac:dyDescent="0.2">
      <c r="A40" s="76">
        <f t="shared" si="0"/>
        <v>13</v>
      </c>
      <c r="B40" s="151">
        <f t="shared" si="5"/>
        <v>907.33641635803406</v>
      </c>
      <c r="C40" s="151"/>
      <c r="D40" s="151">
        <f>$B$17*$B$11*('Tavole Attuariali'!E74-'Tavole Attuariali'!$E$76)/'Tavole Attuariali'!D74</f>
        <v>2.9619250504951578</v>
      </c>
      <c r="E40" s="127">
        <f t="shared" si="1"/>
        <v>907.33641635803406</v>
      </c>
      <c r="F40" s="127">
        <f t="shared" si="2"/>
        <v>910.29834140852927</v>
      </c>
      <c r="G40" s="127">
        <f t="shared" si="3"/>
        <v>910.29834140852927</v>
      </c>
      <c r="H40" s="153">
        <v>2.3948410574761891E-2</v>
      </c>
      <c r="J40" s="144" t="s">
        <v>141</v>
      </c>
      <c r="K40" s="64"/>
      <c r="L40" s="64"/>
      <c r="M40" s="64"/>
    </row>
    <row r="41" spans="1:17" x14ac:dyDescent="0.2">
      <c r="A41" s="76">
        <f t="shared" si="0"/>
        <v>14</v>
      </c>
      <c r="B41" s="151">
        <f t="shared" si="5"/>
        <v>923.65479845313757</v>
      </c>
      <c r="C41" s="151"/>
      <c r="D41" s="151">
        <f>$B$17*$B$11*('Tavole Attuariali'!E75-'Tavole Attuariali'!$E$76)/'Tavole Attuariali'!D75</f>
        <v>1.5</v>
      </c>
      <c r="E41" s="127">
        <f t="shared" si="1"/>
        <v>923.65479845313757</v>
      </c>
      <c r="F41" s="127">
        <f t="shared" si="2"/>
        <v>925.15479845313757</v>
      </c>
      <c r="G41" s="127">
        <f t="shared" si="3"/>
        <v>925.15479845313757</v>
      </c>
      <c r="H41" s="153">
        <v>2.6263124708720505E-2</v>
      </c>
      <c r="J41" s="144" t="s">
        <v>140</v>
      </c>
      <c r="K41" s="64"/>
      <c r="L41" s="64"/>
      <c r="M41" s="64"/>
    </row>
    <row r="42" spans="1:17" x14ac:dyDescent="0.2">
      <c r="A42" s="76">
        <f t="shared" si="0"/>
        <v>15</v>
      </c>
      <c r="B42" s="151">
        <f t="shared" si="5"/>
        <v>940.56699808098767</v>
      </c>
      <c r="C42" s="151"/>
      <c r="D42" s="151">
        <f>$B$17*$B$11*('Tavole Attuariali'!E76-'Tavole Attuariali'!$E$76)/'Tavole Attuariali'!D76</f>
        <v>0</v>
      </c>
      <c r="E42" s="127">
        <f t="shared" si="1"/>
        <v>940.56699808098767</v>
      </c>
      <c r="F42" s="127">
        <f t="shared" si="2"/>
        <v>940.56699808098767</v>
      </c>
      <c r="G42" s="127">
        <f t="shared" si="3"/>
        <v>940.56699808098767</v>
      </c>
      <c r="H42" s="153"/>
    </row>
  </sheetData>
  <phoneticPr fontId="2" type="noConversion"/>
  <pageMargins left="0.75" right="0.75" top="1" bottom="1" header="0.5" footer="0.5"/>
  <pageSetup paperSize="9" scale="80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Foglio3"/>
  <dimension ref="A1:R53"/>
  <sheetViews>
    <sheetView topLeftCell="A5" zoomScale="90" zoomScaleNormal="90" workbookViewId="0">
      <selection activeCell="K53" sqref="K53"/>
    </sheetView>
  </sheetViews>
  <sheetFormatPr defaultRowHeight="12.75" x14ac:dyDescent="0.2"/>
  <cols>
    <col min="1" max="1" width="12.5703125" style="27" customWidth="1"/>
    <col min="2" max="2" width="11.28515625" style="27" customWidth="1"/>
    <col min="3" max="3" width="13.42578125" style="27" customWidth="1"/>
    <col min="4" max="4" width="9.85546875" style="27" customWidth="1"/>
    <col min="5" max="5" width="12.5703125" style="27" bestFit="1" customWidth="1"/>
    <col min="6" max="8" width="12.7109375" style="27" customWidth="1"/>
    <col min="9" max="9" width="9.140625" style="27"/>
    <col min="10" max="11" width="12" style="27" customWidth="1"/>
    <col min="12" max="13" width="9.140625" style="27"/>
    <col min="14" max="14" width="17.42578125" style="27" customWidth="1"/>
    <col min="15" max="15" width="14.140625" style="27" customWidth="1"/>
    <col min="16" max="16" width="16.85546875" style="27" customWidth="1"/>
    <col min="17" max="17" width="22" style="27" customWidth="1"/>
    <col min="18" max="18" width="9.140625" style="27"/>
    <col min="19" max="19" width="11" style="27" bestFit="1" customWidth="1"/>
    <col min="20" max="256" width="9.140625" style="27"/>
    <col min="257" max="257" width="12.5703125" style="27" customWidth="1"/>
    <col min="258" max="258" width="10.85546875" style="27" bestFit="1" customWidth="1"/>
    <col min="259" max="259" width="13.42578125" style="27" customWidth="1"/>
    <col min="260" max="260" width="9.85546875" style="27" customWidth="1"/>
    <col min="261" max="261" width="12.5703125" style="27" bestFit="1" customWidth="1"/>
    <col min="262" max="265" width="12.7109375" style="27" customWidth="1"/>
    <col min="266" max="266" width="9.140625" style="27"/>
    <col min="267" max="267" width="11" style="27" bestFit="1" customWidth="1"/>
    <col min="268" max="269" width="9.140625" style="27"/>
    <col min="270" max="270" width="18.85546875" style="27" bestFit="1" customWidth="1"/>
    <col min="271" max="271" width="14.140625" style="27" customWidth="1"/>
    <col min="272" max="272" width="16.85546875" style="27" customWidth="1"/>
    <col min="273" max="273" width="23.42578125" style="27" bestFit="1" customWidth="1"/>
    <col min="274" max="274" width="9.140625" style="27"/>
    <col min="275" max="275" width="11" style="27" bestFit="1" customWidth="1"/>
    <col min="276" max="512" width="9.140625" style="27"/>
    <col min="513" max="513" width="12.5703125" style="27" customWidth="1"/>
    <col min="514" max="514" width="10.85546875" style="27" bestFit="1" customWidth="1"/>
    <col min="515" max="515" width="13.42578125" style="27" customWidth="1"/>
    <col min="516" max="516" width="9.85546875" style="27" customWidth="1"/>
    <col min="517" max="517" width="12.5703125" style="27" bestFit="1" customWidth="1"/>
    <col min="518" max="521" width="12.7109375" style="27" customWidth="1"/>
    <col min="522" max="522" width="9.140625" style="27"/>
    <col min="523" max="523" width="11" style="27" bestFit="1" customWidth="1"/>
    <col min="524" max="525" width="9.140625" style="27"/>
    <col min="526" max="526" width="18.85546875" style="27" bestFit="1" customWidth="1"/>
    <col min="527" max="527" width="14.140625" style="27" customWidth="1"/>
    <col min="528" max="528" width="16.85546875" style="27" customWidth="1"/>
    <col min="529" max="529" width="23.42578125" style="27" bestFit="1" customWidth="1"/>
    <col min="530" max="530" width="9.140625" style="27"/>
    <col min="531" max="531" width="11" style="27" bestFit="1" customWidth="1"/>
    <col min="532" max="768" width="9.140625" style="27"/>
    <col min="769" max="769" width="12.5703125" style="27" customWidth="1"/>
    <col min="770" max="770" width="10.85546875" style="27" bestFit="1" customWidth="1"/>
    <col min="771" max="771" width="13.42578125" style="27" customWidth="1"/>
    <col min="772" max="772" width="9.85546875" style="27" customWidth="1"/>
    <col min="773" max="773" width="12.5703125" style="27" bestFit="1" customWidth="1"/>
    <col min="774" max="777" width="12.7109375" style="27" customWidth="1"/>
    <col min="778" max="778" width="9.140625" style="27"/>
    <col min="779" max="779" width="11" style="27" bestFit="1" customWidth="1"/>
    <col min="780" max="781" width="9.140625" style="27"/>
    <col min="782" max="782" width="18.85546875" style="27" bestFit="1" customWidth="1"/>
    <col min="783" max="783" width="14.140625" style="27" customWidth="1"/>
    <col min="784" max="784" width="16.85546875" style="27" customWidth="1"/>
    <col min="785" max="785" width="23.42578125" style="27" bestFit="1" customWidth="1"/>
    <col min="786" max="786" width="9.140625" style="27"/>
    <col min="787" max="787" width="11" style="27" bestFit="1" customWidth="1"/>
    <col min="788" max="1024" width="9.140625" style="27"/>
    <col min="1025" max="1025" width="12.5703125" style="27" customWidth="1"/>
    <col min="1026" max="1026" width="10.85546875" style="27" bestFit="1" customWidth="1"/>
    <col min="1027" max="1027" width="13.42578125" style="27" customWidth="1"/>
    <col min="1028" max="1028" width="9.85546875" style="27" customWidth="1"/>
    <col min="1029" max="1029" width="12.5703125" style="27" bestFit="1" customWidth="1"/>
    <col min="1030" max="1033" width="12.7109375" style="27" customWidth="1"/>
    <col min="1034" max="1034" width="9.140625" style="27"/>
    <col min="1035" max="1035" width="11" style="27" bestFit="1" customWidth="1"/>
    <col min="1036" max="1037" width="9.140625" style="27"/>
    <col min="1038" max="1038" width="18.85546875" style="27" bestFit="1" customWidth="1"/>
    <col min="1039" max="1039" width="14.140625" style="27" customWidth="1"/>
    <col min="1040" max="1040" width="16.85546875" style="27" customWidth="1"/>
    <col min="1041" max="1041" width="23.42578125" style="27" bestFit="1" customWidth="1"/>
    <col min="1042" max="1042" width="9.140625" style="27"/>
    <col min="1043" max="1043" width="11" style="27" bestFit="1" customWidth="1"/>
    <col min="1044" max="1280" width="9.140625" style="27"/>
    <col min="1281" max="1281" width="12.5703125" style="27" customWidth="1"/>
    <col min="1282" max="1282" width="10.85546875" style="27" bestFit="1" customWidth="1"/>
    <col min="1283" max="1283" width="13.42578125" style="27" customWidth="1"/>
    <col min="1284" max="1284" width="9.85546875" style="27" customWidth="1"/>
    <col min="1285" max="1285" width="12.5703125" style="27" bestFit="1" customWidth="1"/>
    <col min="1286" max="1289" width="12.7109375" style="27" customWidth="1"/>
    <col min="1290" max="1290" width="9.140625" style="27"/>
    <col min="1291" max="1291" width="11" style="27" bestFit="1" customWidth="1"/>
    <col min="1292" max="1293" width="9.140625" style="27"/>
    <col min="1294" max="1294" width="18.85546875" style="27" bestFit="1" customWidth="1"/>
    <col min="1295" max="1295" width="14.140625" style="27" customWidth="1"/>
    <col min="1296" max="1296" width="16.85546875" style="27" customWidth="1"/>
    <col min="1297" max="1297" width="23.42578125" style="27" bestFit="1" customWidth="1"/>
    <col min="1298" max="1298" width="9.140625" style="27"/>
    <col min="1299" max="1299" width="11" style="27" bestFit="1" customWidth="1"/>
    <col min="1300" max="1536" width="9.140625" style="27"/>
    <col min="1537" max="1537" width="12.5703125" style="27" customWidth="1"/>
    <col min="1538" max="1538" width="10.85546875" style="27" bestFit="1" customWidth="1"/>
    <col min="1539" max="1539" width="13.42578125" style="27" customWidth="1"/>
    <col min="1540" max="1540" width="9.85546875" style="27" customWidth="1"/>
    <col min="1541" max="1541" width="12.5703125" style="27" bestFit="1" customWidth="1"/>
    <col min="1542" max="1545" width="12.7109375" style="27" customWidth="1"/>
    <col min="1546" max="1546" width="9.140625" style="27"/>
    <col min="1547" max="1547" width="11" style="27" bestFit="1" customWidth="1"/>
    <col min="1548" max="1549" width="9.140625" style="27"/>
    <col min="1550" max="1550" width="18.85546875" style="27" bestFit="1" customWidth="1"/>
    <col min="1551" max="1551" width="14.140625" style="27" customWidth="1"/>
    <col min="1552" max="1552" width="16.85546875" style="27" customWidth="1"/>
    <col min="1553" max="1553" width="23.42578125" style="27" bestFit="1" customWidth="1"/>
    <col min="1554" max="1554" width="9.140625" style="27"/>
    <col min="1555" max="1555" width="11" style="27" bestFit="1" customWidth="1"/>
    <col min="1556" max="1792" width="9.140625" style="27"/>
    <col min="1793" max="1793" width="12.5703125" style="27" customWidth="1"/>
    <col min="1794" max="1794" width="10.85546875" style="27" bestFit="1" customWidth="1"/>
    <col min="1795" max="1795" width="13.42578125" style="27" customWidth="1"/>
    <col min="1796" max="1796" width="9.85546875" style="27" customWidth="1"/>
    <col min="1797" max="1797" width="12.5703125" style="27" bestFit="1" customWidth="1"/>
    <col min="1798" max="1801" width="12.7109375" style="27" customWidth="1"/>
    <col min="1802" max="1802" width="9.140625" style="27"/>
    <col min="1803" max="1803" width="11" style="27" bestFit="1" customWidth="1"/>
    <col min="1804" max="1805" width="9.140625" style="27"/>
    <col min="1806" max="1806" width="18.85546875" style="27" bestFit="1" customWidth="1"/>
    <col min="1807" max="1807" width="14.140625" style="27" customWidth="1"/>
    <col min="1808" max="1808" width="16.85546875" style="27" customWidth="1"/>
    <col min="1809" max="1809" width="23.42578125" style="27" bestFit="1" customWidth="1"/>
    <col min="1810" max="1810" width="9.140625" style="27"/>
    <col min="1811" max="1811" width="11" style="27" bestFit="1" customWidth="1"/>
    <col min="1812" max="2048" width="9.140625" style="27"/>
    <col min="2049" max="2049" width="12.5703125" style="27" customWidth="1"/>
    <col min="2050" max="2050" width="10.85546875" style="27" bestFit="1" customWidth="1"/>
    <col min="2051" max="2051" width="13.42578125" style="27" customWidth="1"/>
    <col min="2052" max="2052" width="9.85546875" style="27" customWidth="1"/>
    <col min="2053" max="2053" width="12.5703125" style="27" bestFit="1" customWidth="1"/>
    <col min="2054" max="2057" width="12.7109375" style="27" customWidth="1"/>
    <col min="2058" max="2058" width="9.140625" style="27"/>
    <col min="2059" max="2059" width="11" style="27" bestFit="1" customWidth="1"/>
    <col min="2060" max="2061" width="9.140625" style="27"/>
    <col min="2062" max="2062" width="18.85546875" style="27" bestFit="1" customWidth="1"/>
    <col min="2063" max="2063" width="14.140625" style="27" customWidth="1"/>
    <col min="2064" max="2064" width="16.85546875" style="27" customWidth="1"/>
    <col min="2065" max="2065" width="23.42578125" style="27" bestFit="1" customWidth="1"/>
    <col min="2066" max="2066" width="9.140625" style="27"/>
    <col min="2067" max="2067" width="11" style="27" bestFit="1" customWidth="1"/>
    <col min="2068" max="2304" width="9.140625" style="27"/>
    <col min="2305" max="2305" width="12.5703125" style="27" customWidth="1"/>
    <col min="2306" max="2306" width="10.85546875" style="27" bestFit="1" customWidth="1"/>
    <col min="2307" max="2307" width="13.42578125" style="27" customWidth="1"/>
    <col min="2308" max="2308" width="9.85546875" style="27" customWidth="1"/>
    <col min="2309" max="2309" width="12.5703125" style="27" bestFit="1" customWidth="1"/>
    <col min="2310" max="2313" width="12.7109375" style="27" customWidth="1"/>
    <col min="2314" max="2314" width="9.140625" style="27"/>
    <col min="2315" max="2315" width="11" style="27" bestFit="1" customWidth="1"/>
    <col min="2316" max="2317" width="9.140625" style="27"/>
    <col min="2318" max="2318" width="18.85546875" style="27" bestFit="1" customWidth="1"/>
    <col min="2319" max="2319" width="14.140625" style="27" customWidth="1"/>
    <col min="2320" max="2320" width="16.85546875" style="27" customWidth="1"/>
    <col min="2321" max="2321" width="23.42578125" style="27" bestFit="1" customWidth="1"/>
    <col min="2322" max="2322" width="9.140625" style="27"/>
    <col min="2323" max="2323" width="11" style="27" bestFit="1" customWidth="1"/>
    <col min="2324" max="2560" width="9.140625" style="27"/>
    <col min="2561" max="2561" width="12.5703125" style="27" customWidth="1"/>
    <col min="2562" max="2562" width="10.85546875" style="27" bestFit="1" customWidth="1"/>
    <col min="2563" max="2563" width="13.42578125" style="27" customWidth="1"/>
    <col min="2564" max="2564" width="9.85546875" style="27" customWidth="1"/>
    <col min="2565" max="2565" width="12.5703125" style="27" bestFit="1" customWidth="1"/>
    <col min="2566" max="2569" width="12.7109375" style="27" customWidth="1"/>
    <col min="2570" max="2570" width="9.140625" style="27"/>
    <col min="2571" max="2571" width="11" style="27" bestFit="1" customWidth="1"/>
    <col min="2572" max="2573" width="9.140625" style="27"/>
    <col min="2574" max="2574" width="18.85546875" style="27" bestFit="1" customWidth="1"/>
    <col min="2575" max="2575" width="14.140625" style="27" customWidth="1"/>
    <col min="2576" max="2576" width="16.85546875" style="27" customWidth="1"/>
    <col min="2577" max="2577" width="23.42578125" style="27" bestFit="1" customWidth="1"/>
    <col min="2578" max="2578" width="9.140625" style="27"/>
    <col min="2579" max="2579" width="11" style="27" bestFit="1" customWidth="1"/>
    <col min="2580" max="2816" width="9.140625" style="27"/>
    <col min="2817" max="2817" width="12.5703125" style="27" customWidth="1"/>
    <col min="2818" max="2818" width="10.85546875" style="27" bestFit="1" customWidth="1"/>
    <col min="2819" max="2819" width="13.42578125" style="27" customWidth="1"/>
    <col min="2820" max="2820" width="9.85546875" style="27" customWidth="1"/>
    <col min="2821" max="2821" width="12.5703125" style="27" bestFit="1" customWidth="1"/>
    <col min="2822" max="2825" width="12.7109375" style="27" customWidth="1"/>
    <col min="2826" max="2826" width="9.140625" style="27"/>
    <col min="2827" max="2827" width="11" style="27" bestFit="1" customWidth="1"/>
    <col min="2828" max="2829" width="9.140625" style="27"/>
    <col min="2830" max="2830" width="18.85546875" style="27" bestFit="1" customWidth="1"/>
    <col min="2831" max="2831" width="14.140625" style="27" customWidth="1"/>
    <col min="2832" max="2832" width="16.85546875" style="27" customWidth="1"/>
    <col min="2833" max="2833" width="23.42578125" style="27" bestFit="1" customWidth="1"/>
    <col min="2834" max="2834" width="9.140625" style="27"/>
    <col min="2835" max="2835" width="11" style="27" bestFit="1" customWidth="1"/>
    <col min="2836" max="3072" width="9.140625" style="27"/>
    <col min="3073" max="3073" width="12.5703125" style="27" customWidth="1"/>
    <col min="3074" max="3074" width="10.85546875" style="27" bestFit="1" customWidth="1"/>
    <col min="3075" max="3075" width="13.42578125" style="27" customWidth="1"/>
    <col min="3076" max="3076" width="9.85546875" style="27" customWidth="1"/>
    <col min="3077" max="3077" width="12.5703125" style="27" bestFit="1" customWidth="1"/>
    <col min="3078" max="3081" width="12.7109375" style="27" customWidth="1"/>
    <col min="3082" max="3082" width="9.140625" style="27"/>
    <col min="3083" max="3083" width="11" style="27" bestFit="1" customWidth="1"/>
    <col min="3084" max="3085" width="9.140625" style="27"/>
    <col min="3086" max="3086" width="18.85546875" style="27" bestFit="1" customWidth="1"/>
    <col min="3087" max="3087" width="14.140625" style="27" customWidth="1"/>
    <col min="3088" max="3088" width="16.85546875" style="27" customWidth="1"/>
    <col min="3089" max="3089" width="23.42578125" style="27" bestFit="1" customWidth="1"/>
    <col min="3090" max="3090" width="9.140625" style="27"/>
    <col min="3091" max="3091" width="11" style="27" bestFit="1" customWidth="1"/>
    <col min="3092" max="3328" width="9.140625" style="27"/>
    <col min="3329" max="3329" width="12.5703125" style="27" customWidth="1"/>
    <col min="3330" max="3330" width="10.85546875" style="27" bestFit="1" customWidth="1"/>
    <col min="3331" max="3331" width="13.42578125" style="27" customWidth="1"/>
    <col min="3332" max="3332" width="9.85546875" style="27" customWidth="1"/>
    <col min="3333" max="3333" width="12.5703125" style="27" bestFit="1" customWidth="1"/>
    <col min="3334" max="3337" width="12.7109375" style="27" customWidth="1"/>
    <col min="3338" max="3338" width="9.140625" style="27"/>
    <col min="3339" max="3339" width="11" style="27" bestFit="1" customWidth="1"/>
    <col min="3340" max="3341" width="9.140625" style="27"/>
    <col min="3342" max="3342" width="18.85546875" style="27" bestFit="1" customWidth="1"/>
    <col min="3343" max="3343" width="14.140625" style="27" customWidth="1"/>
    <col min="3344" max="3344" width="16.85546875" style="27" customWidth="1"/>
    <col min="3345" max="3345" width="23.42578125" style="27" bestFit="1" customWidth="1"/>
    <col min="3346" max="3346" width="9.140625" style="27"/>
    <col min="3347" max="3347" width="11" style="27" bestFit="1" customWidth="1"/>
    <col min="3348" max="3584" width="9.140625" style="27"/>
    <col min="3585" max="3585" width="12.5703125" style="27" customWidth="1"/>
    <col min="3586" max="3586" width="10.85546875" style="27" bestFit="1" customWidth="1"/>
    <col min="3587" max="3587" width="13.42578125" style="27" customWidth="1"/>
    <col min="3588" max="3588" width="9.85546875" style="27" customWidth="1"/>
    <col min="3589" max="3589" width="12.5703125" style="27" bestFit="1" customWidth="1"/>
    <col min="3590" max="3593" width="12.7109375" style="27" customWidth="1"/>
    <col min="3594" max="3594" width="9.140625" style="27"/>
    <col min="3595" max="3595" width="11" style="27" bestFit="1" customWidth="1"/>
    <col min="3596" max="3597" width="9.140625" style="27"/>
    <col min="3598" max="3598" width="18.85546875" style="27" bestFit="1" customWidth="1"/>
    <col min="3599" max="3599" width="14.140625" style="27" customWidth="1"/>
    <col min="3600" max="3600" width="16.85546875" style="27" customWidth="1"/>
    <col min="3601" max="3601" width="23.42578125" style="27" bestFit="1" customWidth="1"/>
    <col min="3602" max="3602" width="9.140625" style="27"/>
    <col min="3603" max="3603" width="11" style="27" bestFit="1" customWidth="1"/>
    <col min="3604" max="3840" width="9.140625" style="27"/>
    <col min="3841" max="3841" width="12.5703125" style="27" customWidth="1"/>
    <col min="3842" max="3842" width="10.85546875" style="27" bestFit="1" customWidth="1"/>
    <col min="3843" max="3843" width="13.42578125" style="27" customWidth="1"/>
    <col min="3844" max="3844" width="9.85546875" style="27" customWidth="1"/>
    <col min="3845" max="3845" width="12.5703125" style="27" bestFit="1" customWidth="1"/>
    <col min="3846" max="3849" width="12.7109375" style="27" customWidth="1"/>
    <col min="3850" max="3850" width="9.140625" style="27"/>
    <col min="3851" max="3851" width="11" style="27" bestFit="1" customWidth="1"/>
    <col min="3852" max="3853" width="9.140625" style="27"/>
    <col min="3854" max="3854" width="18.85546875" style="27" bestFit="1" customWidth="1"/>
    <col min="3855" max="3855" width="14.140625" style="27" customWidth="1"/>
    <col min="3856" max="3856" width="16.85546875" style="27" customWidth="1"/>
    <col min="3857" max="3857" width="23.42578125" style="27" bestFit="1" customWidth="1"/>
    <col min="3858" max="3858" width="9.140625" style="27"/>
    <col min="3859" max="3859" width="11" style="27" bestFit="1" customWidth="1"/>
    <col min="3860" max="4096" width="9.140625" style="27"/>
    <col min="4097" max="4097" width="12.5703125" style="27" customWidth="1"/>
    <col min="4098" max="4098" width="10.85546875" style="27" bestFit="1" customWidth="1"/>
    <col min="4099" max="4099" width="13.42578125" style="27" customWidth="1"/>
    <col min="4100" max="4100" width="9.85546875" style="27" customWidth="1"/>
    <col min="4101" max="4101" width="12.5703125" style="27" bestFit="1" customWidth="1"/>
    <col min="4102" max="4105" width="12.7109375" style="27" customWidth="1"/>
    <col min="4106" max="4106" width="9.140625" style="27"/>
    <col min="4107" max="4107" width="11" style="27" bestFit="1" customWidth="1"/>
    <col min="4108" max="4109" width="9.140625" style="27"/>
    <col min="4110" max="4110" width="18.85546875" style="27" bestFit="1" customWidth="1"/>
    <col min="4111" max="4111" width="14.140625" style="27" customWidth="1"/>
    <col min="4112" max="4112" width="16.85546875" style="27" customWidth="1"/>
    <col min="4113" max="4113" width="23.42578125" style="27" bestFit="1" customWidth="1"/>
    <col min="4114" max="4114" width="9.140625" style="27"/>
    <col min="4115" max="4115" width="11" style="27" bestFit="1" customWidth="1"/>
    <col min="4116" max="4352" width="9.140625" style="27"/>
    <col min="4353" max="4353" width="12.5703125" style="27" customWidth="1"/>
    <col min="4354" max="4354" width="10.85546875" style="27" bestFit="1" customWidth="1"/>
    <col min="4355" max="4355" width="13.42578125" style="27" customWidth="1"/>
    <col min="4356" max="4356" width="9.85546875" style="27" customWidth="1"/>
    <col min="4357" max="4357" width="12.5703125" style="27" bestFit="1" customWidth="1"/>
    <col min="4358" max="4361" width="12.7109375" style="27" customWidth="1"/>
    <col min="4362" max="4362" width="9.140625" style="27"/>
    <col min="4363" max="4363" width="11" style="27" bestFit="1" customWidth="1"/>
    <col min="4364" max="4365" width="9.140625" style="27"/>
    <col min="4366" max="4366" width="18.85546875" style="27" bestFit="1" customWidth="1"/>
    <col min="4367" max="4367" width="14.140625" style="27" customWidth="1"/>
    <col min="4368" max="4368" width="16.85546875" style="27" customWidth="1"/>
    <col min="4369" max="4369" width="23.42578125" style="27" bestFit="1" customWidth="1"/>
    <col min="4370" max="4370" width="9.140625" style="27"/>
    <col min="4371" max="4371" width="11" style="27" bestFit="1" customWidth="1"/>
    <col min="4372" max="4608" width="9.140625" style="27"/>
    <col min="4609" max="4609" width="12.5703125" style="27" customWidth="1"/>
    <col min="4610" max="4610" width="10.85546875" style="27" bestFit="1" customWidth="1"/>
    <col min="4611" max="4611" width="13.42578125" style="27" customWidth="1"/>
    <col min="4612" max="4612" width="9.85546875" style="27" customWidth="1"/>
    <col min="4613" max="4613" width="12.5703125" style="27" bestFit="1" customWidth="1"/>
    <col min="4614" max="4617" width="12.7109375" style="27" customWidth="1"/>
    <col min="4618" max="4618" width="9.140625" style="27"/>
    <col min="4619" max="4619" width="11" style="27" bestFit="1" customWidth="1"/>
    <col min="4620" max="4621" width="9.140625" style="27"/>
    <col min="4622" max="4622" width="18.85546875" style="27" bestFit="1" customWidth="1"/>
    <col min="4623" max="4623" width="14.140625" style="27" customWidth="1"/>
    <col min="4624" max="4624" width="16.85546875" style="27" customWidth="1"/>
    <col min="4625" max="4625" width="23.42578125" style="27" bestFit="1" customWidth="1"/>
    <col min="4626" max="4626" width="9.140625" style="27"/>
    <col min="4627" max="4627" width="11" style="27" bestFit="1" customWidth="1"/>
    <col min="4628" max="4864" width="9.140625" style="27"/>
    <col min="4865" max="4865" width="12.5703125" style="27" customWidth="1"/>
    <col min="4866" max="4866" width="10.85546875" style="27" bestFit="1" customWidth="1"/>
    <col min="4867" max="4867" width="13.42578125" style="27" customWidth="1"/>
    <col min="4868" max="4868" width="9.85546875" style="27" customWidth="1"/>
    <col min="4869" max="4869" width="12.5703125" style="27" bestFit="1" customWidth="1"/>
    <col min="4870" max="4873" width="12.7109375" style="27" customWidth="1"/>
    <col min="4874" max="4874" width="9.140625" style="27"/>
    <col min="4875" max="4875" width="11" style="27" bestFit="1" customWidth="1"/>
    <col min="4876" max="4877" width="9.140625" style="27"/>
    <col min="4878" max="4878" width="18.85546875" style="27" bestFit="1" customWidth="1"/>
    <col min="4879" max="4879" width="14.140625" style="27" customWidth="1"/>
    <col min="4880" max="4880" width="16.85546875" style="27" customWidth="1"/>
    <col min="4881" max="4881" width="23.42578125" style="27" bestFit="1" customWidth="1"/>
    <col min="4882" max="4882" width="9.140625" style="27"/>
    <col min="4883" max="4883" width="11" style="27" bestFit="1" customWidth="1"/>
    <col min="4884" max="5120" width="9.140625" style="27"/>
    <col min="5121" max="5121" width="12.5703125" style="27" customWidth="1"/>
    <col min="5122" max="5122" width="10.85546875" style="27" bestFit="1" customWidth="1"/>
    <col min="5123" max="5123" width="13.42578125" style="27" customWidth="1"/>
    <col min="5124" max="5124" width="9.85546875" style="27" customWidth="1"/>
    <col min="5125" max="5125" width="12.5703125" style="27" bestFit="1" customWidth="1"/>
    <col min="5126" max="5129" width="12.7109375" style="27" customWidth="1"/>
    <col min="5130" max="5130" width="9.140625" style="27"/>
    <col min="5131" max="5131" width="11" style="27" bestFit="1" customWidth="1"/>
    <col min="5132" max="5133" width="9.140625" style="27"/>
    <col min="5134" max="5134" width="18.85546875" style="27" bestFit="1" customWidth="1"/>
    <col min="5135" max="5135" width="14.140625" style="27" customWidth="1"/>
    <col min="5136" max="5136" width="16.85546875" style="27" customWidth="1"/>
    <col min="5137" max="5137" width="23.42578125" style="27" bestFit="1" customWidth="1"/>
    <col min="5138" max="5138" width="9.140625" style="27"/>
    <col min="5139" max="5139" width="11" style="27" bestFit="1" customWidth="1"/>
    <col min="5140" max="5376" width="9.140625" style="27"/>
    <col min="5377" max="5377" width="12.5703125" style="27" customWidth="1"/>
    <col min="5378" max="5378" width="10.85546875" style="27" bestFit="1" customWidth="1"/>
    <col min="5379" max="5379" width="13.42578125" style="27" customWidth="1"/>
    <col min="5380" max="5380" width="9.85546875" style="27" customWidth="1"/>
    <col min="5381" max="5381" width="12.5703125" style="27" bestFit="1" customWidth="1"/>
    <col min="5382" max="5385" width="12.7109375" style="27" customWidth="1"/>
    <col min="5386" max="5386" width="9.140625" style="27"/>
    <col min="5387" max="5387" width="11" style="27" bestFit="1" customWidth="1"/>
    <col min="5388" max="5389" width="9.140625" style="27"/>
    <col min="5390" max="5390" width="18.85546875" style="27" bestFit="1" customWidth="1"/>
    <col min="5391" max="5391" width="14.140625" style="27" customWidth="1"/>
    <col min="5392" max="5392" width="16.85546875" style="27" customWidth="1"/>
    <col min="5393" max="5393" width="23.42578125" style="27" bestFit="1" customWidth="1"/>
    <col min="5394" max="5394" width="9.140625" style="27"/>
    <col min="5395" max="5395" width="11" style="27" bestFit="1" customWidth="1"/>
    <col min="5396" max="5632" width="9.140625" style="27"/>
    <col min="5633" max="5633" width="12.5703125" style="27" customWidth="1"/>
    <col min="5634" max="5634" width="10.85546875" style="27" bestFit="1" customWidth="1"/>
    <col min="5635" max="5635" width="13.42578125" style="27" customWidth="1"/>
    <col min="5636" max="5636" width="9.85546875" style="27" customWidth="1"/>
    <col min="5637" max="5637" width="12.5703125" style="27" bestFit="1" customWidth="1"/>
    <col min="5638" max="5641" width="12.7109375" style="27" customWidth="1"/>
    <col min="5642" max="5642" width="9.140625" style="27"/>
    <col min="5643" max="5643" width="11" style="27" bestFit="1" customWidth="1"/>
    <col min="5644" max="5645" width="9.140625" style="27"/>
    <col min="5646" max="5646" width="18.85546875" style="27" bestFit="1" customWidth="1"/>
    <col min="5647" max="5647" width="14.140625" style="27" customWidth="1"/>
    <col min="5648" max="5648" width="16.85546875" style="27" customWidth="1"/>
    <col min="5649" max="5649" width="23.42578125" style="27" bestFit="1" customWidth="1"/>
    <col min="5650" max="5650" width="9.140625" style="27"/>
    <col min="5651" max="5651" width="11" style="27" bestFit="1" customWidth="1"/>
    <col min="5652" max="5888" width="9.140625" style="27"/>
    <col min="5889" max="5889" width="12.5703125" style="27" customWidth="1"/>
    <col min="5890" max="5890" width="10.85546875" style="27" bestFit="1" customWidth="1"/>
    <col min="5891" max="5891" width="13.42578125" style="27" customWidth="1"/>
    <col min="5892" max="5892" width="9.85546875" style="27" customWidth="1"/>
    <col min="5893" max="5893" width="12.5703125" style="27" bestFit="1" customWidth="1"/>
    <col min="5894" max="5897" width="12.7109375" style="27" customWidth="1"/>
    <col min="5898" max="5898" width="9.140625" style="27"/>
    <col min="5899" max="5899" width="11" style="27" bestFit="1" customWidth="1"/>
    <col min="5900" max="5901" width="9.140625" style="27"/>
    <col min="5902" max="5902" width="18.85546875" style="27" bestFit="1" customWidth="1"/>
    <col min="5903" max="5903" width="14.140625" style="27" customWidth="1"/>
    <col min="5904" max="5904" width="16.85546875" style="27" customWidth="1"/>
    <col min="5905" max="5905" width="23.42578125" style="27" bestFit="1" customWidth="1"/>
    <col min="5906" max="5906" width="9.140625" style="27"/>
    <col min="5907" max="5907" width="11" style="27" bestFit="1" customWidth="1"/>
    <col min="5908" max="6144" width="9.140625" style="27"/>
    <col min="6145" max="6145" width="12.5703125" style="27" customWidth="1"/>
    <col min="6146" max="6146" width="10.85546875" style="27" bestFit="1" customWidth="1"/>
    <col min="6147" max="6147" width="13.42578125" style="27" customWidth="1"/>
    <col min="6148" max="6148" width="9.85546875" style="27" customWidth="1"/>
    <col min="6149" max="6149" width="12.5703125" style="27" bestFit="1" customWidth="1"/>
    <col min="6150" max="6153" width="12.7109375" style="27" customWidth="1"/>
    <col min="6154" max="6154" width="9.140625" style="27"/>
    <col min="6155" max="6155" width="11" style="27" bestFit="1" customWidth="1"/>
    <col min="6156" max="6157" width="9.140625" style="27"/>
    <col min="6158" max="6158" width="18.85546875" style="27" bestFit="1" customWidth="1"/>
    <col min="6159" max="6159" width="14.140625" style="27" customWidth="1"/>
    <col min="6160" max="6160" width="16.85546875" style="27" customWidth="1"/>
    <col min="6161" max="6161" width="23.42578125" style="27" bestFit="1" customWidth="1"/>
    <col min="6162" max="6162" width="9.140625" style="27"/>
    <col min="6163" max="6163" width="11" style="27" bestFit="1" customWidth="1"/>
    <col min="6164" max="6400" width="9.140625" style="27"/>
    <col min="6401" max="6401" width="12.5703125" style="27" customWidth="1"/>
    <col min="6402" max="6402" width="10.85546875" style="27" bestFit="1" customWidth="1"/>
    <col min="6403" max="6403" width="13.42578125" style="27" customWidth="1"/>
    <col min="6404" max="6404" width="9.85546875" style="27" customWidth="1"/>
    <col min="6405" max="6405" width="12.5703125" style="27" bestFit="1" customWidth="1"/>
    <col min="6406" max="6409" width="12.7109375" style="27" customWidth="1"/>
    <col min="6410" max="6410" width="9.140625" style="27"/>
    <col min="6411" max="6411" width="11" style="27" bestFit="1" customWidth="1"/>
    <col min="6412" max="6413" width="9.140625" style="27"/>
    <col min="6414" max="6414" width="18.85546875" style="27" bestFit="1" customWidth="1"/>
    <col min="6415" max="6415" width="14.140625" style="27" customWidth="1"/>
    <col min="6416" max="6416" width="16.85546875" style="27" customWidth="1"/>
    <col min="6417" max="6417" width="23.42578125" style="27" bestFit="1" customWidth="1"/>
    <col min="6418" max="6418" width="9.140625" style="27"/>
    <col min="6419" max="6419" width="11" style="27" bestFit="1" customWidth="1"/>
    <col min="6420" max="6656" width="9.140625" style="27"/>
    <col min="6657" max="6657" width="12.5703125" style="27" customWidth="1"/>
    <col min="6658" max="6658" width="10.85546875" style="27" bestFit="1" customWidth="1"/>
    <col min="6659" max="6659" width="13.42578125" style="27" customWidth="1"/>
    <col min="6660" max="6660" width="9.85546875" style="27" customWidth="1"/>
    <col min="6661" max="6661" width="12.5703125" style="27" bestFit="1" customWidth="1"/>
    <col min="6662" max="6665" width="12.7109375" style="27" customWidth="1"/>
    <col min="6666" max="6666" width="9.140625" style="27"/>
    <col min="6667" max="6667" width="11" style="27" bestFit="1" customWidth="1"/>
    <col min="6668" max="6669" width="9.140625" style="27"/>
    <col min="6670" max="6670" width="18.85546875" style="27" bestFit="1" customWidth="1"/>
    <col min="6671" max="6671" width="14.140625" style="27" customWidth="1"/>
    <col min="6672" max="6672" width="16.85546875" style="27" customWidth="1"/>
    <col min="6673" max="6673" width="23.42578125" style="27" bestFit="1" customWidth="1"/>
    <col min="6674" max="6674" width="9.140625" style="27"/>
    <col min="6675" max="6675" width="11" style="27" bestFit="1" customWidth="1"/>
    <col min="6676" max="6912" width="9.140625" style="27"/>
    <col min="6913" max="6913" width="12.5703125" style="27" customWidth="1"/>
    <col min="6914" max="6914" width="10.85546875" style="27" bestFit="1" customWidth="1"/>
    <col min="6915" max="6915" width="13.42578125" style="27" customWidth="1"/>
    <col min="6916" max="6916" width="9.85546875" style="27" customWidth="1"/>
    <col min="6917" max="6917" width="12.5703125" style="27" bestFit="1" customWidth="1"/>
    <col min="6918" max="6921" width="12.7109375" style="27" customWidth="1"/>
    <col min="6922" max="6922" width="9.140625" style="27"/>
    <col min="6923" max="6923" width="11" style="27" bestFit="1" customWidth="1"/>
    <col min="6924" max="6925" width="9.140625" style="27"/>
    <col min="6926" max="6926" width="18.85546875" style="27" bestFit="1" customWidth="1"/>
    <col min="6927" max="6927" width="14.140625" style="27" customWidth="1"/>
    <col min="6928" max="6928" width="16.85546875" style="27" customWidth="1"/>
    <col min="6929" max="6929" width="23.42578125" style="27" bestFit="1" customWidth="1"/>
    <col min="6930" max="6930" width="9.140625" style="27"/>
    <col min="6931" max="6931" width="11" style="27" bestFit="1" customWidth="1"/>
    <col min="6932" max="7168" width="9.140625" style="27"/>
    <col min="7169" max="7169" width="12.5703125" style="27" customWidth="1"/>
    <col min="7170" max="7170" width="10.85546875" style="27" bestFit="1" customWidth="1"/>
    <col min="7171" max="7171" width="13.42578125" style="27" customWidth="1"/>
    <col min="7172" max="7172" width="9.85546875" style="27" customWidth="1"/>
    <col min="7173" max="7173" width="12.5703125" style="27" bestFit="1" customWidth="1"/>
    <col min="7174" max="7177" width="12.7109375" style="27" customWidth="1"/>
    <col min="7178" max="7178" width="9.140625" style="27"/>
    <col min="7179" max="7179" width="11" style="27" bestFit="1" customWidth="1"/>
    <col min="7180" max="7181" width="9.140625" style="27"/>
    <col min="7182" max="7182" width="18.85546875" style="27" bestFit="1" customWidth="1"/>
    <col min="7183" max="7183" width="14.140625" style="27" customWidth="1"/>
    <col min="7184" max="7184" width="16.85546875" style="27" customWidth="1"/>
    <col min="7185" max="7185" width="23.42578125" style="27" bestFit="1" customWidth="1"/>
    <col min="7186" max="7186" width="9.140625" style="27"/>
    <col min="7187" max="7187" width="11" style="27" bestFit="1" customWidth="1"/>
    <col min="7188" max="7424" width="9.140625" style="27"/>
    <col min="7425" max="7425" width="12.5703125" style="27" customWidth="1"/>
    <col min="7426" max="7426" width="10.85546875" style="27" bestFit="1" customWidth="1"/>
    <col min="7427" max="7427" width="13.42578125" style="27" customWidth="1"/>
    <col min="7428" max="7428" width="9.85546875" style="27" customWidth="1"/>
    <col min="7429" max="7429" width="12.5703125" style="27" bestFit="1" customWidth="1"/>
    <col min="7430" max="7433" width="12.7109375" style="27" customWidth="1"/>
    <col min="7434" max="7434" width="9.140625" style="27"/>
    <col min="7435" max="7435" width="11" style="27" bestFit="1" customWidth="1"/>
    <col min="7436" max="7437" width="9.140625" style="27"/>
    <col min="7438" max="7438" width="18.85546875" style="27" bestFit="1" customWidth="1"/>
    <col min="7439" max="7439" width="14.140625" style="27" customWidth="1"/>
    <col min="7440" max="7440" width="16.85546875" style="27" customWidth="1"/>
    <col min="7441" max="7441" width="23.42578125" style="27" bestFit="1" customWidth="1"/>
    <col min="7442" max="7442" width="9.140625" style="27"/>
    <col min="7443" max="7443" width="11" style="27" bestFit="1" customWidth="1"/>
    <col min="7444" max="7680" width="9.140625" style="27"/>
    <col min="7681" max="7681" width="12.5703125" style="27" customWidth="1"/>
    <col min="7682" max="7682" width="10.85546875" style="27" bestFit="1" customWidth="1"/>
    <col min="7683" max="7683" width="13.42578125" style="27" customWidth="1"/>
    <col min="7684" max="7684" width="9.85546875" style="27" customWidth="1"/>
    <col min="7685" max="7685" width="12.5703125" style="27" bestFit="1" customWidth="1"/>
    <col min="7686" max="7689" width="12.7109375" style="27" customWidth="1"/>
    <col min="7690" max="7690" width="9.140625" style="27"/>
    <col min="7691" max="7691" width="11" style="27" bestFit="1" customWidth="1"/>
    <col min="7692" max="7693" width="9.140625" style="27"/>
    <col min="7694" max="7694" width="18.85546875" style="27" bestFit="1" customWidth="1"/>
    <col min="7695" max="7695" width="14.140625" style="27" customWidth="1"/>
    <col min="7696" max="7696" width="16.85546875" style="27" customWidth="1"/>
    <col min="7697" max="7697" width="23.42578125" style="27" bestFit="1" customWidth="1"/>
    <col min="7698" max="7698" width="9.140625" style="27"/>
    <col min="7699" max="7699" width="11" style="27" bestFit="1" customWidth="1"/>
    <col min="7700" max="7936" width="9.140625" style="27"/>
    <col min="7937" max="7937" width="12.5703125" style="27" customWidth="1"/>
    <col min="7938" max="7938" width="10.85546875" style="27" bestFit="1" customWidth="1"/>
    <col min="7939" max="7939" width="13.42578125" style="27" customWidth="1"/>
    <col min="7940" max="7940" width="9.85546875" style="27" customWidth="1"/>
    <col min="7941" max="7941" width="12.5703125" style="27" bestFit="1" customWidth="1"/>
    <col min="7942" max="7945" width="12.7109375" style="27" customWidth="1"/>
    <col min="7946" max="7946" width="9.140625" style="27"/>
    <col min="7947" max="7947" width="11" style="27" bestFit="1" customWidth="1"/>
    <col min="7948" max="7949" width="9.140625" style="27"/>
    <col min="7950" max="7950" width="18.85546875" style="27" bestFit="1" customWidth="1"/>
    <col min="7951" max="7951" width="14.140625" style="27" customWidth="1"/>
    <col min="7952" max="7952" width="16.85546875" style="27" customWidth="1"/>
    <col min="7953" max="7953" width="23.42578125" style="27" bestFit="1" customWidth="1"/>
    <col min="7954" max="7954" width="9.140625" style="27"/>
    <col min="7955" max="7955" width="11" style="27" bestFit="1" customWidth="1"/>
    <col min="7956" max="8192" width="9.140625" style="27"/>
    <col min="8193" max="8193" width="12.5703125" style="27" customWidth="1"/>
    <col min="8194" max="8194" width="10.85546875" style="27" bestFit="1" customWidth="1"/>
    <col min="8195" max="8195" width="13.42578125" style="27" customWidth="1"/>
    <col min="8196" max="8196" width="9.85546875" style="27" customWidth="1"/>
    <col min="8197" max="8197" width="12.5703125" style="27" bestFit="1" customWidth="1"/>
    <col min="8198" max="8201" width="12.7109375" style="27" customWidth="1"/>
    <col min="8202" max="8202" width="9.140625" style="27"/>
    <col min="8203" max="8203" width="11" style="27" bestFit="1" customWidth="1"/>
    <col min="8204" max="8205" width="9.140625" style="27"/>
    <col min="8206" max="8206" width="18.85546875" style="27" bestFit="1" customWidth="1"/>
    <col min="8207" max="8207" width="14.140625" style="27" customWidth="1"/>
    <col min="8208" max="8208" width="16.85546875" style="27" customWidth="1"/>
    <col min="8209" max="8209" width="23.42578125" style="27" bestFit="1" customWidth="1"/>
    <col min="8210" max="8210" width="9.140625" style="27"/>
    <col min="8211" max="8211" width="11" style="27" bestFit="1" customWidth="1"/>
    <col min="8212" max="8448" width="9.140625" style="27"/>
    <col min="8449" max="8449" width="12.5703125" style="27" customWidth="1"/>
    <col min="8450" max="8450" width="10.85546875" style="27" bestFit="1" customWidth="1"/>
    <col min="8451" max="8451" width="13.42578125" style="27" customWidth="1"/>
    <col min="8452" max="8452" width="9.85546875" style="27" customWidth="1"/>
    <col min="8453" max="8453" width="12.5703125" style="27" bestFit="1" customWidth="1"/>
    <col min="8454" max="8457" width="12.7109375" style="27" customWidth="1"/>
    <col min="8458" max="8458" width="9.140625" style="27"/>
    <col min="8459" max="8459" width="11" style="27" bestFit="1" customWidth="1"/>
    <col min="8460" max="8461" width="9.140625" style="27"/>
    <col min="8462" max="8462" width="18.85546875" style="27" bestFit="1" customWidth="1"/>
    <col min="8463" max="8463" width="14.140625" style="27" customWidth="1"/>
    <col min="8464" max="8464" width="16.85546875" style="27" customWidth="1"/>
    <col min="8465" max="8465" width="23.42578125" style="27" bestFit="1" customWidth="1"/>
    <col min="8466" max="8466" width="9.140625" style="27"/>
    <col min="8467" max="8467" width="11" style="27" bestFit="1" customWidth="1"/>
    <col min="8468" max="8704" width="9.140625" style="27"/>
    <col min="8705" max="8705" width="12.5703125" style="27" customWidth="1"/>
    <col min="8706" max="8706" width="10.85546875" style="27" bestFit="1" customWidth="1"/>
    <col min="8707" max="8707" width="13.42578125" style="27" customWidth="1"/>
    <col min="8708" max="8708" width="9.85546875" style="27" customWidth="1"/>
    <col min="8709" max="8709" width="12.5703125" style="27" bestFit="1" customWidth="1"/>
    <col min="8710" max="8713" width="12.7109375" style="27" customWidth="1"/>
    <col min="8714" max="8714" width="9.140625" style="27"/>
    <col min="8715" max="8715" width="11" style="27" bestFit="1" customWidth="1"/>
    <col min="8716" max="8717" width="9.140625" style="27"/>
    <col min="8718" max="8718" width="18.85546875" style="27" bestFit="1" customWidth="1"/>
    <col min="8719" max="8719" width="14.140625" style="27" customWidth="1"/>
    <col min="8720" max="8720" width="16.85546875" style="27" customWidth="1"/>
    <col min="8721" max="8721" width="23.42578125" style="27" bestFit="1" customWidth="1"/>
    <col min="8722" max="8722" width="9.140625" style="27"/>
    <col min="8723" max="8723" width="11" style="27" bestFit="1" customWidth="1"/>
    <col min="8724" max="8960" width="9.140625" style="27"/>
    <col min="8961" max="8961" width="12.5703125" style="27" customWidth="1"/>
    <col min="8962" max="8962" width="10.85546875" style="27" bestFit="1" customWidth="1"/>
    <col min="8963" max="8963" width="13.42578125" style="27" customWidth="1"/>
    <col min="8964" max="8964" width="9.85546875" style="27" customWidth="1"/>
    <col min="8965" max="8965" width="12.5703125" style="27" bestFit="1" customWidth="1"/>
    <col min="8966" max="8969" width="12.7109375" style="27" customWidth="1"/>
    <col min="8970" max="8970" width="9.140625" style="27"/>
    <col min="8971" max="8971" width="11" style="27" bestFit="1" customWidth="1"/>
    <col min="8972" max="8973" width="9.140625" style="27"/>
    <col min="8974" max="8974" width="18.85546875" style="27" bestFit="1" customWidth="1"/>
    <col min="8975" max="8975" width="14.140625" style="27" customWidth="1"/>
    <col min="8976" max="8976" width="16.85546875" style="27" customWidth="1"/>
    <col min="8977" max="8977" width="23.42578125" style="27" bestFit="1" customWidth="1"/>
    <col min="8978" max="8978" width="9.140625" style="27"/>
    <col min="8979" max="8979" width="11" style="27" bestFit="1" customWidth="1"/>
    <col min="8980" max="9216" width="9.140625" style="27"/>
    <col min="9217" max="9217" width="12.5703125" style="27" customWidth="1"/>
    <col min="9218" max="9218" width="10.85546875" style="27" bestFit="1" customWidth="1"/>
    <col min="9219" max="9219" width="13.42578125" style="27" customWidth="1"/>
    <col min="9220" max="9220" width="9.85546875" style="27" customWidth="1"/>
    <col min="9221" max="9221" width="12.5703125" style="27" bestFit="1" customWidth="1"/>
    <col min="9222" max="9225" width="12.7109375" style="27" customWidth="1"/>
    <col min="9226" max="9226" width="9.140625" style="27"/>
    <col min="9227" max="9227" width="11" style="27" bestFit="1" customWidth="1"/>
    <col min="9228" max="9229" width="9.140625" style="27"/>
    <col min="9230" max="9230" width="18.85546875" style="27" bestFit="1" customWidth="1"/>
    <col min="9231" max="9231" width="14.140625" style="27" customWidth="1"/>
    <col min="9232" max="9232" width="16.85546875" style="27" customWidth="1"/>
    <col min="9233" max="9233" width="23.42578125" style="27" bestFit="1" customWidth="1"/>
    <col min="9234" max="9234" width="9.140625" style="27"/>
    <col min="9235" max="9235" width="11" style="27" bestFit="1" customWidth="1"/>
    <col min="9236" max="9472" width="9.140625" style="27"/>
    <col min="9473" max="9473" width="12.5703125" style="27" customWidth="1"/>
    <col min="9474" max="9474" width="10.85546875" style="27" bestFit="1" customWidth="1"/>
    <col min="9475" max="9475" width="13.42578125" style="27" customWidth="1"/>
    <col min="9476" max="9476" width="9.85546875" style="27" customWidth="1"/>
    <col min="9477" max="9477" width="12.5703125" style="27" bestFit="1" customWidth="1"/>
    <col min="9478" max="9481" width="12.7109375" style="27" customWidth="1"/>
    <col min="9482" max="9482" width="9.140625" style="27"/>
    <col min="9483" max="9483" width="11" style="27" bestFit="1" customWidth="1"/>
    <col min="9484" max="9485" width="9.140625" style="27"/>
    <col min="9486" max="9486" width="18.85546875" style="27" bestFit="1" customWidth="1"/>
    <col min="9487" max="9487" width="14.140625" style="27" customWidth="1"/>
    <col min="9488" max="9488" width="16.85546875" style="27" customWidth="1"/>
    <col min="9489" max="9489" width="23.42578125" style="27" bestFit="1" customWidth="1"/>
    <col min="9490" max="9490" width="9.140625" style="27"/>
    <col min="9491" max="9491" width="11" style="27" bestFit="1" customWidth="1"/>
    <col min="9492" max="9728" width="9.140625" style="27"/>
    <col min="9729" max="9729" width="12.5703125" style="27" customWidth="1"/>
    <col min="9730" max="9730" width="10.85546875" style="27" bestFit="1" customWidth="1"/>
    <col min="9731" max="9731" width="13.42578125" style="27" customWidth="1"/>
    <col min="9732" max="9732" width="9.85546875" style="27" customWidth="1"/>
    <col min="9733" max="9733" width="12.5703125" style="27" bestFit="1" customWidth="1"/>
    <col min="9734" max="9737" width="12.7109375" style="27" customWidth="1"/>
    <col min="9738" max="9738" width="9.140625" style="27"/>
    <col min="9739" max="9739" width="11" style="27" bestFit="1" customWidth="1"/>
    <col min="9740" max="9741" width="9.140625" style="27"/>
    <col min="9742" max="9742" width="18.85546875" style="27" bestFit="1" customWidth="1"/>
    <col min="9743" max="9743" width="14.140625" style="27" customWidth="1"/>
    <col min="9744" max="9744" width="16.85546875" style="27" customWidth="1"/>
    <col min="9745" max="9745" width="23.42578125" style="27" bestFit="1" customWidth="1"/>
    <col min="9746" max="9746" width="9.140625" style="27"/>
    <col min="9747" max="9747" width="11" style="27" bestFit="1" customWidth="1"/>
    <col min="9748" max="9984" width="9.140625" style="27"/>
    <col min="9985" max="9985" width="12.5703125" style="27" customWidth="1"/>
    <col min="9986" max="9986" width="10.85546875" style="27" bestFit="1" customWidth="1"/>
    <col min="9987" max="9987" width="13.42578125" style="27" customWidth="1"/>
    <col min="9988" max="9988" width="9.85546875" style="27" customWidth="1"/>
    <col min="9989" max="9989" width="12.5703125" style="27" bestFit="1" customWidth="1"/>
    <col min="9990" max="9993" width="12.7109375" style="27" customWidth="1"/>
    <col min="9994" max="9994" width="9.140625" style="27"/>
    <col min="9995" max="9995" width="11" style="27" bestFit="1" customWidth="1"/>
    <col min="9996" max="9997" width="9.140625" style="27"/>
    <col min="9998" max="9998" width="18.85546875" style="27" bestFit="1" customWidth="1"/>
    <col min="9999" max="9999" width="14.140625" style="27" customWidth="1"/>
    <col min="10000" max="10000" width="16.85546875" style="27" customWidth="1"/>
    <col min="10001" max="10001" width="23.42578125" style="27" bestFit="1" customWidth="1"/>
    <col min="10002" max="10002" width="9.140625" style="27"/>
    <col min="10003" max="10003" width="11" style="27" bestFit="1" customWidth="1"/>
    <col min="10004" max="10240" width="9.140625" style="27"/>
    <col min="10241" max="10241" width="12.5703125" style="27" customWidth="1"/>
    <col min="10242" max="10242" width="10.85546875" style="27" bestFit="1" customWidth="1"/>
    <col min="10243" max="10243" width="13.42578125" style="27" customWidth="1"/>
    <col min="10244" max="10244" width="9.85546875" style="27" customWidth="1"/>
    <col min="10245" max="10245" width="12.5703125" style="27" bestFit="1" customWidth="1"/>
    <col min="10246" max="10249" width="12.7109375" style="27" customWidth="1"/>
    <col min="10250" max="10250" width="9.140625" style="27"/>
    <col min="10251" max="10251" width="11" style="27" bestFit="1" customWidth="1"/>
    <col min="10252" max="10253" width="9.140625" style="27"/>
    <col min="10254" max="10254" width="18.85546875" style="27" bestFit="1" customWidth="1"/>
    <col min="10255" max="10255" width="14.140625" style="27" customWidth="1"/>
    <col min="10256" max="10256" width="16.85546875" style="27" customWidth="1"/>
    <col min="10257" max="10257" width="23.42578125" style="27" bestFit="1" customWidth="1"/>
    <col min="10258" max="10258" width="9.140625" style="27"/>
    <col min="10259" max="10259" width="11" style="27" bestFit="1" customWidth="1"/>
    <col min="10260" max="10496" width="9.140625" style="27"/>
    <col min="10497" max="10497" width="12.5703125" style="27" customWidth="1"/>
    <col min="10498" max="10498" width="10.85546875" style="27" bestFit="1" customWidth="1"/>
    <col min="10499" max="10499" width="13.42578125" style="27" customWidth="1"/>
    <col min="10500" max="10500" width="9.85546875" style="27" customWidth="1"/>
    <col min="10501" max="10501" width="12.5703125" style="27" bestFit="1" customWidth="1"/>
    <col min="10502" max="10505" width="12.7109375" style="27" customWidth="1"/>
    <col min="10506" max="10506" width="9.140625" style="27"/>
    <col min="10507" max="10507" width="11" style="27" bestFit="1" customWidth="1"/>
    <col min="10508" max="10509" width="9.140625" style="27"/>
    <col min="10510" max="10510" width="18.85546875" style="27" bestFit="1" customWidth="1"/>
    <col min="10511" max="10511" width="14.140625" style="27" customWidth="1"/>
    <col min="10512" max="10512" width="16.85546875" style="27" customWidth="1"/>
    <col min="10513" max="10513" width="23.42578125" style="27" bestFit="1" customWidth="1"/>
    <col min="10514" max="10514" width="9.140625" style="27"/>
    <col min="10515" max="10515" width="11" style="27" bestFit="1" customWidth="1"/>
    <col min="10516" max="10752" width="9.140625" style="27"/>
    <col min="10753" max="10753" width="12.5703125" style="27" customWidth="1"/>
    <col min="10754" max="10754" width="10.85546875" style="27" bestFit="1" customWidth="1"/>
    <col min="10755" max="10755" width="13.42578125" style="27" customWidth="1"/>
    <col min="10756" max="10756" width="9.85546875" style="27" customWidth="1"/>
    <col min="10757" max="10757" width="12.5703125" style="27" bestFit="1" customWidth="1"/>
    <col min="10758" max="10761" width="12.7109375" style="27" customWidth="1"/>
    <col min="10762" max="10762" width="9.140625" style="27"/>
    <col min="10763" max="10763" width="11" style="27" bestFit="1" customWidth="1"/>
    <col min="10764" max="10765" width="9.140625" style="27"/>
    <col min="10766" max="10766" width="18.85546875" style="27" bestFit="1" customWidth="1"/>
    <col min="10767" max="10767" width="14.140625" style="27" customWidth="1"/>
    <col min="10768" max="10768" width="16.85546875" style="27" customWidth="1"/>
    <col min="10769" max="10769" width="23.42578125" style="27" bestFit="1" customWidth="1"/>
    <col min="10770" max="10770" width="9.140625" style="27"/>
    <col min="10771" max="10771" width="11" style="27" bestFit="1" customWidth="1"/>
    <col min="10772" max="11008" width="9.140625" style="27"/>
    <col min="11009" max="11009" width="12.5703125" style="27" customWidth="1"/>
    <col min="11010" max="11010" width="10.85546875" style="27" bestFit="1" customWidth="1"/>
    <col min="11011" max="11011" width="13.42578125" style="27" customWidth="1"/>
    <col min="11012" max="11012" width="9.85546875" style="27" customWidth="1"/>
    <col min="11013" max="11013" width="12.5703125" style="27" bestFit="1" customWidth="1"/>
    <col min="11014" max="11017" width="12.7109375" style="27" customWidth="1"/>
    <col min="11018" max="11018" width="9.140625" style="27"/>
    <col min="11019" max="11019" width="11" style="27" bestFit="1" customWidth="1"/>
    <col min="11020" max="11021" width="9.140625" style="27"/>
    <col min="11022" max="11022" width="18.85546875" style="27" bestFit="1" customWidth="1"/>
    <col min="11023" max="11023" width="14.140625" style="27" customWidth="1"/>
    <col min="11024" max="11024" width="16.85546875" style="27" customWidth="1"/>
    <col min="11025" max="11025" width="23.42578125" style="27" bestFit="1" customWidth="1"/>
    <col min="11026" max="11026" width="9.140625" style="27"/>
    <col min="11027" max="11027" width="11" style="27" bestFit="1" customWidth="1"/>
    <col min="11028" max="11264" width="9.140625" style="27"/>
    <col min="11265" max="11265" width="12.5703125" style="27" customWidth="1"/>
    <col min="11266" max="11266" width="10.85546875" style="27" bestFit="1" customWidth="1"/>
    <col min="11267" max="11267" width="13.42578125" style="27" customWidth="1"/>
    <col min="11268" max="11268" width="9.85546875" style="27" customWidth="1"/>
    <col min="11269" max="11269" width="12.5703125" style="27" bestFit="1" customWidth="1"/>
    <col min="11270" max="11273" width="12.7109375" style="27" customWidth="1"/>
    <col min="11274" max="11274" width="9.140625" style="27"/>
    <col min="11275" max="11275" width="11" style="27" bestFit="1" customWidth="1"/>
    <col min="11276" max="11277" width="9.140625" style="27"/>
    <col min="11278" max="11278" width="18.85546875" style="27" bestFit="1" customWidth="1"/>
    <col min="11279" max="11279" width="14.140625" style="27" customWidth="1"/>
    <col min="11280" max="11280" width="16.85546875" style="27" customWidth="1"/>
    <col min="11281" max="11281" width="23.42578125" style="27" bestFit="1" customWidth="1"/>
    <col min="11282" max="11282" width="9.140625" style="27"/>
    <col min="11283" max="11283" width="11" style="27" bestFit="1" customWidth="1"/>
    <col min="11284" max="11520" width="9.140625" style="27"/>
    <col min="11521" max="11521" width="12.5703125" style="27" customWidth="1"/>
    <col min="11522" max="11522" width="10.85546875" style="27" bestFit="1" customWidth="1"/>
    <col min="11523" max="11523" width="13.42578125" style="27" customWidth="1"/>
    <col min="11524" max="11524" width="9.85546875" style="27" customWidth="1"/>
    <col min="11525" max="11525" width="12.5703125" style="27" bestFit="1" customWidth="1"/>
    <col min="11526" max="11529" width="12.7109375" style="27" customWidth="1"/>
    <col min="11530" max="11530" width="9.140625" style="27"/>
    <col min="11531" max="11531" width="11" style="27" bestFit="1" customWidth="1"/>
    <col min="11532" max="11533" width="9.140625" style="27"/>
    <col min="11534" max="11534" width="18.85546875" style="27" bestFit="1" customWidth="1"/>
    <col min="11535" max="11535" width="14.140625" style="27" customWidth="1"/>
    <col min="11536" max="11536" width="16.85546875" style="27" customWidth="1"/>
    <col min="11537" max="11537" width="23.42578125" style="27" bestFit="1" customWidth="1"/>
    <col min="11538" max="11538" width="9.140625" style="27"/>
    <col min="11539" max="11539" width="11" style="27" bestFit="1" customWidth="1"/>
    <col min="11540" max="11776" width="9.140625" style="27"/>
    <col min="11777" max="11777" width="12.5703125" style="27" customWidth="1"/>
    <col min="11778" max="11778" width="10.85546875" style="27" bestFit="1" customWidth="1"/>
    <col min="11779" max="11779" width="13.42578125" style="27" customWidth="1"/>
    <col min="11780" max="11780" width="9.85546875" style="27" customWidth="1"/>
    <col min="11781" max="11781" width="12.5703125" style="27" bestFit="1" customWidth="1"/>
    <col min="11782" max="11785" width="12.7109375" style="27" customWidth="1"/>
    <col min="11786" max="11786" width="9.140625" style="27"/>
    <col min="11787" max="11787" width="11" style="27" bestFit="1" customWidth="1"/>
    <col min="11788" max="11789" width="9.140625" style="27"/>
    <col min="11790" max="11790" width="18.85546875" style="27" bestFit="1" customWidth="1"/>
    <col min="11791" max="11791" width="14.140625" style="27" customWidth="1"/>
    <col min="11792" max="11792" width="16.85546875" style="27" customWidth="1"/>
    <col min="11793" max="11793" width="23.42578125" style="27" bestFit="1" customWidth="1"/>
    <col min="11794" max="11794" width="9.140625" style="27"/>
    <col min="11795" max="11795" width="11" style="27" bestFit="1" customWidth="1"/>
    <col min="11796" max="12032" width="9.140625" style="27"/>
    <col min="12033" max="12033" width="12.5703125" style="27" customWidth="1"/>
    <col min="12034" max="12034" width="10.85546875" style="27" bestFit="1" customWidth="1"/>
    <col min="12035" max="12035" width="13.42578125" style="27" customWidth="1"/>
    <col min="12036" max="12036" width="9.85546875" style="27" customWidth="1"/>
    <col min="12037" max="12037" width="12.5703125" style="27" bestFit="1" customWidth="1"/>
    <col min="12038" max="12041" width="12.7109375" style="27" customWidth="1"/>
    <col min="12042" max="12042" width="9.140625" style="27"/>
    <col min="12043" max="12043" width="11" style="27" bestFit="1" customWidth="1"/>
    <col min="12044" max="12045" width="9.140625" style="27"/>
    <col min="12046" max="12046" width="18.85546875" style="27" bestFit="1" customWidth="1"/>
    <col min="12047" max="12047" width="14.140625" style="27" customWidth="1"/>
    <col min="12048" max="12048" width="16.85546875" style="27" customWidth="1"/>
    <col min="12049" max="12049" width="23.42578125" style="27" bestFit="1" customWidth="1"/>
    <col min="12050" max="12050" width="9.140625" style="27"/>
    <col min="12051" max="12051" width="11" style="27" bestFit="1" customWidth="1"/>
    <col min="12052" max="12288" width="9.140625" style="27"/>
    <col min="12289" max="12289" width="12.5703125" style="27" customWidth="1"/>
    <col min="12290" max="12290" width="10.85546875" style="27" bestFit="1" customWidth="1"/>
    <col min="12291" max="12291" width="13.42578125" style="27" customWidth="1"/>
    <col min="12292" max="12292" width="9.85546875" style="27" customWidth="1"/>
    <col min="12293" max="12293" width="12.5703125" style="27" bestFit="1" customWidth="1"/>
    <col min="12294" max="12297" width="12.7109375" style="27" customWidth="1"/>
    <col min="12298" max="12298" width="9.140625" style="27"/>
    <col min="12299" max="12299" width="11" style="27" bestFit="1" customWidth="1"/>
    <col min="12300" max="12301" width="9.140625" style="27"/>
    <col min="12302" max="12302" width="18.85546875" style="27" bestFit="1" customWidth="1"/>
    <col min="12303" max="12303" width="14.140625" style="27" customWidth="1"/>
    <col min="12304" max="12304" width="16.85546875" style="27" customWidth="1"/>
    <col min="12305" max="12305" width="23.42578125" style="27" bestFit="1" customWidth="1"/>
    <col min="12306" max="12306" width="9.140625" style="27"/>
    <col min="12307" max="12307" width="11" style="27" bestFit="1" customWidth="1"/>
    <col min="12308" max="12544" width="9.140625" style="27"/>
    <col min="12545" max="12545" width="12.5703125" style="27" customWidth="1"/>
    <col min="12546" max="12546" width="10.85546875" style="27" bestFit="1" customWidth="1"/>
    <col min="12547" max="12547" width="13.42578125" style="27" customWidth="1"/>
    <col min="12548" max="12548" width="9.85546875" style="27" customWidth="1"/>
    <col min="12549" max="12549" width="12.5703125" style="27" bestFit="1" customWidth="1"/>
    <col min="12550" max="12553" width="12.7109375" style="27" customWidth="1"/>
    <col min="12554" max="12554" width="9.140625" style="27"/>
    <col min="12555" max="12555" width="11" style="27" bestFit="1" customWidth="1"/>
    <col min="12556" max="12557" width="9.140625" style="27"/>
    <col min="12558" max="12558" width="18.85546875" style="27" bestFit="1" customWidth="1"/>
    <col min="12559" max="12559" width="14.140625" style="27" customWidth="1"/>
    <col min="12560" max="12560" width="16.85546875" style="27" customWidth="1"/>
    <col min="12561" max="12561" width="23.42578125" style="27" bestFit="1" customWidth="1"/>
    <col min="12562" max="12562" width="9.140625" style="27"/>
    <col min="12563" max="12563" width="11" style="27" bestFit="1" customWidth="1"/>
    <col min="12564" max="12800" width="9.140625" style="27"/>
    <col min="12801" max="12801" width="12.5703125" style="27" customWidth="1"/>
    <col min="12802" max="12802" width="10.85546875" style="27" bestFit="1" customWidth="1"/>
    <col min="12803" max="12803" width="13.42578125" style="27" customWidth="1"/>
    <col min="12804" max="12804" width="9.85546875" style="27" customWidth="1"/>
    <col min="12805" max="12805" width="12.5703125" style="27" bestFit="1" customWidth="1"/>
    <col min="12806" max="12809" width="12.7109375" style="27" customWidth="1"/>
    <col min="12810" max="12810" width="9.140625" style="27"/>
    <col min="12811" max="12811" width="11" style="27" bestFit="1" customWidth="1"/>
    <col min="12812" max="12813" width="9.140625" style="27"/>
    <col min="12814" max="12814" width="18.85546875" style="27" bestFit="1" customWidth="1"/>
    <col min="12815" max="12815" width="14.140625" style="27" customWidth="1"/>
    <col min="12816" max="12816" width="16.85546875" style="27" customWidth="1"/>
    <col min="12817" max="12817" width="23.42578125" style="27" bestFit="1" customWidth="1"/>
    <col min="12818" max="12818" width="9.140625" style="27"/>
    <col min="12819" max="12819" width="11" style="27" bestFit="1" customWidth="1"/>
    <col min="12820" max="13056" width="9.140625" style="27"/>
    <col min="13057" max="13057" width="12.5703125" style="27" customWidth="1"/>
    <col min="13058" max="13058" width="10.85546875" style="27" bestFit="1" customWidth="1"/>
    <col min="13059" max="13059" width="13.42578125" style="27" customWidth="1"/>
    <col min="13060" max="13060" width="9.85546875" style="27" customWidth="1"/>
    <col min="13061" max="13061" width="12.5703125" style="27" bestFit="1" customWidth="1"/>
    <col min="13062" max="13065" width="12.7109375" style="27" customWidth="1"/>
    <col min="13066" max="13066" width="9.140625" style="27"/>
    <col min="13067" max="13067" width="11" style="27" bestFit="1" customWidth="1"/>
    <col min="13068" max="13069" width="9.140625" style="27"/>
    <col min="13070" max="13070" width="18.85546875" style="27" bestFit="1" customWidth="1"/>
    <col min="13071" max="13071" width="14.140625" style="27" customWidth="1"/>
    <col min="13072" max="13072" width="16.85546875" style="27" customWidth="1"/>
    <col min="13073" max="13073" width="23.42578125" style="27" bestFit="1" customWidth="1"/>
    <col min="13074" max="13074" width="9.140625" style="27"/>
    <col min="13075" max="13075" width="11" style="27" bestFit="1" customWidth="1"/>
    <col min="13076" max="13312" width="9.140625" style="27"/>
    <col min="13313" max="13313" width="12.5703125" style="27" customWidth="1"/>
    <col min="13314" max="13314" width="10.85546875" style="27" bestFit="1" customWidth="1"/>
    <col min="13315" max="13315" width="13.42578125" style="27" customWidth="1"/>
    <col min="13316" max="13316" width="9.85546875" style="27" customWidth="1"/>
    <col min="13317" max="13317" width="12.5703125" style="27" bestFit="1" customWidth="1"/>
    <col min="13318" max="13321" width="12.7109375" style="27" customWidth="1"/>
    <col min="13322" max="13322" width="9.140625" style="27"/>
    <col min="13323" max="13323" width="11" style="27" bestFit="1" customWidth="1"/>
    <col min="13324" max="13325" width="9.140625" style="27"/>
    <col min="13326" max="13326" width="18.85546875" style="27" bestFit="1" customWidth="1"/>
    <col min="13327" max="13327" width="14.140625" style="27" customWidth="1"/>
    <col min="13328" max="13328" width="16.85546875" style="27" customWidth="1"/>
    <col min="13329" max="13329" width="23.42578125" style="27" bestFit="1" customWidth="1"/>
    <col min="13330" max="13330" width="9.140625" style="27"/>
    <col min="13331" max="13331" width="11" style="27" bestFit="1" customWidth="1"/>
    <col min="13332" max="13568" width="9.140625" style="27"/>
    <col min="13569" max="13569" width="12.5703125" style="27" customWidth="1"/>
    <col min="13570" max="13570" width="10.85546875" style="27" bestFit="1" customWidth="1"/>
    <col min="13571" max="13571" width="13.42578125" style="27" customWidth="1"/>
    <col min="13572" max="13572" width="9.85546875" style="27" customWidth="1"/>
    <col min="13573" max="13573" width="12.5703125" style="27" bestFit="1" customWidth="1"/>
    <col min="13574" max="13577" width="12.7109375" style="27" customWidth="1"/>
    <col min="13578" max="13578" width="9.140625" style="27"/>
    <col min="13579" max="13579" width="11" style="27" bestFit="1" customWidth="1"/>
    <col min="13580" max="13581" width="9.140625" style="27"/>
    <col min="13582" max="13582" width="18.85546875" style="27" bestFit="1" customWidth="1"/>
    <col min="13583" max="13583" width="14.140625" style="27" customWidth="1"/>
    <col min="13584" max="13584" width="16.85546875" style="27" customWidth="1"/>
    <col min="13585" max="13585" width="23.42578125" style="27" bestFit="1" customWidth="1"/>
    <col min="13586" max="13586" width="9.140625" style="27"/>
    <col min="13587" max="13587" width="11" style="27" bestFit="1" customWidth="1"/>
    <col min="13588" max="13824" width="9.140625" style="27"/>
    <col min="13825" max="13825" width="12.5703125" style="27" customWidth="1"/>
    <col min="13826" max="13826" width="10.85546875" style="27" bestFit="1" customWidth="1"/>
    <col min="13827" max="13827" width="13.42578125" style="27" customWidth="1"/>
    <col min="13828" max="13828" width="9.85546875" style="27" customWidth="1"/>
    <col min="13829" max="13829" width="12.5703125" style="27" bestFit="1" customWidth="1"/>
    <col min="13830" max="13833" width="12.7109375" style="27" customWidth="1"/>
    <col min="13834" max="13834" width="9.140625" style="27"/>
    <col min="13835" max="13835" width="11" style="27" bestFit="1" customWidth="1"/>
    <col min="13836" max="13837" width="9.140625" style="27"/>
    <col min="13838" max="13838" width="18.85546875" style="27" bestFit="1" customWidth="1"/>
    <col min="13839" max="13839" width="14.140625" style="27" customWidth="1"/>
    <col min="13840" max="13840" width="16.85546875" style="27" customWidth="1"/>
    <col min="13841" max="13841" width="23.42578125" style="27" bestFit="1" customWidth="1"/>
    <col min="13842" max="13842" width="9.140625" style="27"/>
    <col min="13843" max="13843" width="11" style="27" bestFit="1" customWidth="1"/>
    <col min="13844" max="14080" width="9.140625" style="27"/>
    <col min="14081" max="14081" width="12.5703125" style="27" customWidth="1"/>
    <col min="14082" max="14082" width="10.85546875" style="27" bestFit="1" customWidth="1"/>
    <col min="14083" max="14083" width="13.42578125" style="27" customWidth="1"/>
    <col min="14084" max="14084" width="9.85546875" style="27" customWidth="1"/>
    <col min="14085" max="14085" width="12.5703125" style="27" bestFit="1" customWidth="1"/>
    <col min="14086" max="14089" width="12.7109375" style="27" customWidth="1"/>
    <col min="14090" max="14090" width="9.140625" style="27"/>
    <col min="14091" max="14091" width="11" style="27" bestFit="1" customWidth="1"/>
    <col min="14092" max="14093" width="9.140625" style="27"/>
    <col min="14094" max="14094" width="18.85546875" style="27" bestFit="1" customWidth="1"/>
    <col min="14095" max="14095" width="14.140625" style="27" customWidth="1"/>
    <col min="14096" max="14096" width="16.85546875" style="27" customWidth="1"/>
    <col min="14097" max="14097" width="23.42578125" style="27" bestFit="1" customWidth="1"/>
    <col min="14098" max="14098" width="9.140625" style="27"/>
    <col min="14099" max="14099" width="11" style="27" bestFit="1" customWidth="1"/>
    <col min="14100" max="14336" width="9.140625" style="27"/>
    <col min="14337" max="14337" width="12.5703125" style="27" customWidth="1"/>
    <col min="14338" max="14338" width="10.85546875" style="27" bestFit="1" customWidth="1"/>
    <col min="14339" max="14339" width="13.42578125" style="27" customWidth="1"/>
    <col min="14340" max="14340" width="9.85546875" style="27" customWidth="1"/>
    <col min="14341" max="14341" width="12.5703125" style="27" bestFit="1" customWidth="1"/>
    <col min="14342" max="14345" width="12.7109375" style="27" customWidth="1"/>
    <col min="14346" max="14346" width="9.140625" style="27"/>
    <col min="14347" max="14347" width="11" style="27" bestFit="1" customWidth="1"/>
    <col min="14348" max="14349" width="9.140625" style="27"/>
    <col min="14350" max="14350" width="18.85546875" style="27" bestFit="1" customWidth="1"/>
    <col min="14351" max="14351" width="14.140625" style="27" customWidth="1"/>
    <col min="14352" max="14352" width="16.85546875" style="27" customWidth="1"/>
    <col min="14353" max="14353" width="23.42578125" style="27" bestFit="1" customWidth="1"/>
    <col min="14354" max="14354" width="9.140625" style="27"/>
    <col min="14355" max="14355" width="11" style="27" bestFit="1" customWidth="1"/>
    <col min="14356" max="14592" width="9.140625" style="27"/>
    <col min="14593" max="14593" width="12.5703125" style="27" customWidth="1"/>
    <col min="14594" max="14594" width="10.85546875" style="27" bestFit="1" customWidth="1"/>
    <col min="14595" max="14595" width="13.42578125" style="27" customWidth="1"/>
    <col min="14596" max="14596" width="9.85546875" style="27" customWidth="1"/>
    <col min="14597" max="14597" width="12.5703125" style="27" bestFit="1" customWidth="1"/>
    <col min="14598" max="14601" width="12.7109375" style="27" customWidth="1"/>
    <col min="14602" max="14602" width="9.140625" style="27"/>
    <col min="14603" max="14603" width="11" style="27" bestFit="1" customWidth="1"/>
    <col min="14604" max="14605" width="9.140625" style="27"/>
    <col min="14606" max="14606" width="18.85546875" style="27" bestFit="1" customWidth="1"/>
    <col min="14607" max="14607" width="14.140625" style="27" customWidth="1"/>
    <col min="14608" max="14608" width="16.85546875" style="27" customWidth="1"/>
    <col min="14609" max="14609" width="23.42578125" style="27" bestFit="1" customWidth="1"/>
    <col min="14610" max="14610" width="9.140625" style="27"/>
    <col min="14611" max="14611" width="11" style="27" bestFit="1" customWidth="1"/>
    <col min="14612" max="14848" width="9.140625" style="27"/>
    <col min="14849" max="14849" width="12.5703125" style="27" customWidth="1"/>
    <col min="14850" max="14850" width="10.85546875" style="27" bestFit="1" customWidth="1"/>
    <col min="14851" max="14851" width="13.42578125" style="27" customWidth="1"/>
    <col min="14852" max="14852" width="9.85546875" style="27" customWidth="1"/>
    <col min="14853" max="14853" width="12.5703125" style="27" bestFit="1" customWidth="1"/>
    <col min="14854" max="14857" width="12.7109375" style="27" customWidth="1"/>
    <col min="14858" max="14858" width="9.140625" style="27"/>
    <col min="14859" max="14859" width="11" style="27" bestFit="1" customWidth="1"/>
    <col min="14860" max="14861" width="9.140625" style="27"/>
    <col min="14862" max="14862" width="18.85546875" style="27" bestFit="1" customWidth="1"/>
    <col min="14863" max="14863" width="14.140625" style="27" customWidth="1"/>
    <col min="14864" max="14864" width="16.85546875" style="27" customWidth="1"/>
    <col min="14865" max="14865" width="23.42578125" style="27" bestFit="1" customWidth="1"/>
    <col min="14866" max="14866" width="9.140625" style="27"/>
    <col min="14867" max="14867" width="11" style="27" bestFit="1" customWidth="1"/>
    <col min="14868" max="15104" width="9.140625" style="27"/>
    <col min="15105" max="15105" width="12.5703125" style="27" customWidth="1"/>
    <col min="15106" max="15106" width="10.85546875" style="27" bestFit="1" customWidth="1"/>
    <col min="15107" max="15107" width="13.42578125" style="27" customWidth="1"/>
    <col min="15108" max="15108" width="9.85546875" style="27" customWidth="1"/>
    <col min="15109" max="15109" width="12.5703125" style="27" bestFit="1" customWidth="1"/>
    <col min="15110" max="15113" width="12.7109375" style="27" customWidth="1"/>
    <col min="15114" max="15114" width="9.140625" style="27"/>
    <col min="15115" max="15115" width="11" style="27" bestFit="1" customWidth="1"/>
    <col min="15116" max="15117" width="9.140625" style="27"/>
    <col min="15118" max="15118" width="18.85546875" style="27" bestFit="1" customWidth="1"/>
    <col min="15119" max="15119" width="14.140625" style="27" customWidth="1"/>
    <col min="15120" max="15120" width="16.85546875" style="27" customWidth="1"/>
    <col min="15121" max="15121" width="23.42578125" style="27" bestFit="1" customWidth="1"/>
    <col min="15122" max="15122" width="9.140625" style="27"/>
    <col min="15123" max="15123" width="11" style="27" bestFit="1" customWidth="1"/>
    <col min="15124" max="15360" width="9.140625" style="27"/>
    <col min="15361" max="15361" width="12.5703125" style="27" customWidth="1"/>
    <col min="15362" max="15362" width="10.85546875" style="27" bestFit="1" customWidth="1"/>
    <col min="15363" max="15363" width="13.42578125" style="27" customWidth="1"/>
    <col min="15364" max="15364" width="9.85546875" style="27" customWidth="1"/>
    <col min="15365" max="15365" width="12.5703125" style="27" bestFit="1" customWidth="1"/>
    <col min="15366" max="15369" width="12.7109375" style="27" customWidth="1"/>
    <col min="15370" max="15370" width="9.140625" style="27"/>
    <col min="15371" max="15371" width="11" style="27" bestFit="1" customWidth="1"/>
    <col min="15372" max="15373" width="9.140625" style="27"/>
    <col min="15374" max="15374" width="18.85546875" style="27" bestFit="1" customWidth="1"/>
    <col min="15375" max="15375" width="14.140625" style="27" customWidth="1"/>
    <col min="15376" max="15376" width="16.85546875" style="27" customWidth="1"/>
    <col min="15377" max="15377" width="23.42578125" style="27" bestFit="1" customWidth="1"/>
    <col min="15378" max="15378" width="9.140625" style="27"/>
    <col min="15379" max="15379" width="11" style="27" bestFit="1" customWidth="1"/>
    <col min="15380" max="15616" width="9.140625" style="27"/>
    <col min="15617" max="15617" width="12.5703125" style="27" customWidth="1"/>
    <col min="15618" max="15618" width="10.85546875" style="27" bestFit="1" customWidth="1"/>
    <col min="15619" max="15619" width="13.42578125" style="27" customWidth="1"/>
    <col min="15620" max="15620" width="9.85546875" style="27" customWidth="1"/>
    <col min="15621" max="15621" width="12.5703125" style="27" bestFit="1" customWidth="1"/>
    <col min="15622" max="15625" width="12.7109375" style="27" customWidth="1"/>
    <col min="15626" max="15626" width="9.140625" style="27"/>
    <col min="15627" max="15627" width="11" style="27" bestFit="1" customWidth="1"/>
    <col min="15628" max="15629" width="9.140625" style="27"/>
    <col min="15630" max="15630" width="18.85546875" style="27" bestFit="1" customWidth="1"/>
    <col min="15631" max="15631" width="14.140625" style="27" customWidth="1"/>
    <col min="15632" max="15632" width="16.85546875" style="27" customWidth="1"/>
    <col min="15633" max="15633" width="23.42578125" style="27" bestFit="1" customWidth="1"/>
    <col min="15634" max="15634" width="9.140625" style="27"/>
    <col min="15635" max="15635" width="11" style="27" bestFit="1" customWidth="1"/>
    <col min="15636" max="15872" width="9.140625" style="27"/>
    <col min="15873" max="15873" width="12.5703125" style="27" customWidth="1"/>
    <col min="15874" max="15874" width="10.85546875" style="27" bestFit="1" customWidth="1"/>
    <col min="15875" max="15875" width="13.42578125" style="27" customWidth="1"/>
    <col min="15876" max="15876" width="9.85546875" style="27" customWidth="1"/>
    <col min="15877" max="15877" width="12.5703125" style="27" bestFit="1" customWidth="1"/>
    <col min="15878" max="15881" width="12.7109375" style="27" customWidth="1"/>
    <col min="15882" max="15882" width="9.140625" style="27"/>
    <col min="15883" max="15883" width="11" style="27" bestFit="1" customWidth="1"/>
    <col min="15884" max="15885" width="9.140625" style="27"/>
    <col min="15886" max="15886" width="18.85546875" style="27" bestFit="1" customWidth="1"/>
    <col min="15887" max="15887" width="14.140625" style="27" customWidth="1"/>
    <col min="15888" max="15888" width="16.85546875" style="27" customWidth="1"/>
    <col min="15889" max="15889" width="23.42578125" style="27" bestFit="1" customWidth="1"/>
    <col min="15890" max="15890" width="9.140625" style="27"/>
    <col min="15891" max="15891" width="11" style="27" bestFit="1" customWidth="1"/>
    <col min="15892" max="16128" width="9.140625" style="27"/>
    <col min="16129" max="16129" width="12.5703125" style="27" customWidth="1"/>
    <col min="16130" max="16130" width="10.85546875" style="27" bestFit="1" customWidth="1"/>
    <col min="16131" max="16131" width="13.42578125" style="27" customWidth="1"/>
    <col min="16132" max="16132" width="9.85546875" style="27" customWidth="1"/>
    <col min="16133" max="16133" width="12.5703125" style="27" bestFit="1" customWidth="1"/>
    <col min="16134" max="16137" width="12.7109375" style="27" customWidth="1"/>
    <col min="16138" max="16138" width="9.140625" style="27"/>
    <col min="16139" max="16139" width="11" style="27" bestFit="1" customWidth="1"/>
    <col min="16140" max="16141" width="9.140625" style="27"/>
    <col min="16142" max="16142" width="18.85546875" style="27" bestFit="1" customWidth="1"/>
    <col min="16143" max="16143" width="14.140625" style="27" customWidth="1"/>
    <col min="16144" max="16144" width="16.85546875" style="27" customWidth="1"/>
    <col min="16145" max="16145" width="23.42578125" style="27" bestFit="1" customWidth="1"/>
    <col min="16146" max="16146" width="9.140625" style="27"/>
    <col min="16147" max="16147" width="11" style="27" bestFit="1" customWidth="1"/>
    <col min="16148" max="16384" width="9.140625" style="27"/>
  </cols>
  <sheetData>
    <row r="1" spans="1:15" x14ac:dyDescent="0.2">
      <c r="A1" s="67" t="s">
        <v>81</v>
      </c>
      <c r="B1" s="68"/>
      <c r="C1" s="68"/>
      <c r="D1" s="68"/>
      <c r="E1" s="68"/>
      <c r="F1" s="68"/>
      <c r="G1" s="68"/>
    </row>
    <row r="2" spans="1:15" x14ac:dyDescent="0.2">
      <c r="A2" s="63" t="s">
        <v>26</v>
      </c>
      <c r="B2" s="64"/>
      <c r="C2" s="64"/>
      <c r="D2" s="64"/>
      <c r="E2" s="64"/>
      <c r="F2" s="64"/>
      <c r="G2" s="64"/>
    </row>
    <row r="5" spans="1:15" x14ac:dyDescent="0.2">
      <c r="A5" s="99" t="s">
        <v>83</v>
      </c>
      <c r="B5" s="100"/>
      <c r="C5" s="100"/>
      <c r="D5" s="100"/>
      <c r="E5" s="100"/>
      <c r="F5" s="100"/>
      <c r="G5" s="100"/>
      <c r="H5" s="113" t="s">
        <v>89</v>
      </c>
      <c r="I5" s="115"/>
      <c r="N5" s="121" t="s">
        <v>109</v>
      </c>
      <c r="O5" s="93"/>
    </row>
    <row r="6" spans="1:15" x14ac:dyDescent="0.2">
      <c r="A6" s="26" t="s">
        <v>0</v>
      </c>
      <c r="H6" s="69" t="s">
        <v>118</v>
      </c>
      <c r="I6" s="93"/>
      <c r="J6" s="93"/>
    </row>
    <row r="7" spans="1:15" x14ac:dyDescent="0.2">
      <c r="A7" s="27" t="s">
        <v>6</v>
      </c>
      <c r="B7" s="94">
        <v>1</v>
      </c>
      <c r="H7" s="69"/>
      <c r="I7" s="93"/>
      <c r="J7" s="93"/>
    </row>
    <row r="8" spans="1:15" x14ac:dyDescent="0.2">
      <c r="A8" s="27" t="s">
        <v>1</v>
      </c>
      <c r="B8" s="93">
        <v>50</v>
      </c>
    </row>
    <row r="9" spans="1:15" x14ac:dyDescent="0.2">
      <c r="A9" s="27" t="s">
        <v>2</v>
      </c>
      <c r="B9" s="93">
        <v>15</v>
      </c>
    </row>
    <row r="10" spans="1:15" x14ac:dyDescent="0.2">
      <c r="A10" s="27" t="s">
        <v>4</v>
      </c>
      <c r="B10" s="93">
        <v>10</v>
      </c>
      <c r="H10" s="115" t="s">
        <v>99</v>
      </c>
      <c r="I10" s="115"/>
    </row>
    <row r="11" spans="1:15" x14ac:dyDescent="0.2">
      <c r="A11" s="27" t="s">
        <v>3</v>
      </c>
      <c r="B11" s="93">
        <v>1000</v>
      </c>
      <c r="H11" s="93" t="s">
        <v>108</v>
      </c>
      <c r="I11" s="93"/>
      <c r="J11" s="93"/>
      <c r="K11" s="93"/>
    </row>
    <row r="12" spans="1:15" x14ac:dyDescent="0.2">
      <c r="A12" s="102" t="s">
        <v>11</v>
      </c>
      <c r="B12" s="26"/>
      <c r="C12" s="102" t="s">
        <v>12</v>
      </c>
      <c r="H12" s="93"/>
      <c r="I12" s="93"/>
      <c r="J12" s="93"/>
      <c r="K12" s="93"/>
    </row>
    <row r="13" spans="1:15" x14ac:dyDescent="0.2">
      <c r="A13" s="27" t="s">
        <v>13</v>
      </c>
      <c r="B13" s="95">
        <v>0.02</v>
      </c>
      <c r="C13" s="91">
        <v>0.05</v>
      </c>
    </row>
    <row r="14" spans="1:15" x14ac:dyDescent="0.2">
      <c r="A14" s="27" t="s">
        <v>10</v>
      </c>
      <c r="B14" s="81" t="s">
        <v>9</v>
      </c>
      <c r="C14" s="81" t="s">
        <v>87</v>
      </c>
    </row>
    <row r="15" spans="1:15" x14ac:dyDescent="0.2">
      <c r="A15" s="27" t="s">
        <v>88</v>
      </c>
      <c r="B15" s="81"/>
      <c r="C15" s="92">
        <v>0.7</v>
      </c>
    </row>
    <row r="16" spans="1:15" x14ac:dyDescent="0.2">
      <c r="A16" s="27" t="s">
        <v>19</v>
      </c>
      <c r="B16" s="91">
        <v>0.55000000000000004</v>
      </c>
      <c r="C16" s="81">
        <v>0.55000000000000004</v>
      </c>
      <c r="D16" s="1" t="s">
        <v>27</v>
      </c>
    </row>
    <row r="17" spans="1:18" x14ac:dyDescent="0.2">
      <c r="A17" s="27" t="s">
        <v>20</v>
      </c>
      <c r="B17" s="91">
        <v>0.04</v>
      </c>
      <c r="C17" s="81">
        <v>0.04</v>
      </c>
      <c r="D17" s="1" t="s">
        <v>27</v>
      </c>
    </row>
    <row r="18" spans="1:18" x14ac:dyDescent="0.2">
      <c r="A18" s="27" t="s">
        <v>21</v>
      </c>
      <c r="B18" s="92">
        <v>1.5E-3</v>
      </c>
      <c r="C18" s="82">
        <v>3.0000000000000001E-3</v>
      </c>
      <c r="D18" s="114" t="s">
        <v>90</v>
      </c>
    </row>
    <row r="19" spans="1:18" x14ac:dyDescent="0.2">
      <c r="A19" s="27" t="s">
        <v>8</v>
      </c>
      <c r="B19" s="90">
        <f>Riserve!B18</f>
        <v>747.70964756819819</v>
      </c>
      <c r="C19" s="114" t="s">
        <v>91</v>
      </c>
      <c r="D19" s="83"/>
      <c r="F19" s="83"/>
      <c r="G19" s="83"/>
      <c r="H19" s="83"/>
    </row>
    <row r="20" spans="1:18" x14ac:dyDescent="0.2">
      <c r="A20" s="27" t="s">
        <v>7</v>
      </c>
      <c r="B20" s="90">
        <f>Riserve!B19</f>
        <v>82.451936865651518</v>
      </c>
      <c r="C20" s="114" t="s">
        <v>92</v>
      </c>
      <c r="D20" s="83"/>
      <c r="F20" s="83"/>
      <c r="G20" s="83"/>
      <c r="H20" s="83"/>
    </row>
    <row r="21" spans="1:18" x14ac:dyDescent="0.2">
      <c r="A21" s="27" t="s">
        <v>22</v>
      </c>
      <c r="B21" s="90">
        <f>Riserve!B20</f>
        <v>852.84909232911707</v>
      </c>
      <c r="C21" s="114" t="s">
        <v>93</v>
      </c>
      <c r="D21" s="83"/>
      <c r="F21" s="83"/>
      <c r="G21" s="83"/>
      <c r="H21" s="83"/>
    </row>
    <row r="22" spans="1:18" x14ac:dyDescent="0.2">
      <c r="A22" s="27" t="s">
        <v>23</v>
      </c>
      <c r="B22" s="90">
        <f>Riserve!B21</f>
        <v>94.045943830402152</v>
      </c>
      <c r="C22" s="114" t="s">
        <v>94</v>
      </c>
      <c r="D22" s="83"/>
      <c r="F22" s="83"/>
      <c r="G22" s="83"/>
      <c r="H22" s="83"/>
    </row>
    <row r="23" spans="1:18" ht="15.75" x14ac:dyDescent="0.3">
      <c r="A23" s="78" t="s">
        <v>82</v>
      </c>
      <c r="B23" s="77"/>
      <c r="C23" s="78" t="s">
        <v>78</v>
      </c>
      <c r="D23" s="78" t="s">
        <v>79</v>
      </c>
      <c r="E23" s="78" t="s">
        <v>80</v>
      </c>
      <c r="F23" s="83"/>
      <c r="G23" s="83"/>
      <c r="H23" s="83"/>
    </row>
    <row r="24" spans="1:18" ht="15.75" x14ac:dyDescent="0.25">
      <c r="A24" s="96" t="s">
        <v>24</v>
      </c>
      <c r="B24" s="98">
        <f>Riserve!B23</f>
        <v>0.12328024466061713</v>
      </c>
      <c r="C24" s="98">
        <f>Riserve!C23</f>
        <v>6.064996676664134E-2</v>
      </c>
      <c r="D24" s="98">
        <f>Riserve!D23</f>
        <v>0.04</v>
      </c>
      <c r="E24" s="98">
        <f>Riserve!E23</f>
        <v>2.2630277893975689E-2</v>
      </c>
      <c r="F24" s="85"/>
    </row>
    <row r="25" spans="1:18" ht="15.75" x14ac:dyDescent="0.25">
      <c r="A25" s="84" t="s">
        <v>122</v>
      </c>
      <c r="B25" s="86">
        <f>B22-B20</f>
        <v>11.594006964750633</v>
      </c>
      <c r="C25" s="128" t="s">
        <v>121</v>
      </c>
      <c r="D25" s="129"/>
      <c r="E25" s="85"/>
    </row>
    <row r="26" spans="1:18" ht="15.75" x14ac:dyDescent="0.25">
      <c r="A26" s="84"/>
      <c r="B26" s="85"/>
      <c r="C26" s="85"/>
      <c r="D26" s="86"/>
      <c r="E26" s="85"/>
    </row>
    <row r="28" spans="1:18" x14ac:dyDescent="0.2">
      <c r="A28" s="26" t="s">
        <v>96</v>
      </c>
    </row>
    <row r="29" spans="1:18" x14ac:dyDescent="0.2">
      <c r="A29" s="104" t="s">
        <v>5</v>
      </c>
      <c r="B29" s="105" t="s">
        <v>16</v>
      </c>
      <c r="C29" s="106" t="s">
        <v>15</v>
      </c>
      <c r="D29" s="106" t="s">
        <v>17</v>
      </c>
      <c r="E29" s="105" t="s">
        <v>73</v>
      </c>
      <c r="F29" s="106" t="s">
        <v>74</v>
      </c>
      <c r="G29" s="106" t="s">
        <v>85</v>
      </c>
      <c r="H29" s="106" t="s">
        <v>103</v>
      </c>
      <c r="I29" s="106" t="s">
        <v>104</v>
      </c>
      <c r="J29" s="106" t="s">
        <v>105</v>
      </c>
      <c r="K29" s="119" t="s">
        <v>7</v>
      </c>
      <c r="L29" s="117" t="s">
        <v>106</v>
      </c>
      <c r="M29" s="118" t="s">
        <v>107</v>
      </c>
      <c r="N29" s="118" t="s">
        <v>25</v>
      </c>
      <c r="O29" s="106" t="s">
        <v>23</v>
      </c>
    </row>
    <row r="30" spans="1:18" x14ac:dyDescent="0.2">
      <c r="A30" s="87">
        <v>0</v>
      </c>
      <c r="B30" s="103">
        <f>Riserve!B27</f>
        <v>0</v>
      </c>
      <c r="C30" s="88"/>
      <c r="D30" s="89">
        <f t="shared" ref="D30:D43" si="0">(INDEX(lx,($B$8+A30+1))-INDEX(lx,($B$8+1+A30+1)))/INDEX(lx,($B$8+A30+1))</f>
        <v>1.9549538064757262E-3</v>
      </c>
      <c r="E30" s="103"/>
      <c r="F30" s="97"/>
      <c r="G30" s="97"/>
      <c r="H30" s="97"/>
      <c r="I30" s="123"/>
      <c r="J30" s="123"/>
      <c r="K30" s="124"/>
      <c r="L30" s="125"/>
      <c r="M30" s="126"/>
      <c r="N30" s="126"/>
      <c r="O30" s="123"/>
      <c r="P30" s="86"/>
      <c r="Q30" s="86"/>
      <c r="R30" s="86"/>
    </row>
    <row r="31" spans="1:18" x14ac:dyDescent="0.2">
      <c r="A31" s="87">
        <f t="shared" ref="A31:A45" si="1">A30+1</f>
        <v>1</v>
      </c>
      <c r="B31" s="103">
        <f>Riserve!B28</f>
        <v>77.519764701513608</v>
      </c>
      <c r="C31" s="103">
        <f>$B$11-B31</f>
        <v>922.48023529848638</v>
      </c>
      <c r="D31" s="89">
        <f t="shared" si="0"/>
        <v>2.0669750638913362E-3</v>
      </c>
      <c r="E31" s="103"/>
      <c r="F31" s="97"/>
      <c r="G31" s="97"/>
      <c r="H31" s="97"/>
      <c r="I31" s="123"/>
      <c r="J31" s="123"/>
      <c r="K31" s="124"/>
      <c r="L31" s="125"/>
      <c r="M31" s="126"/>
      <c r="N31" s="126"/>
      <c r="O31" s="123"/>
    </row>
    <row r="32" spans="1:18" x14ac:dyDescent="0.2">
      <c r="A32" s="87">
        <f t="shared" si="1"/>
        <v>2</v>
      </c>
      <c r="B32" s="103">
        <f>Riserve!B29</f>
        <v>156.53684423243581</v>
      </c>
      <c r="C32" s="103">
        <f t="shared" ref="C32:C45" si="2">$B$11-B32</f>
        <v>843.46315576756422</v>
      </c>
      <c r="D32" s="89">
        <f t="shared" si="0"/>
        <v>2.1990434811770044E-3</v>
      </c>
      <c r="E32" s="103"/>
      <c r="F32" s="97"/>
      <c r="G32" s="97"/>
      <c r="H32" s="97"/>
      <c r="I32" s="123"/>
      <c r="J32" s="123"/>
      <c r="K32" s="124"/>
      <c r="L32" s="125"/>
      <c r="M32" s="126"/>
      <c r="N32" s="126"/>
      <c r="O32" s="123"/>
    </row>
    <row r="33" spans="1:15" x14ac:dyDescent="0.2">
      <c r="A33" s="87">
        <f t="shared" si="1"/>
        <v>3</v>
      </c>
      <c r="B33" s="103">
        <f>Riserve!B30</f>
        <v>237.16315422403952</v>
      </c>
      <c r="C33" s="103">
        <f t="shared" si="2"/>
        <v>762.83684577596046</v>
      </c>
      <c r="D33" s="89">
        <f t="shared" si="0"/>
        <v>2.3570088762017954E-3</v>
      </c>
      <c r="E33" s="103"/>
      <c r="F33" s="97"/>
      <c r="G33" s="97"/>
      <c r="H33" s="97"/>
      <c r="I33" s="123"/>
      <c r="J33" s="123"/>
      <c r="K33" s="124"/>
      <c r="L33" s="125"/>
      <c r="M33" s="126"/>
      <c r="N33" s="126"/>
      <c r="O33" s="123"/>
    </row>
    <row r="34" spans="1:15" x14ac:dyDescent="0.2">
      <c r="A34" s="87">
        <f t="shared" si="1"/>
        <v>4</v>
      </c>
      <c r="B34" s="103">
        <f>Riserve!B31</f>
        <v>319.53845646902562</v>
      </c>
      <c r="C34" s="103">
        <f t="shared" si="2"/>
        <v>680.46154353097438</v>
      </c>
      <c r="D34" s="89">
        <f t="shared" si="0"/>
        <v>2.5439923081792964E-3</v>
      </c>
      <c r="E34" s="103"/>
      <c r="F34" s="97"/>
      <c r="G34" s="97"/>
      <c r="H34" s="97"/>
      <c r="I34" s="123"/>
      <c r="J34" s="123"/>
      <c r="K34" s="124"/>
      <c r="L34" s="125"/>
      <c r="M34" s="126"/>
      <c r="N34" s="126"/>
      <c r="O34" s="123"/>
    </row>
    <row r="35" spans="1:15" x14ac:dyDescent="0.2">
      <c r="A35" s="87">
        <f t="shared" si="1"/>
        <v>5</v>
      </c>
      <c r="B35" s="103">
        <f>Riserve!B32</f>
        <v>403.80860313976206</v>
      </c>
      <c r="C35" s="103">
        <f t="shared" si="2"/>
        <v>596.191396860238</v>
      </c>
      <c r="D35" s="89">
        <f t="shared" si="0"/>
        <v>2.7960258400322071E-3</v>
      </c>
      <c r="E35" s="103"/>
      <c r="F35" s="97"/>
      <c r="G35" s="97"/>
      <c r="H35" s="97"/>
      <c r="I35" s="123"/>
      <c r="J35" s="123"/>
      <c r="K35" s="124"/>
      <c r="L35" s="125"/>
      <c r="M35" s="126"/>
      <c r="N35" s="126"/>
      <c r="O35" s="123"/>
    </row>
    <row r="36" spans="1:15" x14ac:dyDescent="0.2">
      <c r="A36" s="87">
        <f t="shared" si="1"/>
        <v>6</v>
      </c>
      <c r="B36" s="103">
        <f>Riserve!B33</f>
        <v>490.18387196925818</v>
      </c>
      <c r="C36" s="103">
        <f t="shared" si="2"/>
        <v>509.81612803074182</v>
      </c>
      <c r="D36" s="89">
        <f t="shared" si="0"/>
        <v>3.093960471355019E-3</v>
      </c>
      <c r="E36" s="103"/>
      <c r="F36" s="97"/>
      <c r="G36" s="97"/>
      <c r="H36" s="97"/>
      <c r="I36" s="123"/>
      <c r="J36" s="123"/>
      <c r="K36" s="124"/>
      <c r="L36" s="125"/>
      <c r="M36" s="126"/>
      <c r="N36" s="126"/>
      <c r="O36" s="123"/>
    </row>
    <row r="37" spans="1:15" x14ac:dyDescent="0.2">
      <c r="A37" s="87">
        <f t="shared" si="1"/>
        <v>7</v>
      </c>
      <c r="B37" s="103">
        <f>Riserve!B34</f>
        <v>578.8549497477436</v>
      </c>
      <c r="C37" s="103">
        <f t="shared" si="2"/>
        <v>421.1450502522564</v>
      </c>
      <c r="D37" s="89">
        <f t="shared" si="0"/>
        <v>3.4090128560193482E-3</v>
      </c>
      <c r="E37" s="103"/>
      <c r="F37" s="97"/>
      <c r="G37" s="97"/>
      <c r="H37" s="97"/>
      <c r="I37" s="123"/>
      <c r="J37" s="123"/>
      <c r="K37" s="124"/>
      <c r="L37" s="125"/>
      <c r="M37" s="126"/>
      <c r="N37" s="126"/>
      <c r="O37" s="123"/>
    </row>
    <row r="38" spans="1:15" x14ac:dyDescent="0.2">
      <c r="A38" s="87">
        <f t="shared" si="1"/>
        <v>8</v>
      </c>
      <c r="B38" s="103">
        <f>Riserve!B35</f>
        <v>670.04735939804846</v>
      </c>
      <c r="C38" s="103">
        <f t="shared" si="2"/>
        <v>329.95264060195154</v>
      </c>
      <c r="D38" s="89">
        <f t="shared" si="0"/>
        <v>3.7179581784228888E-3</v>
      </c>
      <c r="E38" s="103"/>
      <c r="F38" s="97"/>
      <c r="G38" s="97"/>
      <c r="H38" s="97"/>
      <c r="I38" s="123"/>
      <c r="J38" s="123"/>
      <c r="K38" s="124"/>
      <c r="L38" s="125"/>
      <c r="M38" s="126"/>
      <c r="N38" s="126"/>
      <c r="O38" s="123"/>
    </row>
    <row r="39" spans="1:15" x14ac:dyDescent="0.2">
      <c r="A39" s="87">
        <f t="shared" si="1"/>
        <v>9</v>
      </c>
      <c r="B39" s="103">
        <f>Riserve!B36</f>
        <v>764.04087472055642</v>
      </c>
      <c r="C39" s="103">
        <f t="shared" si="2"/>
        <v>235.95912527944358</v>
      </c>
      <c r="D39" s="89">
        <f t="shared" si="0"/>
        <v>3.9869765213744407E-3</v>
      </c>
      <c r="E39" s="103"/>
      <c r="F39" s="97"/>
      <c r="G39" s="97"/>
      <c r="H39" s="97"/>
      <c r="I39" s="123"/>
      <c r="J39" s="123"/>
      <c r="K39" s="124"/>
      <c r="L39" s="125"/>
      <c r="M39" s="126"/>
      <c r="N39" s="126"/>
      <c r="O39" s="123"/>
    </row>
    <row r="40" spans="1:15" x14ac:dyDescent="0.2">
      <c r="A40" s="87">
        <f t="shared" si="1"/>
        <v>10</v>
      </c>
      <c r="B40" s="103">
        <f>Riserve!B37</f>
        <v>861.15326115191874</v>
      </c>
      <c r="C40" s="103">
        <f t="shared" si="2"/>
        <v>138.84673884808126</v>
      </c>
      <c r="D40" s="89">
        <f t="shared" si="0"/>
        <v>4.3529889991005665E-3</v>
      </c>
      <c r="E40" s="103"/>
      <c r="F40" s="97"/>
      <c r="G40" s="97"/>
      <c r="H40" s="97"/>
      <c r="I40" s="123"/>
      <c r="J40" s="123"/>
      <c r="K40" s="124"/>
      <c r="L40" s="125"/>
      <c r="M40" s="126"/>
      <c r="N40" s="126"/>
      <c r="O40" s="123"/>
    </row>
    <row r="41" spans="1:15" x14ac:dyDescent="0.2">
      <c r="A41" s="87">
        <f t="shared" si="1"/>
        <v>11</v>
      </c>
      <c r="B41" s="103">
        <f>Riserve!B38</f>
        <v>876.15148405013326</v>
      </c>
      <c r="C41" s="103">
        <f t="shared" si="2"/>
        <v>123.84851594986674</v>
      </c>
      <c r="D41" s="89">
        <f t="shared" si="0"/>
        <v>4.7970064519448023E-3</v>
      </c>
      <c r="E41" s="103"/>
      <c r="F41" s="97"/>
      <c r="G41" s="97"/>
      <c r="H41" s="97"/>
      <c r="I41" s="123"/>
      <c r="J41" s="123"/>
      <c r="K41" s="124"/>
      <c r="L41" s="125"/>
      <c r="M41" s="126"/>
      <c r="N41" s="126"/>
      <c r="O41" s="123"/>
    </row>
    <row r="42" spans="1:15" x14ac:dyDescent="0.2">
      <c r="A42" s="87">
        <f t="shared" si="1"/>
        <v>12</v>
      </c>
      <c r="B42" s="103">
        <f>Riserve!B39</f>
        <v>891.52743771704286</v>
      </c>
      <c r="C42" s="103">
        <f t="shared" si="2"/>
        <v>108.47256228295714</v>
      </c>
      <c r="D42" s="89">
        <f t="shared" si="0"/>
        <v>5.3040150295500027E-3</v>
      </c>
      <c r="E42" s="103"/>
      <c r="F42" s="97"/>
      <c r="G42" s="97"/>
      <c r="H42" s="97"/>
      <c r="I42" s="123"/>
      <c r="J42" s="123"/>
      <c r="K42" s="124"/>
      <c r="L42" s="125"/>
      <c r="M42" s="126"/>
      <c r="N42" s="126"/>
      <c r="O42" s="123"/>
    </row>
    <row r="43" spans="1:15" x14ac:dyDescent="0.2">
      <c r="A43" s="87">
        <f t="shared" si="1"/>
        <v>13</v>
      </c>
      <c r="B43" s="103">
        <f>Riserve!B40</f>
        <v>907.33641635803406</v>
      </c>
      <c r="C43" s="103">
        <f t="shared" si="2"/>
        <v>92.663583641965943</v>
      </c>
      <c r="D43" s="89">
        <f t="shared" si="0"/>
        <v>5.8909656632940973E-3</v>
      </c>
      <c r="E43" s="103"/>
      <c r="F43" s="97"/>
      <c r="G43" s="97"/>
      <c r="H43" s="97"/>
      <c r="I43" s="123"/>
      <c r="J43" s="123"/>
      <c r="K43" s="124"/>
      <c r="L43" s="125"/>
      <c r="M43" s="126"/>
      <c r="N43" s="126"/>
      <c r="O43" s="123"/>
    </row>
    <row r="44" spans="1:15" x14ac:dyDescent="0.2">
      <c r="A44" s="87">
        <f t="shared" si="1"/>
        <v>14</v>
      </c>
      <c r="B44" s="103">
        <f>Riserve!B41</f>
        <v>923.65479845313757</v>
      </c>
      <c r="C44" s="103">
        <f t="shared" si="2"/>
        <v>76.345201546862427</v>
      </c>
      <c r="D44" s="89">
        <f>(INDEX(lx,($B$8+A44+1))-INDEX(lx,($B$8+1+A44+1)))/INDEX(lx,($B$8+A44+1))</f>
        <v>6.5600471622147254E-3</v>
      </c>
      <c r="E44" s="103"/>
      <c r="F44" s="97"/>
      <c r="G44" s="97"/>
      <c r="H44" s="97"/>
      <c r="I44" s="123"/>
      <c r="J44" s="123"/>
      <c r="K44" s="124"/>
      <c r="L44" s="125"/>
      <c r="M44" s="126"/>
      <c r="N44" s="126"/>
      <c r="O44" s="123"/>
    </row>
    <row r="45" spans="1:15" x14ac:dyDescent="0.2">
      <c r="A45" s="87">
        <f t="shared" si="1"/>
        <v>15</v>
      </c>
      <c r="B45" s="103">
        <f>Riserve!B42</f>
        <v>940.56699808098767</v>
      </c>
      <c r="C45" s="103">
        <f t="shared" si="2"/>
        <v>59.433001919012327</v>
      </c>
      <c r="D45" s="89"/>
      <c r="E45" s="103"/>
      <c r="F45" s="97"/>
      <c r="G45" s="97"/>
      <c r="H45" s="97"/>
      <c r="I45" s="123"/>
      <c r="J45" s="123"/>
      <c r="K45" s="124"/>
      <c r="L45" s="124"/>
      <c r="M45" s="124"/>
      <c r="N45" s="124"/>
      <c r="O45" s="123"/>
    </row>
    <row r="53" spans="8:11" x14ac:dyDescent="0.2">
      <c r="H53" s="27">
        <f>3%/10*50000</f>
        <v>150</v>
      </c>
      <c r="J53" s="27">
        <f>3/1000*50000</f>
        <v>150</v>
      </c>
      <c r="K53" s="27">
        <f>3/1000*30000</f>
        <v>90</v>
      </c>
    </row>
  </sheetData>
  <pageMargins left="0.75" right="0.75" top="1" bottom="1" header="0.5" footer="0.5"/>
  <pageSetup paperSize="9" scale="80" orientation="landscape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Equation.3" shapeId="1025" r:id="rId4">
          <objectPr defaultSize="0" autoPict="0" r:id="rId5">
            <anchor moveWithCells="1">
              <from>
                <xdr:col>13</xdr:col>
                <xdr:colOff>9525</xdr:colOff>
                <xdr:row>6</xdr:row>
                <xdr:rowOff>19050</xdr:rowOff>
              </from>
              <to>
                <xdr:col>15</xdr:col>
                <xdr:colOff>19050</xdr:colOff>
                <xdr:row>8</xdr:row>
                <xdr:rowOff>133350</xdr:rowOff>
              </to>
            </anchor>
          </objectPr>
        </oleObject>
      </mc:Choice>
      <mc:Fallback>
        <oleObject progId="Equation.3" shapeId="1025" r:id="rId4"/>
      </mc:Fallback>
    </mc:AlternateContent>
    <mc:AlternateContent xmlns:mc="http://schemas.openxmlformats.org/markup-compatibility/2006">
      <mc:Choice Requires="x14">
        <oleObject progId="Equation.3" shapeId="1026" r:id="rId6">
          <objectPr defaultSize="0" r:id="rId7">
            <anchor moveWithCells="1">
              <from>
                <xdr:col>13</xdr:col>
                <xdr:colOff>19050</xdr:colOff>
                <xdr:row>10</xdr:row>
                <xdr:rowOff>28575</xdr:rowOff>
              </from>
              <to>
                <xdr:col>14</xdr:col>
                <xdr:colOff>904875</xdr:colOff>
                <xdr:row>13</xdr:row>
                <xdr:rowOff>28575</xdr:rowOff>
              </to>
            </anchor>
          </objectPr>
        </oleObject>
      </mc:Choice>
      <mc:Fallback>
        <oleObject progId="Equation.3" shapeId="1026" r:id="rId6"/>
      </mc:Fallback>
    </mc:AlternateContent>
    <mc:AlternateContent xmlns:mc="http://schemas.openxmlformats.org/markup-compatibility/2006">
      <mc:Choice Requires="x14">
        <oleObject progId="Equation.3" shapeId="1027" r:id="rId8">
          <objectPr defaultSize="0" r:id="rId9">
            <anchor moveWithCells="1">
              <from>
                <xdr:col>13</xdr:col>
                <xdr:colOff>28575</xdr:colOff>
                <xdr:row>14</xdr:row>
                <xdr:rowOff>76200</xdr:rowOff>
              </from>
              <to>
                <xdr:col>14</xdr:col>
                <xdr:colOff>914400</xdr:colOff>
                <xdr:row>17</xdr:row>
                <xdr:rowOff>76200</xdr:rowOff>
              </to>
            </anchor>
          </objectPr>
        </oleObject>
      </mc:Choice>
      <mc:Fallback>
        <oleObject progId="Equation.3" shapeId="1027" r:id="rId8"/>
      </mc:Fallback>
    </mc:AlternateContent>
    <mc:AlternateContent xmlns:mc="http://schemas.openxmlformats.org/markup-compatibility/2006">
      <mc:Choice Requires="x14">
        <oleObject progId="Equation.3" shapeId="1028" r:id="rId10">
          <objectPr defaultSize="0" r:id="rId11">
            <anchor moveWithCells="1">
              <from>
                <xdr:col>13</xdr:col>
                <xdr:colOff>28575</xdr:colOff>
                <xdr:row>18</xdr:row>
                <xdr:rowOff>95250</xdr:rowOff>
              </from>
              <to>
                <xdr:col>14</xdr:col>
                <xdr:colOff>914400</xdr:colOff>
                <xdr:row>21</xdr:row>
                <xdr:rowOff>95250</xdr:rowOff>
              </to>
            </anchor>
          </objectPr>
        </oleObject>
      </mc:Choice>
      <mc:Fallback>
        <oleObject progId="Equation.3" shapeId="1028" r:id="rId10"/>
      </mc:Fallback>
    </mc:AlternateContent>
  </oleObjec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4"/>
  <dimension ref="A1:V45"/>
  <sheetViews>
    <sheetView zoomScale="90" zoomScaleNormal="90" workbookViewId="0">
      <selection activeCell="I53" sqref="I53"/>
    </sheetView>
  </sheetViews>
  <sheetFormatPr defaultRowHeight="12.75" x14ac:dyDescent="0.2"/>
  <cols>
    <col min="1" max="1" width="12.5703125" style="27" customWidth="1"/>
    <col min="2" max="2" width="10.85546875" style="27" bestFit="1" customWidth="1"/>
    <col min="3" max="3" width="13.42578125" style="27" customWidth="1"/>
    <col min="4" max="4" width="9.85546875" style="27" customWidth="1"/>
    <col min="5" max="5" width="12.5703125" style="27" bestFit="1" customWidth="1"/>
    <col min="6" max="9" width="12.7109375" style="27" customWidth="1"/>
    <col min="10" max="10" width="9.140625" style="27"/>
    <col min="11" max="11" width="15" style="27" customWidth="1"/>
    <col min="12" max="12" width="14.7109375" style="27" customWidth="1"/>
    <col min="13" max="13" width="9.7109375" style="27" customWidth="1"/>
    <col min="14" max="14" width="17.42578125" style="27" customWidth="1"/>
    <col min="15" max="15" width="14.140625" style="27" customWidth="1"/>
    <col min="16" max="16" width="15" style="27" customWidth="1"/>
    <col min="17" max="17" width="17.28515625" style="27" customWidth="1"/>
    <col min="18" max="18" width="18.85546875" style="27" customWidth="1"/>
    <col min="19" max="19" width="11" style="27" bestFit="1" customWidth="1"/>
    <col min="20" max="256" width="9.140625" style="27"/>
    <col min="257" max="257" width="12.5703125" style="27" customWidth="1"/>
    <col min="258" max="258" width="10.85546875" style="27" bestFit="1" customWidth="1"/>
    <col min="259" max="259" width="13.42578125" style="27" customWidth="1"/>
    <col min="260" max="260" width="9.85546875" style="27" customWidth="1"/>
    <col min="261" max="261" width="12.5703125" style="27" bestFit="1" customWidth="1"/>
    <col min="262" max="265" width="12.7109375" style="27" customWidth="1"/>
    <col min="266" max="266" width="9.140625" style="27"/>
    <col min="267" max="267" width="11" style="27" bestFit="1" customWidth="1"/>
    <col min="268" max="269" width="9.140625" style="27"/>
    <col min="270" max="270" width="18.85546875" style="27" bestFit="1" customWidth="1"/>
    <col min="271" max="271" width="14.140625" style="27" customWidth="1"/>
    <col min="272" max="272" width="16.85546875" style="27" customWidth="1"/>
    <col min="273" max="273" width="23.42578125" style="27" bestFit="1" customWidth="1"/>
    <col min="274" max="274" width="9.140625" style="27"/>
    <col min="275" max="275" width="11" style="27" bestFit="1" customWidth="1"/>
    <col min="276" max="512" width="9.140625" style="27"/>
    <col min="513" max="513" width="12.5703125" style="27" customWidth="1"/>
    <col min="514" max="514" width="10.85546875" style="27" bestFit="1" customWidth="1"/>
    <col min="515" max="515" width="13.42578125" style="27" customWidth="1"/>
    <col min="516" max="516" width="9.85546875" style="27" customWidth="1"/>
    <col min="517" max="517" width="12.5703125" style="27" bestFit="1" customWidth="1"/>
    <col min="518" max="521" width="12.7109375" style="27" customWidth="1"/>
    <col min="522" max="522" width="9.140625" style="27"/>
    <col min="523" max="523" width="11" style="27" bestFit="1" customWidth="1"/>
    <col min="524" max="525" width="9.140625" style="27"/>
    <col min="526" max="526" width="18.85546875" style="27" bestFit="1" customWidth="1"/>
    <col min="527" max="527" width="14.140625" style="27" customWidth="1"/>
    <col min="528" max="528" width="16.85546875" style="27" customWidth="1"/>
    <col min="529" max="529" width="23.42578125" style="27" bestFit="1" customWidth="1"/>
    <col min="530" max="530" width="9.140625" style="27"/>
    <col min="531" max="531" width="11" style="27" bestFit="1" customWidth="1"/>
    <col min="532" max="768" width="9.140625" style="27"/>
    <col min="769" max="769" width="12.5703125" style="27" customWidth="1"/>
    <col min="770" max="770" width="10.85546875" style="27" bestFit="1" customWidth="1"/>
    <col min="771" max="771" width="13.42578125" style="27" customWidth="1"/>
    <col min="772" max="772" width="9.85546875" style="27" customWidth="1"/>
    <col min="773" max="773" width="12.5703125" style="27" bestFit="1" customWidth="1"/>
    <col min="774" max="777" width="12.7109375" style="27" customWidth="1"/>
    <col min="778" max="778" width="9.140625" style="27"/>
    <col min="779" max="779" width="11" style="27" bestFit="1" customWidth="1"/>
    <col min="780" max="781" width="9.140625" style="27"/>
    <col min="782" max="782" width="18.85546875" style="27" bestFit="1" customWidth="1"/>
    <col min="783" max="783" width="14.140625" style="27" customWidth="1"/>
    <col min="784" max="784" width="16.85546875" style="27" customWidth="1"/>
    <col min="785" max="785" width="23.42578125" style="27" bestFit="1" customWidth="1"/>
    <col min="786" max="786" width="9.140625" style="27"/>
    <col min="787" max="787" width="11" style="27" bestFit="1" customWidth="1"/>
    <col min="788" max="1024" width="9.140625" style="27"/>
    <col min="1025" max="1025" width="12.5703125" style="27" customWidth="1"/>
    <col min="1026" max="1026" width="10.85546875" style="27" bestFit="1" customWidth="1"/>
    <col min="1027" max="1027" width="13.42578125" style="27" customWidth="1"/>
    <col min="1028" max="1028" width="9.85546875" style="27" customWidth="1"/>
    <col min="1029" max="1029" width="12.5703125" style="27" bestFit="1" customWidth="1"/>
    <col min="1030" max="1033" width="12.7109375" style="27" customWidth="1"/>
    <col min="1034" max="1034" width="9.140625" style="27"/>
    <col min="1035" max="1035" width="11" style="27" bestFit="1" customWidth="1"/>
    <col min="1036" max="1037" width="9.140625" style="27"/>
    <col min="1038" max="1038" width="18.85546875" style="27" bestFit="1" customWidth="1"/>
    <col min="1039" max="1039" width="14.140625" style="27" customWidth="1"/>
    <col min="1040" max="1040" width="16.85546875" style="27" customWidth="1"/>
    <col min="1041" max="1041" width="23.42578125" style="27" bestFit="1" customWidth="1"/>
    <col min="1042" max="1042" width="9.140625" style="27"/>
    <col min="1043" max="1043" width="11" style="27" bestFit="1" customWidth="1"/>
    <col min="1044" max="1280" width="9.140625" style="27"/>
    <col min="1281" max="1281" width="12.5703125" style="27" customWidth="1"/>
    <col min="1282" max="1282" width="10.85546875" style="27" bestFit="1" customWidth="1"/>
    <col min="1283" max="1283" width="13.42578125" style="27" customWidth="1"/>
    <col min="1284" max="1284" width="9.85546875" style="27" customWidth="1"/>
    <col min="1285" max="1285" width="12.5703125" style="27" bestFit="1" customWidth="1"/>
    <col min="1286" max="1289" width="12.7109375" style="27" customWidth="1"/>
    <col min="1290" max="1290" width="9.140625" style="27"/>
    <col min="1291" max="1291" width="11" style="27" bestFit="1" customWidth="1"/>
    <col min="1292" max="1293" width="9.140625" style="27"/>
    <col min="1294" max="1294" width="18.85546875" style="27" bestFit="1" customWidth="1"/>
    <col min="1295" max="1295" width="14.140625" style="27" customWidth="1"/>
    <col min="1296" max="1296" width="16.85546875" style="27" customWidth="1"/>
    <col min="1297" max="1297" width="23.42578125" style="27" bestFit="1" customWidth="1"/>
    <col min="1298" max="1298" width="9.140625" style="27"/>
    <col min="1299" max="1299" width="11" style="27" bestFit="1" customWidth="1"/>
    <col min="1300" max="1536" width="9.140625" style="27"/>
    <col min="1537" max="1537" width="12.5703125" style="27" customWidth="1"/>
    <col min="1538" max="1538" width="10.85546875" style="27" bestFit="1" customWidth="1"/>
    <col min="1539" max="1539" width="13.42578125" style="27" customWidth="1"/>
    <col min="1540" max="1540" width="9.85546875" style="27" customWidth="1"/>
    <col min="1541" max="1541" width="12.5703125" style="27" bestFit="1" customWidth="1"/>
    <col min="1542" max="1545" width="12.7109375" style="27" customWidth="1"/>
    <col min="1546" max="1546" width="9.140625" style="27"/>
    <col min="1547" max="1547" width="11" style="27" bestFit="1" customWidth="1"/>
    <col min="1548" max="1549" width="9.140625" style="27"/>
    <col min="1550" max="1550" width="18.85546875" style="27" bestFit="1" customWidth="1"/>
    <col min="1551" max="1551" width="14.140625" style="27" customWidth="1"/>
    <col min="1552" max="1552" width="16.85546875" style="27" customWidth="1"/>
    <col min="1553" max="1553" width="23.42578125" style="27" bestFit="1" customWidth="1"/>
    <col min="1554" max="1554" width="9.140625" style="27"/>
    <col min="1555" max="1555" width="11" style="27" bestFit="1" customWidth="1"/>
    <col min="1556" max="1792" width="9.140625" style="27"/>
    <col min="1793" max="1793" width="12.5703125" style="27" customWidth="1"/>
    <col min="1794" max="1794" width="10.85546875" style="27" bestFit="1" customWidth="1"/>
    <col min="1795" max="1795" width="13.42578125" style="27" customWidth="1"/>
    <col min="1796" max="1796" width="9.85546875" style="27" customWidth="1"/>
    <col min="1797" max="1797" width="12.5703125" style="27" bestFit="1" customWidth="1"/>
    <col min="1798" max="1801" width="12.7109375" style="27" customWidth="1"/>
    <col min="1802" max="1802" width="9.140625" style="27"/>
    <col min="1803" max="1803" width="11" style="27" bestFit="1" customWidth="1"/>
    <col min="1804" max="1805" width="9.140625" style="27"/>
    <col min="1806" max="1806" width="18.85546875" style="27" bestFit="1" customWidth="1"/>
    <col min="1807" max="1807" width="14.140625" style="27" customWidth="1"/>
    <col min="1808" max="1808" width="16.85546875" style="27" customWidth="1"/>
    <col min="1809" max="1809" width="23.42578125" style="27" bestFit="1" customWidth="1"/>
    <col min="1810" max="1810" width="9.140625" style="27"/>
    <col min="1811" max="1811" width="11" style="27" bestFit="1" customWidth="1"/>
    <col min="1812" max="2048" width="9.140625" style="27"/>
    <col min="2049" max="2049" width="12.5703125" style="27" customWidth="1"/>
    <col min="2050" max="2050" width="10.85546875" style="27" bestFit="1" customWidth="1"/>
    <col min="2051" max="2051" width="13.42578125" style="27" customWidth="1"/>
    <col min="2052" max="2052" width="9.85546875" style="27" customWidth="1"/>
    <col min="2053" max="2053" width="12.5703125" style="27" bestFit="1" customWidth="1"/>
    <col min="2054" max="2057" width="12.7109375" style="27" customWidth="1"/>
    <col min="2058" max="2058" width="9.140625" style="27"/>
    <col min="2059" max="2059" width="11" style="27" bestFit="1" customWidth="1"/>
    <col min="2060" max="2061" width="9.140625" style="27"/>
    <col min="2062" max="2062" width="18.85546875" style="27" bestFit="1" customWidth="1"/>
    <col min="2063" max="2063" width="14.140625" style="27" customWidth="1"/>
    <col min="2064" max="2064" width="16.85546875" style="27" customWidth="1"/>
    <col min="2065" max="2065" width="23.42578125" style="27" bestFit="1" customWidth="1"/>
    <col min="2066" max="2066" width="9.140625" style="27"/>
    <col min="2067" max="2067" width="11" style="27" bestFit="1" customWidth="1"/>
    <col min="2068" max="2304" width="9.140625" style="27"/>
    <col min="2305" max="2305" width="12.5703125" style="27" customWidth="1"/>
    <col min="2306" max="2306" width="10.85546875" style="27" bestFit="1" customWidth="1"/>
    <col min="2307" max="2307" width="13.42578125" style="27" customWidth="1"/>
    <col min="2308" max="2308" width="9.85546875" style="27" customWidth="1"/>
    <col min="2309" max="2309" width="12.5703125" style="27" bestFit="1" customWidth="1"/>
    <col min="2310" max="2313" width="12.7109375" style="27" customWidth="1"/>
    <col min="2314" max="2314" width="9.140625" style="27"/>
    <col min="2315" max="2315" width="11" style="27" bestFit="1" customWidth="1"/>
    <col min="2316" max="2317" width="9.140625" style="27"/>
    <col min="2318" max="2318" width="18.85546875" style="27" bestFit="1" customWidth="1"/>
    <col min="2319" max="2319" width="14.140625" style="27" customWidth="1"/>
    <col min="2320" max="2320" width="16.85546875" style="27" customWidth="1"/>
    <col min="2321" max="2321" width="23.42578125" style="27" bestFit="1" customWidth="1"/>
    <col min="2322" max="2322" width="9.140625" style="27"/>
    <col min="2323" max="2323" width="11" style="27" bestFit="1" customWidth="1"/>
    <col min="2324" max="2560" width="9.140625" style="27"/>
    <col min="2561" max="2561" width="12.5703125" style="27" customWidth="1"/>
    <col min="2562" max="2562" width="10.85546875" style="27" bestFit="1" customWidth="1"/>
    <col min="2563" max="2563" width="13.42578125" style="27" customWidth="1"/>
    <col min="2564" max="2564" width="9.85546875" style="27" customWidth="1"/>
    <col min="2565" max="2565" width="12.5703125" style="27" bestFit="1" customWidth="1"/>
    <col min="2566" max="2569" width="12.7109375" style="27" customWidth="1"/>
    <col min="2570" max="2570" width="9.140625" style="27"/>
    <col min="2571" max="2571" width="11" style="27" bestFit="1" customWidth="1"/>
    <col min="2572" max="2573" width="9.140625" style="27"/>
    <col min="2574" max="2574" width="18.85546875" style="27" bestFit="1" customWidth="1"/>
    <col min="2575" max="2575" width="14.140625" style="27" customWidth="1"/>
    <col min="2576" max="2576" width="16.85546875" style="27" customWidth="1"/>
    <col min="2577" max="2577" width="23.42578125" style="27" bestFit="1" customWidth="1"/>
    <col min="2578" max="2578" width="9.140625" style="27"/>
    <col min="2579" max="2579" width="11" style="27" bestFit="1" customWidth="1"/>
    <col min="2580" max="2816" width="9.140625" style="27"/>
    <col min="2817" max="2817" width="12.5703125" style="27" customWidth="1"/>
    <col min="2818" max="2818" width="10.85546875" style="27" bestFit="1" customWidth="1"/>
    <col min="2819" max="2819" width="13.42578125" style="27" customWidth="1"/>
    <col min="2820" max="2820" width="9.85546875" style="27" customWidth="1"/>
    <col min="2821" max="2821" width="12.5703125" style="27" bestFit="1" customWidth="1"/>
    <col min="2822" max="2825" width="12.7109375" style="27" customWidth="1"/>
    <col min="2826" max="2826" width="9.140625" style="27"/>
    <col min="2827" max="2827" width="11" style="27" bestFit="1" customWidth="1"/>
    <col min="2828" max="2829" width="9.140625" style="27"/>
    <col min="2830" max="2830" width="18.85546875" style="27" bestFit="1" customWidth="1"/>
    <col min="2831" max="2831" width="14.140625" style="27" customWidth="1"/>
    <col min="2832" max="2832" width="16.85546875" style="27" customWidth="1"/>
    <col min="2833" max="2833" width="23.42578125" style="27" bestFit="1" customWidth="1"/>
    <col min="2834" max="2834" width="9.140625" style="27"/>
    <col min="2835" max="2835" width="11" style="27" bestFit="1" customWidth="1"/>
    <col min="2836" max="3072" width="9.140625" style="27"/>
    <col min="3073" max="3073" width="12.5703125" style="27" customWidth="1"/>
    <col min="3074" max="3074" width="10.85546875" style="27" bestFit="1" customWidth="1"/>
    <col min="3075" max="3075" width="13.42578125" style="27" customWidth="1"/>
    <col min="3076" max="3076" width="9.85546875" style="27" customWidth="1"/>
    <col min="3077" max="3077" width="12.5703125" style="27" bestFit="1" customWidth="1"/>
    <col min="3078" max="3081" width="12.7109375" style="27" customWidth="1"/>
    <col min="3082" max="3082" width="9.140625" style="27"/>
    <col min="3083" max="3083" width="11" style="27" bestFit="1" customWidth="1"/>
    <col min="3084" max="3085" width="9.140625" style="27"/>
    <col min="3086" max="3086" width="18.85546875" style="27" bestFit="1" customWidth="1"/>
    <col min="3087" max="3087" width="14.140625" style="27" customWidth="1"/>
    <col min="3088" max="3088" width="16.85546875" style="27" customWidth="1"/>
    <col min="3089" max="3089" width="23.42578125" style="27" bestFit="1" customWidth="1"/>
    <col min="3090" max="3090" width="9.140625" style="27"/>
    <col min="3091" max="3091" width="11" style="27" bestFit="1" customWidth="1"/>
    <col min="3092" max="3328" width="9.140625" style="27"/>
    <col min="3329" max="3329" width="12.5703125" style="27" customWidth="1"/>
    <col min="3330" max="3330" width="10.85546875" style="27" bestFit="1" customWidth="1"/>
    <col min="3331" max="3331" width="13.42578125" style="27" customWidth="1"/>
    <col min="3332" max="3332" width="9.85546875" style="27" customWidth="1"/>
    <col min="3333" max="3333" width="12.5703125" style="27" bestFit="1" customWidth="1"/>
    <col min="3334" max="3337" width="12.7109375" style="27" customWidth="1"/>
    <col min="3338" max="3338" width="9.140625" style="27"/>
    <col min="3339" max="3339" width="11" style="27" bestFit="1" customWidth="1"/>
    <col min="3340" max="3341" width="9.140625" style="27"/>
    <col min="3342" max="3342" width="18.85546875" style="27" bestFit="1" customWidth="1"/>
    <col min="3343" max="3343" width="14.140625" style="27" customWidth="1"/>
    <col min="3344" max="3344" width="16.85546875" style="27" customWidth="1"/>
    <col min="3345" max="3345" width="23.42578125" style="27" bestFit="1" customWidth="1"/>
    <col min="3346" max="3346" width="9.140625" style="27"/>
    <col min="3347" max="3347" width="11" style="27" bestFit="1" customWidth="1"/>
    <col min="3348" max="3584" width="9.140625" style="27"/>
    <col min="3585" max="3585" width="12.5703125" style="27" customWidth="1"/>
    <col min="3586" max="3586" width="10.85546875" style="27" bestFit="1" customWidth="1"/>
    <col min="3587" max="3587" width="13.42578125" style="27" customWidth="1"/>
    <col min="3588" max="3588" width="9.85546875" style="27" customWidth="1"/>
    <col min="3589" max="3589" width="12.5703125" style="27" bestFit="1" customWidth="1"/>
    <col min="3590" max="3593" width="12.7109375" style="27" customWidth="1"/>
    <col min="3594" max="3594" width="9.140625" style="27"/>
    <col min="3595" max="3595" width="11" style="27" bestFit="1" customWidth="1"/>
    <col min="3596" max="3597" width="9.140625" style="27"/>
    <col min="3598" max="3598" width="18.85546875" style="27" bestFit="1" customWidth="1"/>
    <col min="3599" max="3599" width="14.140625" style="27" customWidth="1"/>
    <col min="3600" max="3600" width="16.85546875" style="27" customWidth="1"/>
    <col min="3601" max="3601" width="23.42578125" style="27" bestFit="1" customWidth="1"/>
    <col min="3602" max="3602" width="9.140625" style="27"/>
    <col min="3603" max="3603" width="11" style="27" bestFit="1" customWidth="1"/>
    <col min="3604" max="3840" width="9.140625" style="27"/>
    <col min="3841" max="3841" width="12.5703125" style="27" customWidth="1"/>
    <col min="3842" max="3842" width="10.85546875" style="27" bestFit="1" customWidth="1"/>
    <col min="3843" max="3843" width="13.42578125" style="27" customWidth="1"/>
    <col min="3844" max="3844" width="9.85546875" style="27" customWidth="1"/>
    <col min="3845" max="3845" width="12.5703125" style="27" bestFit="1" customWidth="1"/>
    <col min="3846" max="3849" width="12.7109375" style="27" customWidth="1"/>
    <col min="3850" max="3850" width="9.140625" style="27"/>
    <col min="3851" max="3851" width="11" style="27" bestFit="1" customWidth="1"/>
    <col min="3852" max="3853" width="9.140625" style="27"/>
    <col min="3854" max="3854" width="18.85546875" style="27" bestFit="1" customWidth="1"/>
    <col min="3855" max="3855" width="14.140625" style="27" customWidth="1"/>
    <col min="3856" max="3856" width="16.85546875" style="27" customWidth="1"/>
    <col min="3857" max="3857" width="23.42578125" style="27" bestFit="1" customWidth="1"/>
    <col min="3858" max="3858" width="9.140625" style="27"/>
    <col min="3859" max="3859" width="11" style="27" bestFit="1" customWidth="1"/>
    <col min="3860" max="4096" width="9.140625" style="27"/>
    <col min="4097" max="4097" width="12.5703125" style="27" customWidth="1"/>
    <col min="4098" max="4098" width="10.85546875" style="27" bestFit="1" customWidth="1"/>
    <col min="4099" max="4099" width="13.42578125" style="27" customWidth="1"/>
    <col min="4100" max="4100" width="9.85546875" style="27" customWidth="1"/>
    <col min="4101" max="4101" width="12.5703125" style="27" bestFit="1" customWidth="1"/>
    <col min="4102" max="4105" width="12.7109375" style="27" customWidth="1"/>
    <col min="4106" max="4106" width="9.140625" style="27"/>
    <col min="4107" max="4107" width="11" style="27" bestFit="1" customWidth="1"/>
    <col min="4108" max="4109" width="9.140625" style="27"/>
    <col min="4110" max="4110" width="18.85546875" style="27" bestFit="1" customWidth="1"/>
    <col min="4111" max="4111" width="14.140625" style="27" customWidth="1"/>
    <col min="4112" max="4112" width="16.85546875" style="27" customWidth="1"/>
    <col min="4113" max="4113" width="23.42578125" style="27" bestFit="1" customWidth="1"/>
    <col min="4114" max="4114" width="9.140625" style="27"/>
    <col min="4115" max="4115" width="11" style="27" bestFit="1" customWidth="1"/>
    <col min="4116" max="4352" width="9.140625" style="27"/>
    <col min="4353" max="4353" width="12.5703125" style="27" customWidth="1"/>
    <col min="4354" max="4354" width="10.85546875" style="27" bestFit="1" customWidth="1"/>
    <col min="4355" max="4355" width="13.42578125" style="27" customWidth="1"/>
    <col min="4356" max="4356" width="9.85546875" style="27" customWidth="1"/>
    <col min="4357" max="4357" width="12.5703125" style="27" bestFit="1" customWidth="1"/>
    <col min="4358" max="4361" width="12.7109375" style="27" customWidth="1"/>
    <col min="4362" max="4362" width="9.140625" style="27"/>
    <col min="4363" max="4363" width="11" style="27" bestFit="1" customWidth="1"/>
    <col min="4364" max="4365" width="9.140625" style="27"/>
    <col min="4366" max="4366" width="18.85546875" style="27" bestFit="1" customWidth="1"/>
    <col min="4367" max="4367" width="14.140625" style="27" customWidth="1"/>
    <col min="4368" max="4368" width="16.85546875" style="27" customWidth="1"/>
    <col min="4369" max="4369" width="23.42578125" style="27" bestFit="1" customWidth="1"/>
    <col min="4370" max="4370" width="9.140625" style="27"/>
    <col min="4371" max="4371" width="11" style="27" bestFit="1" customWidth="1"/>
    <col min="4372" max="4608" width="9.140625" style="27"/>
    <col min="4609" max="4609" width="12.5703125" style="27" customWidth="1"/>
    <col min="4610" max="4610" width="10.85546875" style="27" bestFit="1" customWidth="1"/>
    <col min="4611" max="4611" width="13.42578125" style="27" customWidth="1"/>
    <col min="4612" max="4612" width="9.85546875" style="27" customWidth="1"/>
    <col min="4613" max="4613" width="12.5703125" style="27" bestFit="1" customWidth="1"/>
    <col min="4614" max="4617" width="12.7109375" style="27" customWidth="1"/>
    <col min="4618" max="4618" width="9.140625" style="27"/>
    <col min="4619" max="4619" width="11" style="27" bestFit="1" customWidth="1"/>
    <col min="4620" max="4621" width="9.140625" style="27"/>
    <col min="4622" max="4622" width="18.85546875" style="27" bestFit="1" customWidth="1"/>
    <col min="4623" max="4623" width="14.140625" style="27" customWidth="1"/>
    <col min="4624" max="4624" width="16.85546875" style="27" customWidth="1"/>
    <col min="4625" max="4625" width="23.42578125" style="27" bestFit="1" customWidth="1"/>
    <col min="4626" max="4626" width="9.140625" style="27"/>
    <col min="4627" max="4627" width="11" style="27" bestFit="1" customWidth="1"/>
    <col min="4628" max="4864" width="9.140625" style="27"/>
    <col min="4865" max="4865" width="12.5703125" style="27" customWidth="1"/>
    <col min="4866" max="4866" width="10.85546875" style="27" bestFit="1" customWidth="1"/>
    <col min="4867" max="4867" width="13.42578125" style="27" customWidth="1"/>
    <col min="4868" max="4868" width="9.85546875" style="27" customWidth="1"/>
    <col min="4869" max="4869" width="12.5703125" style="27" bestFit="1" customWidth="1"/>
    <col min="4870" max="4873" width="12.7109375" style="27" customWidth="1"/>
    <col min="4874" max="4874" width="9.140625" style="27"/>
    <col min="4875" max="4875" width="11" style="27" bestFit="1" customWidth="1"/>
    <col min="4876" max="4877" width="9.140625" style="27"/>
    <col min="4878" max="4878" width="18.85546875" style="27" bestFit="1" customWidth="1"/>
    <col min="4879" max="4879" width="14.140625" style="27" customWidth="1"/>
    <col min="4880" max="4880" width="16.85546875" style="27" customWidth="1"/>
    <col min="4881" max="4881" width="23.42578125" style="27" bestFit="1" customWidth="1"/>
    <col min="4882" max="4882" width="9.140625" style="27"/>
    <col min="4883" max="4883" width="11" style="27" bestFit="1" customWidth="1"/>
    <col min="4884" max="5120" width="9.140625" style="27"/>
    <col min="5121" max="5121" width="12.5703125" style="27" customWidth="1"/>
    <col min="5122" max="5122" width="10.85546875" style="27" bestFit="1" customWidth="1"/>
    <col min="5123" max="5123" width="13.42578125" style="27" customWidth="1"/>
    <col min="5124" max="5124" width="9.85546875" style="27" customWidth="1"/>
    <col min="5125" max="5125" width="12.5703125" style="27" bestFit="1" customWidth="1"/>
    <col min="5126" max="5129" width="12.7109375" style="27" customWidth="1"/>
    <col min="5130" max="5130" width="9.140625" style="27"/>
    <col min="5131" max="5131" width="11" style="27" bestFit="1" customWidth="1"/>
    <col min="5132" max="5133" width="9.140625" style="27"/>
    <col min="5134" max="5134" width="18.85546875" style="27" bestFit="1" customWidth="1"/>
    <col min="5135" max="5135" width="14.140625" style="27" customWidth="1"/>
    <col min="5136" max="5136" width="16.85546875" style="27" customWidth="1"/>
    <col min="5137" max="5137" width="23.42578125" style="27" bestFit="1" customWidth="1"/>
    <col min="5138" max="5138" width="9.140625" style="27"/>
    <col min="5139" max="5139" width="11" style="27" bestFit="1" customWidth="1"/>
    <col min="5140" max="5376" width="9.140625" style="27"/>
    <col min="5377" max="5377" width="12.5703125" style="27" customWidth="1"/>
    <col min="5378" max="5378" width="10.85546875" style="27" bestFit="1" customWidth="1"/>
    <col min="5379" max="5379" width="13.42578125" style="27" customWidth="1"/>
    <col min="5380" max="5380" width="9.85546875" style="27" customWidth="1"/>
    <col min="5381" max="5381" width="12.5703125" style="27" bestFit="1" customWidth="1"/>
    <col min="5382" max="5385" width="12.7109375" style="27" customWidth="1"/>
    <col min="5386" max="5386" width="9.140625" style="27"/>
    <col min="5387" max="5387" width="11" style="27" bestFit="1" customWidth="1"/>
    <col min="5388" max="5389" width="9.140625" style="27"/>
    <col min="5390" max="5390" width="18.85546875" style="27" bestFit="1" customWidth="1"/>
    <col min="5391" max="5391" width="14.140625" style="27" customWidth="1"/>
    <col min="5392" max="5392" width="16.85546875" style="27" customWidth="1"/>
    <col min="5393" max="5393" width="23.42578125" style="27" bestFit="1" customWidth="1"/>
    <col min="5394" max="5394" width="9.140625" style="27"/>
    <col min="5395" max="5395" width="11" style="27" bestFit="1" customWidth="1"/>
    <col min="5396" max="5632" width="9.140625" style="27"/>
    <col min="5633" max="5633" width="12.5703125" style="27" customWidth="1"/>
    <col min="5634" max="5634" width="10.85546875" style="27" bestFit="1" customWidth="1"/>
    <col min="5635" max="5635" width="13.42578125" style="27" customWidth="1"/>
    <col min="5636" max="5636" width="9.85546875" style="27" customWidth="1"/>
    <col min="5637" max="5637" width="12.5703125" style="27" bestFit="1" customWidth="1"/>
    <col min="5638" max="5641" width="12.7109375" style="27" customWidth="1"/>
    <col min="5642" max="5642" width="9.140625" style="27"/>
    <col min="5643" max="5643" width="11" style="27" bestFit="1" customWidth="1"/>
    <col min="5644" max="5645" width="9.140625" style="27"/>
    <col min="5646" max="5646" width="18.85546875" style="27" bestFit="1" customWidth="1"/>
    <col min="5647" max="5647" width="14.140625" style="27" customWidth="1"/>
    <col min="5648" max="5648" width="16.85546875" style="27" customWidth="1"/>
    <col min="5649" max="5649" width="23.42578125" style="27" bestFit="1" customWidth="1"/>
    <col min="5650" max="5650" width="9.140625" style="27"/>
    <col min="5651" max="5651" width="11" style="27" bestFit="1" customWidth="1"/>
    <col min="5652" max="5888" width="9.140625" style="27"/>
    <col min="5889" max="5889" width="12.5703125" style="27" customWidth="1"/>
    <col min="5890" max="5890" width="10.85546875" style="27" bestFit="1" customWidth="1"/>
    <col min="5891" max="5891" width="13.42578125" style="27" customWidth="1"/>
    <col min="5892" max="5892" width="9.85546875" style="27" customWidth="1"/>
    <col min="5893" max="5893" width="12.5703125" style="27" bestFit="1" customWidth="1"/>
    <col min="5894" max="5897" width="12.7109375" style="27" customWidth="1"/>
    <col min="5898" max="5898" width="9.140625" style="27"/>
    <col min="5899" max="5899" width="11" style="27" bestFit="1" customWidth="1"/>
    <col min="5900" max="5901" width="9.140625" style="27"/>
    <col min="5902" max="5902" width="18.85546875" style="27" bestFit="1" customWidth="1"/>
    <col min="5903" max="5903" width="14.140625" style="27" customWidth="1"/>
    <col min="5904" max="5904" width="16.85546875" style="27" customWidth="1"/>
    <col min="5905" max="5905" width="23.42578125" style="27" bestFit="1" customWidth="1"/>
    <col min="5906" max="5906" width="9.140625" style="27"/>
    <col min="5907" max="5907" width="11" style="27" bestFit="1" customWidth="1"/>
    <col min="5908" max="6144" width="9.140625" style="27"/>
    <col min="6145" max="6145" width="12.5703125" style="27" customWidth="1"/>
    <col min="6146" max="6146" width="10.85546875" style="27" bestFit="1" customWidth="1"/>
    <col min="6147" max="6147" width="13.42578125" style="27" customWidth="1"/>
    <col min="6148" max="6148" width="9.85546875" style="27" customWidth="1"/>
    <col min="6149" max="6149" width="12.5703125" style="27" bestFit="1" customWidth="1"/>
    <col min="6150" max="6153" width="12.7109375" style="27" customWidth="1"/>
    <col min="6154" max="6154" width="9.140625" style="27"/>
    <col min="6155" max="6155" width="11" style="27" bestFit="1" customWidth="1"/>
    <col min="6156" max="6157" width="9.140625" style="27"/>
    <col min="6158" max="6158" width="18.85546875" style="27" bestFit="1" customWidth="1"/>
    <col min="6159" max="6159" width="14.140625" style="27" customWidth="1"/>
    <col min="6160" max="6160" width="16.85546875" style="27" customWidth="1"/>
    <col min="6161" max="6161" width="23.42578125" style="27" bestFit="1" customWidth="1"/>
    <col min="6162" max="6162" width="9.140625" style="27"/>
    <col min="6163" max="6163" width="11" style="27" bestFit="1" customWidth="1"/>
    <col min="6164" max="6400" width="9.140625" style="27"/>
    <col min="6401" max="6401" width="12.5703125" style="27" customWidth="1"/>
    <col min="6402" max="6402" width="10.85546875" style="27" bestFit="1" customWidth="1"/>
    <col min="6403" max="6403" width="13.42578125" style="27" customWidth="1"/>
    <col min="6404" max="6404" width="9.85546875" style="27" customWidth="1"/>
    <col min="6405" max="6405" width="12.5703125" style="27" bestFit="1" customWidth="1"/>
    <col min="6406" max="6409" width="12.7109375" style="27" customWidth="1"/>
    <col min="6410" max="6410" width="9.140625" style="27"/>
    <col min="6411" max="6411" width="11" style="27" bestFit="1" customWidth="1"/>
    <col min="6412" max="6413" width="9.140625" style="27"/>
    <col min="6414" max="6414" width="18.85546875" style="27" bestFit="1" customWidth="1"/>
    <col min="6415" max="6415" width="14.140625" style="27" customWidth="1"/>
    <col min="6416" max="6416" width="16.85546875" style="27" customWidth="1"/>
    <col min="6417" max="6417" width="23.42578125" style="27" bestFit="1" customWidth="1"/>
    <col min="6418" max="6418" width="9.140625" style="27"/>
    <col min="6419" max="6419" width="11" style="27" bestFit="1" customWidth="1"/>
    <col min="6420" max="6656" width="9.140625" style="27"/>
    <col min="6657" max="6657" width="12.5703125" style="27" customWidth="1"/>
    <col min="6658" max="6658" width="10.85546875" style="27" bestFit="1" customWidth="1"/>
    <col min="6659" max="6659" width="13.42578125" style="27" customWidth="1"/>
    <col min="6660" max="6660" width="9.85546875" style="27" customWidth="1"/>
    <col min="6661" max="6661" width="12.5703125" style="27" bestFit="1" customWidth="1"/>
    <col min="6662" max="6665" width="12.7109375" style="27" customWidth="1"/>
    <col min="6666" max="6666" width="9.140625" style="27"/>
    <col min="6667" max="6667" width="11" style="27" bestFit="1" customWidth="1"/>
    <col min="6668" max="6669" width="9.140625" style="27"/>
    <col min="6670" max="6670" width="18.85546875" style="27" bestFit="1" customWidth="1"/>
    <col min="6671" max="6671" width="14.140625" style="27" customWidth="1"/>
    <col min="6672" max="6672" width="16.85546875" style="27" customWidth="1"/>
    <col min="6673" max="6673" width="23.42578125" style="27" bestFit="1" customWidth="1"/>
    <col min="6674" max="6674" width="9.140625" style="27"/>
    <col min="6675" max="6675" width="11" style="27" bestFit="1" customWidth="1"/>
    <col min="6676" max="6912" width="9.140625" style="27"/>
    <col min="6913" max="6913" width="12.5703125" style="27" customWidth="1"/>
    <col min="6914" max="6914" width="10.85546875" style="27" bestFit="1" customWidth="1"/>
    <col min="6915" max="6915" width="13.42578125" style="27" customWidth="1"/>
    <col min="6916" max="6916" width="9.85546875" style="27" customWidth="1"/>
    <col min="6917" max="6917" width="12.5703125" style="27" bestFit="1" customWidth="1"/>
    <col min="6918" max="6921" width="12.7109375" style="27" customWidth="1"/>
    <col min="6922" max="6922" width="9.140625" style="27"/>
    <col min="6923" max="6923" width="11" style="27" bestFit="1" customWidth="1"/>
    <col min="6924" max="6925" width="9.140625" style="27"/>
    <col min="6926" max="6926" width="18.85546875" style="27" bestFit="1" customWidth="1"/>
    <col min="6927" max="6927" width="14.140625" style="27" customWidth="1"/>
    <col min="6928" max="6928" width="16.85546875" style="27" customWidth="1"/>
    <col min="6929" max="6929" width="23.42578125" style="27" bestFit="1" customWidth="1"/>
    <col min="6930" max="6930" width="9.140625" style="27"/>
    <col min="6931" max="6931" width="11" style="27" bestFit="1" customWidth="1"/>
    <col min="6932" max="7168" width="9.140625" style="27"/>
    <col min="7169" max="7169" width="12.5703125" style="27" customWidth="1"/>
    <col min="7170" max="7170" width="10.85546875" style="27" bestFit="1" customWidth="1"/>
    <col min="7171" max="7171" width="13.42578125" style="27" customWidth="1"/>
    <col min="7172" max="7172" width="9.85546875" style="27" customWidth="1"/>
    <col min="7173" max="7173" width="12.5703125" style="27" bestFit="1" customWidth="1"/>
    <col min="7174" max="7177" width="12.7109375" style="27" customWidth="1"/>
    <col min="7178" max="7178" width="9.140625" style="27"/>
    <col min="7179" max="7179" width="11" style="27" bestFit="1" customWidth="1"/>
    <col min="7180" max="7181" width="9.140625" style="27"/>
    <col min="7182" max="7182" width="18.85546875" style="27" bestFit="1" customWidth="1"/>
    <col min="7183" max="7183" width="14.140625" style="27" customWidth="1"/>
    <col min="7184" max="7184" width="16.85546875" style="27" customWidth="1"/>
    <col min="7185" max="7185" width="23.42578125" style="27" bestFit="1" customWidth="1"/>
    <col min="7186" max="7186" width="9.140625" style="27"/>
    <col min="7187" max="7187" width="11" style="27" bestFit="1" customWidth="1"/>
    <col min="7188" max="7424" width="9.140625" style="27"/>
    <col min="7425" max="7425" width="12.5703125" style="27" customWidth="1"/>
    <col min="7426" max="7426" width="10.85546875" style="27" bestFit="1" customWidth="1"/>
    <col min="7427" max="7427" width="13.42578125" style="27" customWidth="1"/>
    <col min="7428" max="7428" width="9.85546875" style="27" customWidth="1"/>
    <col min="7429" max="7429" width="12.5703125" style="27" bestFit="1" customWidth="1"/>
    <col min="7430" max="7433" width="12.7109375" style="27" customWidth="1"/>
    <col min="7434" max="7434" width="9.140625" style="27"/>
    <col min="7435" max="7435" width="11" style="27" bestFit="1" customWidth="1"/>
    <col min="7436" max="7437" width="9.140625" style="27"/>
    <col min="7438" max="7438" width="18.85546875" style="27" bestFit="1" customWidth="1"/>
    <col min="7439" max="7439" width="14.140625" style="27" customWidth="1"/>
    <col min="7440" max="7440" width="16.85546875" style="27" customWidth="1"/>
    <col min="7441" max="7441" width="23.42578125" style="27" bestFit="1" customWidth="1"/>
    <col min="7442" max="7442" width="9.140625" style="27"/>
    <col min="7443" max="7443" width="11" style="27" bestFit="1" customWidth="1"/>
    <col min="7444" max="7680" width="9.140625" style="27"/>
    <col min="7681" max="7681" width="12.5703125" style="27" customWidth="1"/>
    <col min="7682" max="7682" width="10.85546875" style="27" bestFit="1" customWidth="1"/>
    <col min="7683" max="7683" width="13.42578125" style="27" customWidth="1"/>
    <col min="7684" max="7684" width="9.85546875" style="27" customWidth="1"/>
    <col min="7685" max="7685" width="12.5703125" style="27" bestFit="1" customWidth="1"/>
    <col min="7686" max="7689" width="12.7109375" style="27" customWidth="1"/>
    <col min="7690" max="7690" width="9.140625" style="27"/>
    <col min="7691" max="7691" width="11" style="27" bestFit="1" customWidth="1"/>
    <col min="7692" max="7693" width="9.140625" style="27"/>
    <col min="7694" max="7694" width="18.85546875" style="27" bestFit="1" customWidth="1"/>
    <col min="7695" max="7695" width="14.140625" style="27" customWidth="1"/>
    <col min="7696" max="7696" width="16.85546875" style="27" customWidth="1"/>
    <col min="7697" max="7697" width="23.42578125" style="27" bestFit="1" customWidth="1"/>
    <col min="7698" max="7698" width="9.140625" style="27"/>
    <col min="7699" max="7699" width="11" style="27" bestFit="1" customWidth="1"/>
    <col min="7700" max="7936" width="9.140625" style="27"/>
    <col min="7937" max="7937" width="12.5703125" style="27" customWidth="1"/>
    <col min="7938" max="7938" width="10.85546875" style="27" bestFit="1" customWidth="1"/>
    <col min="7939" max="7939" width="13.42578125" style="27" customWidth="1"/>
    <col min="7940" max="7940" width="9.85546875" style="27" customWidth="1"/>
    <col min="7941" max="7941" width="12.5703125" style="27" bestFit="1" customWidth="1"/>
    <col min="7942" max="7945" width="12.7109375" style="27" customWidth="1"/>
    <col min="7946" max="7946" width="9.140625" style="27"/>
    <col min="7947" max="7947" width="11" style="27" bestFit="1" customWidth="1"/>
    <col min="7948" max="7949" width="9.140625" style="27"/>
    <col min="7950" max="7950" width="18.85546875" style="27" bestFit="1" customWidth="1"/>
    <col min="7951" max="7951" width="14.140625" style="27" customWidth="1"/>
    <col min="7952" max="7952" width="16.85546875" style="27" customWidth="1"/>
    <col min="7953" max="7953" width="23.42578125" style="27" bestFit="1" customWidth="1"/>
    <col min="7954" max="7954" width="9.140625" style="27"/>
    <col min="7955" max="7955" width="11" style="27" bestFit="1" customWidth="1"/>
    <col min="7956" max="8192" width="9.140625" style="27"/>
    <col min="8193" max="8193" width="12.5703125" style="27" customWidth="1"/>
    <col min="8194" max="8194" width="10.85546875" style="27" bestFit="1" customWidth="1"/>
    <col min="8195" max="8195" width="13.42578125" style="27" customWidth="1"/>
    <col min="8196" max="8196" width="9.85546875" style="27" customWidth="1"/>
    <col min="8197" max="8197" width="12.5703125" style="27" bestFit="1" customWidth="1"/>
    <col min="8198" max="8201" width="12.7109375" style="27" customWidth="1"/>
    <col min="8202" max="8202" width="9.140625" style="27"/>
    <col min="8203" max="8203" width="11" style="27" bestFit="1" customWidth="1"/>
    <col min="8204" max="8205" width="9.140625" style="27"/>
    <col min="8206" max="8206" width="18.85546875" style="27" bestFit="1" customWidth="1"/>
    <col min="8207" max="8207" width="14.140625" style="27" customWidth="1"/>
    <col min="8208" max="8208" width="16.85546875" style="27" customWidth="1"/>
    <col min="8209" max="8209" width="23.42578125" style="27" bestFit="1" customWidth="1"/>
    <col min="8210" max="8210" width="9.140625" style="27"/>
    <col min="8211" max="8211" width="11" style="27" bestFit="1" customWidth="1"/>
    <col min="8212" max="8448" width="9.140625" style="27"/>
    <col min="8449" max="8449" width="12.5703125" style="27" customWidth="1"/>
    <col min="8450" max="8450" width="10.85546875" style="27" bestFit="1" customWidth="1"/>
    <col min="8451" max="8451" width="13.42578125" style="27" customWidth="1"/>
    <col min="8452" max="8452" width="9.85546875" style="27" customWidth="1"/>
    <col min="8453" max="8453" width="12.5703125" style="27" bestFit="1" customWidth="1"/>
    <col min="8454" max="8457" width="12.7109375" style="27" customWidth="1"/>
    <col min="8458" max="8458" width="9.140625" style="27"/>
    <col min="8459" max="8459" width="11" style="27" bestFit="1" customWidth="1"/>
    <col min="8460" max="8461" width="9.140625" style="27"/>
    <col min="8462" max="8462" width="18.85546875" style="27" bestFit="1" customWidth="1"/>
    <col min="8463" max="8463" width="14.140625" style="27" customWidth="1"/>
    <col min="8464" max="8464" width="16.85546875" style="27" customWidth="1"/>
    <col min="8465" max="8465" width="23.42578125" style="27" bestFit="1" customWidth="1"/>
    <col min="8466" max="8466" width="9.140625" style="27"/>
    <col min="8467" max="8467" width="11" style="27" bestFit="1" customWidth="1"/>
    <col min="8468" max="8704" width="9.140625" style="27"/>
    <col min="8705" max="8705" width="12.5703125" style="27" customWidth="1"/>
    <col min="8706" max="8706" width="10.85546875" style="27" bestFit="1" customWidth="1"/>
    <col min="8707" max="8707" width="13.42578125" style="27" customWidth="1"/>
    <col min="8708" max="8708" width="9.85546875" style="27" customWidth="1"/>
    <col min="8709" max="8709" width="12.5703125" style="27" bestFit="1" customWidth="1"/>
    <col min="8710" max="8713" width="12.7109375" style="27" customWidth="1"/>
    <col min="8714" max="8714" width="9.140625" style="27"/>
    <col min="8715" max="8715" width="11" style="27" bestFit="1" customWidth="1"/>
    <col min="8716" max="8717" width="9.140625" style="27"/>
    <col min="8718" max="8718" width="18.85546875" style="27" bestFit="1" customWidth="1"/>
    <col min="8719" max="8719" width="14.140625" style="27" customWidth="1"/>
    <col min="8720" max="8720" width="16.85546875" style="27" customWidth="1"/>
    <col min="8721" max="8721" width="23.42578125" style="27" bestFit="1" customWidth="1"/>
    <col min="8722" max="8722" width="9.140625" style="27"/>
    <col min="8723" max="8723" width="11" style="27" bestFit="1" customWidth="1"/>
    <col min="8724" max="8960" width="9.140625" style="27"/>
    <col min="8961" max="8961" width="12.5703125" style="27" customWidth="1"/>
    <col min="8962" max="8962" width="10.85546875" style="27" bestFit="1" customWidth="1"/>
    <col min="8963" max="8963" width="13.42578125" style="27" customWidth="1"/>
    <col min="8964" max="8964" width="9.85546875" style="27" customWidth="1"/>
    <col min="8965" max="8965" width="12.5703125" style="27" bestFit="1" customWidth="1"/>
    <col min="8966" max="8969" width="12.7109375" style="27" customWidth="1"/>
    <col min="8970" max="8970" width="9.140625" style="27"/>
    <col min="8971" max="8971" width="11" style="27" bestFit="1" customWidth="1"/>
    <col min="8972" max="8973" width="9.140625" style="27"/>
    <col min="8974" max="8974" width="18.85546875" style="27" bestFit="1" customWidth="1"/>
    <col min="8975" max="8975" width="14.140625" style="27" customWidth="1"/>
    <col min="8976" max="8976" width="16.85546875" style="27" customWidth="1"/>
    <col min="8977" max="8977" width="23.42578125" style="27" bestFit="1" customWidth="1"/>
    <col min="8978" max="8978" width="9.140625" style="27"/>
    <col min="8979" max="8979" width="11" style="27" bestFit="1" customWidth="1"/>
    <col min="8980" max="9216" width="9.140625" style="27"/>
    <col min="9217" max="9217" width="12.5703125" style="27" customWidth="1"/>
    <col min="9218" max="9218" width="10.85546875" style="27" bestFit="1" customWidth="1"/>
    <col min="9219" max="9219" width="13.42578125" style="27" customWidth="1"/>
    <col min="9220" max="9220" width="9.85546875" style="27" customWidth="1"/>
    <col min="9221" max="9221" width="12.5703125" style="27" bestFit="1" customWidth="1"/>
    <col min="9222" max="9225" width="12.7109375" style="27" customWidth="1"/>
    <col min="9226" max="9226" width="9.140625" style="27"/>
    <col min="9227" max="9227" width="11" style="27" bestFit="1" customWidth="1"/>
    <col min="9228" max="9229" width="9.140625" style="27"/>
    <col min="9230" max="9230" width="18.85546875" style="27" bestFit="1" customWidth="1"/>
    <col min="9231" max="9231" width="14.140625" style="27" customWidth="1"/>
    <col min="9232" max="9232" width="16.85546875" style="27" customWidth="1"/>
    <col min="9233" max="9233" width="23.42578125" style="27" bestFit="1" customWidth="1"/>
    <col min="9234" max="9234" width="9.140625" style="27"/>
    <col min="9235" max="9235" width="11" style="27" bestFit="1" customWidth="1"/>
    <col min="9236" max="9472" width="9.140625" style="27"/>
    <col min="9473" max="9473" width="12.5703125" style="27" customWidth="1"/>
    <col min="9474" max="9474" width="10.85546875" style="27" bestFit="1" customWidth="1"/>
    <col min="9475" max="9475" width="13.42578125" style="27" customWidth="1"/>
    <col min="9476" max="9476" width="9.85546875" style="27" customWidth="1"/>
    <col min="9477" max="9477" width="12.5703125" style="27" bestFit="1" customWidth="1"/>
    <col min="9478" max="9481" width="12.7109375" style="27" customWidth="1"/>
    <col min="9482" max="9482" width="9.140625" style="27"/>
    <col min="9483" max="9483" width="11" style="27" bestFit="1" customWidth="1"/>
    <col min="9484" max="9485" width="9.140625" style="27"/>
    <col min="9486" max="9486" width="18.85546875" style="27" bestFit="1" customWidth="1"/>
    <col min="9487" max="9487" width="14.140625" style="27" customWidth="1"/>
    <col min="9488" max="9488" width="16.85546875" style="27" customWidth="1"/>
    <col min="9489" max="9489" width="23.42578125" style="27" bestFit="1" customWidth="1"/>
    <col min="9490" max="9490" width="9.140625" style="27"/>
    <col min="9491" max="9491" width="11" style="27" bestFit="1" customWidth="1"/>
    <col min="9492" max="9728" width="9.140625" style="27"/>
    <col min="9729" max="9729" width="12.5703125" style="27" customWidth="1"/>
    <col min="9730" max="9730" width="10.85546875" style="27" bestFit="1" customWidth="1"/>
    <col min="9731" max="9731" width="13.42578125" style="27" customWidth="1"/>
    <col min="9732" max="9732" width="9.85546875" style="27" customWidth="1"/>
    <col min="9733" max="9733" width="12.5703125" style="27" bestFit="1" customWidth="1"/>
    <col min="9734" max="9737" width="12.7109375" style="27" customWidth="1"/>
    <col min="9738" max="9738" width="9.140625" style="27"/>
    <col min="9739" max="9739" width="11" style="27" bestFit="1" customWidth="1"/>
    <col min="9740" max="9741" width="9.140625" style="27"/>
    <col min="9742" max="9742" width="18.85546875" style="27" bestFit="1" customWidth="1"/>
    <col min="9743" max="9743" width="14.140625" style="27" customWidth="1"/>
    <col min="9744" max="9744" width="16.85546875" style="27" customWidth="1"/>
    <col min="9745" max="9745" width="23.42578125" style="27" bestFit="1" customWidth="1"/>
    <col min="9746" max="9746" width="9.140625" style="27"/>
    <col min="9747" max="9747" width="11" style="27" bestFit="1" customWidth="1"/>
    <col min="9748" max="9984" width="9.140625" style="27"/>
    <col min="9985" max="9985" width="12.5703125" style="27" customWidth="1"/>
    <col min="9986" max="9986" width="10.85546875" style="27" bestFit="1" customWidth="1"/>
    <col min="9987" max="9987" width="13.42578125" style="27" customWidth="1"/>
    <col min="9988" max="9988" width="9.85546875" style="27" customWidth="1"/>
    <col min="9989" max="9989" width="12.5703125" style="27" bestFit="1" customWidth="1"/>
    <col min="9990" max="9993" width="12.7109375" style="27" customWidth="1"/>
    <col min="9994" max="9994" width="9.140625" style="27"/>
    <col min="9995" max="9995" width="11" style="27" bestFit="1" customWidth="1"/>
    <col min="9996" max="9997" width="9.140625" style="27"/>
    <col min="9998" max="9998" width="18.85546875" style="27" bestFit="1" customWidth="1"/>
    <col min="9999" max="9999" width="14.140625" style="27" customWidth="1"/>
    <col min="10000" max="10000" width="16.85546875" style="27" customWidth="1"/>
    <col min="10001" max="10001" width="23.42578125" style="27" bestFit="1" customWidth="1"/>
    <col min="10002" max="10002" width="9.140625" style="27"/>
    <col min="10003" max="10003" width="11" style="27" bestFit="1" customWidth="1"/>
    <col min="10004" max="10240" width="9.140625" style="27"/>
    <col min="10241" max="10241" width="12.5703125" style="27" customWidth="1"/>
    <col min="10242" max="10242" width="10.85546875" style="27" bestFit="1" customWidth="1"/>
    <col min="10243" max="10243" width="13.42578125" style="27" customWidth="1"/>
    <col min="10244" max="10244" width="9.85546875" style="27" customWidth="1"/>
    <col min="10245" max="10245" width="12.5703125" style="27" bestFit="1" customWidth="1"/>
    <col min="10246" max="10249" width="12.7109375" style="27" customWidth="1"/>
    <col min="10250" max="10250" width="9.140625" style="27"/>
    <col min="10251" max="10251" width="11" style="27" bestFit="1" customWidth="1"/>
    <col min="10252" max="10253" width="9.140625" style="27"/>
    <col min="10254" max="10254" width="18.85546875" style="27" bestFit="1" customWidth="1"/>
    <col min="10255" max="10255" width="14.140625" style="27" customWidth="1"/>
    <col min="10256" max="10256" width="16.85546875" style="27" customWidth="1"/>
    <col min="10257" max="10257" width="23.42578125" style="27" bestFit="1" customWidth="1"/>
    <col min="10258" max="10258" width="9.140625" style="27"/>
    <col min="10259" max="10259" width="11" style="27" bestFit="1" customWidth="1"/>
    <col min="10260" max="10496" width="9.140625" style="27"/>
    <col min="10497" max="10497" width="12.5703125" style="27" customWidth="1"/>
    <col min="10498" max="10498" width="10.85546875" style="27" bestFit="1" customWidth="1"/>
    <col min="10499" max="10499" width="13.42578125" style="27" customWidth="1"/>
    <col min="10500" max="10500" width="9.85546875" style="27" customWidth="1"/>
    <col min="10501" max="10501" width="12.5703125" style="27" bestFit="1" customWidth="1"/>
    <col min="10502" max="10505" width="12.7109375" style="27" customWidth="1"/>
    <col min="10506" max="10506" width="9.140625" style="27"/>
    <col min="10507" max="10507" width="11" style="27" bestFit="1" customWidth="1"/>
    <col min="10508" max="10509" width="9.140625" style="27"/>
    <col min="10510" max="10510" width="18.85546875" style="27" bestFit="1" customWidth="1"/>
    <col min="10511" max="10511" width="14.140625" style="27" customWidth="1"/>
    <col min="10512" max="10512" width="16.85546875" style="27" customWidth="1"/>
    <col min="10513" max="10513" width="23.42578125" style="27" bestFit="1" customWidth="1"/>
    <col min="10514" max="10514" width="9.140625" style="27"/>
    <col min="10515" max="10515" width="11" style="27" bestFit="1" customWidth="1"/>
    <col min="10516" max="10752" width="9.140625" style="27"/>
    <col min="10753" max="10753" width="12.5703125" style="27" customWidth="1"/>
    <col min="10754" max="10754" width="10.85546875" style="27" bestFit="1" customWidth="1"/>
    <col min="10755" max="10755" width="13.42578125" style="27" customWidth="1"/>
    <col min="10756" max="10756" width="9.85546875" style="27" customWidth="1"/>
    <col min="10757" max="10757" width="12.5703125" style="27" bestFit="1" customWidth="1"/>
    <col min="10758" max="10761" width="12.7109375" style="27" customWidth="1"/>
    <col min="10762" max="10762" width="9.140625" style="27"/>
    <col min="10763" max="10763" width="11" style="27" bestFit="1" customWidth="1"/>
    <col min="10764" max="10765" width="9.140625" style="27"/>
    <col min="10766" max="10766" width="18.85546875" style="27" bestFit="1" customWidth="1"/>
    <col min="10767" max="10767" width="14.140625" style="27" customWidth="1"/>
    <col min="10768" max="10768" width="16.85546875" style="27" customWidth="1"/>
    <col min="10769" max="10769" width="23.42578125" style="27" bestFit="1" customWidth="1"/>
    <col min="10770" max="10770" width="9.140625" style="27"/>
    <col min="10771" max="10771" width="11" style="27" bestFit="1" customWidth="1"/>
    <col min="10772" max="11008" width="9.140625" style="27"/>
    <col min="11009" max="11009" width="12.5703125" style="27" customWidth="1"/>
    <col min="11010" max="11010" width="10.85546875" style="27" bestFit="1" customWidth="1"/>
    <col min="11011" max="11011" width="13.42578125" style="27" customWidth="1"/>
    <col min="11012" max="11012" width="9.85546875" style="27" customWidth="1"/>
    <col min="11013" max="11013" width="12.5703125" style="27" bestFit="1" customWidth="1"/>
    <col min="11014" max="11017" width="12.7109375" style="27" customWidth="1"/>
    <col min="11018" max="11018" width="9.140625" style="27"/>
    <col min="11019" max="11019" width="11" style="27" bestFit="1" customWidth="1"/>
    <col min="11020" max="11021" width="9.140625" style="27"/>
    <col min="11022" max="11022" width="18.85546875" style="27" bestFit="1" customWidth="1"/>
    <col min="11023" max="11023" width="14.140625" style="27" customWidth="1"/>
    <col min="11024" max="11024" width="16.85546875" style="27" customWidth="1"/>
    <col min="11025" max="11025" width="23.42578125" style="27" bestFit="1" customWidth="1"/>
    <col min="11026" max="11026" width="9.140625" style="27"/>
    <col min="11027" max="11027" width="11" style="27" bestFit="1" customWidth="1"/>
    <col min="11028" max="11264" width="9.140625" style="27"/>
    <col min="11265" max="11265" width="12.5703125" style="27" customWidth="1"/>
    <col min="11266" max="11266" width="10.85546875" style="27" bestFit="1" customWidth="1"/>
    <col min="11267" max="11267" width="13.42578125" style="27" customWidth="1"/>
    <col min="11268" max="11268" width="9.85546875" style="27" customWidth="1"/>
    <col min="11269" max="11269" width="12.5703125" style="27" bestFit="1" customWidth="1"/>
    <col min="11270" max="11273" width="12.7109375" style="27" customWidth="1"/>
    <col min="11274" max="11274" width="9.140625" style="27"/>
    <col min="11275" max="11275" width="11" style="27" bestFit="1" customWidth="1"/>
    <col min="11276" max="11277" width="9.140625" style="27"/>
    <col min="11278" max="11278" width="18.85546875" style="27" bestFit="1" customWidth="1"/>
    <col min="11279" max="11279" width="14.140625" style="27" customWidth="1"/>
    <col min="11280" max="11280" width="16.85546875" style="27" customWidth="1"/>
    <col min="11281" max="11281" width="23.42578125" style="27" bestFit="1" customWidth="1"/>
    <col min="11282" max="11282" width="9.140625" style="27"/>
    <col min="11283" max="11283" width="11" style="27" bestFit="1" customWidth="1"/>
    <col min="11284" max="11520" width="9.140625" style="27"/>
    <col min="11521" max="11521" width="12.5703125" style="27" customWidth="1"/>
    <col min="11522" max="11522" width="10.85546875" style="27" bestFit="1" customWidth="1"/>
    <col min="11523" max="11523" width="13.42578125" style="27" customWidth="1"/>
    <col min="11524" max="11524" width="9.85546875" style="27" customWidth="1"/>
    <col min="11525" max="11525" width="12.5703125" style="27" bestFit="1" customWidth="1"/>
    <col min="11526" max="11529" width="12.7109375" style="27" customWidth="1"/>
    <col min="11530" max="11530" width="9.140625" style="27"/>
    <col min="11531" max="11531" width="11" style="27" bestFit="1" customWidth="1"/>
    <col min="11532" max="11533" width="9.140625" style="27"/>
    <col min="11534" max="11534" width="18.85546875" style="27" bestFit="1" customWidth="1"/>
    <col min="11535" max="11535" width="14.140625" style="27" customWidth="1"/>
    <col min="11536" max="11536" width="16.85546875" style="27" customWidth="1"/>
    <col min="11537" max="11537" width="23.42578125" style="27" bestFit="1" customWidth="1"/>
    <col min="11538" max="11538" width="9.140625" style="27"/>
    <col min="11539" max="11539" width="11" style="27" bestFit="1" customWidth="1"/>
    <col min="11540" max="11776" width="9.140625" style="27"/>
    <col min="11777" max="11777" width="12.5703125" style="27" customWidth="1"/>
    <col min="11778" max="11778" width="10.85546875" style="27" bestFit="1" customWidth="1"/>
    <col min="11779" max="11779" width="13.42578125" style="27" customWidth="1"/>
    <col min="11780" max="11780" width="9.85546875" style="27" customWidth="1"/>
    <col min="11781" max="11781" width="12.5703125" style="27" bestFit="1" customWidth="1"/>
    <col min="11782" max="11785" width="12.7109375" style="27" customWidth="1"/>
    <col min="11786" max="11786" width="9.140625" style="27"/>
    <col min="11787" max="11787" width="11" style="27" bestFit="1" customWidth="1"/>
    <col min="11788" max="11789" width="9.140625" style="27"/>
    <col min="11790" max="11790" width="18.85546875" style="27" bestFit="1" customWidth="1"/>
    <col min="11791" max="11791" width="14.140625" style="27" customWidth="1"/>
    <col min="11792" max="11792" width="16.85546875" style="27" customWidth="1"/>
    <col min="11793" max="11793" width="23.42578125" style="27" bestFit="1" customWidth="1"/>
    <col min="11794" max="11794" width="9.140625" style="27"/>
    <col min="11795" max="11795" width="11" style="27" bestFit="1" customWidth="1"/>
    <col min="11796" max="12032" width="9.140625" style="27"/>
    <col min="12033" max="12033" width="12.5703125" style="27" customWidth="1"/>
    <col min="12034" max="12034" width="10.85546875" style="27" bestFit="1" customWidth="1"/>
    <col min="12035" max="12035" width="13.42578125" style="27" customWidth="1"/>
    <col min="12036" max="12036" width="9.85546875" style="27" customWidth="1"/>
    <col min="12037" max="12037" width="12.5703125" style="27" bestFit="1" customWidth="1"/>
    <col min="12038" max="12041" width="12.7109375" style="27" customWidth="1"/>
    <col min="12042" max="12042" width="9.140625" style="27"/>
    <col min="12043" max="12043" width="11" style="27" bestFit="1" customWidth="1"/>
    <col min="12044" max="12045" width="9.140625" style="27"/>
    <col min="12046" max="12046" width="18.85546875" style="27" bestFit="1" customWidth="1"/>
    <col min="12047" max="12047" width="14.140625" style="27" customWidth="1"/>
    <col min="12048" max="12048" width="16.85546875" style="27" customWidth="1"/>
    <col min="12049" max="12049" width="23.42578125" style="27" bestFit="1" customWidth="1"/>
    <col min="12050" max="12050" width="9.140625" style="27"/>
    <col min="12051" max="12051" width="11" style="27" bestFit="1" customWidth="1"/>
    <col min="12052" max="12288" width="9.140625" style="27"/>
    <col min="12289" max="12289" width="12.5703125" style="27" customWidth="1"/>
    <col min="12290" max="12290" width="10.85546875" style="27" bestFit="1" customWidth="1"/>
    <col min="12291" max="12291" width="13.42578125" style="27" customWidth="1"/>
    <col min="12292" max="12292" width="9.85546875" style="27" customWidth="1"/>
    <col min="12293" max="12293" width="12.5703125" style="27" bestFit="1" customWidth="1"/>
    <col min="12294" max="12297" width="12.7109375" style="27" customWidth="1"/>
    <col min="12298" max="12298" width="9.140625" style="27"/>
    <col min="12299" max="12299" width="11" style="27" bestFit="1" customWidth="1"/>
    <col min="12300" max="12301" width="9.140625" style="27"/>
    <col min="12302" max="12302" width="18.85546875" style="27" bestFit="1" customWidth="1"/>
    <col min="12303" max="12303" width="14.140625" style="27" customWidth="1"/>
    <col min="12304" max="12304" width="16.85546875" style="27" customWidth="1"/>
    <col min="12305" max="12305" width="23.42578125" style="27" bestFit="1" customWidth="1"/>
    <col min="12306" max="12306" width="9.140625" style="27"/>
    <col min="12307" max="12307" width="11" style="27" bestFit="1" customWidth="1"/>
    <col min="12308" max="12544" width="9.140625" style="27"/>
    <col min="12545" max="12545" width="12.5703125" style="27" customWidth="1"/>
    <col min="12546" max="12546" width="10.85546875" style="27" bestFit="1" customWidth="1"/>
    <col min="12547" max="12547" width="13.42578125" style="27" customWidth="1"/>
    <col min="12548" max="12548" width="9.85546875" style="27" customWidth="1"/>
    <col min="12549" max="12549" width="12.5703125" style="27" bestFit="1" customWidth="1"/>
    <col min="12550" max="12553" width="12.7109375" style="27" customWidth="1"/>
    <col min="12554" max="12554" width="9.140625" style="27"/>
    <col min="12555" max="12555" width="11" style="27" bestFit="1" customWidth="1"/>
    <col min="12556" max="12557" width="9.140625" style="27"/>
    <col min="12558" max="12558" width="18.85546875" style="27" bestFit="1" customWidth="1"/>
    <col min="12559" max="12559" width="14.140625" style="27" customWidth="1"/>
    <col min="12560" max="12560" width="16.85546875" style="27" customWidth="1"/>
    <col min="12561" max="12561" width="23.42578125" style="27" bestFit="1" customWidth="1"/>
    <col min="12562" max="12562" width="9.140625" style="27"/>
    <col min="12563" max="12563" width="11" style="27" bestFit="1" customWidth="1"/>
    <col min="12564" max="12800" width="9.140625" style="27"/>
    <col min="12801" max="12801" width="12.5703125" style="27" customWidth="1"/>
    <col min="12802" max="12802" width="10.85546875" style="27" bestFit="1" customWidth="1"/>
    <col min="12803" max="12803" width="13.42578125" style="27" customWidth="1"/>
    <col min="12804" max="12804" width="9.85546875" style="27" customWidth="1"/>
    <col min="12805" max="12805" width="12.5703125" style="27" bestFit="1" customWidth="1"/>
    <col min="12806" max="12809" width="12.7109375" style="27" customWidth="1"/>
    <col min="12810" max="12810" width="9.140625" style="27"/>
    <col min="12811" max="12811" width="11" style="27" bestFit="1" customWidth="1"/>
    <col min="12812" max="12813" width="9.140625" style="27"/>
    <col min="12814" max="12814" width="18.85546875" style="27" bestFit="1" customWidth="1"/>
    <col min="12815" max="12815" width="14.140625" style="27" customWidth="1"/>
    <col min="12816" max="12816" width="16.85546875" style="27" customWidth="1"/>
    <col min="12817" max="12817" width="23.42578125" style="27" bestFit="1" customWidth="1"/>
    <col min="12818" max="12818" width="9.140625" style="27"/>
    <col min="12819" max="12819" width="11" style="27" bestFit="1" customWidth="1"/>
    <col min="12820" max="13056" width="9.140625" style="27"/>
    <col min="13057" max="13057" width="12.5703125" style="27" customWidth="1"/>
    <col min="13058" max="13058" width="10.85546875" style="27" bestFit="1" customWidth="1"/>
    <col min="13059" max="13059" width="13.42578125" style="27" customWidth="1"/>
    <col min="13060" max="13060" width="9.85546875" style="27" customWidth="1"/>
    <col min="13061" max="13061" width="12.5703125" style="27" bestFit="1" customWidth="1"/>
    <col min="13062" max="13065" width="12.7109375" style="27" customWidth="1"/>
    <col min="13066" max="13066" width="9.140625" style="27"/>
    <col min="13067" max="13067" width="11" style="27" bestFit="1" customWidth="1"/>
    <col min="13068" max="13069" width="9.140625" style="27"/>
    <col min="13070" max="13070" width="18.85546875" style="27" bestFit="1" customWidth="1"/>
    <col min="13071" max="13071" width="14.140625" style="27" customWidth="1"/>
    <col min="13072" max="13072" width="16.85546875" style="27" customWidth="1"/>
    <col min="13073" max="13073" width="23.42578125" style="27" bestFit="1" customWidth="1"/>
    <col min="13074" max="13074" width="9.140625" style="27"/>
    <col min="13075" max="13075" width="11" style="27" bestFit="1" customWidth="1"/>
    <col min="13076" max="13312" width="9.140625" style="27"/>
    <col min="13313" max="13313" width="12.5703125" style="27" customWidth="1"/>
    <col min="13314" max="13314" width="10.85546875" style="27" bestFit="1" customWidth="1"/>
    <col min="13315" max="13315" width="13.42578125" style="27" customWidth="1"/>
    <col min="13316" max="13316" width="9.85546875" style="27" customWidth="1"/>
    <col min="13317" max="13317" width="12.5703125" style="27" bestFit="1" customWidth="1"/>
    <col min="13318" max="13321" width="12.7109375" style="27" customWidth="1"/>
    <col min="13322" max="13322" width="9.140625" style="27"/>
    <col min="13323" max="13323" width="11" style="27" bestFit="1" customWidth="1"/>
    <col min="13324" max="13325" width="9.140625" style="27"/>
    <col min="13326" max="13326" width="18.85546875" style="27" bestFit="1" customWidth="1"/>
    <col min="13327" max="13327" width="14.140625" style="27" customWidth="1"/>
    <col min="13328" max="13328" width="16.85546875" style="27" customWidth="1"/>
    <col min="13329" max="13329" width="23.42578125" style="27" bestFit="1" customWidth="1"/>
    <col min="13330" max="13330" width="9.140625" style="27"/>
    <col min="13331" max="13331" width="11" style="27" bestFit="1" customWidth="1"/>
    <col min="13332" max="13568" width="9.140625" style="27"/>
    <col min="13569" max="13569" width="12.5703125" style="27" customWidth="1"/>
    <col min="13570" max="13570" width="10.85546875" style="27" bestFit="1" customWidth="1"/>
    <col min="13571" max="13571" width="13.42578125" style="27" customWidth="1"/>
    <col min="13572" max="13572" width="9.85546875" style="27" customWidth="1"/>
    <col min="13573" max="13573" width="12.5703125" style="27" bestFit="1" customWidth="1"/>
    <col min="13574" max="13577" width="12.7109375" style="27" customWidth="1"/>
    <col min="13578" max="13578" width="9.140625" style="27"/>
    <col min="13579" max="13579" width="11" style="27" bestFit="1" customWidth="1"/>
    <col min="13580" max="13581" width="9.140625" style="27"/>
    <col min="13582" max="13582" width="18.85546875" style="27" bestFit="1" customWidth="1"/>
    <col min="13583" max="13583" width="14.140625" style="27" customWidth="1"/>
    <col min="13584" max="13584" width="16.85546875" style="27" customWidth="1"/>
    <col min="13585" max="13585" width="23.42578125" style="27" bestFit="1" customWidth="1"/>
    <col min="13586" max="13586" width="9.140625" style="27"/>
    <col min="13587" max="13587" width="11" style="27" bestFit="1" customWidth="1"/>
    <col min="13588" max="13824" width="9.140625" style="27"/>
    <col min="13825" max="13825" width="12.5703125" style="27" customWidth="1"/>
    <col min="13826" max="13826" width="10.85546875" style="27" bestFit="1" customWidth="1"/>
    <col min="13827" max="13827" width="13.42578125" style="27" customWidth="1"/>
    <col min="13828" max="13828" width="9.85546875" style="27" customWidth="1"/>
    <col min="13829" max="13829" width="12.5703125" style="27" bestFit="1" customWidth="1"/>
    <col min="13830" max="13833" width="12.7109375" style="27" customWidth="1"/>
    <col min="13834" max="13834" width="9.140625" style="27"/>
    <col min="13835" max="13835" width="11" style="27" bestFit="1" customWidth="1"/>
    <col min="13836" max="13837" width="9.140625" style="27"/>
    <col min="13838" max="13838" width="18.85546875" style="27" bestFit="1" customWidth="1"/>
    <col min="13839" max="13839" width="14.140625" style="27" customWidth="1"/>
    <col min="13840" max="13840" width="16.85546875" style="27" customWidth="1"/>
    <col min="13841" max="13841" width="23.42578125" style="27" bestFit="1" customWidth="1"/>
    <col min="13842" max="13842" width="9.140625" style="27"/>
    <col min="13843" max="13843" width="11" style="27" bestFit="1" customWidth="1"/>
    <col min="13844" max="14080" width="9.140625" style="27"/>
    <col min="14081" max="14081" width="12.5703125" style="27" customWidth="1"/>
    <col min="14082" max="14082" width="10.85546875" style="27" bestFit="1" customWidth="1"/>
    <col min="14083" max="14083" width="13.42578125" style="27" customWidth="1"/>
    <col min="14084" max="14084" width="9.85546875" style="27" customWidth="1"/>
    <col min="14085" max="14085" width="12.5703125" style="27" bestFit="1" customWidth="1"/>
    <col min="14086" max="14089" width="12.7109375" style="27" customWidth="1"/>
    <col min="14090" max="14090" width="9.140625" style="27"/>
    <col min="14091" max="14091" width="11" style="27" bestFit="1" customWidth="1"/>
    <col min="14092" max="14093" width="9.140625" style="27"/>
    <col min="14094" max="14094" width="18.85546875" style="27" bestFit="1" customWidth="1"/>
    <col min="14095" max="14095" width="14.140625" style="27" customWidth="1"/>
    <col min="14096" max="14096" width="16.85546875" style="27" customWidth="1"/>
    <col min="14097" max="14097" width="23.42578125" style="27" bestFit="1" customWidth="1"/>
    <col min="14098" max="14098" width="9.140625" style="27"/>
    <col min="14099" max="14099" width="11" style="27" bestFit="1" customWidth="1"/>
    <col min="14100" max="14336" width="9.140625" style="27"/>
    <col min="14337" max="14337" width="12.5703125" style="27" customWidth="1"/>
    <col min="14338" max="14338" width="10.85546875" style="27" bestFit="1" customWidth="1"/>
    <col min="14339" max="14339" width="13.42578125" style="27" customWidth="1"/>
    <col min="14340" max="14340" width="9.85546875" style="27" customWidth="1"/>
    <col min="14341" max="14341" width="12.5703125" style="27" bestFit="1" customWidth="1"/>
    <col min="14342" max="14345" width="12.7109375" style="27" customWidth="1"/>
    <col min="14346" max="14346" width="9.140625" style="27"/>
    <col min="14347" max="14347" width="11" style="27" bestFit="1" customWidth="1"/>
    <col min="14348" max="14349" width="9.140625" style="27"/>
    <col min="14350" max="14350" width="18.85546875" style="27" bestFit="1" customWidth="1"/>
    <col min="14351" max="14351" width="14.140625" style="27" customWidth="1"/>
    <col min="14352" max="14352" width="16.85546875" style="27" customWidth="1"/>
    <col min="14353" max="14353" width="23.42578125" style="27" bestFit="1" customWidth="1"/>
    <col min="14354" max="14354" width="9.140625" style="27"/>
    <col min="14355" max="14355" width="11" style="27" bestFit="1" customWidth="1"/>
    <col min="14356" max="14592" width="9.140625" style="27"/>
    <col min="14593" max="14593" width="12.5703125" style="27" customWidth="1"/>
    <col min="14594" max="14594" width="10.85546875" style="27" bestFit="1" customWidth="1"/>
    <col min="14595" max="14595" width="13.42578125" style="27" customWidth="1"/>
    <col min="14596" max="14596" width="9.85546875" style="27" customWidth="1"/>
    <col min="14597" max="14597" width="12.5703125" style="27" bestFit="1" customWidth="1"/>
    <col min="14598" max="14601" width="12.7109375" style="27" customWidth="1"/>
    <col min="14602" max="14602" width="9.140625" style="27"/>
    <col min="14603" max="14603" width="11" style="27" bestFit="1" customWidth="1"/>
    <col min="14604" max="14605" width="9.140625" style="27"/>
    <col min="14606" max="14606" width="18.85546875" style="27" bestFit="1" customWidth="1"/>
    <col min="14607" max="14607" width="14.140625" style="27" customWidth="1"/>
    <col min="14608" max="14608" width="16.85546875" style="27" customWidth="1"/>
    <col min="14609" max="14609" width="23.42578125" style="27" bestFit="1" customWidth="1"/>
    <col min="14610" max="14610" width="9.140625" style="27"/>
    <col min="14611" max="14611" width="11" style="27" bestFit="1" customWidth="1"/>
    <col min="14612" max="14848" width="9.140625" style="27"/>
    <col min="14849" max="14849" width="12.5703125" style="27" customWidth="1"/>
    <col min="14850" max="14850" width="10.85546875" style="27" bestFit="1" customWidth="1"/>
    <col min="14851" max="14851" width="13.42578125" style="27" customWidth="1"/>
    <col min="14852" max="14852" width="9.85546875" style="27" customWidth="1"/>
    <col min="14853" max="14853" width="12.5703125" style="27" bestFit="1" customWidth="1"/>
    <col min="14854" max="14857" width="12.7109375" style="27" customWidth="1"/>
    <col min="14858" max="14858" width="9.140625" style="27"/>
    <col min="14859" max="14859" width="11" style="27" bestFit="1" customWidth="1"/>
    <col min="14860" max="14861" width="9.140625" style="27"/>
    <col min="14862" max="14862" width="18.85546875" style="27" bestFit="1" customWidth="1"/>
    <col min="14863" max="14863" width="14.140625" style="27" customWidth="1"/>
    <col min="14864" max="14864" width="16.85546875" style="27" customWidth="1"/>
    <col min="14865" max="14865" width="23.42578125" style="27" bestFit="1" customWidth="1"/>
    <col min="14866" max="14866" width="9.140625" style="27"/>
    <col min="14867" max="14867" width="11" style="27" bestFit="1" customWidth="1"/>
    <col min="14868" max="15104" width="9.140625" style="27"/>
    <col min="15105" max="15105" width="12.5703125" style="27" customWidth="1"/>
    <col min="15106" max="15106" width="10.85546875" style="27" bestFit="1" customWidth="1"/>
    <col min="15107" max="15107" width="13.42578125" style="27" customWidth="1"/>
    <col min="15108" max="15108" width="9.85546875" style="27" customWidth="1"/>
    <col min="15109" max="15109" width="12.5703125" style="27" bestFit="1" customWidth="1"/>
    <col min="15110" max="15113" width="12.7109375" style="27" customWidth="1"/>
    <col min="15114" max="15114" width="9.140625" style="27"/>
    <col min="15115" max="15115" width="11" style="27" bestFit="1" customWidth="1"/>
    <col min="15116" max="15117" width="9.140625" style="27"/>
    <col min="15118" max="15118" width="18.85546875" style="27" bestFit="1" customWidth="1"/>
    <col min="15119" max="15119" width="14.140625" style="27" customWidth="1"/>
    <col min="15120" max="15120" width="16.85546875" style="27" customWidth="1"/>
    <col min="15121" max="15121" width="23.42578125" style="27" bestFit="1" customWidth="1"/>
    <col min="15122" max="15122" width="9.140625" style="27"/>
    <col min="15123" max="15123" width="11" style="27" bestFit="1" customWidth="1"/>
    <col min="15124" max="15360" width="9.140625" style="27"/>
    <col min="15361" max="15361" width="12.5703125" style="27" customWidth="1"/>
    <col min="15362" max="15362" width="10.85546875" style="27" bestFit="1" customWidth="1"/>
    <col min="15363" max="15363" width="13.42578125" style="27" customWidth="1"/>
    <col min="15364" max="15364" width="9.85546875" style="27" customWidth="1"/>
    <col min="15365" max="15365" width="12.5703125" style="27" bestFit="1" customWidth="1"/>
    <col min="15366" max="15369" width="12.7109375" style="27" customWidth="1"/>
    <col min="15370" max="15370" width="9.140625" style="27"/>
    <col min="15371" max="15371" width="11" style="27" bestFit="1" customWidth="1"/>
    <col min="15372" max="15373" width="9.140625" style="27"/>
    <col min="15374" max="15374" width="18.85546875" style="27" bestFit="1" customWidth="1"/>
    <col min="15375" max="15375" width="14.140625" style="27" customWidth="1"/>
    <col min="15376" max="15376" width="16.85546875" style="27" customWidth="1"/>
    <col min="15377" max="15377" width="23.42578125" style="27" bestFit="1" customWidth="1"/>
    <col min="15378" max="15378" width="9.140625" style="27"/>
    <col min="15379" max="15379" width="11" style="27" bestFit="1" customWidth="1"/>
    <col min="15380" max="15616" width="9.140625" style="27"/>
    <col min="15617" max="15617" width="12.5703125" style="27" customWidth="1"/>
    <col min="15618" max="15618" width="10.85546875" style="27" bestFit="1" customWidth="1"/>
    <col min="15619" max="15619" width="13.42578125" style="27" customWidth="1"/>
    <col min="15620" max="15620" width="9.85546875" style="27" customWidth="1"/>
    <col min="15621" max="15621" width="12.5703125" style="27" bestFit="1" customWidth="1"/>
    <col min="15622" max="15625" width="12.7109375" style="27" customWidth="1"/>
    <col min="15626" max="15626" width="9.140625" style="27"/>
    <col min="15627" max="15627" width="11" style="27" bestFit="1" customWidth="1"/>
    <col min="15628" max="15629" width="9.140625" style="27"/>
    <col min="15630" max="15630" width="18.85546875" style="27" bestFit="1" customWidth="1"/>
    <col min="15631" max="15631" width="14.140625" style="27" customWidth="1"/>
    <col min="15632" max="15632" width="16.85546875" style="27" customWidth="1"/>
    <col min="15633" max="15633" width="23.42578125" style="27" bestFit="1" customWidth="1"/>
    <col min="15634" max="15634" width="9.140625" style="27"/>
    <col min="15635" max="15635" width="11" style="27" bestFit="1" customWidth="1"/>
    <col min="15636" max="15872" width="9.140625" style="27"/>
    <col min="15873" max="15873" width="12.5703125" style="27" customWidth="1"/>
    <col min="15874" max="15874" width="10.85546875" style="27" bestFit="1" customWidth="1"/>
    <col min="15875" max="15875" width="13.42578125" style="27" customWidth="1"/>
    <col min="15876" max="15876" width="9.85546875" style="27" customWidth="1"/>
    <col min="15877" max="15877" width="12.5703125" style="27" bestFit="1" customWidth="1"/>
    <col min="15878" max="15881" width="12.7109375" style="27" customWidth="1"/>
    <col min="15882" max="15882" width="9.140625" style="27"/>
    <col min="15883" max="15883" width="11" style="27" bestFit="1" customWidth="1"/>
    <col min="15884" max="15885" width="9.140625" style="27"/>
    <col min="15886" max="15886" width="18.85546875" style="27" bestFit="1" customWidth="1"/>
    <col min="15887" max="15887" width="14.140625" style="27" customWidth="1"/>
    <col min="15888" max="15888" width="16.85546875" style="27" customWidth="1"/>
    <col min="15889" max="15889" width="23.42578125" style="27" bestFit="1" customWidth="1"/>
    <col min="15890" max="15890" width="9.140625" style="27"/>
    <col min="15891" max="15891" width="11" style="27" bestFit="1" customWidth="1"/>
    <col min="15892" max="16128" width="9.140625" style="27"/>
    <col min="16129" max="16129" width="12.5703125" style="27" customWidth="1"/>
    <col min="16130" max="16130" width="10.85546875" style="27" bestFit="1" customWidth="1"/>
    <col min="16131" max="16131" width="13.42578125" style="27" customWidth="1"/>
    <col min="16132" max="16132" width="9.85546875" style="27" customWidth="1"/>
    <col min="16133" max="16133" width="12.5703125" style="27" bestFit="1" customWidth="1"/>
    <col min="16134" max="16137" width="12.7109375" style="27" customWidth="1"/>
    <col min="16138" max="16138" width="9.140625" style="27"/>
    <col min="16139" max="16139" width="11" style="27" bestFit="1" customWidth="1"/>
    <col min="16140" max="16141" width="9.140625" style="27"/>
    <col min="16142" max="16142" width="18.85546875" style="27" bestFit="1" customWidth="1"/>
    <col min="16143" max="16143" width="14.140625" style="27" customWidth="1"/>
    <col min="16144" max="16144" width="16.85546875" style="27" customWidth="1"/>
    <col min="16145" max="16145" width="23.42578125" style="27" bestFit="1" customWidth="1"/>
    <col min="16146" max="16146" width="9.140625" style="27"/>
    <col min="16147" max="16147" width="11" style="27" bestFit="1" customWidth="1"/>
    <col min="16148" max="16384" width="9.140625" style="27"/>
  </cols>
  <sheetData>
    <row r="1" spans="1:11" x14ac:dyDescent="0.2">
      <c r="A1" s="67" t="s">
        <v>81</v>
      </c>
      <c r="B1" s="68"/>
      <c r="C1" s="68"/>
      <c r="D1" s="68"/>
      <c r="E1" s="68"/>
      <c r="F1" s="68"/>
      <c r="G1" s="68"/>
    </row>
    <row r="2" spans="1:11" x14ac:dyDescent="0.2">
      <c r="A2" s="63" t="s">
        <v>26</v>
      </c>
      <c r="B2" s="64"/>
      <c r="C2" s="64"/>
      <c r="D2" s="64"/>
      <c r="E2" s="64"/>
      <c r="F2" s="64"/>
      <c r="G2" s="64"/>
    </row>
    <row r="5" spans="1:11" x14ac:dyDescent="0.2">
      <c r="A5" s="99" t="s">
        <v>83</v>
      </c>
      <c r="B5" s="100"/>
      <c r="C5" s="100"/>
      <c r="D5" s="100"/>
      <c r="E5" s="100"/>
      <c r="F5" s="100"/>
      <c r="G5" s="100"/>
      <c r="I5" s="113" t="s">
        <v>89</v>
      </c>
      <c r="J5" s="115"/>
    </row>
    <row r="6" spans="1:11" x14ac:dyDescent="0.2">
      <c r="A6" s="26" t="s">
        <v>0</v>
      </c>
      <c r="I6" s="69" t="s">
        <v>97</v>
      </c>
      <c r="J6" s="93"/>
    </row>
    <row r="7" spans="1:11" x14ac:dyDescent="0.2">
      <c r="A7" s="27" t="s">
        <v>6</v>
      </c>
      <c r="B7" s="94">
        <v>1</v>
      </c>
      <c r="I7" s="69" t="s">
        <v>98</v>
      </c>
      <c r="J7" s="93"/>
    </row>
    <row r="8" spans="1:11" x14ac:dyDescent="0.2">
      <c r="A8" s="27" t="s">
        <v>1</v>
      </c>
      <c r="B8" s="93">
        <v>50</v>
      </c>
    </row>
    <row r="9" spans="1:11" x14ac:dyDescent="0.2">
      <c r="A9" s="27" t="s">
        <v>2</v>
      </c>
      <c r="B9" s="93">
        <v>15</v>
      </c>
    </row>
    <row r="10" spans="1:11" x14ac:dyDescent="0.2">
      <c r="A10" s="27" t="s">
        <v>4</v>
      </c>
      <c r="B10" s="93">
        <v>10</v>
      </c>
      <c r="I10" s="115" t="s">
        <v>99</v>
      </c>
      <c r="J10" s="115"/>
    </row>
    <row r="11" spans="1:11" x14ac:dyDescent="0.2">
      <c r="A11" s="27" t="s">
        <v>3</v>
      </c>
      <c r="B11" s="93">
        <v>1000</v>
      </c>
      <c r="I11" s="93" t="s">
        <v>100</v>
      </c>
      <c r="J11" s="93"/>
      <c r="K11" s="93"/>
    </row>
    <row r="12" spans="1:11" x14ac:dyDescent="0.2">
      <c r="A12" s="102" t="s">
        <v>11</v>
      </c>
      <c r="B12" s="26"/>
      <c r="C12" s="102" t="s">
        <v>12</v>
      </c>
      <c r="I12" s="93" t="s">
        <v>102</v>
      </c>
      <c r="J12" s="93"/>
      <c r="K12" s="93"/>
    </row>
    <row r="13" spans="1:11" x14ac:dyDescent="0.2">
      <c r="A13" s="27" t="s">
        <v>13</v>
      </c>
      <c r="B13" s="95">
        <v>0.03</v>
      </c>
      <c r="C13" s="91">
        <v>0.05</v>
      </c>
    </row>
    <row r="14" spans="1:11" x14ac:dyDescent="0.2">
      <c r="A14" s="27" t="s">
        <v>10</v>
      </c>
      <c r="B14" s="81" t="s">
        <v>9</v>
      </c>
      <c r="C14" s="81" t="s">
        <v>87</v>
      </c>
    </row>
    <row r="15" spans="1:11" x14ac:dyDescent="0.2">
      <c r="A15" s="27" t="s">
        <v>88</v>
      </c>
      <c r="B15" s="81"/>
      <c r="C15" s="92">
        <v>0.7</v>
      </c>
    </row>
    <row r="16" spans="1:11" x14ac:dyDescent="0.2">
      <c r="A16" s="27" t="s">
        <v>19</v>
      </c>
      <c r="B16" s="91">
        <v>0.55000000000000004</v>
      </c>
      <c r="C16" s="81">
        <v>0.55000000000000004</v>
      </c>
      <c r="D16" s="1" t="s">
        <v>27</v>
      </c>
    </row>
    <row r="17" spans="1:22" x14ac:dyDescent="0.2">
      <c r="A17" s="27" t="s">
        <v>20</v>
      </c>
      <c r="B17" s="91">
        <v>0.04</v>
      </c>
      <c r="C17" s="81">
        <v>0.04</v>
      </c>
      <c r="D17" s="1" t="s">
        <v>27</v>
      </c>
    </row>
    <row r="18" spans="1:22" x14ac:dyDescent="0.2">
      <c r="A18" s="27" t="s">
        <v>21</v>
      </c>
      <c r="B18" s="92">
        <v>1.5E-3</v>
      </c>
      <c r="C18" s="82">
        <v>3.0000000000000001E-3</v>
      </c>
      <c r="D18" s="114" t="s">
        <v>90</v>
      </c>
    </row>
    <row r="19" spans="1:22" x14ac:dyDescent="0.2">
      <c r="A19" s="27" t="s">
        <v>8</v>
      </c>
      <c r="B19" s="90"/>
      <c r="C19" s="114" t="s">
        <v>91</v>
      </c>
      <c r="D19" s="83"/>
      <c r="F19" s="83"/>
      <c r="G19" s="83"/>
      <c r="H19" s="83"/>
      <c r="I19" s="83"/>
    </row>
    <row r="20" spans="1:22" x14ac:dyDescent="0.2">
      <c r="A20" s="27" t="s">
        <v>7</v>
      </c>
      <c r="B20" s="90"/>
      <c r="C20" s="114" t="s">
        <v>92</v>
      </c>
      <c r="D20" s="83"/>
      <c r="F20" s="83"/>
      <c r="G20" s="83"/>
      <c r="H20" s="83"/>
      <c r="I20" s="83"/>
    </row>
    <row r="21" spans="1:22" x14ac:dyDescent="0.2">
      <c r="A21" s="27" t="s">
        <v>22</v>
      </c>
      <c r="B21" s="90"/>
      <c r="C21" s="114" t="s">
        <v>93</v>
      </c>
      <c r="D21" s="83"/>
      <c r="F21" s="83"/>
      <c r="G21" s="83"/>
      <c r="H21" s="83"/>
      <c r="I21" s="83"/>
    </row>
    <row r="22" spans="1:22" x14ac:dyDescent="0.2">
      <c r="A22" s="27" t="s">
        <v>23</v>
      </c>
      <c r="B22" s="90"/>
      <c r="C22" s="114" t="s">
        <v>94</v>
      </c>
      <c r="D22" s="83"/>
      <c r="F22" s="83"/>
      <c r="G22" s="83"/>
      <c r="H22" s="83"/>
      <c r="I22" s="83"/>
    </row>
    <row r="23" spans="1:22" ht="15.75" x14ac:dyDescent="0.3">
      <c r="A23" s="78" t="s">
        <v>82</v>
      </c>
      <c r="B23" s="77"/>
      <c r="C23" s="78" t="s">
        <v>78</v>
      </c>
      <c r="D23" s="78" t="s">
        <v>79</v>
      </c>
      <c r="E23" s="78" t="s">
        <v>80</v>
      </c>
      <c r="F23" s="83"/>
      <c r="G23" s="83"/>
      <c r="H23" s="83"/>
      <c r="I23" s="83"/>
    </row>
    <row r="24" spans="1:22" ht="15.75" x14ac:dyDescent="0.25">
      <c r="A24" s="96" t="s">
        <v>24</v>
      </c>
      <c r="B24" s="98"/>
      <c r="C24" s="98"/>
      <c r="D24" s="98"/>
      <c r="E24" s="98"/>
      <c r="F24" s="85"/>
    </row>
    <row r="25" spans="1:22" ht="15.75" x14ac:dyDescent="0.25">
      <c r="A25" s="84" t="s">
        <v>122</v>
      </c>
      <c r="B25" s="86">
        <f>B22-B20</f>
        <v>0</v>
      </c>
      <c r="C25" s="128" t="s">
        <v>121</v>
      </c>
      <c r="D25" s="129"/>
      <c r="E25" s="85"/>
    </row>
    <row r="26" spans="1:22" ht="15.75" x14ac:dyDescent="0.25">
      <c r="A26" s="84"/>
      <c r="B26" s="85"/>
      <c r="C26" s="85"/>
      <c r="D26" s="86"/>
      <c r="E26" s="85"/>
    </row>
    <row r="28" spans="1:22" x14ac:dyDescent="0.2">
      <c r="A28" s="26" t="s">
        <v>110</v>
      </c>
    </row>
    <row r="29" spans="1:22" x14ac:dyDescent="0.2">
      <c r="A29" s="104" t="s">
        <v>5</v>
      </c>
      <c r="B29" s="105" t="s">
        <v>16</v>
      </c>
      <c r="C29" s="106" t="s">
        <v>31</v>
      </c>
      <c r="D29" s="106" t="s">
        <v>30</v>
      </c>
      <c r="E29" s="106" t="s">
        <v>28</v>
      </c>
      <c r="F29" s="106" t="s">
        <v>15</v>
      </c>
      <c r="G29" s="106" t="s">
        <v>17</v>
      </c>
      <c r="H29" s="106" t="s">
        <v>18</v>
      </c>
      <c r="I29" s="106" t="s">
        <v>14</v>
      </c>
      <c r="J29" s="104" t="s">
        <v>29</v>
      </c>
      <c r="K29" s="105" t="s">
        <v>73</v>
      </c>
      <c r="L29" s="106" t="s">
        <v>74</v>
      </c>
      <c r="M29" s="106" t="s">
        <v>85</v>
      </c>
      <c r="N29" s="122" t="s">
        <v>25</v>
      </c>
      <c r="O29" s="106" t="s">
        <v>86</v>
      </c>
      <c r="P29" s="106" t="s">
        <v>116</v>
      </c>
      <c r="Q29" s="106" t="s">
        <v>115</v>
      </c>
      <c r="R29" s="106" t="s">
        <v>117</v>
      </c>
      <c r="S29" s="104" t="s">
        <v>32</v>
      </c>
      <c r="T29" s="105" t="s">
        <v>33</v>
      </c>
    </row>
    <row r="30" spans="1:22" x14ac:dyDescent="0.2">
      <c r="A30" s="87">
        <v>0</v>
      </c>
      <c r="B30" s="103"/>
      <c r="C30" s="97"/>
      <c r="D30" s="89"/>
      <c r="E30" s="107"/>
      <c r="F30" s="88"/>
      <c r="G30" s="89">
        <f t="shared" ref="G30:G44" si="0">(INDEX(lx,($B$8+A30+1))-INDEX(lx,($B$8+1+A30+1)))/INDEX(lx,($B$8+A30+1))</f>
        <v>1.9549538064757262E-3</v>
      </c>
      <c r="H30" s="89"/>
      <c r="I30" s="89"/>
      <c r="J30" s="109"/>
      <c r="K30" s="103"/>
      <c r="L30" s="97"/>
      <c r="M30" s="97"/>
      <c r="N30" s="97"/>
      <c r="O30" s="97"/>
      <c r="P30" s="97"/>
      <c r="Q30" s="97"/>
      <c r="R30" s="97"/>
      <c r="S30" s="109"/>
      <c r="T30" s="110"/>
      <c r="V30" s="86"/>
    </row>
    <row r="31" spans="1:22" x14ac:dyDescent="0.2">
      <c r="A31" s="87">
        <f t="shared" ref="A31:A45" si="1">A30+1</f>
        <v>1</v>
      </c>
      <c r="B31" s="103"/>
      <c r="C31" s="97"/>
      <c r="D31" s="89"/>
      <c r="E31" s="108"/>
      <c r="F31" s="103"/>
      <c r="G31" s="89">
        <f t="shared" si="0"/>
        <v>2.0669750638913362E-3</v>
      </c>
      <c r="H31" s="89"/>
      <c r="I31" s="89"/>
      <c r="J31" s="108"/>
      <c r="K31" s="103"/>
      <c r="L31" s="97"/>
      <c r="M31" s="97"/>
      <c r="N31" s="97"/>
      <c r="O31" s="97"/>
      <c r="P31" s="97"/>
      <c r="Q31" s="97"/>
      <c r="R31" s="97"/>
      <c r="S31" s="108"/>
      <c r="T31" s="111"/>
      <c r="V31" s="86"/>
    </row>
    <row r="32" spans="1:22" x14ac:dyDescent="0.2">
      <c r="A32" s="87">
        <f t="shared" si="1"/>
        <v>2</v>
      </c>
      <c r="B32" s="103"/>
      <c r="C32" s="97"/>
      <c r="D32" s="89"/>
      <c r="E32" s="108"/>
      <c r="F32" s="103"/>
      <c r="G32" s="89">
        <f t="shared" si="0"/>
        <v>2.1990434811770044E-3</v>
      </c>
      <c r="H32" s="89"/>
      <c r="I32" s="89"/>
      <c r="J32" s="108"/>
      <c r="K32" s="103"/>
      <c r="L32" s="97"/>
      <c r="M32" s="97"/>
      <c r="N32" s="97"/>
      <c r="O32" s="97"/>
      <c r="P32" s="97"/>
      <c r="Q32" s="97"/>
      <c r="R32" s="97"/>
      <c r="S32" s="108"/>
      <c r="T32" s="111"/>
      <c r="V32" s="86"/>
    </row>
    <row r="33" spans="1:22" x14ac:dyDescent="0.2">
      <c r="A33" s="87">
        <f t="shared" si="1"/>
        <v>3</v>
      </c>
      <c r="B33" s="103"/>
      <c r="C33" s="97"/>
      <c r="D33" s="89"/>
      <c r="E33" s="108"/>
      <c r="F33" s="103"/>
      <c r="G33" s="89">
        <f t="shared" si="0"/>
        <v>2.3570088762017954E-3</v>
      </c>
      <c r="H33" s="89"/>
      <c r="I33" s="89"/>
      <c r="J33" s="108"/>
      <c r="K33" s="103"/>
      <c r="L33" s="97"/>
      <c r="M33" s="97"/>
      <c r="N33" s="97"/>
      <c r="O33" s="97"/>
      <c r="P33" s="97"/>
      <c r="Q33" s="97"/>
      <c r="R33" s="97"/>
      <c r="S33" s="108"/>
      <c r="T33" s="111"/>
      <c r="V33" s="86"/>
    </row>
    <row r="34" spans="1:22" x14ac:dyDescent="0.2">
      <c r="A34" s="87">
        <f t="shared" si="1"/>
        <v>4</v>
      </c>
      <c r="B34" s="103"/>
      <c r="C34" s="97"/>
      <c r="D34" s="89"/>
      <c r="E34" s="108"/>
      <c r="F34" s="103"/>
      <c r="G34" s="89">
        <f t="shared" si="0"/>
        <v>2.5439923081792964E-3</v>
      </c>
      <c r="H34" s="89"/>
      <c r="I34" s="89"/>
      <c r="J34" s="108"/>
      <c r="K34" s="103"/>
      <c r="L34" s="97"/>
      <c r="M34" s="97"/>
      <c r="N34" s="97"/>
      <c r="O34" s="97"/>
      <c r="P34" s="97"/>
      <c r="Q34" s="97"/>
      <c r="R34" s="97"/>
      <c r="S34" s="108"/>
      <c r="T34" s="111"/>
      <c r="V34" s="86"/>
    </row>
    <row r="35" spans="1:22" x14ac:dyDescent="0.2">
      <c r="A35" s="87">
        <f t="shared" si="1"/>
        <v>5</v>
      </c>
      <c r="B35" s="103"/>
      <c r="C35" s="97"/>
      <c r="D35" s="89"/>
      <c r="E35" s="108"/>
      <c r="F35" s="103"/>
      <c r="G35" s="89">
        <f t="shared" si="0"/>
        <v>2.7960258400322071E-3</v>
      </c>
      <c r="H35" s="89"/>
      <c r="I35" s="89"/>
      <c r="J35" s="108"/>
      <c r="K35" s="103"/>
      <c r="L35" s="97"/>
      <c r="M35" s="97"/>
      <c r="N35" s="97"/>
      <c r="O35" s="97"/>
      <c r="P35" s="97"/>
      <c r="Q35" s="97"/>
      <c r="R35" s="97"/>
      <c r="S35" s="108"/>
      <c r="T35" s="111"/>
      <c r="V35" s="86"/>
    </row>
    <row r="36" spans="1:22" x14ac:dyDescent="0.2">
      <c r="A36" s="87">
        <f t="shared" si="1"/>
        <v>6</v>
      </c>
      <c r="B36" s="103"/>
      <c r="C36" s="97"/>
      <c r="D36" s="89"/>
      <c r="E36" s="108"/>
      <c r="F36" s="103"/>
      <c r="G36" s="89">
        <f t="shared" si="0"/>
        <v>3.093960471355019E-3</v>
      </c>
      <c r="H36" s="89"/>
      <c r="I36" s="89"/>
      <c r="J36" s="108"/>
      <c r="K36" s="103"/>
      <c r="L36" s="97"/>
      <c r="M36" s="97"/>
      <c r="N36" s="97"/>
      <c r="O36" s="97"/>
      <c r="P36" s="97"/>
      <c r="Q36" s="97"/>
      <c r="R36" s="97"/>
      <c r="S36" s="108"/>
      <c r="T36" s="111"/>
      <c r="V36" s="86"/>
    </row>
    <row r="37" spans="1:22" x14ac:dyDescent="0.2">
      <c r="A37" s="87">
        <f t="shared" si="1"/>
        <v>7</v>
      </c>
      <c r="B37" s="103"/>
      <c r="C37" s="97"/>
      <c r="D37" s="89"/>
      <c r="E37" s="108"/>
      <c r="F37" s="103"/>
      <c r="G37" s="89">
        <f t="shared" si="0"/>
        <v>3.4090128560193482E-3</v>
      </c>
      <c r="H37" s="89"/>
      <c r="I37" s="89"/>
      <c r="J37" s="108"/>
      <c r="K37" s="103"/>
      <c r="L37" s="97"/>
      <c r="M37" s="97"/>
      <c r="N37" s="97"/>
      <c r="O37" s="97"/>
      <c r="P37" s="97"/>
      <c r="Q37" s="97"/>
      <c r="R37" s="97"/>
      <c r="S37" s="108"/>
      <c r="T37" s="111"/>
      <c r="V37" s="86"/>
    </row>
    <row r="38" spans="1:22" x14ac:dyDescent="0.2">
      <c r="A38" s="87">
        <f t="shared" si="1"/>
        <v>8</v>
      </c>
      <c r="B38" s="103"/>
      <c r="C38" s="97"/>
      <c r="D38" s="89"/>
      <c r="E38" s="108"/>
      <c r="F38" s="103"/>
      <c r="G38" s="89">
        <f t="shared" si="0"/>
        <v>3.7179581784228888E-3</v>
      </c>
      <c r="H38" s="89"/>
      <c r="I38" s="89"/>
      <c r="J38" s="108"/>
      <c r="K38" s="103"/>
      <c r="L38" s="97"/>
      <c r="M38" s="97"/>
      <c r="N38" s="97"/>
      <c r="O38" s="97"/>
      <c r="P38" s="97"/>
      <c r="Q38" s="97"/>
      <c r="R38" s="97"/>
      <c r="S38" s="108"/>
      <c r="T38" s="111"/>
      <c r="V38" s="86"/>
    </row>
    <row r="39" spans="1:22" x14ac:dyDescent="0.2">
      <c r="A39" s="87">
        <f t="shared" si="1"/>
        <v>9</v>
      </c>
      <c r="B39" s="103"/>
      <c r="C39" s="97"/>
      <c r="D39" s="89"/>
      <c r="E39" s="108"/>
      <c r="F39" s="103"/>
      <c r="G39" s="89">
        <f t="shared" si="0"/>
        <v>3.9869765213744407E-3</v>
      </c>
      <c r="H39" s="89"/>
      <c r="I39" s="89"/>
      <c r="J39" s="108"/>
      <c r="K39" s="103"/>
      <c r="L39" s="97"/>
      <c r="M39" s="97"/>
      <c r="N39" s="97"/>
      <c r="O39" s="97"/>
      <c r="P39" s="97"/>
      <c r="Q39" s="97"/>
      <c r="R39" s="97"/>
      <c r="S39" s="108"/>
      <c r="T39" s="111"/>
      <c r="V39" s="86"/>
    </row>
    <row r="40" spans="1:22" x14ac:dyDescent="0.2">
      <c r="A40" s="87">
        <f t="shared" si="1"/>
        <v>10</v>
      </c>
      <c r="B40" s="103"/>
      <c r="C40" s="97"/>
      <c r="D40" s="89"/>
      <c r="E40" s="108"/>
      <c r="F40" s="103"/>
      <c r="G40" s="89">
        <f t="shared" si="0"/>
        <v>4.3529889991005665E-3</v>
      </c>
      <c r="H40" s="89"/>
      <c r="I40" s="89"/>
      <c r="J40" s="108"/>
      <c r="K40" s="103"/>
      <c r="L40" s="97"/>
      <c r="M40" s="97"/>
      <c r="N40" s="97"/>
      <c r="O40" s="97"/>
      <c r="P40" s="97"/>
      <c r="Q40" s="97"/>
      <c r="R40" s="97"/>
      <c r="S40" s="108"/>
      <c r="T40" s="111"/>
      <c r="V40" s="86"/>
    </row>
    <row r="41" spans="1:22" x14ac:dyDescent="0.2">
      <c r="A41" s="87">
        <f t="shared" si="1"/>
        <v>11</v>
      </c>
      <c r="B41" s="103"/>
      <c r="C41" s="97"/>
      <c r="D41" s="89"/>
      <c r="E41" s="108"/>
      <c r="F41" s="103"/>
      <c r="G41" s="89">
        <f t="shared" si="0"/>
        <v>4.7970064519448023E-3</v>
      </c>
      <c r="H41" s="89"/>
      <c r="I41" s="89"/>
      <c r="J41" s="108"/>
      <c r="K41" s="103"/>
      <c r="L41" s="97"/>
      <c r="M41" s="97"/>
      <c r="N41" s="97"/>
      <c r="O41" s="97"/>
      <c r="P41" s="97"/>
      <c r="Q41" s="97"/>
      <c r="R41" s="97"/>
      <c r="S41" s="108"/>
      <c r="T41" s="111"/>
      <c r="V41" s="86"/>
    </row>
    <row r="42" spans="1:22" x14ac:dyDescent="0.2">
      <c r="A42" s="87">
        <f t="shared" si="1"/>
        <v>12</v>
      </c>
      <c r="B42" s="103"/>
      <c r="C42" s="97"/>
      <c r="D42" s="89"/>
      <c r="E42" s="108"/>
      <c r="F42" s="103"/>
      <c r="G42" s="89">
        <f t="shared" si="0"/>
        <v>5.3040150295500027E-3</v>
      </c>
      <c r="H42" s="89"/>
      <c r="I42" s="89"/>
      <c r="J42" s="108"/>
      <c r="K42" s="103"/>
      <c r="L42" s="97"/>
      <c r="M42" s="97"/>
      <c r="N42" s="97"/>
      <c r="O42" s="97"/>
      <c r="P42" s="97"/>
      <c r="Q42" s="97"/>
      <c r="R42" s="97"/>
      <c r="S42" s="108"/>
      <c r="T42" s="111"/>
      <c r="V42" s="86"/>
    </row>
    <row r="43" spans="1:22" x14ac:dyDescent="0.2">
      <c r="A43" s="87">
        <f t="shared" si="1"/>
        <v>13</v>
      </c>
      <c r="B43" s="103"/>
      <c r="C43" s="97"/>
      <c r="D43" s="89"/>
      <c r="E43" s="108"/>
      <c r="F43" s="103"/>
      <c r="G43" s="89">
        <f t="shared" si="0"/>
        <v>5.8909656632940973E-3</v>
      </c>
      <c r="H43" s="89"/>
      <c r="I43" s="89"/>
      <c r="J43" s="108"/>
      <c r="K43" s="103"/>
      <c r="L43" s="97"/>
      <c r="M43" s="97"/>
      <c r="N43" s="97"/>
      <c r="O43" s="97"/>
      <c r="P43" s="97"/>
      <c r="Q43" s="97"/>
      <c r="R43" s="97"/>
      <c r="S43" s="108"/>
      <c r="T43" s="111"/>
      <c r="V43" s="86"/>
    </row>
    <row r="44" spans="1:22" x14ac:dyDescent="0.2">
      <c r="A44" s="87">
        <f t="shared" si="1"/>
        <v>14</v>
      </c>
      <c r="B44" s="103"/>
      <c r="C44" s="97"/>
      <c r="D44" s="89"/>
      <c r="E44" s="108"/>
      <c r="F44" s="103"/>
      <c r="G44" s="89">
        <f t="shared" si="0"/>
        <v>6.5600471622147254E-3</v>
      </c>
      <c r="H44" s="89"/>
      <c r="I44" s="89"/>
      <c r="J44" s="108"/>
      <c r="K44" s="103"/>
      <c r="L44" s="97"/>
      <c r="M44" s="97"/>
      <c r="N44" s="97"/>
      <c r="O44" s="97"/>
      <c r="P44" s="97"/>
      <c r="Q44" s="97"/>
      <c r="R44" s="97"/>
      <c r="S44" s="108"/>
      <c r="T44" s="111"/>
      <c r="V44" s="86"/>
    </row>
    <row r="45" spans="1:22" x14ac:dyDescent="0.2">
      <c r="A45" s="87">
        <f t="shared" si="1"/>
        <v>15</v>
      </c>
      <c r="B45" s="103"/>
      <c r="C45" s="97"/>
      <c r="D45" s="89"/>
      <c r="E45" s="108"/>
      <c r="F45" s="103"/>
      <c r="G45" s="89"/>
      <c r="H45" s="89"/>
      <c r="I45" s="89"/>
      <c r="J45" s="108"/>
      <c r="K45" s="103"/>
      <c r="L45" s="97"/>
      <c r="M45" s="97"/>
      <c r="N45" s="97"/>
      <c r="O45" s="97"/>
      <c r="P45" s="97"/>
      <c r="Q45" s="97"/>
      <c r="R45" s="97"/>
      <c r="S45" s="108"/>
      <c r="T45" s="111"/>
      <c r="V45" s="86"/>
    </row>
  </sheetData>
  <pageMargins left="0.75" right="0.75" top="1" bottom="1" header="0.5" footer="0.5"/>
  <pageSetup paperSize="9" scale="80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oglio5"/>
  <dimension ref="A1:S45"/>
  <sheetViews>
    <sheetView zoomScale="90" zoomScaleNormal="90" workbookViewId="0">
      <selection activeCell="I53" sqref="I53"/>
    </sheetView>
  </sheetViews>
  <sheetFormatPr defaultRowHeight="12.75" x14ac:dyDescent="0.2"/>
  <cols>
    <col min="1" max="1" width="12.5703125" style="27" customWidth="1"/>
    <col min="2" max="2" width="10.85546875" style="27" bestFit="1" customWidth="1"/>
    <col min="3" max="3" width="13.42578125" style="27" customWidth="1"/>
    <col min="4" max="4" width="9.85546875" style="27" customWidth="1"/>
    <col min="5" max="5" width="12.5703125" style="27" bestFit="1" customWidth="1"/>
    <col min="6" max="9" width="12.7109375" style="27" customWidth="1"/>
    <col min="10" max="10" width="9.140625" style="27"/>
    <col min="11" max="11" width="15" style="27" customWidth="1"/>
    <col min="12" max="12" width="14.7109375" style="27" customWidth="1"/>
    <col min="13" max="13" width="9.7109375" style="27" customWidth="1"/>
    <col min="14" max="14" width="17.42578125" style="27" customWidth="1"/>
    <col min="15" max="15" width="14.140625" style="27" customWidth="1"/>
    <col min="16" max="16" width="15" style="27" customWidth="1"/>
    <col min="17" max="17" width="17.28515625" style="27" customWidth="1"/>
    <col min="18" max="18" width="18.85546875" style="27" customWidth="1"/>
    <col min="19" max="19" width="11" style="27" bestFit="1" customWidth="1"/>
    <col min="20" max="256" width="9.140625" style="27"/>
    <col min="257" max="257" width="12.5703125" style="27" customWidth="1"/>
    <col min="258" max="258" width="10.85546875" style="27" bestFit="1" customWidth="1"/>
    <col min="259" max="259" width="13.42578125" style="27" customWidth="1"/>
    <col min="260" max="260" width="9.85546875" style="27" customWidth="1"/>
    <col min="261" max="261" width="12.5703125" style="27" bestFit="1" customWidth="1"/>
    <col min="262" max="265" width="12.7109375" style="27" customWidth="1"/>
    <col min="266" max="266" width="9.140625" style="27"/>
    <col min="267" max="267" width="11" style="27" bestFit="1" customWidth="1"/>
    <col min="268" max="269" width="9.140625" style="27"/>
    <col min="270" max="270" width="18.85546875" style="27" bestFit="1" customWidth="1"/>
    <col min="271" max="271" width="14.140625" style="27" customWidth="1"/>
    <col min="272" max="272" width="16.85546875" style="27" customWidth="1"/>
    <col min="273" max="273" width="23.42578125" style="27" bestFit="1" customWidth="1"/>
    <col min="274" max="274" width="9.140625" style="27"/>
    <col min="275" max="275" width="11" style="27" bestFit="1" customWidth="1"/>
    <col min="276" max="512" width="9.140625" style="27"/>
    <col min="513" max="513" width="12.5703125" style="27" customWidth="1"/>
    <col min="514" max="514" width="10.85546875" style="27" bestFit="1" customWidth="1"/>
    <col min="515" max="515" width="13.42578125" style="27" customWidth="1"/>
    <col min="516" max="516" width="9.85546875" style="27" customWidth="1"/>
    <col min="517" max="517" width="12.5703125" style="27" bestFit="1" customWidth="1"/>
    <col min="518" max="521" width="12.7109375" style="27" customWidth="1"/>
    <col min="522" max="522" width="9.140625" style="27"/>
    <col min="523" max="523" width="11" style="27" bestFit="1" customWidth="1"/>
    <col min="524" max="525" width="9.140625" style="27"/>
    <col min="526" max="526" width="18.85546875" style="27" bestFit="1" customWidth="1"/>
    <col min="527" max="527" width="14.140625" style="27" customWidth="1"/>
    <col min="528" max="528" width="16.85546875" style="27" customWidth="1"/>
    <col min="529" max="529" width="23.42578125" style="27" bestFit="1" customWidth="1"/>
    <col min="530" max="530" width="9.140625" style="27"/>
    <col min="531" max="531" width="11" style="27" bestFit="1" customWidth="1"/>
    <col min="532" max="768" width="9.140625" style="27"/>
    <col min="769" max="769" width="12.5703125" style="27" customWidth="1"/>
    <col min="770" max="770" width="10.85546875" style="27" bestFit="1" customWidth="1"/>
    <col min="771" max="771" width="13.42578125" style="27" customWidth="1"/>
    <col min="772" max="772" width="9.85546875" style="27" customWidth="1"/>
    <col min="773" max="773" width="12.5703125" style="27" bestFit="1" customWidth="1"/>
    <col min="774" max="777" width="12.7109375" style="27" customWidth="1"/>
    <col min="778" max="778" width="9.140625" style="27"/>
    <col min="779" max="779" width="11" style="27" bestFit="1" customWidth="1"/>
    <col min="780" max="781" width="9.140625" style="27"/>
    <col min="782" max="782" width="18.85546875" style="27" bestFit="1" customWidth="1"/>
    <col min="783" max="783" width="14.140625" style="27" customWidth="1"/>
    <col min="784" max="784" width="16.85546875" style="27" customWidth="1"/>
    <col min="785" max="785" width="23.42578125" style="27" bestFit="1" customWidth="1"/>
    <col min="786" max="786" width="9.140625" style="27"/>
    <col min="787" max="787" width="11" style="27" bestFit="1" customWidth="1"/>
    <col min="788" max="1024" width="9.140625" style="27"/>
    <col min="1025" max="1025" width="12.5703125" style="27" customWidth="1"/>
    <col min="1026" max="1026" width="10.85546875" style="27" bestFit="1" customWidth="1"/>
    <col min="1027" max="1027" width="13.42578125" style="27" customWidth="1"/>
    <col min="1028" max="1028" width="9.85546875" style="27" customWidth="1"/>
    <col min="1029" max="1029" width="12.5703125" style="27" bestFit="1" customWidth="1"/>
    <col min="1030" max="1033" width="12.7109375" style="27" customWidth="1"/>
    <col min="1034" max="1034" width="9.140625" style="27"/>
    <col min="1035" max="1035" width="11" style="27" bestFit="1" customWidth="1"/>
    <col min="1036" max="1037" width="9.140625" style="27"/>
    <col min="1038" max="1038" width="18.85546875" style="27" bestFit="1" customWidth="1"/>
    <col min="1039" max="1039" width="14.140625" style="27" customWidth="1"/>
    <col min="1040" max="1040" width="16.85546875" style="27" customWidth="1"/>
    <col min="1041" max="1041" width="23.42578125" style="27" bestFit="1" customWidth="1"/>
    <col min="1042" max="1042" width="9.140625" style="27"/>
    <col min="1043" max="1043" width="11" style="27" bestFit="1" customWidth="1"/>
    <col min="1044" max="1280" width="9.140625" style="27"/>
    <col min="1281" max="1281" width="12.5703125" style="27" customWidth="1"/>
    <col min="1282" max="1282" width="10.85546875" style="27" bestFit="1" customWidth="1"/>
    <col min="1283" max="1283" width="13.42578125" style="27" customWidth="1"/>
    <col min="1284" max="1284" width="9.85546875" style="27" customWidth="1"/>
    <col min="1285" max="1285" width="12.5703125" style="27" bestFit="1" customWidth="1"/>
    <col min="1286" max="1289" width="12.7109375" style="27" customWidth="1"/>
    <col min="1290" max="1290" width="9.140625" style="27"/>
    <col min="1291" max="1291" width="11" style="27" bestFit="1" customWidth="1"/>
    <col min="1292" max="1293" width="9.140625" style="27"/>
    <col min="1294" max="1294" width="18.85546875" style="27" bestFit="1" customWidth="1"/>
    <col min="1295" max="1295" width="14.140625" style="27" customWidth="1"/>
    <col min="1296" max="1296" width="16.85546875" style="27" customWidth="1"/>
    <col min="1297" max="1297" width="23.42578125" style="27" bestFit="1" customWidth="1"/>
    <col min="1298" max="1298" width="9.140625" style="27"/>
    <col min="1299" max="1299" width="11" style="27" bestFit="1" customWidth="1"/>
    <col min="1300" max="1536" width="9.140625" style="27"/>
    <col min="1537" max="1537" width="12.5703125" style="27" customWidth="1"/>
    <col min="1538" max="1538" width="10.85546875" style="27" bestFit="1" customWidth="1"/>
    <col min="1539" max="1539" width="13.42578125" style="27" customWidth="1"/>
    <col min="1540" max="1540" width="9.85546875" style="27" customWidth="1"/>
    <col min="1541" max="1541" width="12.5703125" style="27" bestFit="1" customWidth="1"/>
    <col min="1542" max="1545" width="12.7109375" style="27" customWidth="1"/>
    <col min="1546" max="1546" width="9.140625" style="27"/>
    <col min="1547" max="1547" width="11" style="27" bestFit="1" customWidth="1"/>
    <col min="1548" max="1549" width="9.140625" style="27"/>
    <col min="1550" max="1550" width="18.85546875" style="27" bestFit="1" customWidth="1"/>
    <col min="1551" max="1551" width="14.140625" style="27" customWidth="1"/>
    <col min="1552" max="1552" width="16.85546875" style="27" customWidth="1"/>
    <col min="1553" max="1553" width="23.42578125" style="27" bestFit="1" customWidth="1"/>
    <col min="1554" max="1554" width="9.140625" style="27"/>
    <col min="1555" max="1555" width="11" style="27" bestFit="1" customWidth="1"/>
    <col min="1556" max="1792" width="9.140625" style="27"/>
    <col min="1793" max="1793" width="12.5703125" style="27" customWidth="1"/>
    <col min="1794" max="1794" width="10.85546875" style="27" bestFit="1" customWidth="1"/>
    <col min="1795" max="1795" width="13.42578125" style="27" customWidth="1"/>
    <col min="1796" max="1796" width="9.85546875" style="27" customWidth="1"/>
    <col min="1797" max="1797" width="12.5703125" style="27" bestFit="1" customWidth="1"/>
    <col min="1798" max="1801" width="12.7109375" style="27" customWidth="1"/>
    <col min="1802" max="1802" width="9.140625" style="27"/>
    <col min="1803" max="1803" width="11" style="27" bestFit="1" customWidth="1"/>
    <col min="1804" max="1805" width="9.140625" style="27"/>
    <col min="1806" max="1806" width="18.85546875" style="27" bestFit="1" customWidth="1"/>
    <col min="1807" max="1807" width="14.140625" style="27" customWidth="1"/>
    <col min="1808" max="1808" width="16.85546875" style="27" customWidth="1"/>
    <col min="1809" max="1809" width="23.42578125" style="27" bestFit="1" customWidth="1"/>
    <col min="1810" max="1810" width="9.140625" style="27"/>
    <col min="1811" max="1811" width="11" style="27" bestFit="1" customWidth="1"/>
    <col min="1812" max="2048" width="9.140625" style="27"/>
    <col min="2049" max="2049" width="12.5703125" style="27" customWidth="1"/>
    <col min="2050" max="2050" width="10.85546875" style="27" bestFit="1" customWidth="1"/>
    <col min="2051" max="2051" width="13.42578125" style="27" customWidth="1"/>
    <col min="2052" max="2052" width="9.85546875" style="27" customWidth="1"/>
    <col min="2053" max="2053" width="12.5703125" style="27" bestFit="1" customWidth="1"/>
    <col min="2054" max="2057" width="12.7109375" style="27" customWidth="1"/>
    <col min="2058" max="2058" width="9.140625" style="27"/>
    <col min="2059" max="2059" width="11" style="27" bestFit="1" customWidth="1"/>
    <col min="2060" max="2061" width="9.140625" style="27"/>
    <col min="2062" max="2062" width="18.85546875" style="27" bestFit="1" customWidth="1"/>
    <col min="2063" max="2063" width="14.140625" style="27" customWidth="1"/>
    <col min="2064" max="2064" width="16.85546875" style="27" customWidth="1"/>
    <col min="2065" max="2065" width="23.42578125" style="27" bestFit="1" customWidth="1"/>
    <col min="2066" max="2066" width="9.140625" style="27"/>
    <col min="2067" max="2067" width="11" style="27" bestFit="1" customWidth="1"/>
    <col min="2068" max="2304" width="9.140625" style="27"/>
    <col min="2305" max="2305" width="12.5703125" style="27" customWidth="1"/>
    <col min="2306" max="2306" width="10.85546875" style="27" bestFit="1" customWidth="1"/>
    <col min="2307" max="2307" width="13.42578125" style="27" customWidth="1"/>
    <col min="2308" max="2308" width="9.85546875" style="27" customWidth="1"/>
    <col min="2309" max="2309" width="12.5703125" style="27" bestFit="1" customWidth="1"/>
    <col min="2310" max="2313" width="12.7109375" style="27" customWidth="1"/>
    <col min="2314" max="2314" width="9.140625" style="27"/>
    <col min="2315" max="2315" width="11" style="27" bestFit="1" customWidth="1"/>
    <col min="2316" max="2317" width="9.140625" style="27"/>
    <col min="2318" max="2318" width="18.85546875" style="27" bestFit="1" customWidth="1"/>
    <col min="2319" max="2319" width="14.140625" style="27" customWidth="1"/>
    <col min="2320" max="2320" width="16.85546875" style="27" customWidth="1"/>
    <col min="2321" max="2321" width="23.42578125" style="27" bestFit="1" customWidth="1"/>
    <col min="2322" max="2322" width="9.140625" style="27"/>
    <col min="2323" max="2323" width="11" style="27" bestFit="1" customWidth="1"/>
    <col min="2324" max="2560" width="9.140625" style="27"/>
    <col min="2561" max="2561" width="12.5703125" style="27" customWidth="1"/>
    <col min="2562" max="2562" width="10.85546875" style="27" bestFit="1" customWidth="1"/>
    <col min="2563" max="2563" width="13.42578125" style="27" customWidth="1"/>
    <col min="2564" max="2564" width="9.85546875" style="27" customWidth="1"/>
    <col min="2565" max="2565" width="12.5703125" style="27" bestFit="1" customWidth="1"/>
    <col min="2566" max="2569" width="12.7109375" style="27" customWidth="1"/>
    <col min="2570" max="2570" width="9.140625" style="27"/>
    <col min="2571" max="2571" width="11" style="27" bestFit="1" customWidth="1"/>
    <col min="2572" max="2573" width="9.140625" style="27"/>
    <col min="2574" max="2574" width="18.85546875" style="27" bestFit="1" customWidth="1"/>
    <col min="2575" max="2575" width="14.140625" style="27" customWidth="1"/>
    <col min="2576" max="2576" width="16.85546875" style="27" customWidth="1"/>
    <col min="2577" max="2577" width="23.42578125" style="27" bestFit="1" customWidth="1"/>
    <col min="2578" max="2578" width="9.140625" style="27"/>
    <col min="2579" max="2579" width="11" style="27" bestFit="1" customWidth="1"/>
    <col min="2580" max="2816" width="9.140625" style="27"/>
    <col min="2817" max="2817" width="12.5703125" style="27" customWidth="1"/>
    <col min="2818" max="2818" width="10.85546875" style="27" bestFit="1" customWidth="1"/>
    <col min="2819" max="2819" width="13.42578125" style="27" customWidth="1"/>
    <col min="2820" max="2820" width="9.85546875" style="27" customWidth="1"/>
    <col min="2821" max="2821" width="12.5703125" style="27" bestFit="1" customWidth="1"/>
    <col min="2822" max="2825" width="12.7109375" style="27" customWidth="1"/>
    <col min="2826" max="2826" width="9.140625" style="27"/>
    <col min="2827" max="2827" width="11" style="27" bestFit="1" customWidth="1"/>
    <col min="2828" max="2829" width="9.140625" style="27"/>
    <col min="2830" max="2830" width="18.85546875" style="27" bestFit="1" customWidth="1"/>
    <col min="2831" max="2831" width="14.140625" style="27" customWidth="1"/>
    <col min="2832" max="2832" width="16.85546875" style="27" customWidth="1"/>
    <col min="2833" max="2833" width="23.42578125" style="27" bestFit="1" customWidth="1"/>
    <col min="2834" max="2834" width="9.140625" style="27"/>
    <col min="2835" max="2835" width="11" style="27" bestFit="1" customWidth="1"/>
    <col min="2836" max="3072" width="9.140625" style="27"/>
    <col min="3073" max="3073" width="12.5703125" style="27" customWidth="1"/>
    <col min="3074" max="3074" width="10.85546875" style="27" bestFit="1" customWidth="1"/>
    <col min="3075" max="3075" width="13.42578125" style="27" customWidth="1"/>
    <col min="3076" max="3076" width="9.85546875" style="27" customWidth="1"/>
    <col min="3077" max="3077" width="12.5703125" style="27" bestFit="1" customWidth="1"/>
    <col min="3078" max="3081" width="12.7109375" style="27" customWidth="1"/>
    <col min="3082" max="3082" width="9.140625" style="27"/>
    <col min="3083" max="3083" width="11" style="27" bestFit="1" customWidth="1"/>
    <col min="3084" max="3085" width="9.140625" style="27"/>
    <col min="3086" max="3086" width="18.85546875" style="27" bestFit="1" customWidth="1"/>
    <col min="3087" max="3087" width="14.140625" style="27" customWidth="1"/>
    <col min="3088" max="3088" width="16.85546875" style="27" customWidth="1"/>
    <col min="3089" max="3089" width="23.42578125" style="27" bestFit="1" customWidth="1"/>
    <col min="3090" max="3090" width="9.140625" style="27"/>
    <col min="3091" max="3091" width="11" style="27" bestFit="1" customWidth="1"/>
    <col min="3092" max="3328" width="9.140625" style="27"/>
    <col min="3329" max="3329" width="12.5703125" style="27" customWidth="1"/>
    <col min="3330" max="3330" width="10.85546875" style="27" bestFit="1" customWidth="1"/>
    <col min="3331" max="3331" width="13.42578125" style="27" customWidth="1"/>
    <col min="3332" max="3332" width="9.85546875" style="27" customWidth="1"/>
    <col min="3333" max="3333" width="12.5703125" style="27" bestFit="1" customWidth="1"/>
    <col min="3334" max="3337" width="12.7109375" style="27" customWidth="1"/>
    <col min="3338" max="3338" width="9.140625" style="27"/>
    <col min="3339" max="3339" width="11" style="27" bestFit="1" customWidth="1"/>
    <col min="3340" max="3341" width="9.140625" style="27"/>
    <col min="3342" max="3342" width="18.85546875" style="27" bestFit="1" customWidth="1"/>
    <col min="3343" max="3343" width="14.140625" style="27" customWidth="1"/>
    <col min="3344" max="3344" width="16.85546875" style="27" customWidth="1"/>
    <col min="3345" max="3345" width="23.42578125" style="27" bestFit="1" customWidth="1"/>
    <col min="3346" max="3346" width="9.140625" style="27"/>
    <col min="3347" max="3347" width="11" style="27" bestFit="1" customWidth="1"/>
    <col min="3348" max="3584" width="9.140625" style="27"/>
    <col min="3585" max="3585" width="12.5703125" style="27" customWidth="1"/>
    <col min="3586" max="3586" width="10.85546875" style="27" bestFit="1" customWidth="1"/>
    <col min="3587" max="3587" width="13.42578125" style="27" customWidth="1"/>
    <col min="3588" max="3588" width="9.85546875" style="27" customWidth="1"/>
    <col min="3589" max="3589" width="12.5703125" style="27" bestFit="1" customWidth="1"/>
    <col min="3590" max="3593" width="12.7109375" style="27" customWidth="1"/>
    <col min="3594" max="3594" width="9.140625" style="27"/>
    <col min="3595" max="3595" width="11" style="27" bestFit="1" customWidth="1"/>
    <col min="3596" max="3597" width="9.140625" style="27"/>
    <col min="3598" max="3598" width="18.85546875" style="27" bestFit="1" customWidth="1"/>
    <col min="3599" max="3599" width="14.140625" style="27" customWidth="1"/>
    <col min="3600" max="3600" width="16.85546875" style="27" customWidth="1"/>
    <col min="3601" max="3601" width="23.42578125" style="27" bestFit="1" customWidth="1"/>
    <col min="3602" max="3602" width="9.140625" style="27"/>
    <col min="3603" max="3603" width="11" style="27" bestFit="1" customWidth="1"/>
    <col min="3604" max="3840" width="9.140625" style="27"/>
    <col min="3841" max="3841" width="12.5703125" style="27" customWidth="1"/>
    <col min="3842" max="3842" width="10.85546875" style="27" bestFit="1" customWidth="1"/>
    <col min="3843" max="3843" width="13.42578125" style="27" customWidth="1"/>
    <col min="3844" max="3844" width="9.85546875" style="27" customWidth="1"/>
    <col min="3845" max="3845" width="12.5703125" style="27" bestFit="1" customWidth="1"/>
    <col min="3846" max="3849" width="12.7109375" style="27" customWidth="1"/>
    <col min="3850" max="3850" width="9.140625" style="27"/>
    <col min="3851" max="3851" width="11" style="27" bestFit="1" customWidth="1"/>
    <col min="3852" max="3853" width="9.140625" style="27"/>
    <col min="3854" max="3854" width="18.85546875" style="27" bestFit="1" customWidth="1"/>
    <col min="3855" max="3855" width="14.140625" style="27" customWidth="1"/>
    <col min="3856" max="3856" width="16.85546875" style="27" customWidth="1"/>
    <col min="3857" max="3857" width="23.42578125" style="27" bestFit="1" customWidth="1"/>
    <col min="3858" max="3858" width="9.140625" style="27"/>
    <col min="3859" max="3859" width="11" style="27" bestFit="1" customWidth="1"/>
    <col min="3860" max="4096" width="9.140625" style="27"/>
    <col min="4097" max="4097" width="12.5703125" style="27" customWidth="1"/>
    <col min="4098" max="4098" width="10.85546875" style="27" bestFit="1" customWidth="1"/>
    <col min="4099" max="4099" width="13.42578125" style="27" customWidth="1"/>
    <col min="4100" max="4100" width="9.85546875" style="27" customWidth="1"/>
    <col min="4101" max="4101" width="12.5703125" style="27" bestFit="1" customWidth="1"/>
    <col min="4102" max="4105" width="12.7109375" style="27" customWidth="1"/>
    <col min="4106" max="4106" width="9.140625" style="27"/>
    <col min="4107" max="4107" width="11" style="27" bestFit="1" customWidth="1"/>
    <col min="4108" max="4109" width="9.140625" style="27"/>
    <col min="4110" max="4110" width="18.85546875" style="27" bestFit="1" customWidth="1"/>
    <col min="4111" max="4111" width="14.140625" style="27" customWidth="1"/>
    <col min="4112" max="4112" width="16.85546875" style="27" customWidth="1"/>
    <col min="4113" max="4113" width="23.42578125" style="27" bestFit="1" customWidth="1"/>
    <col min="4114" max="4114" width="9.140625" style="27"/>
    <col min="4115" max="4115" width="11" style="27" bestFit="1" customWidth="1"/>
    <col min="4116" max="4352" width="9.140625" style="27"/>
    <col min="4353" max="4353" width="12.5703125" style="27" customWidth="1"/>
    <col min="4354" max="4354" width="10.85546875" style="27" bestFit="1" customWidth="1"/>
    <col min="4355" max="4355" width="13.42578125" style="27" customWidth="1"/>
    <col min="4356" max="4356" width="9.85546875" style="27" customWidth="1"/>
    <col min="4357" max="4357" width="12.5703125" style="27" bestFit="1" customWidth="1"/>
    <col min="4358" max="4361" width="12.7109375" style="27" customWidth="1"/>
    <col min="4362" max="4362" width="9.140625" style="27"/>
    <col min="4363" max="4363" width="11" style="27" bestFit="1" customWidth="1"/>
    <col min="4364" max="4365" width="9.140625" style="27"/>
    <col min="4366" max="4366" width="18.85546875" style="27" bestFit="1" customWidth="1"/>
    <col min="4367" max="4367" width="14.140625" style="27" customWidth="1"/>
    <col min="4368" max="4368" width="16.85546875" style="27" customWidth="1"/>
    <col min="4369" max="4369" width="23.42578125" style="27" bestFit="1" customWidth="1"/>
    <col min="4370" max="4370" width="9.140625" style="27"/>
    <col min="4371" max="4371" width="11" style="27" bestFit="1" customWidth="1"/>
    <col min="4372" max="4608" width="9.140625" style="27"/>
    <col min="4609" max="4609" width="12.5703125" style="27" customWidth="1"/>
    <col min="4610" max="4610" width="10.85546875" style="27" bestFit="1" customWidth="1"/>
    <col min="4611" max="4611" width="13.42578125" style="27" customWidth="1"/>
    <col min="4612" max="4612" width="9.85546875" style="27" customWidth="1"/>
    <col min="4613" max="4613" width="12.5703125" style="27" bestFit="1" customWidth="1"/>
    <col min="4614" max="4617" width="12.7109375" style="27" customWidth="1"/>
    <col min="4618" max="4618" width="9.140625" style="27"/>
    <col min="4619" max="4619" width="11" style="27" bestFit="1" customWidth="1"/>
    <col min="4620" max="4621" width="9.140625" style="27"/>
    <col min="4622" max="4622" width="18.85546875" style="27" bestFit="1" customWidth="1"/>
    <col min="4623" max="4623" width="14.140625" style="27" customWidth="1"/>
    <col min="4624" max="4624" width="16.85546875" style="27" customWidth="1"/>
    <col min="4625" max="4625" width="23.42578125" style="27" bestFit="1" customWidth="1"/>
    <col min="4626" max="4626" width="9.140625" style="27"/>
    <col min="4627" max="4627" width="11" style="27" bestFit="1" customWidth="1"/>
    <col min="4628" max="4864" width="9.140625" style="27"/>
    <col min="4865" max="4865" width="12.5703125" style="27" customWidth="1"/>
    <col min="4866" max="4866" width="10.85546875" style="27" bestFit="1" customWidth="1"/>
    <col min="4867" max="4867" width="13.42578125" style="27" customWidth="1"/>
    <col min="4868" max="4868" width="9.85546875" style="27" customWidth="1"/>
    <col min="4869" max="4869" width="12.5703125" style="27" bestFit="1" customWidth="1"/>
    <col min="4870" max="4873" width="12.7109375" style="27" customWidth="1"/>
    <col min="4874" max="4874" width="9.140625" style="27"/>
    <col min="4875" max="4875" width="11" style="27" bestFit="1" customWidth="1"/>
    <col min="4876" max="4877" width="9.140625" style="27"/>
    <col min="4878" max="4878" width="18.85546875" style="27" bestFit="1" customWidth="1"/>
    <col min="4879" max="4879" width="14.140625" style="27" customWidth="1"/>
    <col min="4880" max="4880" width="16.85546875" style="27" customWidth="1"/>
    <col min="4881" max="4881" width="23.42578125" style="27" bestFit="1" customWidth="1"/>
    <col min="4882" max="4882" width="9.140625" style="27"/>
    <col min="4883" max="4883" width="11" style="27" bestFit="1" customWidth="1"/>
    <col min="4884" max="5120" width="9.140625" style="27"/>
    <col min="5121" max="5121" width="12.5703125" style="27" customWidth="1"/>
    <col min="5122" max="5122" width="10.85546875" style="27" bestFit="1" customWidth="1"/>
    <col min="5123" max="5123" width="13.42578125" style="27" customWidth="1"/>
    <col min="5124" max="5124" width="9.85546875" style="27" customWidth="1"/>
    <col min="5125" max="5125" width="12.5703125" style="27" bestFit="1" customWidth="1"/>
    <col min="5126" max="5129" width="12.7109375" style="27" customWidth="1"/>
    <col min="5130" max="5130" width="9.140625" style="27"/>
    <col min="5131" max="5131" width="11" style="27" bestFit="1" customWidth="1"/>
    <col min="5132" max="5133" width="9.140625" style="27"/>
    <col min="5134" max="5134" width="18.85546875" style="27" bestFit="1" customWidth="1"/>
    <col min="5135" max="5135" width="14.140625" style="27" customWidth="1"/>
    <col min="5136" max="5136" width="16.85546875" style="27" customWidth="1"/>
    <col min="5137" max="5137" width="23.42578125" style="27" bestFit="1" customWidth="1"/>
    <col min="5138" max="5138" width="9.140625" style="27"/>
    <col min="5139" max="5139" width="11" style="27" bestFit="1" customWidth="1"/>
    <col min="5140" max="5376" width="9.140625" style="27"/>
    <col min="5377" max="5377" width="12.5703125" style="27" customWidth="1"/>
    <col min="5378" max="5378" width="10.85546875" style="27" bestFit="1" customWidth="1"/>
    <col min="5379" max="5379" width="13.42578125" style="27" customWidth="1"/>
    <col min="5380" max="5380" width="9.85546875" style="27" customWidth="1"/>
    <col min="5381" max="5381" width="12.5703125" style="27" bestFit="1" customWidth="1"/>
    <col min="5382" max="5385" width="12.7109375" style="27" customWidth="1"/>
    <col min="5386" max="5386" width="9.140625" style="27"/>
    <col min="5387" max="5387" width="11" style="27" bestFit="1" customWidth="1"/>
    <col min="5388" max="5389" width="9.140625" style="27"/>
    <col min="5390" max="5390" width="18.85546875" style="27" bestFit="1" customWidth="1"/>
    <col min="5391" max="5391" width="14.140625" style="27" customWidth="1"/>
    <col min="5392" max="5392" width="16.85546875" style="27" customWidth="1"/>
    <col min="5393" max="5393" width="23.42578125" style="27" bestFit="1" customWidth="1"/>
    <col min="5394" max="5394" width="9.140625" style="27"/>
    <col min="5395" max="5395" width="11" style="27" bestFit="1" customWidth="1"/>
    <col min="5396" max="5632" width="9.140625" style="27"/>
    <col min="5633" max="5633" width="12.5703125" style="27" customWidth="1"/>
    <col min="5634" max="5634" width="10.85546875" style="27" bestFit="1" customWidth="1"/>
    <col min="5635" max="5635" width="13.42578125" style="27" customWidth="1"/>
    <col min="5636" max="5636" width="9.85546875" style="27" customWidth="1"/>
    <col min="5637" max="5637" width="12.5703125" style="27" bestFit="1" customWidth="1"/>
    <col min="5638" max="5641" width="12.7109375" style="27" customWidth="1"/>
    <col min="5642" max="5642" width="9.140625" style="27"/>
    <col min="5643" max="5643" width="11" style="27" bestFit="1" customWidth="1"/>
    <col min="5644" max="5645" width="9.140625" style="27"/>
    <col min="5646" max="5646" width="18.85546875" style="27" bestFit="1" customWidth="1"/>
    <col min="5647" max="5647" width="14.140625" style="27" customWidth="1"/>
    <col min="5648" max="5648" width="16.85546875" style="27" customWidth="1"/>
    <col min="5649" max="5649" width="23.42578125" style="27" bestFit="1" customWidth="1"/>
    <col min="5650" max="5650" width="9.140625" style="27"/>
    <col min="5651" max="5651" width="11" style="27" bestFit="1" customWidth="1"/>
    <col min="5652" max="5888" width="9.140625" style="27"/>
    <col min="5889" max="5889" width="12.5703125" style="27" customWidth="1"/>
    <col min="5890" max="5890" width="10.85546875" style="27" bestFit="1" customWidth="1"/>
    <col min="5891" max="5891" width="13.42578125" style="27" customWidth="1"/>
    <col min="5892" max="5892" width="9.85546875" style="27" customWidth="1"/>
    <col min="5893" max="5893" width="12.5703125" style="27" bestFit="1" customWidth="1"/>
    <col min="5894" max="5897" width="12.7109375" style="27" customWidth="1"/>
    <col min="5898" max="5898" width="9.140625" style="27"/>
    <col min="5899" max="5899" width="11" style="27" bestFit="1" customWidth="1"/>
    <col min="5900" max="5901" width="9.140625" style="27"/>
    <col min="5902" max="5902" width="18.85546875" style="27" bestFit="1" customWidth="1"/>
    <col min="5903" max="5903" width="14.140625" style="27" customWidth="1"/>
    <col min="5904" max="5904" width="16.85546875" style="27" customWidth="1"/>
    <col min="5905" max="5905" width="23.42578125" style="27" bestFit="1" customWidth="1"/>
    <col min="5906" max="5906" width="9.140625" style="27"/>
    <col min="5907" max="5907" width="11" style="27" bestFit="1" customWidth="1"/>
    <col min="5908" max="6144" width="9.140625" style="27"/>
    <col min="6145" max="6145" width="12.5703125" style="27" customWidth="1"/>
    <col min="6146" max="6146" width="10.85546875" style="27" bestFit="1" customWidth="1"/>
    <col min="6147" max="6147" width="13.42578125" style="27" customWidth="1"/>
    <col min="6148" max="6148" width="9.85546875" style="27" customWidth="1"/>
    <col min="6149" max="6149" width="12.5703125" style="27" bestFit="1" customWidth="1"/>
    <col min="6150" max="6153" width="12.7109375" style="27" customWidth="1"/>
    <col min="6154" max="6154" width="9.140625" style="27"/>
    <col min="6155" max="6155" width="11" style="27" bestFit="1" customWidth="1"/>
    <col min="6156" max="6157" width="9.140625" style="27"/>
    <col min="6158" max="6158" width="18.85546875" style="27" bestFit="1" customWidth="1"/>
    <col min="6159" max="6159" width="14.140625" style="27" customWidth="1"/>
    <col min="6160" max="6160" width="16.85546875" style="27" customWidth="1"/>
    <col min="6161" max="6161" width="23.42578125" style="27" bestFit="1" customWidth="1"/>
    <col min="6162" max="6162" width="9.140625" style="27"/>
    <col min="6163" max="6163" width="11" style="27" bestFit="1" customWidth="1"/>
    <col min="6164" max="6400" width="9.140625" style="27"/>
    <col min="6401" max="6401" width="12.5703125" style="27" customWidth="1"/>
    <col min="6402" max="6402" width="10.85546875" style="27" bestFit="1" customWidth="1"/>
    <col min="6403" max="6403" width="13.42578125" style="27" customWidth="1"/>
    <col min="6404" max="6404" width="9.85546875" style="27" customWidth="1"/>
    <col min="6405" max="6405" width="12.5703125" style="27" bestFit="1" customWidth="1"/>
    <col min="6406" max="6409" width="12.7109375" style="27" customWidth="1"/>
    <col min="6410" max="6410" width="9.140625" style="27"/>
    <col min="6411" max="6411" width="11" style="27" bestFit="1" customWidth="1"/>
    <col min="6412" max="6413" width="9.140625" style="27"/>
    <col min="6414" max="6414" width="18.85546875" style="27" bestFit="1" customWidth="1"/>
    <col min="6415" max="6415" width="14.140625" style="27" customWidth="1"/>
    <col min="6416" max="6416" width="16.85546875" style="27" customWidth="1"/>
    <col min="6417" max="6417" width="23.42578125" style="27" bestFit="1" customWidth="1"/>
    <col min="6418" max="6418" width="9.140625" style="27"/>
    <col min="6419" max="6419" width="11" style="27" bestFit="1" customWidth="1"/>
    <col min="6420" max="6656" width="9.140625" style="27"/>
    <col min="6657" max="6657" width="12.5703125" style="27" customWidth="1"/>
    <col min="6658" max="6658" width="10.85546875" style="27" bestFit="1" customWidth="1"/>
    <col min="6659" max="6659" width="13.42578125" style="27" customWidth="1"/>
    <col min="6660" max="6660" width="9.85546875" style="27" customWidth="1"/>
    <col min="6661" max="6661" width="12.5703125" style="27" bestFit="1" customWidth="1"/>
    <col min="6662" max="6665" width="12.7109375" style="27" customWidth="1"/>
    <col min="6666" max="6666" width="9.140625" style="27"/>
    <col min="6667" max="6667" width="11" style="27" bestFit="1" customWidth="1"/>
    <col min="6668" max="6669" width="9.140625" style="27"/>
    <col min="6670" max="6670" width="18.85546875" style="27" bestFit="1" customWidth="1"/>
    <col min="6671" max="6671" width="14.140625" style="27" customWidth="1"/>
    <col min="6672" max="6672" width="16.85546875" style="27" customWidth="1"/>
    <col min="6673" max="6673" width="23.42578125" style="27" bestFit="1" customWidth="1"/>
    <col min="6674" max="6674" width="9.140625" style="27"/>
    <col min="6675" max="6675" width="11" style="27" bestFit="1" customWidth="1"/>
    <col min="6676" max="6912" width="9.140625" style="27"/>
    <col min="6913" max="6913" width="12.5703125" style="27" customWidth="1"/>
    <col min="6914" max="6914" width="10.85546875" style="27" bestFit="1" customWidth="1"/>
    <col min="6915" max="6915" width="13.42578125" style="27" customWidth="1"/>
    <col min="6916" max="6916" width="9.85546875" style="27" customWidth="1"/>
    <col min="6917" max="6917" width="12.5703125" style="27" bestFit="1" customWidth="1"/>
    <col min="6918" max="6921" width="12.7109375" style="27" customWidth="1"/>
    <col min="6922" max="6922" width="9.140625" style="27"/>
    <col min="6923" max="6923" width="11" style="27" bestFit="1" customWidth="1"/>
    <col min="6924" max="6925" width="9.140625" style="27"/>
    <col min="6926" max="6926" width="18.85546875" style="27" bestFit="1" customWidth="1"/>
    <col min="6927" max="6927" width="14.140625" style="27" customWidth="1"/>
    <col min="6928" max="6928" width="16.85546875" style="27" customWidth="1"/>
    <col min="6929" max="6929" width="23.42578125" style="27" bestFit="1" customWidth="1"/>
    <col min="6930" max="6930" width="9.140625" style="27"/>
    <col min="6931" max="6931" width="11" style="27" bestFit="1" customWidth="1"/>
    <col min="6932" max="7168" width="9.140625" style="27"/>
    <col min="7169" max="7169" width="12.5703125" style="27" customWidth="1"/>
    <col min="7170" max="7170" width="10.85546875" style="27" bestFit="1" customWidth="1"/>
    <col min="7171" max="7171" width="13.42578125" style="27" customWidth="1"/>
    <col min="7172" max="7172" width="9.85546875" style="27" customWidth="1"/>
    <col min="7173" max="7173" width="12.5703125" style="27" bestFit="1" customWidth="1"/>
    <col min="7174" max="7177" width="12.7109375" style="27" customWidth="1"/>
    <col min="7178" max="7178" width="9.140625" style="27"/>
    <col min="7179" max="7179" width="11" style="27" bestFit="1" customWidth="1"/>
    <col min="7180" max="7181" width="9.140625" style="27"/>
    <col min="7182" max="7182" width="18.85546875" style="27" bestFit="1" customWidth="1"/>
    <col min="7183" max="7183" width="14.140625" style="27" customWidth="1"/>
    <col min="7184" max="7184" width="16.85546875" style="27" customWidth="1"/>
    <col min="7185" max="7185" width="23.42578125" style="27" bestFit="1" customWidth="1"/>
    <col min="7186" max="7186" width="9.140625" style="27"/>
    <col min="7187" max="7187" width="11" style="27" bestFit="1" customWidth="1"/>
    <col min="7188" max="7424" width="9.140625" style="27"/>
    <col min="7425" max="7425" width="12.5703125" style="27" customWidth="1"/>
    <col min="7426" max="7426" width="10.85546875" style="27" bestFit="1" customWidth="1"/>
    <col min="7427" max="7427" width="13.42578125" style="27" customWidth="1"/>
    <col min="7428" max="7428" width="9.85546875" style="27" customWidth="1"/>
    <col min="7429" max="7429" width="12.5703125" style="27" bestFit="1" customWidth="1"/>
    <col min="7430" max="7433" width="12.7109375" style="27" customWidth="1"/>
    <col min="7434" max="7434" width="9.140625" style="27"/>
    <col min="7435" max="7435" width="11" style="27" bestFit="1" customWidth="1"/>
    <col min="7436" max="7437" width="9.140625" style="27"/>
    <col min="7438" max="7438" width="18.85546875" style="27" bestFit="1" customWidth="1"/>
    <col min="7439" max="7439" width="14.140625" style="27" customWidth="1"/>
    <col min="7440" max="7440" width="16.85546875" style="27" customWidth="1"/>
    <col min="7441" max="7441" width="23.42578125" style="27" bestFit="1" customWidth="1"/>
    <col min="7442" max="7442" width="9.140625" style="27"/>
    <col min="7443" max="7443" width="11" style="27" bestFit="1" customWidth="1"/>
    <col min="7444" max="7680" width="9.140625" style="27"/>
    <col min="7681" max="7681" width="12.5703125" style="27" customWidth="1"/>
    <col min="7682" max="7682" width="10.85546875" style="27" bestFit="1" customWidth="1"/>
    <col min="7683" max="7683" width="13.42578125" style="27" customWidth="1"/>
    <col min="7684" max="7684" width="9.85546875" style="27" customWidth="1"/>
    <col min="7685" max="7685" width="12.5703125" style="27" bestFit="1" customWidth="1"/>
    <col min="7686" max="7689" width="12.7109375" style="27" customWidth="1"/>
    <col min="7690" max="7690" width="9.140625" style="27"/>
    <col min="7691" max="7691" width="11" style="27" bestFit="1" customWidth="1"/>
    <col min="7692" max="7693" width="9.140625" style="27"/>
    <col min="7694" max="7694" width="18.85546875" style="27" bestFit="1" customWidth="1"/>
    <col min="7695" max="7695" width="14.140625" style="27" customWidth="1"/>
    <col min="7696" max="7696" width="16.85546875" style="27" customWidth="1"/>
    <col min="7697" max="7697" width="23.42578125" style="27" bestFit="1" customWidth="1"/>
    <col min="7698" max="7698" width="9.140625" style="27"/>
    <col min="7699" max="7699" width="11" style="27" bestFit="1" customWidth="1"/>
    <col min="7700" max="7936" width="9.140625" style="27"/>
    <col min="7937" max="7937" width="12.5703125" style="27" customWidth="1"/>
    <col min="7938" max="7938" width="10.85546875" style="27" bestFit="1" customWidth="1"/>
    <col min="7939" max="7939" width="13.42578125" style="27" customWidth="1"/>
    <col min="7940" max="7940" width="9.85546875" style="27" customWidth="1"/>
    <col min="7941" max="7941" width="12.5703125" style="27" bestFit="1" customWidth="1"/>
    <col min="7942" max="7945" width="12.7109375" style="27" customWidth="1"/>
    <col min="7946" max="7946" width="9.140625" style="27"/>
    <col min="7947" max="7947" width="11" style="27" bestFit="1" customWidth="1"/>
    <col min="7948" max="7949" width="9.140625" style="27"/>
    <col min="7950" max="7950" width="18.85546875" style="27" bestFit="1" customWidth="1"/>
    <col min="7951" max="7951" width="14.140625" style="27" customWidth="1"/>
    <col min="7952" max="7952" width="16.85546875" style="27" customWidth="1"/>
    <col min="7953" max="7953" width="23.42578125" style="27" bestFit="1" customWidth="1"/>
    <col min="7954" max="7954" width="9.140625" style="27"/>
    <col min="7955" max="7955" width="11" style="27" bestFit="1" customWidth="1"/>
    <col min="7956" max="8192" width="9.140625" style="27"/>
    <col min="8193" max="8193" width="12.5703125" style="27" customWidth="1"/>
    <col min="8194" max="8194" width="10.85546875" style="27" bestFit="1" customWidth="1"/>
    <col min="8195" max="8195" width="13.42578125" style="27" customWidth="1"/>
    <col min="8196" max="8196" width="9.85546875" style="27" customWidth="1"/>
    <col min="8197" max="8197" width="12.5703125" style="27" bestFit="1" customWidth="1"/>
    <col min="8198" max="8201" width="12.7109375" style="27" customWidth="1"/>
    <col min="8202" max="8202" width="9.140625" style="27"/>
    <col min="8203" max="8203" width="11" style="27" bestFit="1" customWidth="1"/>
    <col min="8204" max="8205" width="9.140625" style="27"/>
    <col min="8206" max="8206" width="18.85546875" style="27" bestFit="1" customWidth="1"/>
    <col min="8207" max="8207" width="14.140625" style="27" customWidth="1"/>
    <col min="8208" max="8208" width="16.85546875" style="27" customWidth="1"/>
    <col min="8209" max="8209" width="23.42578125" style="27" bestFit="1" customWidth="1"/>
    <col min="8210" max="8210" width="9.140625" style="27"/>
    <col min="8211" max="8211" width="11" style="27" bestFit="1" customWidth="1"/>
    <col min="8212" max="8448" width="9.140625" style="27"/>
    <col min="8449" max="8449" width="12.5703125" style="27" customWidth="1"/>
    <col min="8450" max="8450" width="10.85546875" style="27" bestFit="1" customWidth="1"/>
    <col min="8451" max="8451" width="13.42578125" style="27" customWidth="1"/>
    <col min="8452" max="8452" width="9.85546875" style="27" customWidth="1"/>
    <col min="8453" max="8453" width="12.5703125" style="27" bestFit="1" customWidth="1"/>
    <col min="8454" max="8457" width="12.7109375" style="27" customWidth="1"/>
    <col min="8458" max="8458" width="9.140625" style="27"/>
    <col min="8459" max="8459" width="11" style="27" bestFit="1" customWidth="1"/>
    <col min="8460" max="8461" width="9.140625" style="27"/>
    <col min="8462" max="8462" width="18.85546875" style="27" bestFit="1" customWidth="1"/>
    <col min="8463" max="8463" width="14.140625" style="27" customWidth="1"/>
    <col min="8464" max="8464" width="16.85546875" style="27" customWidth="1"/>
    <col min="8465" max="8465" width="23.42578125" style="27" bestFit="1" customWidth="1"/>
    <col min="8466" max="8466" width="9.140625" style="27"/>
    <col min="8467" max="8467" width="11" style="27" bestFit="1" customWidth="1"/>
    <col min="8468" max="8704" width="9.140625" style="27"/>
    <col min="8705" max="8705" width="12.5703125" style="27" customWidth="1"/>
    <col min="8706" max="8706" width="10.85546875" style="27" bestFit="1" customWidth="1"/>
    <col min="8707" max="8707" width="13.42578125" style="27" customWidth="1"/>
    <col min="8708" max="8708" width="9.85546875" style="27" customWidth="1"/>
    <col min="8709" max="8709" width="12.5703125" style="27" bestFit="1" customWidth="1"/>
    <col min="8710" max="8713" width="12.7109375" style="27" customWidth="1"/>
    <col min="8714" max="8714" width="9.140625" style="27"/>
    <col min="8715" max="8715" width="11" style="27" bestFit="1" customWidth="1"/>
    <col min="8716" max="8717" width="9.140625" style="27"/>
    <col min="8718" max="8718" width="18.85546875" style="27" bestFit="1" customWidth="1"/>
    <col min="8719" max="8719" width="14.140625" style="27" customWidth="1"/>
    <col min="8720" max="8720" width="16.85546875" style="27" customWidth="1"/>
    <col min="8721" max="8721" width="23.42578125" style="27" bestFit="1" customWidth="1"/>
    <col min="8722" max="8722" width="9.140625" style="27"/>
    <col min="8723" max="8723" width="11" style="27" bestFit="1" customWidth="1"/>
    <col min="8724" max="8960" width="9.140625" style="27"/>
    <col min="8961" max="8961" width="12.5703125" style="27" customWidth="1"/>
    <col min="8962" max="8962" width="10.85546875" style="27" bestFit="1" customWidth="1"/>
    <col min="8963" max="8963" width="13.42578125" style="27" customWidth="1"/>
    <col min="8964" max="8964" width="9.85546875" style="27" customWidth="1"/>
    <col min="8965" max="8965" width="12.5703125" style="27" bestFit="1" customWidth="1"/>
    <col min="8966" max="8969" width="12.7109375" style="27" customWidth="1"/>
    <col min="8970" max="8970" width="9.140625" style="27"/>
    <col min="8971" max="8971" width="11" style="27" bestFit="1" customWidth="1"/>
    <col min="8972" max="8973" width="9.140625" style="27"/>
    <col min="8974" max="8974" width="18.85546875" style="27" bestFit="1" customWidth="1"/>
    <col min="8975" max="8975" width="14.140625" style="27" customWidth="1"/>
    <col min="8976" max="8976" width="16.85546875" style="27" customWidth="1"/>
    <col min="8977" max="8977" width="23.42578125" style="27" bestFit="1" customWidth="1"/>
    <col min="8978" max="8978" width="9.140625" style="27"/>
    <col min="8979" max="8979" width="11" style="27" bestFit="1" customWidth="1"/>
    <col min="8980" max="9216" width="9.140625" style="27"/>
    <col min="9217" max="9217" width="12.5703125" style="27" customWidth="1"/>
    <col min="9218" max="9218" width="10.85546875" style="27" bestFit="1" customWidth="1"/>
    <col min="9219" max="9219" width="13.42578125" style="27" customWidth="1"/>
    <col min="9220" max="9220" width="9.85546875" style="27" customWidth="1"/>
    <col min="9221" max="9221" width="12.5703125" style="27" bestFit="1" customWidth="1"/>
    <col min="9222" max="9225" width="12.7109375" style="27" customWidth="1"/>
    <col min="9226" max="9226" width="9.140625" style="27"/>
    <col min="9227" max="9227" width="11" style="27" bestFit="1" customWidth="1"/>
    <col min="9228" max="9229" width="9.140625" style="27"/>
    <col min="9230" max="9230" width="18.85546875" style="27" bestFit="1" customWidth="1"/>
    <col min="9231" max="9231" width="14.140625" style="27" customWidth="1"/>
    <col min="9232" max="9232" width="16.85546875" style="27" customWidth="1"/>
    <col min="9233" max="9233" width="23.42578125" style="27" bestFit="1" customWidth="1"/>
    <col min="9234" max="9234" width="9.140625" style="27"/>
    <col min="9235" max="9235" width="11" style="27" bestFit="1" customWidth="1"/>
    <col min="9236" max="9472" width="9.140625" style="27"/>
    <col min="9473" max="9473" width="12.5703125" style="27" customWidth="1"/>
    <col min="9474" max="9474" width="10.85546875" style="27" bestFit="1" customWidth="1"/>
    <col min="9475" max="9475" width="13.42578125" style="27" customWidth="1"/>
    <col min="9476" max="9476" width="9.85546875" style="27" customWidth="1"/>
    <col min="9477" max="9477" width="12.5703125" style="27" bestFit="1" customWidth="1"/>
    <col min="9478" max="9481" width="12.7109375" style="27" customWidth="1"/>
    <col min="9482" max="9482" width="9.140625" style="27"/>
    <col min="9483" max="9483" width="11" style="27" bestFit="1" customWidth="1"/>
    <col min="9484" max="9485" width="9.140625" style="27"/>
    <col min="9486" max="9486" width="18.85546875" style="27" bestFit="1" customWidth="1"/>
    <col min="9487" max="9487" width="14.140625" style="27" customWidth="1"/>
    <col min="9488" max="9488" width="16.85546875" style="27" customWidth="1"/>
    <col min="9489" max="9489" width="23.42578125" style="27" bestFit="1" customWidth="1"/>
    <col min="9490" max="9490" width="9.140625" style="27"/>
    <col min="9491" max="9491" width="11" style="27" bestFit="1" customWidth="1"/>
    <col min="9492" max="9728" width="9.140625" style="27"/>
    <col min="9729" max="9729" width="12.5703125" style="27" customWidth="1"/>
    <col min="9730" max="9730" width="10.85546875" style="27" bestFit="1" customWidth="1"/>
    <col min="9731" max="9731" width="13.42578125" style="27" customWidth="1"/>
    <col min="9732" max="9732" width="9.85546875" style="27" customWidth="1"/>
    <col min="9733" max="9733" width="12.5703125" style="27" bestFit="1" customWidth="1"/>
    <col min="9734" max="9737" width="12.7109375" style="27" customWidth="1"/>
    <col min="9738" max="9738" width="9.140625" style="27"/>
    <col min="9739" max="9739" width="11" style="27" bestFit="1" customWidth="1"/>
    <col min="9740" max="9741" width="9.140625" style="27"/>
    <col min="9742" max="9742" width="18.85546875" style="27" bestFit="1" customWidth="1"/>
    <col min="9743" max="9743" width="14.140625" style="27" customWidth="1"/>
    <col min="9744" max="9744" width="16.85546875" style="27" customWidth="1"/>
    <col min="9745" max="9745" width="23.42578125" style="27" bestFit="1" customWidth="1"/>
    <col min="9746" max="9746" width="9.140625" style="27"/>
    <col min="9747" max="9747" width="11" style="27" bestFit="1" customWidth="1"/>
    <col min="9748" max="9984" width="9.140625" style="27"/>
    <col min="9985" max="9985" width="12.5703125" style="27" customWidth="1"/>
    <col min="9986" max="9986" width="10.85546875" style="27" bestFit="1" customWidth="1"/>
    <col min="9987" max="9987" width="13.42578125" style="27" customWidth="1"/>
    <col min="9988" max="9988" width="9.85546875" style="27" customWidth="1"/>
    <col min="9989" max="9989" width="12.5703125" style="27" bestFit="1" customWidth="1"/>
    <col min="9990" max="9993" width="12.7109375" style="27" customWidth="1"/>
    <col min="9994" max="9994" width="9.140625" style="27"/>
    <col min="9995" max="9995" width="11" style="27" bestFit="1" customWidth="1"/>
    <col min="9996" max="9997" width="9.140625" style="27"/>
    <col min="9998" max="9998" width="18.85546875" style="27" bestFit="1" customWidth="1"/>
    <col min="9999" max="9999" width="14.140625" style="27" customWidth="1"/>
    <col min="10000" max="10000" width="16.85546875" style="27" customWidth="1"/>
    <col min="10001" max="10001" width="23.42578125" style="27" bestFit="1" customWidth="1"/>
    <col min="10002" max="10002" width="9.140625" style="27"/>
    <col min="10003" max="10003" width="11" style="27" bestFit="1" customWidth="1"/>
    <col min="10004" max="10240" width="9.140625" style="27"/>
    <col min="10241" max="10241" width="12.5703125" style="27" customWidth="1"/>
    <col min="10242" max="10242" width="10.85546875" style="27" bestFit="1" customWidth="1"/>
    <col min="10243" max="10243" width="13.42578125" style="27" customWidth="1"/>
    <col min="10244" max="10244" width="9.85546875" style="27" customWidth="1"/>
    <col min="10245" max="10245" width="12.5703125" style="27" bestFit="1" customWidth="1"/>
    <col min="10246" max="10249" width="12.7109375" style="27" customWidth="1"/>
    <col min="10250" max="10250" width="9.140625" style="27"/>
    <col min="10251" max="10251" width="11" style="27" bestFit="1" customWidth="1"/>
    <col min="10252" max="10253" width="9.140625" style="27"/>
    <col min="10254" max="10254" width="18.85546875" style="27" bestFit="1" customWidth="1"/>
    <col min="10255" max="10255" width="14.140625" style="27" customWidth="1"/>
    <col min="10256" max="10256" width="16.85546875" style="27" customWidth="1"/>
    <col min="10257" max="10257" width="23.42578125" style="27" bestFit="1" customWidth="1"/>
    <col min="10258" max="10258" width="9.140625" style="27"/>
    <col min="10259" max="10259" width="11" style="27" bestFit="1" customWidth="1"/>
    <col min="10260" max="10496" width="9.140625" style="27"/>
    <col min="10497" max="10497" width="12.5703125" style="27" customWidth="1"/>
    <col min="10498" max="10498" width="10.85546875" style="27" bestFit="1" customWidth="1"/>
    <col min="10499" max="10499" width="13.42578125" style="27" customWidth="1"/>
    <col min="10500" max="10500" width="9.85546875" style="27" customWidth="1"/>
    <col min="10501" max="10501" width="12.5703125" style="27" bestFit="1" customWidth="1"/>
    <col min="10502" max="10505" width="12.7109375" style="27" customWidth="1"/>
    <col min="10506" max="10506" width="9.140625" style="27"/>
    <col min="10507" max="10507" width="11" style="27" bestFit="1" customWidth="1"/>
    <col min="10508" max="10509" width="9.140625" style="27"/>
    <col min="10510" max="10510" width="18.85546875" style="27" bestFit="1" customWidth="1"/>
    <col min="10511" max="10511" width="14.140625" style="27" customWidth="1"/>
    <col min="10512" max="10512" width="16.85546875" style="27" customWidth="1"/>
    <col min="10513" max="10513" width="23.42578125" style="27" bestFit="1" customWidth="1"/>
    <col min="10514" max="10514" width="9.140625" style="27"/>
    <col min="10515" max="10515" width="11" style="27" bestFit="1" customWidth="1"/>
    <col min="10516" max="10752" width="9.140625" style="27"/>
    <col min="10753" max="10753" width="12.5703125" style="27" customWidth="1"/>
    <col min="10754" max="10754" width="10.85546875" style="27" bestFit="1" customWidth="1"/>
    <col min="10755" max="10755" width="13.42578125" style="27" customWidth="1"/>
    <col min="10756" max="10756" width="9.85546875" style="27" customWidth="1"/>
    <col min="10757" max="10757" width="12.5703125" style="27" bestFit="1" customWidth="1"/>
    <col min="10758" max="10761" width="12.7109375" style="27" customWidth="1"/>
    <col min="10762" max="10762" width="9.140625" style="27"/>
    <col min="10763" max="10763" width="11" style="27" bestFit="1" customWidth="1"/>
    <col min="10764" max="10765" width="9.140625" style="27"/>
    <col min="10766" max="10766" width="18.85546875" style="27" bestFit="1" customWidth="1"/>
    <col min="10767" max="10767" width="14.140625" style="27" customWidth="1"/>
    <col min="10768" max="10768" width="16.85546875" style="27" customWidth="1"/>
    <col min="10769" max="10769" width="23.42578125" style="27" bestFit="1" customWidth="1"/>
    <col min="10770" max="10770" width="9.140625" style="27"/>
    <col min="10771" max="10771" width="11" style="27" bestFit="1" customWidth="1"/>
    <col min="10772" max="11008" width="9.140625" style="27"/>
    <col min="11009" max="11009" width="12.5703125" style="27" customWidth="1"/>
    <col min="11010" max="11010" width="10.85546875" style="27" bestFit="1" customWidth="1"/>
    <col min="11011" max="11011" width="13.42578125" style="27" customWidth="1"/>
    <col min="11012" max="11012" width="9.85546875" style="27" customWidth="1"/>
    <col min="11013" max="11013" width="12.5703125" style="27" bestFit="1" customWidth="1"/>
    <col min="11014" max="11017" width="12.7109375" style="27" customWidth="1"/>
    <col min="11018" max="11018" width="9.140625" style="27"/>
    <col min="11019" max="11019" width="11" style="27" bestFit="1" customWidth="1"/>
    <col min="11020" max="11021" width="9.140625" style="27"/>
    <col min="11022" max="11022" width="18.85546875" style="27" bestFit="1" customWidth="1"/>
    <col min="11023" max="11023" width="14.140625" style="27" customWidth="1"/>
    <col min="11024" max="11024" width="16.85546875" style="27" customWidth="1"/>
    <col min="11025" max="11025" width="23.42578125" style="27" bestFit="1" customWidth="1"/>
    <col min="11026" max="11026" width="9.140625" style="27"/>
    <col min="11027" max="11027" width="11" style="27" bestFit="1" customWidth="1"/>
    <col min="11028" max="11264" width="9.140625" style="27"/>
    <col min="11265" max="11265" width="12.5703125" style="27" customWidth="1"/>
    <col min="11266" max="11266" width="10.85546875" style="27" bestFit="1" customWidth="1"/>
    <col min="11267" max="11267" width="13.42578125" style="27" customWidth="1"/>
    <col min="11268" max="11268" width="9.85546875" style="27" customWidth="1"/>
    <col min="11269" max="11269" width="12.5703125" style="27" bestFit="1" customWidth="1"/>
    <col min="11270" max="11273" width="12.7109375" style="27" customWidth="1"/>
    <col min="11274" max="11274" width="9.140625" style="27"/>
    <col min="11275" max="11275" width="11" style="27" bestFit="1" customWidth="1"/>
    <col min="11276" max="11277" width="9.140625" style="27"/>
    <col min="11278" max="11278" width="18.85546875" style="27" bestFit="1" customWidth="1"/>
    <col min="11279" max="11279" width="14.140625" style="27" customWidth="1"/>
    <col min="11280" max="11280" width="16.85546875" style="27" customWidth="1"/>
    <col min="11281" max="11281" width="23.42578125" style="27" bestFit="1" customWidth="1"/>
    <col min="11282" max="11282" width="9.140625" style="27"/>
    <col min="11283" max="11283" width="11" style="27" bestFit="1" customWidth="1"/>
    <col min="11284" max="11520" width="9.140625" style="27"/>
    <col min="11521" max="11521" width="12.5703125" style="27" customWidth="1"/>
    <col min="11522" max="11522" width="10.85546875" style="27" bestFit="1" customWidth="1"/>
    <col min="11523" max="11523" width="13.42578125" style="27" customWidth="1"/>
    <col min="11524" max="11524" width="9.85546875" style="27" customWidth="1"/>
    <col min="11525" max="11525" width="12.5703125" style="27" bestFit="1" customWidth="1"/>
    <col min="11526" max="11529" width="12.7109375" style="27" customWidth="1"/>
    <col min="11530" max="11530" width="9.140625" style="27"/>
    <col min="11531" max="11531" width="11" style="27" bestFit="1" customWidth="1"/>
    <col min="11532" max="11533" width="9.140625" style="27"/>
    <col min="11534" max="11534" width="18.85546875" style="27" bestFit="1" customWidth="1"/>
    <col min="11535" max="11535" width="14.140625" style="27" customWidth="1"/>
    <col min="11536" max="11536" width="16.85546875" style="27" customWidth="1"/>
    <col min="11537" max="11537" width="23.42578125" style="27" bestFit="1" customWidth="1"/>
    <col min="11538" max="11538" width="9.140625" style="27"/>
    <col min="11539" max="11539" width="11" style="27" bestFit="1" customWidth="1"/>
    <col min="11540" max="11776" width="9.140625" style="27"/>
    <col min="11777" max="11777" width="12.5703125" style="27" customWidth="1"/>
    <col min="11778" max="11778" width="10.85546875" style="27" bestFit="1" customWidth="1"/>
    <col min="11779" max="11779" width="13.42578125" style="27" customWidth="1"/>
    <col min="11780" max="11780" width="9.85546875" style="27" customWidth="1"/>
    <col min="11781" max="11781" width="12.5703125" style="27" bestFit="1" customWidth="1"/>
    <col min="11782" max="11785" width="12.7109375" style="27" customWidth="1"/>
    <col min="11786" max="11786" width="9.140625" style="27"/>
    <col min="11787" max="11787" width="11" style="27" bestFit="1" customWidth="1"/>
    <col min="11788" max="11789" width="9.140625" style="27"/>
    <col min="11790" max="11790" width="18.85546875" style="27" bestFit="1" customWidth="1"/>
    <col min="11791" max="11791" width="14.140625" style="27" customWidth="1"/>
    <col min="11792" max="11792" width="16.85546875" style="27" customWidth="1"/>
    <col min="11793" max="11793" width="23.42578125" style="27" bestFit="1" customWidth="1"/>
    <col min="11794" max="11794" width="9.140625" style="27"/>
    <col min="11795" max="11795" width="11" style="27" bestFit="1" customWidth="1"/>
    <col min="11796" max="12032" width="9.140625" style="27"/>
    <col min="12033" max="12033" width="12.5703125" style="27" customWidth="1"/>
    <col min="12034" max="12034" width="10.85546875" style="27" bestFit="1" customWidth="1"/>
    <col min="12035" max="12035" width="13.42578125" style="27" customWidth="1"/>
    <col min="12036" max="12036" width="9.85546875" style="27" customWidth="1"/>
    <col min="12037" max="12037" width="12.5703125" style="27" bestFit="1" customWidth="1"/>
    <col min="12038" max="12041" width="12.7109375" style="27" customWidth="1"/>
    <col min="12042" max="12042" width="9.140625" style="27"/>
    <col min="12043" max="12043" width="11" style="27" bestFit="1" customWidth="1"/>
    <col min="12044" max="12045" width="9.140625" style="27"/>
    <col min="12046" max="12046" width="18.85546875" style="27" bestFit="1" customWidth="1"/>
    <col min="12047" max="12047" width="14.140625" style="27" customWidth="1"/>
    <col min="12048" max="12048" width="16.85546875" style="27" customWidth="1"/>
    <col min="12049" max="12049" width="23.42578125" style="27" bestFit="1" customWidth="1"/>
    <col min="12050" max="12050" width="9.140625" style="27"/>
    <col min="12051" max="12051" width="11" style="27" bestFit="1" customWidth="1"/>
    <col min="12052" max="12288" width="9.140625" style="27"/>
    <col min="12289" max="12289" width="12.5703125" style="27" customWidth="1"/>
    <col min="12290" max="12290" width="10.85546875" style="27" bestFit="1" customWidth="1"/>
    <col min="12291" max="12291" width="13.42578125" style="27" customWidth="1"/>
    <col min="12292" max="12292" width="9.85546875" style="27" customWidth="1"/>
    <col min="12293" max="12293" width="12.5703125" style="27" bestFit="1" customWidth="1"/>
    <col min="12294" max="12297" width="12.7109375" style="27" customWidth="1"/>
    <col min="12298" max="12298" width="9.140625" style="27"/>
    <col min="12299" max="12299" width="11" style="27" bestFit="1" customWidth="1"/>
    <col min="12300" max="12301" width="9.140625" style="27"/>
    <col min="12302" max="12302" width="18.85546875" style="27" bestFit="1" customWidth="1"/>
    <col min="12303" max="12303" width="14.140625" style="27" customWidth="1"/>
    <col min="12304" max="12304" width="16.85546875" style="27" customWidth="1"/>
    <col min="12305" max="12305" width="23.42578125" style="27" bestFit="1" customWidth="1"/>
    <col min="12306" max="12306" width="9.140625" style="27"/>
    <col min="12307" max="12307" width="11" style="27" bestFit="1" customWidth="1"/>
    <col min="12308" max="12544" width="9.140625" style="27"/>
    <col min="12545" max="12545" width="12.5703125" style="27" customWidth="1"/>
    <col min="12546" max="12546" width="10.85546875" style="27" bestFit="1" customWidth="1"/>
    <col min="12547" max="12547" width="13.42578125" style="27" customWidth="1"/>
    <col min="12548" max="12548" width="9.85546875" style="27" customWidth="1"/>
    <col min="12549" max="12549" width="12.5703125" style="27" bestFit="1" customWidth="1"/>
    <col min="12550" max="12553" width="12.7109375" style="27" customWidth="1"/>
    <col min="12554" max="12554" width="9.140625" style="27"/>
    <col min="12555" max="12555" width="11" style="27" bestFit="1" customWidth="1"/>
    <col min="12556" max="12557" width="9.140625" style="27"/>
    <col min="12558" max="12558" width="18.85546875" style="27" bestFit="1" customWidth="1"/>
    <col min="12559" max="12559" width="14.140625" style="27" customWidth="1"/>
    <col min="12560" max="12560" width="16.85546875" style="27" customWidth="1"/>
    <col min="12561" max="12561" width="23.42578125" style="27" bestFit="1" customWidth="1"/>
    <col min="12562" max="12562" width="9.140625" style="27"/>
    <col min="12563" max="12563" width="11" style="27" bestFit="1" customWidth="1"/>
    <col min="12564" max="12800" width="9.140625" style="27"/>
    <col min="12801" max="12801" width="12.5703125" style="27" customWidth="1"/>
    <col min="12802" max="12802" width="10.85546875" style="27" bestFit="1" customWidth="1"/>
    <col min="12803" max="12803" width="13.42578125" style="27" customWidth="1"/>
    <col min="12804" max="12804" width="9.85546875" style="27" customWidth="1"/>
    <col min="12805" max="12805" width="12.5703125" style="27" bestFit="1" customWidth="1"/>
    <col min="12806" max="12809" width="12.7109375" style="27" customWidth="1"/>
    <col min="12810" max="12810" width="9.140625" style="27"/>
    <col min="12811" max="12811" width="11" style="27" bestFit="1" customWidth="1"/>
    <col min="12812" max="12813" width="9.140625" style="27"/>
    <col min="12814" max="12814" width="18.85546875" style="27" bestFit="1" customWidth="1"/>
    <col min="12815" max="12815" width="14.140625" style="27" customWidth="1"/>
    <col min="12816" max="12816" width="16.85546875" style="27" customWidth="1"/>
    <col min="12817" max="12817" width="23.42578125" style="27" bestFit="1" customWidth="1"/>
    <col min="12818" max="12818" width="9.140625" style="27"/>
    <col min="12819" max="12819" width="11" style="27" bestFit="1" customWidth="1"/>
    <col min="12820" max="13056" width="9.140625" style="27"/>
    <col min="13057" max="13057" width="12.5703125" style="27" customWidth="1"/>
    <col min="13058" max="13058" width="10.85546875" style="27" bestFit="1" customWidth="1"/>
    <col min="13059" max="13059" width="13.42578125" style="27" customWidth="1"/>
    <col min="13060" max="13060" width="9.85546875" style="27" customWidth="1"/>
    <col min="13061" max="13061" width="12.5703125" style="27" bestFit="1" customWidth="1"/>
    <col min="13062" max="13065" width="12.7109375" style="27" customWidth="1"/>
    <col min="13066" max="13066" width="9.140625" style="27"/>
    <col min="13067" max="13067" width="11" style="27" bestFit="1" customWidth="1"/>
    <col min="13068" max="13069" width="9.140625" style="27"/>
    <col min="13070" max="13070" width="18.85546875" style="27" bestFit="1" customWidth="1"/>
    <col min="13071" max="13071" width="14.140625" style="27" customWidth="1"/>
    <col min="13072" max="13072" width="16.85546875" style="27" customWidth="1"/>
    <col min="13073" max="13073" width="23.42578125" style="27" bestFit="1" customWidth="1"/>
    <col min="13074" max="13074" width="9.140625" style="27"/>
    <col min="13075" max="13075" width="11" style="27" bestFit="1" customWidth="1"/>
    <col min="13076" max="13312" width="9.140625" style="27"/>
    <col min="13313" max="13313" width="12.5703125" style="27" customWidth="1"/>
    <col min="13314" max="13314" width="10.85546875" style="27" bestFit="1" customWidth="1"/>
    <col min="13315" max="13315" width="13.42578125" style="27" customWidth="1"/>
    <col min="13316" max="13316" width="9.85546875" style="27" customWidth="1"/>
    <col min="13317" max="13317" width="12.5703125" style="27" bestFit="1" customWidth="1"/>
    <col min="13318" max="13321" width="12.7109375" style="27" customWidth="1"/>
    <col min="13322" max="13322" width="9.140625" style="27"/>
    <col min="13323" max="13323" width="11" style="27" bestFit="1" customWidth="1"/>
    <col min="13324" max="13325" width="9.140625" style="27"/>
    <col min="13326" max="13326" width="18.85546875" style="27" bestFit="1" customWidth="1"/>
    <col min="13327" max="13327" width="14.140625" style="27" customWidth="1"/>
    <col min="13328" max="13328" width="16.85546875" style="27" customWidth="1"/>
    <col min="13329" max="13329" width="23.42578125" style="27" bestFit="1" customWidth="1"/>
    <col min="13330" max="13330" width="9.140625" style="27"/>
    <col min="13331" max="13331" width="11" style="27" bestFit="1" customWidth="1"/>
    <col min="13332" max="13568" width="9.140625" style="27"/>
    <col min="13569" max="13569" width="12.5703125" style="27" customWidth="1"/>
    <col min="13570" max="13570" width="10.85546875" style="27" bestFit="1" customWidth="1"/>
    <col min="13571" max="13571" width="13.42578125" style="27" customWidth="1"/>
    <col min="13572" max="13572" width="9.85546875" style="27" customWidth="1"/>
    <col min="13573" max="13573" width="12.5703125" style="27" bestFit="1" customWidth="1"/>
    <col min="13574" max="13577" width="12.7109375" style="27" customWidth="1"/>
    <col min="13578" max="13578" width="9.140625" style="27"/>
    <col min="13579" max="13579" width="11" style="27" bestFit="1" customWidth="1"/>
    <col min="13580" max="13581" width="9.140625" style="27"/>
    <col min="13582" max="13582" width="18.85546875" style="27" bestFit="1" customWidth="1"/>
    <col min="13583" max="13583" width="14.140625" style="27" customWidth="1"/>
    <col min="13584" max="13584" width="16.85546875" style="27" customWidth="1"/>
    <col min="13585" max="13585" width="23.42578125" style="27" bestFit="1" customWidth="1"/>
    <col min="13586" max="13586" width="9.140625" style="27"/>
    <col min="13587" max="13587" width="11" style="27" bestFit="1" customWidth="1"/>
    <col min="13588" max="13824" width="9.140625" style="27"/>
    <col min="13825" max="13825" width="12.5703125" style="27" customWidth="1"/>
    <col min="13826" max="13826" width="10.85546875" style="27" bestFit="1" customWidth="1"/>
    <col min="13827" max="13827" width="13.42578125" style="27" customWidth="1"/>
    <col min="13828" max="13828" width="9.85546875" style="27" customWidth="1"/>
    <col min="13829" max="13829" width="12.5703125" style="27" bestFit="1" customWidth="1"/>
    <col min="13830" max="13833" width="12.7109375" style="27" customWidth="1"/>
    <col min="13834" max="13834" width="9.140625" style="27"/>
    <col min="13835" max="13835" width="11" style="27" bestFit="1" customWidth="1"/>
    <col min="13836" max="13837" width="9.140625" style="27"/>
    <col min="13838" max="13838" width="18.85546875" style="27" bestFit="1" customWidth="1"/>
    <col min="13839" max="13839" width="14.140625" style="27" customWidth="1"/>
    <col min="13840" max="13840" width="16.85546875" style="27" customWidth="1"/>
    <col min="13841" max="13841" width="23.42578125" style="27" bestFit="1" customWidth="1"/>
    <col min="13842" max="13842" width="9.140625" style="27"/>
    <col min="13843" max="13843" width="11" style="27" bestFit="1" customWidth="1"/>
    <col min="13844" max="14080" width="9.140625" style="27"/>
    <col min="14081" max="14081" width="12.5703125" style="27" customWidth="1"/>
    <col min="14082" max="14082" width="10.85546875" style="27" bestFit="1" customWidth="1"/>
    <col min="14083" max="14083" width="13.42578125" style="27" customWidth="1"/>
    <col min="14084" max="14084" width="9.85546875" style="27" customWidth="1"/>
    <col min="14085" max="14085" width="12.5703125" style="27" bestFit="1" customWidth="1"/>
    <col min="14086" max="14089" width="12.7109375" style="27" customWidth="1"/>
    <col min="14090" max="14090" width="9.140625" style="27"/>
    <col min="14091" max="14091" width="11" style="27" bestFit="1" customWidth="1"/>
    <col min="14092" max="14093" width="9.140625" style="27"/>
    <col min="14094" max="14094" width="18.85546875" style="27" bestFit="1" customWidth="1"/>
    <col min="14095" max="14095" width="14.140625" style="27" customWidth="1"/>
    <col min="14096" max="14096" width="16.85546875" style="27" customWidth="1"/>
    <col min="14097" max="14097" width="23.42578125" style="27" bestFit="1" customWidth="1"/>
    <col min="14098" max="14098" width="9.140625" style="27"/>
    <col min="14099" max="14099" width="11" style="27" bestFit="1" customWidth="1"/>
    <col min="14100" max="14336" width="9.140625" style="27"/>
    <col min="14337" max="14337" width="12.5703125" style="27" customWidth="1"/>
    <col min="14338" max="14338" width="10.85546875" style="27" bestFit="1" customWidth="1"/>
    <col min="14339" max="14339" width="13.42578125" style="27" customWidth="1"/>
    <col min="14340" max="14340" width="9.85546875" style="27" customWidth="1"/>
    <col min="14341" max="14341" width="12.5703125" style="27" bestFit="1" customWidth="1"/>
    <col min="14342" max="14345" width="12.7109375" style="27" customWidth="1"/>
    <col min="14346" max="14346" width="9.140625" style="27"/>
    <col min="14347" max="14347" width="11" style="27" bestFit="1" customWidth="1"/>
    <col min="14348" max="14349" width="9.140625" style="27"/>
    <col min="14350" max="14350" width="18.85546875" style="27" bestFit="1" customWidth="1"/>
    <col min="14351" max="14351" width="14.140625" style="27" customWidth="1"/>
    <col min="14352" max="14352" width="16.85546875" style="27" customWidth="1"/>
    <col min="14353" max="14353" width="23.42578125" style="27" bestFit="1" customWidth="1"/>
    <col min="14354" max="14354" width="9.140625" style="27"/>
    <col min="14355" max="14355" width="11" style="27" bestFit="1" customWidth="1"/>
    <col min="14356" max="14592" width="9.140625" style="27"/>
    <col min="14593" max="14593" width="12.5703125" style="27" customWidth="1"/>
    <col min="14594" max="14594" width="10.85546875" style="27" bestFit="1" customWidth="1"/>
    <col min="14595" max="14595" width="13.42578125" style="27" customWidth="1"/>
    <col min="14596" max="14596" width="9.85546875" style="27" customWidth="1"/>
    <col min="14597" max="14597" width="12.5703125" style="27" bestFit="1" customWidth="1"/>
    <col min="14598" max="14601" width="12.7109375" style="27" customWidth="1"/>
    <col min="14602" max="14602" width="9.140625" style="27"/>
    <col min="14603" max="14603" width="11" style="27" bestFit="1" customWidth="1"/>
    <col min="14604" max="14605" width="9.140625" style="27"/>
    <col min="14606" max="14606" width="18.85546875" style="27" bestFit="1" customWidth="1"/>
    <col min="14607" max="14607" width="14.140625" style="27" customWidth="1"/>
    <col min="14608" max="14608" width="16.85546875" style="27" customWidth="1"/>
    <col min="14609" max="14609" width="23.42578125" style="27" bestFit="1" customWidth="1"/>
    <col min="14610" max="14610" width="9.140625" style="27"/>
    <col min="14611" max="14611" width="11" style="27" bestFit="1" customWidth="1"/>
    <col min="14612" max="14848" width="9.140625" style="27"/>
    <col min="14849" max="14849" width="12.5703125" style="27" customWidth="1"/>
    <col min="14850" max="14850" width="10.85546875" style="27" bestFit="1" customWidth="1"/>
    <col min="14851" max="14851" width="13.42578125" style="27" customWidth="1"/>
    <col min="14852" max="14852" width="9.85546875" style="27" customWidth="1"/>
    <col min="14853" max="14853" width="12.5703125" style="27" bestFit="1" customWidth="1"/>
    <col min="14854" max="14857" width="12.7109375" style="27" customWidth="1"/>
    <col min="14858" max="14858" width="9.140625" style="27"/>
    <col min="14859" max="14859" width="11" style="27" bestFit="1" customWidth="1"/>
    <col min="14860" max="14861" width="9.140625" style="27"/>
    <col min="14862" max="14862" width="18.85546875" style="27" bestFit="1" customWidth="1"/>
    <col min="14863" max="14863" width="14.140625" style="27" customWidth="1"/>
    <col min="14864" max="14864" width="16.85546875" style="27" customWidth="1"/>
    <col min="14865" max="14865" width="23.42578125" style="27" bestFit="1" customWidth="1"/>
    <col min="14866" max="14866" width="9.140625" style="27"/>
    <col min="14867" max="14867" width="11" style="27" bestFit="1" customWidth="1"/>
    <col min="14868" max="15104" width="9.140625" style="27"/>
    <col min="15105" max="15105" width="12.5703125" style="27" customWidth="1"/>
    <col min="15106" max="15106" width="10.85546875" style="27" bestFit="1" customWidth="1"/>
    <col min="15107" max="15107" width="13.42578125" style="27" customWidth="1"/>
    <col min="15108" max="15108" width="9.85546875" style="27" customWidth="1"/>
    <col min="15109" max="15109" width="12.5703125" style="27" bestFit="1" customWidth="1"/>
    <col min="15110" max="15113" width="12.7109375" style="27" customWidth="1"/>
    <col min="15114" max="15114" width="9.140625" style="27"/>
    <col min="15115" max="15115" width="11" style="27" bestFit="1" customWidth="1"/>
    <col min="15116" max="15117" width="9.140625" style="27"/>
    <col min="15118" max="15118" width="18.85546875" style="27" bestFit="1" customWidth="1"/>
    <col min="15119" max="15119" width="14.140625" style="27" customWidth="1"/>
    <col min="15120" max="15120" width="16.85546875" style="27" customWidth="1"/>
    <col min="15121" max="15121" width="23.42578125" style="27" bestFit="1" customWidth="1"/>
    <col min="15122" max="15122" width="9.140625" style="27"/>
    <col min="15123" max="15123" width="11" style="27" bestFit="1" customWidth="1"/>
    <col min="15124" max="15360" width="9.140625" style="27"/>
    <col min="15361" max="15361" width="12.5703125" style="27" customWidth="1"/>
    <col min="15362" max="15362" width="10.85546875" style="27" bestFit="1" customWidth="1"/>
    <col min="15363" max="15363" width="13.42578125" style="27" customWidth="1"/>
    <col min="15364" max="15364" width="9.85546875" style="27" customWidth="1"/>
    <col min="15365" max="15365" width="12.5703125" style="27" bestFit="1" customWidth="1"/>
    <col min="15366" max="15369" width="12.7109375" style="27" customWidth="1"/>
    <col min="15370" max="15370" width="9.140625" style="27"/>
    <col min="15371" max="15371" width="11" style="27" bestFit="1" customWidth="1"/>
    <col min="15372" max="15373" width="9.140625" style="27"/>
    <col min="15374" max="15374" width="18.85546875" style="27" bestFit="1" customWidth="1"/>
    <col min="15375" max="15375" width="14.140625" style="27" customWidth="1"/>
    <col min="15376" max="15376" width="16.85546875" style="27" customWidth="1"/>
    <col min="15377" max="15377" width="23.42578125" style="27" bestFit="1" customWidth="1"/>
    <col min="15378" max="15378" width="9.140625" style="27"/>
    <col min="15379" max="15379" width="11" style="27" bestFit="1" customWidth="1"/>
    <col min="15380" max="15616" width="9.140625" style="27"/>
    <col min="15617" max="15617" width="12.5703125" style="27" customWidth="1"/>
    <col min="15618" max="15618" width="10.85546875" style="27" bestFit="1" customWidth="1"/>
    <col min="15619" max="15619" width="13.42578125" style="27" customWidth="1"/>
    <col min="15620" max="15620" width="9.85546875" style="27" customWidth="1"/>
    <col min="15621" max="15621" width="12.5703125" style="27" bestFit="1" customWidth="1"/>
    <col min="15622" max="15625" width="12.7109375" style="27" customWidth="1"/>
    <col min="15626" max="15626" width="9.140625" style="27"/>
    <col min="15627" max="15627" width="11" style="27" bestFit="1" customWidth="1"/>
    <col min="15628" max="15629" width="9.140625" style="27"/>
    <col min="15630" max="15630" width="18.85546875" style="27" bestFit="1" customWidth="1"/>
    <col min="15631" max="15631" width="14.140625" style="27" customWidth="1"/>
    <col min="15632" max="15632" width="16.85546875" style="27" customWidth="1"/>
    <col min="15633" max="15633" width="23.42578125" style="27" bestFit="1" customWidth="1"/>
    <col min="15634" max="15634" width="9.140625" style="27"/>
    <col min="15635" max="15635" width="11" style="27" bestFit="1" customWidth="1"/>
    <col min="15636" max="15872" width="9.140625" style="27"/>
    <col min="15873" max="15873" width="12.5703125" style="27" customWidth="1"/>
    <col min="15874" max="15874" width="10.85546875" style="27" bestFit="1" customWidth="1"/>
    <col min="15875" max="15875" width="13.42578125" style="27" customWidth="1"/>
    <col min="15876" max="15876" width="9.85546875" style="27" customWidth="1"/>
    <col min="15877" max="15877" width="12.5703125" style="27" bestFit="1" customWidth="1"/>
    <col min="15878" max="15881" width="12.7109375" style="27" customWidth="1"/>
    <col min="15882" max="15882" width="9.140625" style="27"/>
    <col min="15883" max="15883" width="11" style="27" bestFit="1" customWidth="1"/>
    <col min="15884" max="15885" width="9.140625" style="27"/>
    <col min="15886" max="15886" width="18.85546875" style="27" bestFit="1" customWidth="1"/>
    <col min="15887" max="15887" width="14.140625" style="27" customWidth="1"/>
    <col min="15888" max="15888" width="16.85546875" style="27" customWidth="1"/>
    <col min="15889" max="15889" width="23.42578125" style="27" bestFit="1" customWidth="1"/>
    <col min="15890" max="15890" width="9.140625" style="27"/>
    <col min="15891" max="15891" width="11" style="27" bestFit="1" customWidth="1"/>
    <col min="15892" max="16128" width="9.140625" style="27"/>
    <col min="16129" max="16129" width="12.5703125" style="27" customWidth="1"/>
    <col min="16130" max="16130" width="10.85546875" style="27" bestFit="1" customWidth="1"/>
    <col min="16131" max="16131" width="13.42578125" style="27" customWidth="1"/>
    <col min="16132" max="16132" width="9.85546875" style="27" customWidth="1"/>
    <col min="16133" max="16133" width="12.5703125" style="27" bestFit="1" customWidth="1"/>
    <col min="16134" max="16137" width="12.7109375" style="27" customWidth="1"/>
    <col min="16138" max="16138" width="9.140625" style="27"/>
    <col min="16139" max="16139" width="11" style="27" bestFit="1" customWidth="1"/>
    <col min="16140" max="16141" width="9.140625" style="27"/>
    <col min="16142" max="16142" width="18.85546875" style="27" bestFit="1" customWidth="1"/>
    <col min="16143" max="16143" width="14.140625" style="27" customWidth="1"/>
    <col min="16144" max="16144" width="16.85546875" style="27" customWidth="1"/>
    <col min="16145" max="16145" width="23.42578125" style="27" bestFit="1" customWidth="1"/>
    <col min="16146" max="16146" width="9.140625" style="27"/>
    <col min="16147" max="16147" width="11" style="27" bestFit="1" customWidth="1"/>
    <col min="16148" max="16384" width="9.140625" style="27"/>
  </cols>
  <sheetData>
    <row r="1" spans="1:11" x14ac:dyDescent="0.2">
      <c r="A1" s="67" t="s">
        <v>81</v>
      </c>
      <c r="B1" s="68"/>
      <c r="C1" s="68"/>
      <c r="D1" s="68"/>
      <c r="E1" s="68"/>
      <c r="F1" s="68"/>
      <c r="G1" s="68"/>
    </row>
    <row r="2" spans="1:11" x14ac:dyDescent="0.2">
      <c r="A2" s="63" t="s">
        <v>26</v>
      </c>
      <c r="B2" s="64"/>
      <c r="C2" s="64"/>
      <c r="D2" s="64"/>
      <c r="E2" s="64"/>
      <c r="F2" s="64"/>
      <c r="G2" s="64"/>
    </row>
    <row r="5" spans="1:11" x14ac:dyDescent="0.2">
      <c r="A5" s="99" t="s">
        <v>83</v>
      </c>
      <c r="B5" s="100"/>
      <c r="C5" s="100"/>
      <c r="D5" s="100"/>
      <c r="E5" s="100"/>
      <c r="F5" s="100"/>
      <c r="G5" s="100"/>
      <c r="I5" s="113" t="s">
        <v>89</v>
      </c>
      <c r="J5" s="115"/>
    </row>
    <row r="6" spans="1:11" x14ac:dyDescent="0.2">
      <c r="A6" s="26" t="s">
        <v>0</v>
      </c>
      <c r="I6" s="69" t="s">
        <v>97</v>
      </c>
      <c r="J6" s="93"/>
    </row>
    <row r="7" spans="1:11" x14ac:dyDescent="0.2">
      <c r="A7" s="27" t="s">
        <v>6</v>
      </c>
      <c r="B7" s="94">
        <v>1</v>
      </c>
      <c r="I7" s="69" t="s">
        <v>98</v>
      </c>
      <c r="J7" s="93"/>
    </row>
    <row r="8" spans="1:11" x14ac:dyDescent="0.2">
      <c r="A8" s="27" t="s">
        <v>1</v>
      </c>
      <c r="B8" s="93">
        <v>50</v>
      </c>
    </row>
    <row r="9" spans="1:11" x14ac:dyDescent="0.2">
      <c r="A9" s="27" t="s">
        <v>2</v>
      </c>
      <c r="B9" s="93">
        <v>15</v>
      </c>
    </row>
    <row r="10" spans="1:11" x14ac:dyDescent="0.2">
      <c r="A10" s="27" t="s">
        <v>4</v>
      </c>
      <c r="B10" s="93">
        <v>10</v>
      </c>
      <c r="I10" s="115" t="s">
        <v>99</v>
      </c>
      <c r="J10" s="115"/>
    </row>
    <row r="11" spans="1:11" x14ac:dyDescent="0.2">
      <c r="A11" s="27" t="s">
        <v>3</v>
      </c>
      <c r="B11" s="93">
        <v>1000</v>
      </c>
      <c r="I11" s="93" t="s">
        <v>100</v>
      </c>
      <c r="J11" s="93"/>
      <c r="K11" s="93"/>
    </row>
    <row r="12" spans="1:11" x14ac:dyDescent="0.2">
      <c r="A12" s="102" t="s">
        <v>11</v>
      </c>
      <c r="B12" s="26"/>
      <c r="C12" s="102" t="s">
        <v>12</v>
      </c>
      <c r="I12" s="93" t="s">
        <v>102</v>
      </c>
      <c r="J12" s="93"/>
      <c r="K12" s="93"/>
    </row>
    <row r="13" spans="1:11" x14ac:dyDescent="0.2">
      <c r="A13" s="27" t="s">
        <v>13</v>
      </c>
      <c r="B13" s="95">
        <v>0.03</v>
      </c>
      <c r="C13" s="91">
        <v>0.05</v>
      </c>
    </row>
    <row r="14" spans="1:11" x14ac:dyDescent="0.2">
      <c r="A14" s="27" t="s">
        <v>10</v>
      </c>
      <c r="B14" s="81" t="s">
        <v>9</v>
      </c>
      <c r="C14" s="81" t="s">
        <v>87</v>
      </c>
    </row>
    <row r="15" spans="1:11" x14ac:dyDescent="0.2">
      <c r="A15" s="27" t="s">
        <v>88</v>
      </c>
      <c r="B15" s="81"/>
      <c r="C15" s="92">
        <v>0.7</v>
      </c>
    </row>
    <row r="16" spans="1:11" x14ac:dyDescent="0.2">
      <c r="A16" s="27" t="s">
        <v>19</v>
      </c>
      <c r="B16" s="91">
        <v>0.55000000000000004</v>
      </c>
      <c r="C16" s="81">
        <v>0.55000000000000004</v>
      </c>
      <c r="D16" s="1" t="s">
        <v>27</v>
      </c>
    </row>
    <row r="17" spans="1:19" x14ac:dyDescent="0.2">
      <c r="A17" s="27" t="s">
        <v>20</v>
      </c>
      <c r="B17" s="91">
        <v>0.04</v>
      </c>
      <c r="C17" s="81">
        <v>0.04</v>
      </c>
      <c r="D17" s="1" t="s">
        <v>27</v>
      </c>
    </row>
    <row r="18" spans="1:19" x14ac:dyDescent="0.2">
      <c r="A18" s="27" t="s">
        <v>21</v>
      </c>
      <c r="B18" s="92">
        <v>1.5E-3</v>
      </c>
      <c r="C18" s="82">
        <v>3.0000000000000001E-3</v>
      </c>
      <c r="D18" s="114" t="s">
        <v>90</v>
      </c>
    </row>
    <row r="19" spans="1:19" x14ac:dyDescent="0.2">
      <c r="A19" s="27" t="s">
        <v>8</v>
      </c>
      <c r="B19" s="90"/>
      <c r="C19" s="114" t="s">
        <v>91</v>
      </c>
      <c r="D19" s="83"/>
      <c r="F19" s="83"/>
      <c r="G19" s="83"/>
      <c r="H19" s="83"/>
      <c r="I19" s="83"/>
    </row>
    <row r="20" spans="1:19" x14ac:dyDescent="0.2">
      <c r="A20" s="27" t="s">
        <v>7</v>
      </c>
      <c r="B20" s="90"/>
      <c r="C20" s="114" t="s">
        <v>92</v>
      </c>
      <c r="D20" s="83"/>
      <c r="F20" s="83"/>
      <c r="G20" s="83"/>
      <c r="H20" s="83"/>
      <c r="I20" s="83"/>
    </row>
    <row r="21" spans="1:19" x14ac:dyDescent="0.2">
      <c r="A21" s="27" t="s">
        <v>22</v>
      </c>
      <c r="B21" s="90"/>
      <c r="C21" s="114" t="s">
        <v>93</v>
      </c>
      <c r="D21" s="83"/>
      <c r="F21" s="83"/>
      <c r="G21" s="83"/>
      <c r="H21" s="83"/>
      <c r="I21" s="83"/>
    </row>
    <row r="22" spans="1:19" x14ac:dyDescent="0.2">
      <c r="A22" s="27" t="s">
        <v>23</v>
      </c>
      <c r="B22" s="90"/>
      <c r="C22" s="114" t="s">
        <v>94</v>
      </c>
      <c r="D22" s="83"/>
      <c r="F22" s="83"/>
      <c r="G22" s="83"/>
      <c r="H22" s="83"/>
      <c r="I22" s="83"/>
    </row>
    <row r="23" spans="1:19" ht="15.75" x14ac:dyDescent="0.3">
      <c r="A23" s="78" t="s">
        <v>82</v>
      </c>
      <c r="B23" s="77"/>
      <c r="C23" s="78" t="s">
        <v>78</v>
      </c>
      <c r="D23" s="78" t="s">
        <v>79</v>
      </c>
      <c r="E23" s="78" t="s">
        <v>80</v>
      </c>
      <c r="F23" s="83"/>
      <c r="G23" s="83"/>
      <c r="H23" s="83"/>
      <c r="I23" s="83"/>
    </row>
    <row r="24" spans="1:19" ht="15.75" x14ac:dyDescent="0.25">
      <c r="A24" s="96" t="s">
        <v>24</v>
      </c>
      <c r="B24" s="98"/>
      <c r="C24" s="98"/>
      <c r="D24" s="98"/>
      <c r="E24" s="98"/>
      <c r="F24" s="85"/>
    </row>
    <row r="25" spans="1:19" ht="15.75" x14ac:dyDescent="0.25">
      <c r="A25" s="84" t="s">
        <v>122</v>
      </c>
      <c r="B25" s="86"/>
      <c r="C25" s="128" t="s">
        <v>121</v>
      </c>
      <c r="D25" s="129"/>
      <c r="E25" s="85"/>
    </row>
    <row r="26" spans="1:19" ht="15.75" x14ac:dyDescent="0.25">
      <c r="A26" s="84"/>
      <c r="B26" s="85"/>
      <c r="C26" s="85"/>
      <c r="D26" s="86"/>
      <c r="E26" s="85"/>
    </row>
    <row r="28" spans="1:19" x14ac:dyDescent="0.2">
      <c r="A28" s="26" t="s">
        <v>120</v>
      </c>
    </row>
    <row r="29" spans="1:19" x14ac:dyDescent="0.2">
      <c r="A29" s="104" t="s">
        <v>5</v>
      </c>
      <c r="B29" s="106" t="s">
        <v>30</v>
      </c>
      <c r="C29" s="106" t="s">
        <v>17</v>
      </c>
      <c r="D29" s="106" t="s">
        <v>18</v>
      </c>
      <c r="E29" s="106" t="s">
        <v>14</v>
      </c>
      <c r="F29" s="105" t="s">
        <v>72</v>
      </c>
      <c r="G29" s="105" t="s">
        <v>73</v>
      </c>
      <c r="H29" s="106" t="s">
        <v>74</v>
      </c>
      <c r="I29" s="106" t="s">
        <v>77</v>
      </c>
      <c r="J29" s="106" t="s">
        <v>111</v>
      </c>
      <c r="K29" s="106" t="s">
        <v>112</v>
      </c>
      <c r="L29" s="106" t="s">
        <v>28</v>
      </c>
      <c r="M29" s="106" t="s">
        <v>113</v>
      </c>
      <c r="N29" s="106" t="s">
        <v>114</v>
      </c>
      <c r="O29" s="104" t="s">
        <v>29</v>
      </c>
      <c r="P29" s="106" t="s">
        <v>116</v>
      </c>
      <c r="Q29" s="106" t="s">
        <v>115</v>
      </c>
      <c r="R29" s="104" t="s">
        <v>32</v>
      </c>
      <c r="S29" s="105" t="s">
        <v>33</v>
      </c>
    </row>
    <row r="30" spans="1:19" x14ac:dyDescent="0.2">
      <c r="A30" s="87">
        <v>0</v>
      </c>
      <c r="B30" s="89"/>
      <c r="C30" s="89">
        <f t="shared" ref="C30:C44" si="0">(INDEX(lx,($B$8+A30+1))-INDEX(lx,($B$8+1+A30+1)))/INDEX(lx,($B$8+A30+1))</f>
        <v>1.9549538064757262E-3</v>
      </c>
      <c r="D30" s="89"/>
      <c r="E30" s="89"/>
      <c r="F30" s="103"/>
      <c r="G30" s="103"/>
      <c r="H30" s="97"/>
      <c r="I30" s="97"/>
      <c r="J30" s="97"/>
      <c r="K30" s="97"/>
      <c r="L30" s="120"/>
      <c r="M30" s="97"/>
      <c r="N30" s="97"/>
      <c r="O30" s="120"/>
      <c r="P30" s="97"/>
      <c r="Q30" s="97"/>
      <c r="R30" s="109"/>
      <c r="S30" s="110"/>
    </row>
    <row r="31" spans="1:19" x14ac:dyDescent="0.2">
      <c r="A31" s="87">
        <f t="shared" ref="A31:A45" si="1">A30+1</f>
        <v>1</v>
      </c>
      <c r="B31" s="89"/>
      <c r="C31" s="89">
        <f t="shared" si="0"/>
        <v>2.0669750638913362E-3</v>
      </c>
      <c r="D31" s="89"/>
      <c r="E31" s="89"/>
      <c r="F31" s="103"/>
      <c r="G31" s="103"/>
      <c r="H31" s="97"/>
      <c r="I31" s="97"/>
      <c r="J31" s="97"/>
      <c r="K31" s="97"/>
      <c r="L31" s="120"/>
      <c r="M31" s="97"/>
      <c r="N31" s="97"/>
      <c r="O31" s="120"/>
      <c r="P31" s="97"/>
      <c r="Q31" s="97"/>
      <c r="R31" s="108"/>
      <c r="S31" s="111"/>
    </row>
    <row r="32" spans="1:19" x14ac:dyDescent="0.2">
      <c r="A32" s="87">
        <f t="shared" si="1"/>
        <v>2</v>
      </c>
      <c r="B32" s="89"/>
      <c r="C32" s="89">
        <f t="shared" si="0"/>
        <v>2.1990434811770044E-3</v>
      </c>
      <c r="D32" s="89"/>
      <c r="E32" s="89"/>
      <c r="F32" s="103"/>
      <c r="G32" s="103"/>
      <c r="H32" s="97"/>
      <c r="I32" s="97"/>
      <c r="J32" s="97"/>
      <c r="K32" s="97"/>
      <c r="L32" s="120"/>
      <c r="M32" s="97"/>
      <c r="N32" s="97"/>
      <c r="O32" s="120"/>
      <c r="P32" s="97"/>
      <c r="Q32" s="97"/>
      <c r="R32" s="108"/>
      <c r="S32" s="111"/>
    </row>
    <row r="33" spans="1:19" x14ac:dyDescent="0.2">
      <c r="A33" s="87">
        <f t="shared" si="1"/>
        <v>3</v>
      </c>
      <c r="B33" s="89"/>
      <c r="C33" s="89">
        <f t="shared" si="0"/>
        <v>2.3570088762017954E-3</v>
      </c>
      <c r="D33" s="89"/>
      <c r="E33" s="89"/>
      <c r="F33" s="103"/>
      <c r="G33" s="103"/>
      <c r="H33" s="97"/>
      <c r="I33" s="97"/>
      <c r="J33" s="97"/>
      <c r="K33" s="97"/>
      <c r="L33" s="120"/>
      <c r="M33" s="97"/>
      <c r="N33" s="97"/>
      <c r="O33" s="120"/>
      <c r="P33" s="97"/>
      <c r="Q33" s="97"/>
      <c r="R33" s="108"/>
      <c r="S33" s="111"/>
    </row>
    <row r="34" spans="1:19" x14ac:dyDescent="0.2">
      <c r="A34" s="87">
        <f t="shared" si="1"/>
        <v>4</v>
      </c>
      <c r="B34" s="89"/>
      <c r="C34" s="89">
        <f t="shared" si="0"/>
        <v>2.5439923081792964E-3</v>
      </c>
      <c r="D34" s="89"/>
      <c r="E34" s="89"/>
      <c r="F34" s="103"/>
      <c r="G34" s="103"/>
      <c r="H34" s="97"/>
      <c r="I34" s="97"/>
      <c r="J34" s="97"/>
      <c r="K34" s="97"/>
      <c r="L34" s="120"/>
      <c r="M34" s="97"/>
      <c r="N34" s="97"/>
      <c r="O34" s="120"/>
      <c r="P34" s="97"/>
      <c r="Q34" s="97"/>
      <c r="R34" s="108"/>
      <c r="S34" s="111"/>
    </row>
    <row r="35" spans="1:19" x14ac:dyDescent="0.2">
      <c r="A35" s="87">
        <f t="shared" si="1"/>
        <v>5</v>
      </c>
      <c r="B35" s="89"/>
      <c r="C35" s="89">
        <f t="shared" si="0"/>
        <v>2.7960258400322071E-3</v>
      </c>
      <c r="D35" s="89"/>
      <c r="E35" s="89"/>
      <c r="F35" s="103"/>
      <c r="G35" s="103"/>
      <c r="H35" s="97"/>
      <c r="I35" s="97"/>
      <c r="J35" s="97"/>
      <c r="K35" s="97"/>
      <c r="L35" s="120"/>
      <c r="M35" s="97"/>
      <c r="N35" s="97"/>
      <c r="O35" s="120"/>
      <c r="P35" s="97"/>
      <c r="Q35" s="97"/>
      <c r="R35" s="108"/>
      <c r="S35" s="111"/>
    </row>
    <row r="36" spans="1:19" x14ac:dyDescent="0.2">
      <c r="A36" s="87">
        <f t="shared" si="1"/>
        <v>6</v>
      </c>
      <c r="B36" s="89"/>
      <c r="C36" s="89">
        <f t="shared" si="0"/>
        <v>3.093960471355019E-3</v>
      </c>
      <c r="D36" s="89"/>
      <c r="E36" s="89"/>
      <c r="F36" s="103"/>
      <c r="G36" s="103"/>
      <c r="H36" s="97"/>
      <c r="I36" s="97"/>
      <c r="J36" s="97"/>
      <c r="K36" s="97"/>
      <c r="L36" s="120"/>
      <c r="M36" s="97"/>
      <c r="N36" s="97"/>
      <c r="O36" s="120"/>
      <c r="P36" s="97"/>
      <c r="Q36" s="97"/>
      <c r="R36" s="108"/>
      <c r="S36" s="111"/>
    </row>
    <row r="37" spans="1:19" x14ac:dyDescent="0.2">
      <c r="A37" s="87">
        <f t="shared" si="1"/>
        <v>7</v>
      </c>
      <c r="B37" s="89"/>
      <c r="C37" s="89">
        <f t="shared" si="0"/>
        <v>3.4090128560193482E-3</v>
      </c>
      <c r="D37" s="89"/>
      <c r="E37" s="89"/>
      <c r="F37" s="103"/>
      <c r="G37" s="103"/>
      <c r="H37" s="97"/>
      <c r="I37" s="97"/>
      <c r="J37" s="97"/>
      <c r="K37" s="97"/>
      <c r="L37" s="120"/>
      <c r="M37" s="97"/>
      <c r="N37" s="97"/>
      <c r="O37" s="120"/>
      <c r="P37" s="97"/>
      <c r="Q37" s="97"/>
      <c r="R37" s="108"/>
      <c r="S37" s="111"/>
    </row>
    <row r="38" spans="1:19" x14ac:dyDescent="0.2">
      <c r="A38" s="87">
        <f t="shared" si="1"/>
        <v>8</v>
      </c>
      <c r="B38" s="89"/>
      <c r="C38" s="89">
        <f t="shared" si="0"/>
        <v>3.7179581784228888E-3</v>
      </c>
      <c r="D38" s="89"/>
      <c r="E38" s="89"/>
      <c r="F38" s="103"/>
      <c r="G38" s="103"/>
      <c r="H38" s="97"/>
      <c r="I38" s="97"/>
      <c r="J38" s="97"/>
      <c r="K38" s="97"/>
      <c r="L38" s="120"/>
      <c r="M38" s="97"/>
      <c r="N38" s="97"/>
      <c r="O38" s="120"/>
      <c r="P38" s="97"/>
      <c r="Q38" s="97"/>
      <c r="R38" s="108"/>
      <c r="S38" s="111"/>
    </row>
    <row r="39" spans="1:19" x14ac:dyDescent="0.2">
      <c r="A39" s="87">
        <f t="shared" si="1"/>
        <v>9</v>
      </c>
      <c r="B39" s="89"/>
      <c r="C39" s="89">
        <f t="shared" si="0"/>
        <v>3.9869765213744407E-3</v>
      </c>
      <c r="D39" s="89"/>
      <c r="E39" s="89"/>
      <c r="F39" s="103"/>
      <c r="G39" s="103"/>
      <c r="H39" s="97"/>
      <c r="I39" s="97"/>
      <c r="J39" s="97"/>
      <c r="K39" s="97"/>
      <c r="L39" s="120"/>
      <c r="M39" s="97"/>
      <c r="N39" s="97"/>
      <c r="O39" s="120"/>
      <c r="P39" s="97"/>
      <c r="Q39" s="97"/>
      <c r="R39" s="108"/>
      <c r="S39" s="111"/>
    </row>
    <row r="40" spans="1:19" x14ac:dyDescent="0.2">
      <c r="A40" s="87">
        <f t="shared" si="1"/>
        <v>10</v>
      </c>
      <c r="B40" s="89"/>
      <c r="C40" s="89">
        <f t="shared" si="0"/>
        <v>4.3529889991005665E-3</v>
      </c>
      <c r="D40" s="89"/>
      <c r="E40" s="89"/>
      <c r="F40" s="103"/>
      <c r="G40" s="103"/>
      <c r="H40" s="97"/>
      <c r="I40" s="97"/>
      <c r="J40" s="97"/>
      <c r="K40" s="97"/>
      <c r="L40" s="120"/>
      <c r="M40" s="97"/>
      <c r="N40" s="97"/>
      <c r="O40" s="120"/>
      <c r="P40" s="97"/>
      <c r="Q40" s="97"/>
      <c r="R40" s="108"/>
      <c r="S40" s="111"/>
    </row>
    <row r="41" spans="1:19" x14ac:dyDescent="0.2">
      <c r="A41" s="87">
        <f t="shared" si="1"/>
        <v>11</v>
      </c>
      <c r="B41" s="89"/>
      <c r="C41" s="89">
        <f t="shared" si="0"/>
        <v>4.7970064519448023E-3</v>
      </c>
      <c r="D41" s="89"/>
      <c r="E41" s="89"/>
      <c r="F41" s="103"/>
      <c r="G41" s="103"/>
      <c r="H41" s="97"/>
      <c r="I41" s="97"/>
      <c r="J41" s="97"/>
      <c r="K41" s="97"/>
      <c r="L41" s="120"/>
      <c r="M41" s="97"/>
      <c r="N41" s="97"/>
      <c r="O41" s="120"/>
      <c r="P41" s="97"/>
      <c r="Q41" s="97"/>
      <c r="R41" s="108"/>
      <c r="S41" s="111"/>
    </row>
    <row r="42" spans="1:19" x14ac:dyDescent="0.2">
      <c r="A42" s="87">
        <f t="shared" si="1"/>
        <v>12</v>
      </c>
      <c r="B42" s="89"/>
      <c r="C42" s="89">
        <f t="shared" si="0"/>
        <v>5.3040150295500027E-3</v>
      </c>
      <c r="D42" s="89"/>
      <c r="E42" s="89"/>
      <c r="F42" s="103"/>
      <c r="G42" s="103"/>
      <c r="H42" s="97"/>
      <c r="I42" s="97"/>
      <c r="J42" s="97"/>
      <c r="K42" s="97"/>
      <c r="L42" s="120"/>
      <c r="M42" s="97"/>
      <c r="N42" s="97"/>
      <c r="O42" s="120"/>
      <c r="P42" s="97"/>
      <c r="Q42" s="97"/>
      <c r="R42" s="108"/>
      <c r="S42" s="111"/>
    </row>
    <row r="43" spans="1:19" x14ac:dyDescent="0.2">
      <c r="A43" s="87">
        <f t="shared" si="1"/>
        <v>13</v>
      </c>
      <c r="B43" s="89"/>
      <c r="C43" s="89">
        <f t="shared" si="0"/>
        <v>5.8909656632940973E-3</v>
      </c>
      <c r="D43" s="89"/>
      <c r="E43" s="89"/>
      <c r="F43" s="103"/>
      <c r="G43" s="103"/>
      <c r="H43" s="97"/>
      <c r="I43" s="97"/>
      <c r="J43" s="97"/>
      <c r="K43" s="97"/>
      <c r="L43" s="120"/>
      <c r="M43" s="97"/>
      <c r="N43" s="97"/>
      <c r="O43" s="120"/>
      <c r="P43" s="97"/>
      <c r="Q43" s="97"/>
      <c r="R43" s="108"/>
      <c r="S43" s="111"/>
    </row>
    <row r="44" spans="1:19" x14ac:dyDescent="0.2">
      <c r="A44" s="87">
        <f t="shared" si="1"/>
        <v>14</v>
      </c>
      <c r="B44" s="89"/>
      <c r="C44" s="89">
        <f t="shared" si="0"/>
        <v>6.5600471622147254E-3</v>
      </c>
      <c r="D44" s="89"/>
      <c r="E44" s="89"/>
      <c r="F44" s="103"/>
      <c r="G44" s="103"/>
      <c r="H44" s="97"/>
      <c r="I44" s="97"/>
      <c r="J44" s="97"/>
      <c r="K44" s="97"/>
      <c r="L44" s="120"/>
      <c r="M44" s="97"/>
      <c r="N44" s="97"/>
      <c r="O44" s="120"/>
      <c r="P44" s="97"/>
      <c r="Q44" s="97"/>
      <c r="R44" s="108"/>
      <c r="S44" s="111"/>
    </row>
    <row r="45" spans="1:19" x14ac:dyDescent="0.2">
      <c r="A45" s="87">
        <f t="shared" si="1"/>
        <v>15</v>
      </c>
      <c r="B45" s="89"/>
      <c r="C45" s="89"/>
      <c r="D45" s="89"/>
      <c r="E45" s="89"/>
      <c r="F45" s="103"/>
      <c r="G45" s="103"/>
      <c r="H45" s="97"/>
      <c r="I45" s="97"/>
      <c r="J45" s="97"/>
      <c r="K45" s="97"/>
      <c r="L45" s="120"/>
      <c r="M45" s="97"/>
      <c r="N45" s="97"/>
      <c r="O45" s="120"/>
      <c r="P45" s="97"/>
      <c r="Q45" s="97"/>
      <c r="R45" s="108"/>
      <c r="S45" s="111"/>
    </row>
  </sheetData>
  <pageMargins left="0.75" right="0.75" top="1" bottom="1" header="0.5" footer="0.5"/>
  <pageSetup paperSize="9" scale="8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I8:N16"/>
  <sheetViews>
    <sheetView tabSelected="1" workbookViewId="0">
      <selection activeCell="M13" sqref="M13"/>
    </sheetView>
  </sheetViews>
  <sheetFormatPr defaultRowHeight="12.75" x14ac:dyDescent="0.2"/>
  <sheetData>
    <row r="8" spans="9:14" x14ac:dyDescent="0.2">
      <c r="I8" t="s">
        <v>3</v>
      </c>
      <c r="J8">
        <v>1</v>
      </c>
    </row>
    <row r="9" spans="9:14" x14ac:dyDescent="0.2">
      <c r="I9" t="s">
        <v>144</v>
      </c>
      <c r="J9" s="1">
        <v>0.02</v>
      </c>
    </row>
    <row r="10" spans="9:14" x14ac:dyDescent="0.2">
      <c r="I10" t="s">
        <v>145</v>
      </c>
      <c r="J10">
        <f>LN(1+J9)</f>
        <v>1.980262729617973E-2</v>
      </c>
    </row>
    <row r="12" spans="9:14" x14ac:dyDescent="0.2">
      <c r="J12" t="s">
        <v>146</v>
      </c>
      <c r="K12" t="s">
        <v>149</v>
      </c>
      <c r="L12" t="s">
        <v>148</v>
      </c>
      <c r="M12" t="s">
        <v>147</v>
      </c>
      <c r="N12" t="s">
        <v>150</v>
      </c>
    </row>
    <row r="13" spans="9:14" x14ac:dyDescent="0.2">
      <c r="I13">
        <v>35</v>
      </c>
      <c r="J13">
        <f>[1]!Dx(1,I13,0.02)</f>
        <v>49065.979603405576</v>
      </c>
      <c r="K13">
        <f>([1]!Mx(1,I13,2%)-[1]!Mx(1,I13+5,2%))*(1+$J$9)^(0.5)</f>
        <v>180.55790633370464</v>
      </c>
      <c r="L13">
        <f>$J$8*K13/J13</f>
        <v>3.6799001628650342E-3</v>
      </c>
      <c r="M13">
        <f>-1/$J$10*LN(L13)</f>
        <v>283.03666846806891</v>
      </c>
      <c r="N13">
        <f>EXP(-$J$10*M13)</f>
        <v>3.6799001628650347E-3</v>
      </c>
    </row>
    <row r="14" spans="9:14" x14ac:dyDescent="0.2">
      <c r="I14">
        <v>40</v>
      </c>
      <c r="J14">
        <f>[1]!Dx(1,I14,0.02)</f>
        <v>44268.584306124074</v>
      </c>
      <c r="K14">
        <f>([1]!Mx(1,I14,2%)-[1]!Mx(1,I14+5,2%))*(1+$J$9)^(0.5)</f>
        <v>228.17693739252371</v>
      </c>
      <c r="L14">
        <f t="shared" ref="L14:L16" si="0">K14/J14</f>
        <v>5.1543762008435844E-3</v>
      </c>
      <c r="M14">
        <f t="shared" ref="M14:M16" si="1">-1/$J$10*LN(L14)</f>
        <v>266.02072031206473</v>
      </c>
    </row>
    <row r="15" spans="9:14" x14ac:dyDescent="0.2">
      <c r="I15">
        <v>45</v>
      </c>
      <c r="J15">
        <f>[1]!Dx(1,I15,0.02)</f>
        <v>39877.610313444915</v>
      </c>
      <c r="K15">
        <f>([1]!Mx(1,I15,2%)-[1]!Mx(1,I15+5,2%))*(1+$J$9)^(0.5)</f>
        <v>315.32856267064551</v>
      </c>
      <c r="L15">
        <f t="shared" si="0"/>
        <v>7.9074086985681559E-3</v>
      </c>
      <c r="M15">
        <f t="shared" si="1"/>
        <v>244.40974809269605</v>
      </c>
    </row>
    <row r="16" spans="9:14" x14ac:dyDescent="0.2">
      <c r="I16">
        <v>50</v>
      </c>
      <c r="J16">
        <f>[1]!Dx(1,I16,0.02)</f>
        <v>35817.654469648238</v>
      </c>
      <c r="K16">
        <f>([1]!Mx(1,I16,2%)-[1]!Mx(1,I16+5,2%))*(1+$J$9)^(0.5)</f>
        <v>376.63688733647507</v>
      </c>
      <c r="L16">
        <f t="shared" si="0"/>
        <v>1.0515397864917031E-2</v>
      </c>
      <c r="M16">
        <f t="shared" si="1"/>
        <v>230.01567239409843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Fogli di lavoro</vt:lpstr>
      </vt:variant>
      <vt:variant>
        <vt:i4>7</vt:i4>
      </vt:variant>
      <vt:variant>
        <vt:lpstr>Intervalli denominati</vt:lpstr>
      </vt:variant>
      <vt:variant>
        <vt:i4>11</vt:i4>
      </vt:variant>
    </vt:vector>
  </HeadingPairs>
  <TitlesOfParts>
    <vt:vector size="18" baseType="lpstr">
      <vt:lpstr>Tavole Sopravvivenza</vt:lpstr>
      <vt:lpstr>Tavole Attuariali</vt:lpstr>
      <vt:lpstr>Riserve</vt:lpstr>
      <vt:lpstr>Scomposizione premio</vt:lpstr>
      <vt:lpstr>Utili attesi 1</vt:lpstr>
      <vt:lpstr>Utili attesi 2</vt:lpstr>
      <vt:lpstr>Foglio1</vt:lpstr>
      <vt:lpstr>lx</vt:lpstr>
      <vt:lpstr>Opz_Bdem</vt:lpstr>
      <vt:lpstr>Opz_Bfin</vt:lpstr>
      <vt:lpstr>Opz_S</vt:lpstr>
      <vt:lpstr>Rx</vt:lpstr>
      <vt:lpstr>Sx</vt:lpstr>
      <vt:lpstr>Tavola71</vt:lpstr>
      <vt:lpstr>Tavola81</vt:lpstr>
      <vt:lpstr>Tavola91</vt:lpstr>
      <vt:lpstr>Tavola98</vt:lpstr>
      <vt:lpstr>TavolaRG48</vt:lpstr>
    </vt:vector>
  </TitlesOfParts>
  <Company>casa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ned</dc:creator>
  <cp:lastModifiedBy>nedort</cp:lastModifiedBy>
  <cp:lastPrinted>2008-04-21T20:56:03Z</cp:lastPrinted>
  <dcterms:created xsi:type="dcterms:W3CDTF">2008-04-21T13:41:25Z</dcterms:created>
  <dcterms:modified xsi:type="dcterms:W3CDTF">2020-05-27T10:53:24Z</dcterms:modified>
</cp:coreProperties>
</file>