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TSLA\"/>
    </mc:Choice>
  </mc:AlternateContent>
  <xr:revisionPtr revIDLastSave="0" documentId="8_{9F670950-164C-45DD-9E7B-3F6EB7EC425D}" xr6:coauthVersionLast="47" xr6:coauthVersionMax="47" xr10:uidLastSave="{00000000-0000-0000-0000-000000000000}"/>
  <bookViews>
    <workbookView xWindow="-120" yWindow="-120" windowWidth="29040" windowHeight="15840" activeTab="1" xr2:uid="{202AD4CF-E04B-41A8-9590-EEF3C55E0872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8" i="2" l="1"/>
  <c r="AF16" i="2"/>
  <c r="AF15" i="2"/>
  <c r="AF12" i="2"/>
  <c r="AF11" i="2"/>
  <c r="AF8" i="2"/>
  <c r="AF7" i="2"/>
  <c r="AF5" i="2"/>
  <c r="AF4" i="2"/>
  <c r="AG16" i="2"/>
  <c r="AG15" i="2"/>
  <c r="AG12" i="2"/>
  <c r="AG11" i="2"/>
  <c r="AG8" i="2"/>
  <c r="AG7" i="2"/>
  <c r="AG5" i="2"/>
  <c r="AG4" i="2"/>
  <c r="AH18" i="2"/>
  <c r="AH16" i="2"/>
  <c r="AH15" i="2"/>
  <c r="AH12" i="2"/>
  <c r="AH11" i="2"/>
  <c r="AH13" i="2" s="1"/>
  <c r="AH8" i="2"/>
  <c r="AH7" i="2"/>
  <c r="AH9" i="2" s="1"/>
  <c r="AH5" i="2"/>
  <c r="AH4" i="2"/>
  <c r="AH6" i="2"/>
  <c r="AI18" i="2"/>
  <c r="AI16" i="2"/>
  <c r="AI15" i="2"/>
  <c r="AI12" i="2"/>
  <c r="AI11" i="2"/>
  <c r="AI8" i="2"/>
  <c r="AI7" i="2"/>
  <c r="AI5" i="2"/>
  <c r="AI4" i="2"/>
  <c r="AJ18" i="2"/>
  <c r="AJ16" i="2"/>
  <c r="AK16" i="2"/>
  <c r="AL17" i="2"/>
  <c r="AL16" i="2"/>
  <c r="AJ15" i="2"/>
  <c r="AJ12" i="2"/>
  <c r="AJ11" i="2"/>
  <c r="AJ8" i="2"/>
  <c r="AJ7" i="2"/>
  <c r="AJ5" i="2"/>
  <c r="AJ4" i="2"/>
  <c r="AJ21" i="2" s="1"/>
  <c r="AK18" i="2"/>
  <c r="AK15" i="2"/>
  <c r="AK12" i="2"/>
  <c r="AK13" i="2" s="1"/>
  <c r="AK11" i="2"/>
  <c r="AK8" i="2"/>
  <c r="AK7" i="2"/>
  <c r="AK4" i="2"/>
  <c r="AK6" i="2"/>
  <c r="AK5" i="2"/>
  <c r="AP4" i="2"/>
  <c r="AI21" i="2"/>
  <c r="AH21" i="2"/>
  <c r="AG21" i="2"/>
  <c r="AJ13" i="2"/>
  <c r="AF13" i="2"/>
  <c r="AL13" i="2"/>
  <c r="AG9" i="2"/>
  <c r="AG10" i="2" s="1"/>
  <c r="AG23" i="2" s="1"/>
  <c r="AI6" i="2"/>
  <c r="AG6" i="2"/>
  <c r="AF9" i="2" l="1"/>
  <c r="AF6" i="2"/>
  <c r="AG13" i="2"/>
  <c r="AG17" i="2" s="1"/>
  <c r="AG19" i="2" s="1"/>
  <c r="AH10" i="2"/>
  <c r="AH14" i="2" s="1"/>
  <c r="AH22" i="2"/>
  <c r="AH23" i="2"/>
  <c r="AH17" i="2"/>
  <c r="AH19" i="2" s="1"/>
  <c r="AI22" i="2"/>
  <c r="AI13" i="2"/>
  <c r="AI9" i="2"/>
  <c r="AI10" i="2" s="1"/>
  <c r="AJ9" i="2"/>
  <c r="AJ6" i="2"/>
  <c r="AK21" i="2"/>
  <c r="AK9" i="2"/>
  <c r="AK10" i="2"/>
  <c r="AK17" i="2" s="1"/>
  <c r="AK19" i="2" s="1"/>
  <c r="AL21" i="2"/>
  <c r="AL22" i="2"/>
  <c r="Z10" i="2"/>
  <c r="BA3" i="2"/>
  <c r="BB3" i="2" s="1"/>
  <c r="BC3" i="2" s="1"/>
  <c r="BD3" i="2" s="1"/>
  <c r="BE3" i="2" s="1"/>
  <c r="BF3" i="2" s="1"/>
  <c r="BG3" i="2" s="1"/>
  <c r="BH3" i="2" s="1"/>
  <c r="AZ3" i="2"/>
  <c r="AY3" i="2"/>
  <c r="AK3" i="2"/>
  <c r="AJ3" i="2" s="1"/>
  <c r="AI3" i="2" s="1"/>
  <c r="AH3" i="2" s="1"/>
  <c r="AG3" i="2" s="1"/>
  <c r="AF3" i="2" s="1"/>
  <c r="D12" i="1"/>
  <c r="D15" i="1" s="1"/>
  <c r="AL4" i="2"/>
  <c r="AM4" i="2"/>
  <c r="AN4" i="2"/>
  <c r="AO4" i="2"/>
  <c r="C7" i="2"/>
  <c r="C8" i="2"/>
  <c r="C11" i="2"/>
  <c r="C12" i="2"/>
  <c r="C15" i="2"/>
  <c r="C16" i="2"/>
  <c r="C18" i="2"/>
  <c r="D7" i="2"/>
  <c r="D8" i="2"/>
  <c r="D11" i="2"/>
  <c r="D12" i="2"/>
  <c r="D15" i="2"/>
  <c r="D16" i="2"/>
  <c r="D18" i="2"/>
  <c r="E7" i="2"/>
  <c r="E8" i="2"/>
  <c r="E11" i="2"/>
  <c r="E12" i="2"/>
  <c r="E15" i="2"/>
  <c r="E16" i="2"/>
  <c r="E18" i="2"/>
  <c r="F7" i="2"/>
  <c r="F8" i="2"/>
  <c r="F11" i="2"/>
  <c r="F12" i="2"/>
  <c r="F15" i="2"/>
  <c r="F16" i="2"/>
  <c r="F18" i="2"/>
  <c r="H7" i="2"/>
  <c r="H8" i="2"/>
  <c r="H11" i="2"/>
  <c r="H12" i="2"/>
  <c r="H15" i="2"/>
  <c r="H16" i="2"/>
  <c r="H18" i="2"/>
  <c r="I7" i="2"/>
  <c r="I8" i="2"/>
  <c r="I11" i="2"/>
  <c r="I12" i="2"/>
  <c r="I15" i="2"/>
  <c r="I16" i="2"/>
  <c r="I18" i="2"/>
  <c r="J7" i="2"/>
  <c r="J8" i="2"/>
  <c r="J11" i="2"/>
  <c r="J12" i="2"/>
  <c r="J15" i="2"/>
  <c r="J16" i="2"/>
  <c r="J18" i="2"/>
  <c r="L7" i="2"/>
  <c r="L8" i="2"/>
  <c r="L11" i="2"/>
  <c r="L12" i="2"/>
  <c r="L15" i="2"/>
  <c r="L16" i="2"/>
  <c r="L18" i="2"/>
  <c r="M7" i="2"/>
  <c r="M8" i="2"/>
  <c r="M11" i="2"/>
  <c r="M12" i="2"/>
  <c r="M15" i="2"/>
  <c r="M16" i="2"/>
  <c r="M18" i="2"/>
  <c r="N7" i="2"/>
  <c r="N8" i="2"/>
  <c r="N11" i="2"/>
  <c r="N12" i="2"/>
  <c r="N15" i="2"/>
  <c r="N16" i="2"/>
  <c r="N18" i="2"/>
  <c r="P7" i="2"/>
  <c r="P8" i="2"/>
  <c r="P11" i="2"/>
  <c r="P12" i="2"/>
  <c r="P15" i="2"/>
  <c r="P16" i="2"/>
  <c r="P18" i="2"/>
  <c r="Q7" i="2"/>
  <c r="Q8" i="2"/>
  <c r="Q11" i="2"/>
  <c r="Q12" i="2"/>
  <c r="Q15" i="2"/>
  <c r="Q16" i="2"/>
  <c r="Q18" i="2"/>
  <c r="R7" i="2"/>
  <c r="R8" i="2"/>
  <c r="R11" i="2"/>
  <c r="R12" i="2"/>
  <c r="R15" i="2"/>
  <c r="R16" i="2"/>
  <c r="R18" i="2"/>
  <c r="T7" i="2"/>
  <c r="T8" i="2"/>
  <c r="T11" i="2"/>
  <c r="T12" i="2"/>
  <c r="T15" i="2"/>
  <c r="T16" i="2"/>
  <c r="T18" i="2"/>
  <c r="U7" i="2"/>
  <c r="U8" i="2"/>
  <c r="U11" i="2"/>
  <c r="U12" i="2"/>
  <c r="U15" i="2"/>
  <c r="U16" i="2"/>
  <c r="U18" i="2"/>
  <c r="C5" i="2"/>
  <c r="AP33" i="2"/>
  <c r="AO33" i="2"/>
  <c r="AN33" i="2"/>
  <c r="AP32" i="2"/>
  <c r="AO32" i="2"/>
  <c r="AN32" i="2"/>
  <c r="AM33" i="2"/>
  <c r="AM32" i="2"/>
  <c r="AP28" i="2"/>
  <c r="AO28" i="2"/>
  <c r="AN28" i="2"/>
  <c r="AP27" i="2"/>
  <c r="AO27" i="2"/>
  <c r="AN27" i="2"/>
  <c r="AM27" i="2"/>
  <c r="AM28" i="2"/>
  <c r="V33" i="2"/>
  <c r="V32" i="2"/>
  <c r="V27" i="2"/>
  <c r="V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D29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G22" i="2" l="1"/>
  <c r="AF10" i="2"/>
  <c r="AG14" i="2"/>
  <c r="AI14" i="2"/>
  <c r="AI23" i="2"/>
  <c r="AI17" i="2"/>
  <c r="AI19" i="2" s="1"/>
  <c r="AJ10" i="2"/>
  <c r="AJ22" i="2"/>
  <c r="AK22" i="2"/>
  <c r="AK14" i="2"/>
  <c r="AK23" i="2"/>
  <c r="M13" i="2"/>
  <c r="I9" i="2"/>
  <c r="N9" i="2"/>
  <c r="H13" i="2"/>
  <c r="Q13" i="2"/>
  <c r="M9" i="2"/>
  <c r="L9" i="2"/>
  <c r="J9" i="2"/>
  <c r="I13" i="2"/>
  <c r="C13" i="2"/>
  <c r="U9" i="2"/>
  <c r="Q9" i="2"/>
  <c r="R9" i="2"/>
  <c r="F9" i="2"/>
  <c r="E9" i="2"/>
  <c r="AN29" i="2"/>
  <c r="U13" i="2"/>
  <c r="C9" i="2"/>
  <c r="H9" i="2"/>
  <c r="P13" i="2"/>
  <c r="N13" i="2"/>
  <c r="E13" i="2"/>
  <c r="T13" i="2"/>
  <c r="D13" i="2"/>
  <c r="R13" i="2"/>
  <c r="T9" i="2"/>
  <c r="L13" i="2"/>
  <c r="D9" i="2"/>
  <c r="AN34" i="2"/>
  <c r="AM34" i="2"/>
  <c r="AP34" i="2"/>
  <c r="AO34" i="2"/>
  <c r="AO29" i="2"/>
  <c r="J13" i="2"/>
  <c r="AP29" i="2"/>
  <c r="P9" i="2"/>
  <c r="F13" i="2"/>
  <c r="AM29" i="2"/>
  <c r="S16" i="2"/>
  <c r="V29" i="2"/>
  <c r="V34" i="2"/>
  <c r="AF23" i="2" l="1"/>
  <c r="AF17" i="2"/>
  <c r="AF19" i="2" s="1"/>
  <c r="AF14" i="2"/>
  <c r="AJ17" i="2"/>
  <c r="AJ19" i="2" s="1"/>
  <c r="AJ23" i="2"/>
  <c r="AJ14" i="2"/>
  <c r="AP18" i="2"/>
  <c r="S18" i="2" s="1"/>
  <c r="AP15" i="2"/>
  <c r="S15" i="2" s="1"/>
  <c r="AL12" i="2"/>
  <c r="AM12" i="2"/>
  <c r="G12" i="2" s="1"/>
  <c r="AN12" i="2"/>
  <c r="K12" i="2" s="1"/>
  <c r="AO12" i="2"/>
  <c r="O12" i="2" s="1"/>
  <c r="AP12" i="2"/>
  <c r="S12" i="2" s="1"/>
  <c r="AP11" i="2"/>
  <c r="S11" i="2" s="1"/>
  <c r="AP8" i="2"/>
  <c r="S8" i="2" s="1"/>
  <c r="AP7" i="2"/>
  <c r="S7" i="2" s="1"/>
  <c r="AP5" i="2"/>
  <c r="AO18" i="2"/>
  <c r="O18" i="2" s="1"/>
  <c r="AO16" i="2"/>
  <c r="O16" i="2" s="1"/>
  <c r="AO15" i="2"/>
  <c r="O15" i="2" s="1"/>
  <c r="AO11" i="2"/>
  <c r="O11" i="2" s="1"/>
  <c r="AO8" i="2"/>
  <c r="O8" i="2" s="1"/>
  <c r="AO7" i="2"/>
  <c r="O7" i="2" s="1"/>
  <c r="AO5" i="2"/>
  <c r="AN18" i="2"/>
  <c r="K18" i="2" s="1"/>
  <c r="AN16" i="2"/>
  <c r="K16" i="2" s="1"/>
  <c r="AN15" i="2"/>
  <c r="K15" i="2" s="1"/>
  <c r="AN11" i="2"/>
  <c r="AN8" i="2"/>
  <c r="K8" i="2" s="1"/>
  <c r="AN7" i="2"/>
  <c r="K7" i="2" s="1"/>
  <c r="AN5" i="2"/>
  <c r="AM18" i="2"/>
  <c r="G18" i="2" s="1"/>
  <c r="AM16" i="2"/>
  <c r="G16" i="2" s="1"/>
  <c r="AM15" i="2"/>
  <c r="G15" i="2" s="1"/>
  <c r="AM11" i="2"/>
  <c r="G11" i="2" s="1"/>
  <c r="AM8" i="2"/>
  <c r="G8" i="2" s="1"/>
  <c r="AM7" i="2"/>
  <c r="G7" i="2" s="1"/>
  <c r="AM5" i="2"/>
  <c r="AL18" i="2"/>
  <c r="AL15" i="2"/>
  <c r="AL11" i="2"/>
  <c r="AL8" i="2"/>
  <c r="AL7" i="2"/>
  <c r="AL5" i="2"/>
  <c r="D4" i="2"/>
  <c r="U5" i="2"/>
  <c r="U4" i="2"/>
  <c r="T5" i="2"/>
  <c r="T6" i="2" s="1"/>
  <c r="T10" i="2" s="1"/>
  <c r="R5" i="2"/>
  <c r="R4" i="2"/>
  <c r="R6" i="2" s="1"/>
  <c r="R10" i="2" s="1"/>
  <c r="Q5" i="2"/>
  <c r="Q4" i="2"/>
  <c r="P5" i="2"/>
  <c r="P4" i="2"/>
  <c r="N5" i="2"/>
  <c r="N4" i="2"/>
  <c r="M5" i="2"/>
  <c r="M6" i="2" s="1"/>
  <c r="M10" i="2" s="1"/>
  <c r="L5" i="2"/>
  <c r="L4" i="2"/>
  <c r="J5" i="2"/>
  <c r="J4" i="2"/>
  <c r="I5" i="2"/>
  <c r="I4" i="2"/>
  <c r="H5" i="2"/>
  <c r="H6" i="2" s="1"/>
  <c r="H10" i="2" s="1"/>
  <c r="F4" i="2"/>
  <c r="C4" i="2"/>
  <c r="C6" i="2" s="1"/>
  <c r="C10" i="2" s="1"/>
  <c r="D5" i="2"/>
  <c r="E5" i="2"/>
  <c r="E4" i="2"/>
  <c r="F5" i="2"/>
  <c r="AR3" i="2"/>
  <c r="AS3" i="2" s="1"/>
  <c r="AT3" i="2" s="1"/>
  <c r="AU3" i="2" s="1"/>
  <c r="AV3" i="2" s="1"/>
  <c r="A2" i="1"/>
  <c r="Q6" i="2" l="1"/>
  <c r="Q10" i="2" s="1"/>
  <c r="P6" i="2"/>
  <c r="P10" i="2" s="1"/>
  <c r="P14" i="2" s="1"/>
  <c r="N21" i="2"/>
  <c r="N6" i="2"/>
  <c r="N10" i="2" s="1"/>
  <c r="H14" i="2"/>
  <c r="H17" i="2"/>
  <c r="H19" i="2" s="1"/>
  <c r="E6" i="2"/>
  <c r="E10" i="2" s="1"/>
  <c r="E21" i="2"/>
  <c r="I21" i="2"/>
  <c r="I6" i="2"/>
  <c r="I10" i="2" s="1"/>
  <c r="M14" i="2"/>
  <c r="M17" i="2"/>
  <c r="M19" i="2" s="1"/>
  <c r="D21" i="2"/>
  <c r="D6" i="2"/>
  <c r="D10" i="2" s="1"/>
  <c r="AN13" i="2"/>
  <c r="K13" i="2" s="1"/>
  <c r="K11" i="2"/>
  <c r="J6" i="2"/>
  <c r="J10" i="2" s="1"/>
  <c r="C14" i="2"/>
  <c r="C17" i="2"/>
  <c r="C19" i="2" s="1"/>
  <c r="T14" i="2"/>
  <c r="T17" i="2"/>
  <c r="T19" i="2" s="1"/>
  <c r="R17" i="2"/>
  <c r="R19" i="2" s="1"/>
  <c r="R14" i="2"/>
  <c r="F6" i="2"/>
  <c r="F10" i="2" s="1"/>
  <c r="L6" i="2"/>
  <c r="L10" i="2" s="1"/>
  <c r="U6" i="2"/>
  <c r="U10" i="2" s="1"/>
  <c r="Q14" i="2"/>
  <c r="Q17" i="2"/>
  <c r="Q19" i="2" s="1"/>
  <c r="F21" i="2"/>
  <c r="R21" i="2"/>
  <c r="AN21" i="2"/>
  <c r="AO21" i="2"/>
  <c r="J21" i="2"/>
  <c r="S4" i="2"/>
  <c r="AM21" i="2"/>
  <c r="AP6" i="2"/>
  <c r="T22" i="2"/>
  <c r="K5" i="2"/>
  <c r="G5" i="2"/>
  <c r="O5" i="2"/>
  <c r="AP21" i="2"/>
  <c r="M21" i="2"/>
  <c r="O4" i="2"/>
  <c r="O21" i="2" s="1"/>
  <c r="AN6" i="2"/>
  <c r="AO9" i="2"/>
  <c r="O9" i="2" s="1"/>
  <c r="Q21" i="2"/>
  <c r="K4" i="2"/>
  <c r="K21" i="2" s="1"/>
  <c r="G4" i="2"/>
  <c r="AN9" i="2"/>
  <c r="K9" i="2" s="1"/>
  <c r="AP13" i="2"/>
  <c r="S13" i="2" s="1"/>
  <c r="U21" i="2"/>
  <c r="AM13" i="2"/>
  <c r="G13" i="2" s="1"/>
  <c r="AO13" i="2"/>
  <c r="O13" i="2" s="1"/>
  <c r="S5" i="2"/>
  <c r="AO6" i="2"/>
  <c r="AP9" i="2"/>
  <c r="S9" i="2" s="1"/>
  <c r="T23" i="2"/>
  <c r="AL6" i="2"/>
  <c r="AL9" i="2"/>
  <c r="AM9" i="2"/>
  <c r="G9" i="2" s="1"/>
  <c r="AM6" i="2"/>
  <c r="S6" i="2" l="1"/>
  <c r="S22" i="2" s="1"/>
  <c r="N22" i="2"/>
  <c r="U22" i="2"/>
  <c r="P17" i="2"/>
  <c r="P19" i="2" s="1"/>
  <c r="O6" i="2"/>
  <c r="G6" i="2"/>
  <c r="G22" i="2" s="1"/>
  <c r="M22" i="2"/>
  <c r="K6" i="2"/>
  <c r="K22" i="2" s="1"/>
  <c r="U14" i="2"/>
  <c r="U17" i="2"/>
  <c r="U19" i="2" s="1"/>
  <c r="D14" i="2"/>
  <c r="D17" i="2"/>
  <c r="D19" i="2" s="1"/>
  <c r="L14" i="2"/>
  <c r="L17" i="2"/>
  <c r="L19" i="2" s="1"/>
  <c r="E14" i="2"/>
  <c r="E17" i="2"/>
  <c r="E19" i="2" s="1"/>
  <c r="F14" i="2"/>
  <c r="F17" i="2"/>
  <c r="F19" i="2" s="1"/>
  <c r="J14" i="2"/>
  <c r="J17" i="2"/>
  <c r="J19" i="2" s="1"/>
  <c r="I14" i="2"/>
  <c r="I17" i="2"/>
  <c r="I19" i="2" s="1"/>
  <c r="N17" i="2"/>
  <c r="N19" i="2" s="1"/>
  <c r="N14" i="2"/>
  <c r="AP22" i="2"/>
  <c r="AN10" i="2"/>
  <c r="R23" i="2"/>
  <c r="S21" i="2"/>
  <c r="T21" i="2"/>
  <c r="Q22" i="2"/>
  <c r="AO22" i="2"/>
  <c r="P21" i="2"/>
  <c r="D22" i="2"/>
  <c r="G21" i="2"/>
  <c r="H21" i="2"/>
  <c r="L21" i="2"/>
  <c r="AP10" i="2"/>
  <c r="I23" i="2"/>
  <c r="AO10" i="2"/>
  <c r="AN22" i="2"/>
  <c r="AL10" i="2"/>
  <c r="E22" i="2"/>
  <c r="H22" i="2"/>
  <c r="AM22" i="2"/>
  <c r="L22" i="2"/>
  <c r="H23" i="2"/>
  <c r="R22" i="2"/>
  <c r="I22" i="2"/>
  <c r="J23" i="2"/>
  <c r="P22" i="2"/>
  <c r="AM10" i="2"/>
  <c r="G10" i="2" s="1"/>
  <c r="J22" i="2"/>
  <c r="M23" i="2"/>
  <c r="E23" i="2"/>
  <c r="F23" i="2"/>
  <c r="F22" i="2"/>
  <c r="W21" i="2" l="1"/>
  <c r="AO23" i="2"/>
  <c r="O10" i="2"/>
  <c r="O23" i="2" s="1"/>
  <c r="AN17" i="2"/>
  <c r="K10" i="2"/>
  <c r="K23" i="2" s="1"/>
  <c r="AP14" i="2"/>
  <c r="S14" i="2" s="1"/>
  <c r="S10" i="2"/>
  <c r="S23" i="2" s="1"/>
  <c r="AN14" i="2"/>
  <c r="K14" i="2" s="1"/>
  <c r="AN23" i="2"/>
  <c r="P23" i="2"/>
  <c r="U23" i="2"/>
  <c r="AP23" i="2"/>
  <c r="AO17" i="2"/>
  <c r="AM17" i="2"/>
  <c r="G17" i="2" s="1"/>
  <c r="G23" i="2"/>
  <c r="AL19" i="2"/>
  <c r="AL14" i="2"/>
  <c r="O22" i="2"/>
  <c r="W22" i="2" s="1"/>
  <c r="AP17" i="2"/>
  <c r="S17" i="2" s="1"/>
  <c r="AO14" i="2"/>
  <c r="O14" i="2" s="1"/>
  <c r="L23" i="2"/>
  <c r="AL23" i="2"/>
  <c r="C23" i="2"/>
  <c r="AM23" i="2"/>
  <c r="AM14" i="2"/>
  <c r="G14" i="2" s="1"/>
  <c r="Q23" i="2"/>
  <c r="N23" i="2"/>
  <c r="D23" i="2"/>
  <c r="K17" i="2" l="1"/>
  <c r="AN19" i="2"/>
  <c r="K19" i="2" s="1"/>
  <c r="AO19" i="2"/>
  <c r="O19" i="2" s="1"/>
  <c r="O17" i="2"/>
  <c r="W23" i="2"/>
  <c r="AP19" i="2"/>
  <c r="S19" i="2" s="1"/>
  <c r="AM19" i="2"/>
  <c r="G19" i="2" s="1"/>
</calcChain>
</file>

<file path=xl/sharedStrings.xml><?xml version="1.0" encoding="utf-8"?>
<sst xmlns="http://schemas.openxmlformats.org/spreadsheetml/2006/main" count="144" uniqueCount="111">
  <si>
    <t>All $ are in USD</t>
  </si>
  <si>
    <t>Company Name:</t>
  </si>
  <si>
    <t>Tesla</t>
  </si>
  <si>
    <t>Description:</t>
  </si>
  <si>
    <t>Tesla was founded in 2003 and was the first in the indusrty to make serioud strides in the eletric car industry. At the time the industry was seen as a waste of time and money.</t>
  </si>
  <si>
    <t>Ticker:</t>
  </si>
  <si>
    <t>TSLA</t>
  </si>
  <si>
    <t>Since then the company has become the leader in the industry as well as the automotive industry as a whole. It is one of the largest companies in the world and has ventured into</t>
  </si>
  <si>
    <t xml:space="preserve">CEO: </t>
  </si>
  <si>
    <t>Elon Musk</t>
  </si>
  <si>
    <t>multiple new services and sectors along its way. Tesla currently sells 4 veicles (5th being the cybertruck coming this year and 6th in the near future that is the roadster) from a range of</t>
  </si>
  <si>
    <t xml:space="preserve">Industry: </t>
  </si>
  <si>
    <t>Automotive, AI, Energy</t>
  </si>
  <si>
    <t>more luxury veicles to cars as cheap as around $35,000 (Model 3). Their most expensive car is the Tesla Model X starting from around $80,000. Tesla also sells other energy and charging</t>
  </si>
  <si>
    <t>Location:</t>
  </si>
  <si>
    <t>Austin, TX, USA</t>
  </si>
  <si>
    <t>related products. Such as solar panels, solar roof, power wall, megapack, and other basic chargers. In the future Tesla also plans to release the Tesla semi-truck which will revolutionize the trucking industry upon completion.</t>
  </si>
  <si>
    <t>Website:</t>
  </si>
  <si>
    <t>tesla.com</t>
  </si>
  <si>
    <t>Basic Info:</t>
  </si>
  <si>
    <t>Products:</t>
  </si>
  <si>
    <t>Tax Credits etc:</t>
  </si>
  <si>
    <t>P</t>
  </si>
  <si>
    <t>Cars:</t>
  </si>
  <si>
    <t>Price:</t>
  </si>
  <si>
    <t>Energy:</t>
  </si>
  <si>
    <t>As Tesla is a renewable energy and electric car company they receive a decent amount of government support and tax credits etc.</t>
  </si>
  <si>
    <t>S/O</t>
  </si>
  <si>
    <t>Model S</t>
  </si>
  <si>
    <t>Solar Panel</t>
  </si>
  <si>
    <t>Depending on your country or state, You may be able to receive Federal Tax Credits for up to $7500 In USA and Canada.</t>
  </si>
  <si>
    <t>MC</t>
  </si>
  <si>
    <t>Model 3</t>
  </si>
  <si>
    <t>Solar Roof</t>
  </si>
  <si>
    <t>C</t>
  </si>
  <si>
    <t>Model X</t>
  </si>
  <si>
    <t>Power Wall</t>
  </si>
  <si>
    <t>D</t>
  </si>
  <si>
    <t>Model Y</t>
  </si>
  <si>
    <t>Megapack</t>
  </si>
  <si>
    <t>EV</t>
  </si>
  <si>
    <t>Future Products:</t>
  </si>
  <si>
    <t>Cyber Truck</t>
  </si>
  <si>
    <t xml:space="preserve">        ~$40,000</t>
  </si>
  <si>
    <t>Charging:</t>
  </si>
  <si>
    <t>Semi Truck</t>
  </si>
  <si>
    <t xml:space="preserve">      ~$180,000</t>
  </si>
  <si>
    <t xml:space="preserve">Home Charging </t>
  </si>
  <si>
    <t>Optimus</t>
  </si>
  <si>
    <t xml:space="preserve">        ~$20,000</t>
  </si>
  <si>
    <t>ALL $ IN USD MILLIONS</t>
  </si>
  <si>
    <t>Quarterly Reports:</t>
  </si>
  <si>
    <t>Annual Reports:</t>
  </si>
  <si>
    <t>Q3 - 2018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</si>
  <si>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</si>
  <si>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</si>
  <si>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</si>
  <si>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</si>
  <si>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</si>
  <si>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</si>
  <si>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</si>
  <si>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</si>
  <si>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</si>
  <si>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</si>
  <si>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</si>
  <si>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</si>
  <si>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</si>
  <si>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</si>
  <si>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</si>
  <si>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</si>
  <si>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</si>
  <si>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</si>
  <si>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</si>
  <si>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</si>
  <si>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Total Auto Revenue</t>
  </si>
  <si>
    <t>Maturity</t>
  </si>
  <si>
    <t>Energy, Storage Revenue</t>
  </si>
  <si>
    <t>Total Revenue</t>
  </si>
  <si>
    <t>NPV</t>
  </si>
  <si>
    <t>Automotive COGS</t>
  </si>
  <si>
    <t>Energy, Storage COGS</t>
  </si>
  <si>
    <t>Total COGS</t>
  </si>
  <si>
    <t>Gross Profit</t>
  </si>
  <si>
    <t>R&amp;D</t>
  </si>
  <si>
    <t>SG&amp;A</t>
  </si>
  <si>
    <t>Total Operating Expenses</t>
  </si>
  <si>
    <t>Total (loss) from Operations</t>
  </si>
  <si>
    <t>Interest Income</t>
  </si>
  <si>
    <t>Interest Expense</t>
  </si>
  <si>
    <t>Pretax Income</t>
  </si>
  <si>
    <t>Taxes</t>
  </si>
  <si>
    <t>Net Income</t>
  </si>
  <si>
    <t xml:space="preserve"> </t>
  </si>
  <si>
    <t>Averages:</t>
  </si>
  <si>
    <t>Automotive Growth</t>
  </si>
  <si>
    <t>n/a</t>
  </si>
  <si>
    <t>Revenue Growth</t>
  </si>
  <si>
    <t>Gross Margin</t>
  </si>
  <si>
    <t>Manufacturing/Production:</t>
  </si>
  <si>
    <t>Model S/X</t>
  </si>
  <si>
    <t>Model 3/Y</t>
  </si>
  <si>
    <t>Total</t>
  </si>
  <si>
    <t>Deliveries:</t>
  </si>
  <si>
    <t>Model</t>
  </si>
  <si>
    <t>|- Ethan Cratchley</t>
  </si>
  <si>
    <t>Net NPV</t>
  </si>
  <si>
    <t>Current</t>
  </si>
  <si>
    <t>Share</t>
  </si>
  <si>
    <t>Difference</t>
  </si>
  <si>
    <t>Discount Rate</t>
  </si>
  <si>
    <t>Information: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</si>
</sst>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164" formatCode="0,,"/>
    <numFmt numFmtId="165" formatCode="0,,\ &quot;M&quot;"/>
    <numFmt numFmtId="166" formatCode="0,\ &quot;M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6" fontId="0" fillId="0" borderId="0" xfId="0" applyNumberFormat="1"/>
    <xf numFmtId="0" fontId="3" fillId="0" borderId="0" xfId="0" applyFont="1"/>
    <xf numFmtId="9" fontId="2" fillId="0" borderId="0" xfId="1" applyFont="1"/>
    <xf numFmtId="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3" fontId="2" fillId="0" borderId="0" xfId="0" applyNumberFormat="1" applyFont="1"/>
    <xf numFmtId="9" fontId="0" fillId="0" borderId="0" xfId="0" applyNumberFormat="1"/>
    <xf numFmtId="0" fontId="2" fillId="0" borderId="0" xfId="0" applyFont="1" applyAlignment="1">
      <alignment horizontal="right"/>
    </xf>
    <xf numFmtId="0" fontId="5" fillId="0" borderId="0" xfId="2"/>
    <xf numFmtId="0" fontId="2" fillId="0" borderId="0" xfId="0" applyFont="1" applyAlignment="1">
      <alignment horizontal="left"/>
    </xf>
  </cellXfs>
  <cellStyles count="3">
    <cellStyle name="Hyperlink" xfId="2" builtinId="8"/>
    <cellStyle name="Normal" xfId="0" builtinId="0"/>
    <cellStyle name="Per cent" xfId="1" builtinId="5"/>
  </cellStyles>
  <dxfs count="2"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4D35-5B65-4B08-8EA1-E7712C936D63}">
  <dimension ref="A1:P31"/>
  <sheetViews>
    <sheetView zoomScaleNormal="100" workbookViewId="0">
      <selection activeCell="D11" sqref="D11"/>
    </sheetView>
  </sheetViews>
  <sheetFormatPr defaultRowHeight="15" x14ac:dyDescent="0.25"/>
  <cols>
    <col min="1" max="1" width="17" bestFit="1" customWidth="1"/>
    <col min="2" max="2" width="14.5703125" customWidth="1"/>
    <col min="3" max="3" width="15.42578125" customWidth="1"/>
    <col min="4" max="4" width="14.7109375" customWidth="1"/>
    <col min="6" max="6" width="15.7109375" bestFit="1" customWidth="1"/>
    <col min="7" max="7" width="12" bestFit="1" customWidth="1"/>
    <col min="9" max="9" width="15" bestFit="1" customWidth="1"/>
    <col min="10" max="10" width="15" customWidth="1"/>
  </cols>
  <sheetData>
    <row r="1" spans="1:16" x14ac:dyDescent="0.25">
      <c r="A1" s="7" t="s">
        <v>0</v>
      </c>
      <c r="B1" s="7"/>
      <c r="D1" s="1"/>
    </row>
    <row r="2" spans="1:16" x14ac:dyDescent="0.25">
      <c r="A2" s="1">
        <f ca="1">TODAY()</f>
        <v>45246</v>
      </c>
      <c r="B2" s="1"/>
      <c r="C2" s="5" t="s">
        <v>1</v>
      </c>
      <c r="D2" t="s">
        <v>2</v>
      </c>
      <c r="F2" s="5" t="s">
        <v>3</v>
      </c>
      <c r="G2" t="s">
        <v>4</v>
      </c>
    </row>
    <row r="3" spans="1:16" x14ac:dyDescent="0.25">
      <c r="A3" s="18"/>
      <c r="B3" s="18"/>
      <c r="C3" s="5" t="s">
        <v>5</v>
      </c>
      <c r="D3" t="s">
        <v>6</v>
      </c>
      <c r="G3" t="s">
        <v>7</v>
      </c>
    </row>
    <row r="4" spans="1:16" x14ac:dyDescent="0.25">
      <c r="A4" s="18" t="s">
        <v>103</v>
      </c>
      <c r="C4" s="5" t="s">
        <v>8</v>
      </c>
      <c r="D4" t="s">
        <v>9</v>
      </c>
      <c r="G4" t="s">
        <v>10</v>
      </c>
    </row>
    <row r="5" spans="1:16" x14ac:dyDescent="0.25">
      <c r="C5" s="5" t="s">
        <v>11</v>
      </c>
      <c r="D5" t="s">
        <v>12</v>
      </c>
      <c r="G5" t="s">
        <v>13</v>
      </c>
    </row>
    <row r="6" spans="1:16" x14ac:dyDescent="0.25">
      <c r="A6" t="s">
        <v>104</v>
      </c>
      <c r="C6" s="5" t="s">
        <v>14</v>
      </c>
      <c r="D6" t="s">
        <v>15</v>
      </c>
      <c r="G6" t="s">
        <v>16</v>
      </c>
    </row>
    <row r="7" spans="1:16" x14ac:dyDescent="0.25">
      <c r="C7" s="5" t="s">
        <v>17</v>
      </c>
      <c r="D7" t="s">
        <v>18</v>
      </c>
    </row>
    <row r="9" spans="1:16" x14ac:dyDescent="0.25">
      <c r="C9" s="5" t="s">
        <v>19</v>
      </c>
      <c r="F9" s="5" t="s">
        <v>20</v>
      </c>
      <c r="I9" s="5"/>
      <c r="J9" s="5"/>
      <c r="K9" s="5" t="s">
        <v>21</v>
      </c>
      <c r="M9" s="5"/>
      <c r="P9" s="5"/>
    </row>
    <row r="10" spans="1:16" x14ac:dyDescent="0.25">
      <c r="C10" t="s">
        <v>22</v>
      </c>
      <c r="D10">
        <v>233</v>
      </c>
      <c r="F10" s="5" t="s">
        <v>23</v>
      </c>
      <c r="G10" s="5" t="s">
        <v>24</v>
      </c>
      <c r="I10" s="5" t="s">
        <v>25</v>
      </c>
      <c r="J10" s="5"/>
      <c r="K10" t="s">
        <v>26</v>
      </c>
      <c r="M10" s="5"/>
    </row>
    <row r="11" spans="1:16" ht="15" customHeight="1" x14ac:dyDescent="0.25">
      <c r="C11" t="s">
        <v>27</v>
      </c>
      <c r="D11" s="4">
        <v>3173994467</v>
      </c>
      <c r="F11" t="s">
        <v>28</v>
      </c>
      <c r="G11" s="6">
        <v>74000</v>
      </c>
      <c r="I11" t="s">
        <v>29</v>
      </c>
      <c r="K11" t="s">
        <v>30</v>
      </c>
    </row>
    <row r="12" spans="1:16" x14ac:dyDescent="0.25">
      <c r="C12" t="s">
        <v>31</v>
      </c>
      <c r="D12" s="4">
        <f>D10*D11</f>
        <v>739540710811</v>
      </c>
      <c r="F12" t="s">
        <v>32</v>
      </c>
      <c r="G12" s="6">
        <v>38000</v>
      </c>
      <c r="I12" t="s">
        <v>33</v>
      </c>
    </row>
    <row r="13" spans="1:16" x14ac:dyDescent="0.25">
      <c r="C13" t="s">
        <v>34</v>
      </c>
      <c r="D13" s="4">
        <v>23000000000</v>
      </c>
      <c r="F13" t="s">
        <v>35</v>
      </c>
      <c r="G13" s="6">
        <v>80000</v>
      </c>
      <c r="I13" t="s">
        <v>36</v>
      </c>
    </row>
    <row r="14" spans="1:16" x14ac:dyDescent="0.25">
      <c r="C14" t="s">
        <v>37</v>
      </c>
      <c r="D14" s="4">
        <v>5810000000</v>
      </c>
      <c r="F14" t="s">
        <v>38</v>
      </c>
      <c r="G14" s="6">
        <v>44000</v>
      </c>
      <c r="I14" t="s">
        <v>39</v>
      </c>
    </row>
    <row r="15" spans="1:16" x14ac:dyDescent="0.25">
      <c r="C15" t="s">
        <v>40</v>
      </c>
      <c r="D15" s="4">
        <f>D12+D13-D14</f>
        <v>756730710811</v>
      </c>
    </row>
    <row r="16" spans="1:16" x14ac:dyDescent="0.25">
      <c r="C16" s="5"/>
      <c r="F16" s="8" t="s">
        <v>41</v>
      </c>
      <c r="M16" s="5"/>
      <c r="P16" s="5"/>
    </row>
    <row r="17" spans="3:10" x14ac:dyDescent="0.25">
      <c r="F17" t="s">
        <v>42</v>
      </c>
      <c r="G17" s="9" t="s">
        <v>43</v>
      </c>
      <c r="I17" s="5" t="s">
        <v>44</v>
      </c>
      <c r="J17" s="5"/>
    </row>
    <row r="18" spans="3:10" x14ac:dyDescent="0.25">
      <c r="F18" t="s">
        <v>45</v>
      </c>
      <c r="G18" s="10" t="s">
        <v>46</v>
      </c>
      <c r="I18" t="s">
        <v>47</v>
      </c>
    </row>
    <row r="19" spans="3:10" x14ac:dyDescent="0.25">
      <c r="F19" t="s">
        <v>48</v>
      </c>
      <c r="G19" s="10" t="s">
        <v>49</v>
      </c>
    </row>
    <row r="20" spans="3:10" x14ac:dyDescent="0.25">
      <c r="C20" s="5"/>
    </row>
    <row r="25" spans="3:10" x14ac:dyDescent="0.25">
      <c r="C25" s="5"/>
    </row>
    <row r="26" spans="3:10" x14ac:dyDescent="0.25">
      <c r="G26" s="5"/>
    </row>
    <row r="27" spans="3:10" x14ac:dyDescent="0.25">
      <c r="D27" s="4"/>
    </row>
    <row r="28" spans="3:10" x14ac:dyDescent="0.25">
      <c r="D28" s="4"/>
    </row>
    <row r="29" spans="3:10" x14ac:dyDescent="0.25">
      <c r="D29" s="4"/>
    </row>
    <row r="30" spans="3:10" x14ac:dyDescent="0.25">
      <c r="D30" s="4"/>
    </row>
    <row r="31" spans="3:10" x14ac:dyDescent="0.25">
      <c r="D31" s="4"/>
    </row>
  </sheetData>
  <conditionalFormatting sqref="A1:XFD1048576">
    <cfRule type="expression" dxfId="1" priority="1">
      <formula>MOD(ROW(),2)=0</formula>
    </cfRule>
  </conditionalFormatting>
  <hyperlinks>
    <hyperlink ref="A4" location="Model!A1" display="Model" xr:uid="{1A869BA3-A48C-4833-AD4C-E0EF04AE3EAF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3F0D-EB14-4C57-869F-DB6E8AF4428C}">
  <dimension ref="A1:BH49"/>
  <sheetViews>
    <sheetView tabSelected="1" topLeftCell="T1" zoomScaleNormal="100" workbookViewId="0">
      <selection activeCell="AE18" sqref="AE18"/>
    </sheetView>
  </sheetViews>
  <sheetFormatPr defaultRowHeight="15" x14ac:dyDescent="0.25"/>
  <cols>
    <col min="2" max="2" width="26.28515625" bestFit="1" customWidth="1"/>
    <col min="3" max="3" width="9.140625" bestFit="1" customWidth="1"/>
    <col min="8" max="8" width="9" bestFit="1" customWidth="1"/>
    <col min="9" max="9" width="8.5703125" bestFit="1" customWidth="1"/>
    <col min="10" max="10" width="9" bestFit="1" customWidth="1"/>
    <col min="11" max="12" width="8.5703125" bestFit="1" customWidth="1"/>
    <col min="13" max="21" width="9" bestFit="1" customWidth="1"/>
    <col min="22" max="22" width="8.5703125" bestFit="1" customWidth="1"/>
    <col min="23" max="23" width="9" bestFit="1" customWidth="1"/>
    <col min="24" max="24" width="10.42578125" bestFit="1" customWidth="1"/>
    <col min="25" max="25" width="13.28515625" bestFit="1" customWidth="1"/>
    <col min="26" max="30" width="9.7109375" customWidth="1"/>
    <col min="31" max="31" width="26.28515625" bestFit="1" customWidth="1"/>
    <col min="32" max="32" width="8.42578125" bestFit="1" customWidth="1"/>
    <col min="33" max="33" width="8.140625" bestFit="1" customWidth="1"/>
    <col min="34" max="37" width="7.140625" bestFit="1" customWidth="1"/>
    <col min="38" max="38" width="8.140625" bestFit="1" customWidth="1"/>
    <col min="39" max="41" width="7.5703125" bestFit="1" customWidth="1"/>
    <col min="42" max="42" width="9.140625" bestFit="1" customWidth="1"/>
    <col min="43" max="50" width="5" bestFit="1" customWidth="1"/>
  </cols>
  <sheetData>
    <row r="1" spans="1:60" x14ac:dyDescent="0.25">
      <c r="A1" s="7" t="s">
        <v>50</v>
      </c>
    </row>
    <row r="2" spans="1:60" x14ac:dyDescent="0.25">
      <c r="B2" s="5" t="s">
        <v>51</v>
      </c>
      <c r="AE2" s="5" t="s">
        <v>52</v>
      </c>
      <c r="AK2" s="5"/>
      <c r="AL2" s="5"/>
    </row>
    <row r="3" spans="1:60" x14ac:dyDescent="0.25">
      <c r="C3" s="17" t="s">
        <v>53</v>
      </c>
      <c r="D3" s="17" t="s">
        <v>54</v>
      </c>
      <c r="E3" s="17" t="s">
        <v>55</v>
      </c>
      <c r="F3" s="17" t="s">
        <v>56</v>
      </c>
      <c r="G3" s="17" t="s">
        <v>57</v>
      </c>
      <c r="H3" s="17" t="s">
        <v>58</v>
      </c>
      <c r="I3" s="17" t="s">
        <v>59</v>
      </c>
      <c r="J3" s="17" t="s">
        <v>60</v>
      </c>
      <c r="K3" s="17" t="s">
        <v>61</v>
      </c>
      <c r="L3" s="17" t="s">
        <v>62</v>
      </c>
      <c r="M3" s="17" t="s">
        <v>63</v>
      </c>
      <c r="N3" s="17" t="s">
        <v>64</v>
      </c>
      <c r="O3" s="17" t="s">
        <v>65</v>
      </c>
      <c r="P3" s="17" t="s">
        <v>66</v>
      </c>
      <c r="Q3" s="17" t="s">
        <v>67</v>
      </c>
      <c r="R3" s="17" t="s">
        <v>68</v>
      </c>
      <c r="S3" s="17" t="s">
        <v>69</v>
      </c>
      <c r="T3" s="17" t="s">
        <v>70</v>
      </c>
      <c r="U3" s="17" t="s">
        <v>71</v>
      </c>
      <c r="V3" s="17" t="s">
        <v>72</v>
      </c>
      <c r="W3" s="17" t="s">
        <v>73</v>
      </c>
      <c r="X3" s="10"/>
      <c r="Y3" s="19" t="s">
        <v>110</v>
      </c>
      <c r="Z3" s="10"/>
      <c r="AA3" s="10"/>
      <c r="AB3" s="10"/>
      <c r="AC3" s="10"/>
      <c r="AD3" s="10"/>
      <c r="AE3" s="10"/>
      <c r="AF3" s="17">
        <f t="shared" ref="AF3:AJ3" si="0">AG3-1</f>
        <v>2012</v>
      </c>
      <c r="AG3" s="17">
        <f t="shared" si="0"/>
        <v>2013</v>
      </c>
      <c r="AH3" s="17">
        <f t="shared" si="0"/>
        <v>2014</v>
      </c>
      <c r="AI3" s="17">
        <f t="shared" si="0"/>
        <v>2015</v>
      </c>
      <c r="AJ3" s="17">
        <f t="shared" si="0"/>
        <v>2016</v>
      </c>
      <c r="AK3" s="17">
        <f>AL3-1</f>
        <v>2017</v>
      </c>
      <c r="AL3" s="17">
        <v>2018</v>
      </c>
      <c r="AM3" s="17">
        <v>2019</v>
      </c>
      <c r="AN3" s="17">
        <v>2020</v>
      </c>
      <c r="AO3" s="17">
        <v>2021</v>
      </c>
      <c r="AP3" s="17">
        <v>2022</v>
      </c>
      <c r="AQ3" s="17">
        <v>2023</v>
      </c>
      <c r="AR3" s="17">
        <f>AQ3+1</f>
        <v>2024</v>
      </c>
      <c r="AS3" s="17">
        <f t="shared" ref="AS3:AV3" si="1">AR3+1</f>
        <v>2025</v>
      </c>
      <c r="AT3" s="17">
        <f t="shared" si="1"/>
        <v>2026</v>
      </c>
      <c r="AU3" s="17">
        <f t="shared" si="1"/>
        <v>2027</v>
      </c>
      <c r="AV3" s="17">
        <f t="shared" si="1"/>
        <v>2028</v>
      </c>
      <c r="AW3" s="5">
        <v>2029</v>
      </c>
      <c r="AX3" s="5">
        <v>2030</v>
      </c>
      <c r="AY3" s="5">
        <f>AX3+1</f>
        <v>2031</v>
      </c>
      <c r="AZ3" s="5">
        <f t="shared" ref="AZ3:BH3" si="2">AY3+1</f>
        <v>2032</v>
      </c>
      <c r="BA3" s="5">
        <f t="shared" si="2"/>
        <v>2033</v>
      </c>
      <c r="BB3" s="5">
        <f t="shared" si="2"/>
        <v>2034</v>
      </c>
      <c r="BC3" s="5">
        <f t="shared" si="2"/>
        <v>2035</v>
      </c>
      <c r="BD3" s="5">
        <f t="shared" si="2"/>
        <v>2036</v>
      </c>
      <c r="BE3" s="5">
        <f t="shared" si="2"/>
        <v>2037</v>
      </c>
      <c r="BF3" s="5">
        <f t="shared" si="2"/>
        <v>2038</v>
      </c>
      <c r="BG3" s="5">
        <f t="shared" si="2"/>
        <v>2039</v>
      </c>
      <c r="BH3" s="5">
        <f t="shared" si="2"/>
        <v>2040</v>
      </c>
    </row>
    <row r="4" spans="1:60" x14ac:dyDescent="0.25">
      <c r="B4" t="s">
        <v>74</v>
      </c>
      <c r="C4" s="2">
        <f>6098766*0.001</f>
        <v>6098.7660000000005</v>
      </c>
      <c r="D4" s="2">
        <f>3723861*0.001</f>
        <v>3723.8609999999999</v>
      </c>
      <c r="E4" s="2">
        <f>5376389*0.001</f>
        <v>5376.3890000000001</v>
      </c>
      <c r="F4" s="2">
        <f>5353</f>
        <v>5353</v>
      </c>
      <c r="G4" s="2">
        <f>AM4-(F4+E4+D4)</f>
        <v>6367.75</v>
      </c>
      <c r="H4" s="2">
        <v>5132</v>
      </c>
      <c r="I4" s="2">
        <f>5179</f>
        <v>5179</v>
      </c>
      <c r="J4" s="2">
        <f>7611</f>
        <v>7611</v>
      </c>
      <c r="K4" s="2">
        <f>AN4-(J4+I4+H4)</f>
        <v>9314</v>
      </c>
      <c r="L4" s="2">
        <f>9002</f>
        <v>9002</v>
      </c>
      <c r="M4" s="2">
        <v>10206</v>
      </c>
      <c r="N4" s="2">
        <f>12057</f>
        <v>12057</v>
      </c>
      <c r="O4" s="2">
        <f>AO4-(N4+M4+L4)</f>
        <v>15967</v>
      </c>
      <c r="P4" s="2">
        <f>16861</f>
        <v>16861</v>
      </c>
      <c r="Q4" s="2">
        <f>14602</f>
        <v>14602</v>
      </c>
      <c r="R4" s="2">
        <f>18692</f>
        <v>18692</v>
      </c>
      <c r="S4" s="2">
        <f>AP4-(R4+Q4+P4)</f>
        <v>21307</v>
      </c>
      <c r="T4" s="2">
        <v>19963</v>
      </c>
      <c r="U4" s="2">
        <f>21268</f>
        <v>21268</v>
      </c>
      <c r="X4" s="5"/>
      <c r="Y4" s="5" t="s">
        <v>75</v>
      </c>
      <c r="Z4" s="12">
        <v>0.03</v>
      </c>
      <c r="AA4" s="16"/>
      <c r="AB4" s="16"/>
      <c r="AC4" s="16"/>
      <c r="AD4" s="16"/>
      <c r="AE4" t="s">
        <v>74</v>
      </c>
      <c r="AF4" s="2">
        <f>385699/1000</f>
        <v>385.69900000000001</v>
      </c>
      <c r="AG4" s="2">
        <f>1997786/1000</f>
        <v>1997.7860000000001</v>
      </c>
      <c r="AH4" s="2">
        <f>3192723/1000</f>
        <v>3192.723</v>
      </c>
      <c r="AI4" s="2">
        <f>3431587/1000</f>
        <v>3431.587</v>
      </c>
      <c r="AJ4" s="2">
        <f>5589007/1000</f>
        <v>5589.0069999999996</v>
      </c>
      <c r="AK4" s="2">
        <f>8534752/1000</f>
        <v>8534.7520000000004</v>
      </c>
      <c r="AL4" s="2">
        <f>18514983*0.001</f>
        <v>18514.983</v>
      </c>
      <c r="AM4" s="2">
        <f>20821</f>
        <v>20821</v>
      </c>
      <c r="AN4" s="2">
        <f>27236</f>
        <v>27236</v>
      </c>
      <c r="AO4" s="2">
        <f>47232</f>
        <v>47232</v>
      </c>
      <c r="AP4" s="2">
        <f>71462</f>
        <v>71462</v>
      </c>
      <c r="AQ4" s="2"/>
      <c r="AR4" s="2"/>
      <c r="AS4" s="2"/>
      <c r="AT4" s="2"/>
      <c r="AU4" s="2"/>
      <c r="AV4" s="2"/>
      <c r="AW4" s="2"/>
      <c r="AX4" s="2"/>
      <c r="AY4" s="2"/>
    </row>
    <row r="5" spans="1:60" x14ac:dyDescent="0.25">
      <c r="B5" t="s">
        <v>76</v>
      </c>
      <c r="C5" s="2">
        <f>(399317+326330)*0.001</f>
        <v>725.64700000000005</v>
      </c>
      <c r="D5" s="2">
        <f>(324661+492942)*0.001</f>
        <v>817.60300000000007</v>
      </c>
      <c r="E5" s="2">
        <f>(368208+605079)*0.001</f>
        <v>973.28700000000003</v>
      </c>
      <c r="F5" s="2">
        <f>402+548</f>
        <v>950</v>
      </c>
      <c r="G5" s="2">
        <f>AM5-(F5+E5+D5)</f>
        <v>1016.1099999999997</v>
      </c>
      <c r="H5" s="2">
        <f>293+560</f>
        <v>853</v>
      </c>
      <c r="I5" s="2">
        <f>370+487</f>
        <v>857</v>
      </c>
      <c r="J5" s="2">
        <f>579+581</f>
        <v>1160</v>
      </c>
      <c r="K5" s="2">
        <f>AN5-(J5+I5+H5)</f>
        <v>1430</v>
      </c>
      <c r="L5" s="2">
        <f>494+893</f>
        <v>1387</v>
      </c>
      <c r="M5" s="2">
        <f>801+951</f>
        <v>1752</v>
      </c>
      <c r="N5" s="2">
        <f>806+894</f>
        <v>1700</v>
      </c>
      <c r="O5" s="2">
        <f>AO5-(N5+M5+L5)</f>
        <v>1752</v>
      </c>
      <c r="P5" s="2">
        <f>616+1279</f>
        <v>1895</v>
      </c>
      <c r="Q5" s="2">
        <f>866+1466</f>
        <v>2332</v>
      </c>
      <c r="R5" s="2">
        <f>1117+1645</f>
        <v>2762</v>
      </c>
      <c r="S5" s="2">
        <f>AP5-(R5+Q5+P5)</f>
        <v>3011</v>
      </c>
      <c r="T5" s="2">
        <f>1529+1837</f>
        <v>3366</v>
      </c>
      <c r="U5" s="2">
        <f>1509+2150</f>
        <v>3659</v>
      </c>
      <c r="X5" s="5"/>
      <c r="Y5" s="5" t="s">
        <v>109</v>
      </c>
      <c r="Z5" s="12">
        <v>6.5000000000000002E-2</v>
      </c>
      <c r="AA5" s="16"/>
      <c r="AB5" s="16"/>
      <c r="AC5" s="16"/>
      <c r="AD5" s="16"/>
      <c r="AE5" t="s">
        <v>76</v>
      </c>
      <c r="AF5" s="2">
        <f>27557/1000</f>
        <v>27.556999999999999</v>
      </c>
      <c r="AG5" s="2">
        <f>15170/1000</f>
        <v>15.17</v>
      </c>
      <c r="AH5" s="2">
        <f>5633/1000</f>
        <v>5.633</v>
      </c>
      <c r="AI5" s="2">
        <f>309386/1000</f>
        <v>309.38600000000002</v>
      </c>
      <c r="AJ5" s="2">
        <f>761759/1000</f>
        <v>761.75900000000001</v>
      </c>
      <c r="AK5" s="2">
        <f>1106548/1000</f>
        <v>1106.548</v>
      </c>
      <c r="AL5" s="2">
        <f>(1555244+1391041)*0.001</f>
        <v>2946.2849999999999</v>
      </c>
      <c r="AM5" s="2">
        <f>1531+2226</f>
        <v>3757</v>
      </c>
      <c r="AN5" s="2">
        <f>1994+2306</f>
        <v>4300</v>
      </c>
      <c r="AO5" s="2">
        <f>2789+3802</f>
        <v>6591</v>
      </c>
      <c r="AP5" s="2">
        <f>3909+6091</f>
        <v>10000</v>
      </c>
      <c r="AQ5" s="2"/>
      <c r="AR5" s="2"/>
      <c r="AS5" s="2"/>
      <c r="AT5" s="2"/>
      <c r="AU5" s="2"/>
      <c r="AV5" s="2"/>
      <c r="AW5" s="2"/>
      <c r="AX5" s="2"/>
      <c r="AY5" s="2"/>
    </row>
    <row r="6" spans="1:60" x14ac:dyDescent="0.25">
      <c r="B6" s="5" t="s">
        <v>77</v>
      </c>
      <c r="C6" s="2">
        <f>C4+C5</f>
        <v>6824.4130000000005</v>
      </c>
      <c r="D6" s="2">
        <f>D4+D5</f>
        <v>4541.4639999999999</v>
      </c>
      <c r="E6" s="2">
        <f t="shared" ref="E6" si="3">E4+E5</f>
        <v>6349.6760000000004</v>
      </c>
      <c r="F6" s="2">
        <f>F4+F5</f>
        <v>6303</v>
      </c>
      <c r="G6" s="2">
        <f>AM6-(F6+E6+D6)</f>
        <v>7383.8600000000006</v>
      </c>
      <c r="H6" s="2">
        <f t="shared" ref="H6:U6" si="4">H4+H5</f>
        <v>5985</v>
      </c>
      <c r="I6" s="2">
        <f t="shared" si="4"/>
        <v>6036</v>
      </c>
      <c r="J6" s="2">
        <f t="shared" si="4"/>
        <v>8771</v>
      </c>
      <c r="K6" s="2">
        <f>AN6-(J6+I6+H6)</f>
        <v>10744</v>
      </c>
      <c r="L6" s="2">
        <f t="shared" si="4"/>
        <v>10389</v>
      </c>
      <c r="M6" s="2">
        <f t="shared" si="4"/>
        <v>11958</v>
      </c>
      <c r="N6" s="2">
        <f t="shared" si="4"/>
        <v>13757</v>
      </c>
      <c r="O6" s="2">
        <f>AO6-(N6+M6+L6)</f>
        <v>17719</v>
      </c>
      <c r="P6" s="2">
        <f t="shared" si="4"/>
        <v>18756</v>
      </c>
      <c r="Q6" s="2">
        <f t="shared" si="4"/>
        <v>16934</v>
      </c>
      <c r="R6" s="2">
        <f t="shared" si="4"/>
        <v>21454</v>
      </c>
      <c r="S6" s="2">
        <f>AP6-(R6+Q6+P6)</f>
        <v>24318</v>
      </c>
      <c r="T6" s="2">
        <f t="shared" si="4"/>
        <v>23329</v>
      </c>
      <c r="U6" s="2">
        <f t="shared" si="4"/>
        <v>24927</v>
      </c>
      <c r="X6" s="5"/>
      <c r="Y6" s="5" t="s">
        <v>78</v>
      </c>
      <c r="AE6" s="5" t="s">
        <v>77</v>
      </c>
      <c r="AF6" s="2">
        <f t="shared" ref="AF6:AK6" si="5">AF4+AF5</f>
        <v>413.25600000000003</v>
      </c>
      <c r="AG6" s="2">
        <f t="shared" si="5"/>
        <v>2012.9560000000001</v>
      </c>
      <c r="AH6" s="2">
        <f t="shared" si="5"/>
        <v>3198.3559999999998</v>
      </c>
      <c r="AI6" s="2">
        <f t="shared" si="5"/>
        <v>3740.973</v>
      </c>
      <c r="AJ6" s="2">
        <f t="shared" si="5"/>
        <v>6350.7659999999996</v>
      </c>
      <c r="AK6" s="2">
        <f t="shared" si="5"/>
        <v>9641.3000000000011</v>
      </c>
      <c r="AL6" s="2">
        <f>AL4+AL5</f>
        <v>21461.268</v>
      </c>
      <c r="AM6" s="2">
        <f>AM4+AM5</f>
        <v>24578</v>
      </c>
      <c r="AN6" s="2">
        <f>AN4+AN5</f>
        <v>31536</v>
      </c>
      <c r="AO6" s="2">
        <f>AO4+AO5</f>
        <v>53823</v>
      </c>
      <c r="AP6" s="2">
        <f>AP4+AP5</f>
        <v>81462</v>
      </c>
      <c r="AQ6" s="2"/>
      <c r="AR6" s="2"/>
      <c r="AS6" s="2"/>
      <c r="AT6" s="2"/>
      <c r="AU6" s="2"/>
      <c r="AV6" s="2"/>
      <c r="AW6" s="2"/>
      <c r="AX6" s="2"/>
      <c r="AY6" s="2"/>
    </row>
    <row r="7" spans="1:60" x14ac:dyDescent="0.25">
      <c r="B7" t="s">
        <v>79</v>
      </c>
      <c r="C7" s="2">
        <f>4525202*0.001</f>
        <v>4525.2020000000002</v>
      </c>
      <c r="D7" s="2">
        <f>2973301*0.001</f>
        <v>2973.3009999999999</v>
      </c>
      <c r="E7" s="2">
        <f>4253763*0.001</f>
        <v>4253.7629999999999</v>
      </c>
      <c r="F7" s="2">
        <f>4131</f>
        <v>4131</v>
      </c>
      <c r="G7" s="2">
        <f>AM7-(F7+E7+D7)</f>
        <v>5039.9360000000015</v>
      </c>
      <c r="H7" s="2">
        <f>3821</f>
        <v>3821</v>
      </c>
      <c r="I7" s="2">
        <f>3862</f>
        <v>3862</v>
      </c>
      <c r="J7" s="2">
        <f>5506</f>
        <v>5506</v>
      </c>
      <c r="K7" s="2">
        <f>AN7-(J7+I7+H7)</f>
        <v>7070</v>
      </c>
      <c r="L7" s="2">
        <f>6617</f>
        <v>6617</v>
      </c>
      <c r="M7" s="2">
        <f>7307</f>
        <v>7307</v>
      </c>
      <c r="N7" s="2">
        <f>8384</f>
        <v>8384</v>
      </c>
      <c r="O7" s="2">
        <f>AO7-(N7+M7+L7)</f>
        <v>11085</v>
      </c>
      <c r="P7" s="2">
        <f>11322</f>
        <v>11322</v>
      </c>
      <c r="Q7" s="2">
        <f>10521</f>
        <v>10521</v>
      </c>
      <c r="R7" s="2">
        <f>13480</f>
        <v>13480</v>
      </c>
      <c r="S7" s="2">
        <f>AP7-(R7+Q7+P7)</f>
        <v>15785</v>
      </c>
      <c r="T7" s="2">
        <f>15755</f>
        <v>15755</v>
      </c>
      <c r="U7" s="2">
        <f>17179</f>
        <v>17179</v>
      </c>
      <c r="X7" s="5"/>
      <c r="Y7" s="5" t="s">
        <v>105</v>
      </c>
      <c r="Z7" s="16"/>
      <c r="AA7" s="16"/>
      <c r="AB7" s="16"/>
      <c r="AC7" s="16"/>
      <c r="AD7" s="16"/>
      <c r="AE7" t="s">
        <v>79</v>
      </c>
      <c r="AF7" s="2">
        <f>371658/1000</f>
        <v>371.65800000000002</v>
      </c>
      <c r="AG7" s="2">
        <f>1543878/1000</f>
        <v>1543.8779999999999</v>
      </c>
      <c r="AH7" s="2">
        <f>2310011/1000</f>
        <v>2310.011</v>
      </c>
      <c r="AI7" s="2">
        <f>14477/1000</f>
        <v>14.477</v>
      </c>
      <c r="AJ7" s="2">
        <f>181395/1000</f>
        <v>181.39500000000001</v>
      </c>
      <c r="AK7" s="2">
        <f>1116266/1000</f>
        <v>1116.2660000000001</v>
      </c>
      <c r="AL7" s="2">
        <f>14173997*0.001</f>
        <v>14173.996999999999</v>
      </c>
      <c r="AM7" s="2">
        <f>16398</f>
        <v>16398</v>
      </c>
      <c r="AN7" s="2">
        <f>20259</f>
        <v>20259</v>
      </c>
      <c r="AO7" s="2">
        <f>33393</f>
        <v>33393</v>
      </c>
      <c r="AP7" s="2">
        <f>51108</f>
        <v>51108</v>
      </c>
      <c r="AQ7" s="2"/>
      <c r="AR7" s="2"/>
      <c r="AS7" s="2"/>
      <c r="AT7" s="2"/>
      <c r="AU7" s="2"/>
      <c r="AV7" s="2"/>
      <c r="AW7" s="2"/>
      <c r="AX7" s="2"/>
      <c r="AY7" s="2"/>
    </row>
    <row r="8" spans="1:60" x14ac:dyDescent="0.25">
      <c r="B8" t="s">
        <v>80</v>
      </c>
      <c r="C8" s="2">
        <f>(330554+444992)*0.001</f>
        <v>775.54600000000005</v>
      </c>
      <c r="D8" s="2">
        <f>(316887+685533)*0.001</f>
        <v>1002.4200000000001</v>
      </c>
      <c r="E8" s="2">
        <f>(325523+743022)*0.001</f>
        <v>1068.5450000000001</v>
      </c>
      <c r="F8" s="2">
        <f>314+667</f>
        <v>981</v>
      </c>
      <c r="G8" s="2">
        <f>AM8-(F8+E8+D8)</f>
        <v>1059.0349999999999</v>
      </c>
      <c r="H8" s="2">
        <f>282+648</f>
        <v>930</v>
      </c>
      <c r="I8" s="2">
        <f>349+558</f>
        <v>907</v>
      </c>
      <c r="J8" s="2">
        <f>558+644</f>
        <v>1202</v>
      </c>
      <c r="K8" s="2">
        <f>AN8-(J8+I8+H8)</f>
        <v>1608</v>
      </c>
      <c r="L8" s="2">
        <f>595+962</f>
        <v>1557</v>
      </c>
      <c r="M8" s="2">
        <f>781+986</f>
        <v>1767</v>
      </c>
      <c r="N8" s="2">
        <f>803+910</f>
        <v>1713</v>
      </c>
      <c r="O8" s="2">
        <f>AO8-(N8+M8+L8)</f>
        <v>1787</v>
      </c>
      <c r="P8" s="2">
        <f>688+1286</f>
        <v>1974</v>
      </c>
      <c r="Q8" s="2">
        <f>769+1410</f>
        <v>2179</v>
      </c>
      <c r="R8" s="2">
        <f>1013+1579</f>
        <v>2592</v>
      </c>
      <c r="S8" s="2">
        <f>AP8-(R8+Q8+P8)</f>
        <v>2756</v>
      </c>
      <c r="T8" s="2">
        <f>1361+1702</f>
        <v>3063</v>
      </c>
      <c r="U8" s="2">
        <f>1231+1984</f>
        <v>3215</v>
      </c>
      <c r="X8" s="5"/>
      <c r="Y8" s="5"/>
      <c r="AE8" t="s">
        <v>80</v>
      </c>
      <c r="AF8" s="2">
        <f>11531/1000</f>
        <v>11.531000000000001</v>
      </c>
      <c r="AG8" s="2">
        <f>13356/1000</f>
        <v>13.356</v>
      </c>
      <c r="AH8" s="2">
        <f>6674/1000</f>
        <v>6.6740000000000004</v>
      </c>
      <c r="AI8" s="2">
        <f>290575/1000</f>
        <v>290.57499999999999</v>
      </c>
      <c r="AJ8" s="2">
        <f>467972/1000</f>
        <v>467.97199999999998</v>
      </c>
      <c r="AK8" s="2">
        <f>1001185/1000</f>
        <v>1001.1849999999999</v>
      </c>
      <c r="AL8" s="2">
        <f>(1364896+1880354)*0.001</f>
        <v>3245.25</v>
      </c>
      <c r="AM8" s="2">
        <f>1341+2770</f>
        <v>4111</v>
      </c>
      <c r="AN8" s="2">
        <f>1976+2671</f>
        <v>4647</v>
      </c>
      <c r="AO8" s="2">
        <f>2918+3906</f>
        <v>6824</v>
      </c>
      <c r="AP8" s="2">
        <f>3621+5880</f>
        <v>9501</v>
      </c>
      <c r="AQ8" s="2"/>
      <c r="AR8" s="2"/>
      <c r="AS8" s="2"/>
      <c r="AT8" s="2"/>
      <c r="AU8" s="2"/>
      <c r="AV8" s="2"/>
      <c r="AW8" s="2"/>
      <c r="AX8" s="2"/>
      <c r="AY8" s="2"/>
    </row>
    <row r="9" spans="1:60" x14ac:dyDescent="0.25">
      <c r="B9" s="5" t="s">
        <v>81</v>
      </c>
      <c r="C9" s="2">
        <f>C7+C8</f>
        <v>5300.7480000000005</v>
      </c>
      <c r="D9" s="2">
        <f>D7+D8</f>
        <v>3975.721</v>
      </c>
      <c r="E9" s="2">
        <f t="shared" ref="E9:F9" si="6">E7+E8</f>
        <v>5322.308</v>
      </c>
      <c r="F9" s="2">
        <f t="shared" si="6"/>
        <v>5112</v>
      </c>
      <c r="G9" s="2">
        <f>AM9-(F9+E9+D9)</f>
        <v>6098.9709999999995</v>
      </c>
      <c r="H9" s="2">
        <f t="shared" ref="H9" si="7">H7+H8</f>
        <v>4751</v>
      </c>
      <c r="I9" s="2">
        <f t="shared" ref="I9" si="8">I7+I8</f>
        <v>4769</v>
      </c>
      <c r="J9" s="2">
        <f t="shared" ref="J9" si="9">J7+J8</f>
        <v>6708</v>
      </c>
      <c r="K9" s="2">
        <f>AN9-(J9+I9+H9)</f>
        <v>8678</v>
      </c>
      <c r="L9" s="2">
        <f t="shared" ref="L9" si="10">L7+L8</f>
        <v>8174</v>
      </c>
      <c r="M9" s="2">
        <f t="shared" ref="M9" si="11">M7+M8</f>
        <v>9074</v>
      </c>
      <c r="N9" s="2">
        <f t="shared" ref="N9" si="12">N7+N8</f>
        <v>10097</v>
      </c>
      <c r="O9" s="2">
        <f>AO9-(N9+M9+L9)</f>
        <v>12872</v>
      </c>
      <c r="P9" s="2">
        <f t="shared" ref="P9" si="13">P7+P8</f>
        <v>13296</v>
      </c>
      <c r="Q9" s="2">
        <f t="shared" ref="Q9" si="14">Q7+Q8</f>
        <v>12700</v>
      </c>
      <c r="R9" s="2">
        <f t="shared" ref="R9" si="15">R7+R8</f>
        <v>16072</v>
      </c>
      <c r="S9" s="2">
        <f>AP9-(R9+Q9+P9)</f>
        <v>18541</v>
      </c>
      <c r="T9" s="2">
        <f t="shared" ref="T9" si="16">T7+T8</f>
        <v>18818</v>
      </c>
      <c r="U9" s="2">
        <f t="shared" ref="U9" si="17">U7+U8</f>
        <v>20394</v>
      </c>
      <c r="X9" s="5"/>
      <c r="Y9" s="5" t="s">
        <v>107</v>
      </c>
      <c r="AE9" s="5" t="s">
        <v>81</v>
      </c>
      <c r="AF9" s="2">
        <f t="shared" ref="AF9:AK9" si="18">AF7+AF8</f>
        <v>383.18900000000002</v>
      </c>
      <c r="AG9" s="2">
        <f t="shared" si="18"/>
        <v>1557.2339999999999</v>
      </c>
      <c r="AH9" s="2">
        <f t="shared" si="18"/>
        <v>2316.6849999999999</v>
      </c>
      <c r="AI9" s="2">
        <f t="shared" si="18"/>
        <v>305.05199999999996</v>
      </c>
      <c r="AJ9" s="2">
        <f t="shared" si="18"/>
        <v>649.36699999999996</v>
      </c>
      <c r="AK9" s="2">
        <f t="shared" si="18"/>
        <v>2117.451</v>
      </c>
      <c r="AL9" s="2">
        <f>AL7+AL8</f>
        <v>17419.246999999999</v>
      </c>
      <c r="AM9" s="2">
        <f>AM7+AM8</f>
        <v>20509</v>
      </c>
      <c r="AN9" s="2">
        <f>AN7+AN8</f>
        <v>24906</v>
      </c>
      <c r="AO9" s="2">
        <f>AO7+AO8</f>
        <v>40217</v>
      </c>
      <c r="AP9" s="2">
        <f>AP7+AP8</f>
        <v>60609</v>
      </c>
      <c r="AQ9" s="2"/>
      <c r="AR9" s="2"/>
      <c r="AS9" s="2"/>
      <c r="AT9" s="2"/>
      <c r="AU9" s="2"/>
      <c r="AV9" s="2"/>
      <c r="AW9" s="2"/>
      <c r="AX9" s="2"/>
      <c r="AY9" s="2"/>
    </row>
    <row r="10" spans="1:60" x14ac:dyDescent="0.25">
      <c r="B10" s="5" t="s">
        <v>82</v>
      </c>
      <c r="C10" s="2">
        <f>C6-C9</f>
        <v>1523.665</v>
      </c>
      <c r="D10" s="2">
        <f>D6-D9</f>
        <v>565.74299999999994</v>
      </c>
      <c r="E10" s="2">
        <f>E6-E9</f>
        <v>1027.3680000000004</v>
      </c>
      <c r="F10" s="2">
        <f t="shared" ref="F10" si="19">F6-F9</f>
        <v>1191</v>
      </c>
      <c r="G10" s="2">
        <f>AM10-(F10+E10+D10)</f>
        <v>1284.8889999999997</v>
      </c>
      <c r="H10" s="2">
        <f t="shared" ref="H10" si="20">H6-H9</f>
        <v>1234</v>
      </c>
      <c r="I10" s="2">
        <f t="shared" ref="I10" si="21">I6-I9</f>
        <v>1267</v>
      </c>
      <c r="J10" s="2">
        <f t="shared" ref="J10" si="22">J6-J9</f>
        <v>2063</v>
      </c>
      <c r="K10" s="2">
        <f>AN10-(J10+I10+H10)</f>
        <v>2066</v>
      </c>
      <c r="L10" s="2">
        <f t="shared" ref="L10" si="23">L6-L9</f>
        <v>2215</v>
      </c>
      <c r="M10" s="2">
        <f t="shared" ref="M10" si="24">M6-M9</f>
        <v>2884</v>
      </c>
      <c r="N10" s="2">
        <f t="shared" ref="N10" si="25">N6-N9</f>
        <v>3660</v>
      </c>
      <c r="O10" s="2">
        <f>AO10-(N10+M10+L10)</f>
        <v>4847</v>
      </c>
      <c r="P10" s="2">
        <f t="shared" ref="P10" si="26">P6-P9</f>
        <v>5460</v>
      </c>
      <c r="Q10" s="2">
        <f t="shared" ref="Q10" si="27">Q6-Q9</f>
        <v>4234</v>
      </c>
      <c r="R10" s="2">
        <f t="shared" ref="R10" si="28">R6-R9</f>
        <v>5382</v>
      </c>
      <c r="S10" s="2">
        <f>AP10-(R10+Q10+P10)</f>
        <v>5777</v>
      </c>
      <c r="T10" s="2">
        <f t="shared" ref="T10" si="29">T6-T9</f>
        <v>4511</v>
      </c>
      <c r="U10" s="2">
        <f t="shared" ref="U10" si="30">U6-U9</f>
        <v>4533</v>
      </c>
      <c r="X10" s="5"/>
      <c r="Y10" s="5" t="s">
        <v>106</v>
      </c>
      <c r="Z10">
        <f>Main!D10</f>
        <v>233</v>
      </c>
      <c r="AE10" s="5" t="s">
        <v>82</v>
      </c>
      <c r="AF10" s="2">
        <f t="shared" ref="AF10:AK10" si="31">AF6-AF9</f>
        <v>30.067000000000007</v>
      </c>
      <c r="AG10" s="2">
        <f t="shared" si="31"/>
        <v>455.72200000000021</v>
      </c>
      <c r="AH10" s="2">
        <f t="shared" si="31"/>
        <v>881.67099999999982</v>
      </c>
      <c r="AI10" s="2">
        <f t="shared" si="31"/>
        <v>3435.9209999999998</v>
      </c>
      <c r="AJ10" s="2">
        <f t="shared" si="31"/>
        <v>5701.3989999999994</v>
      </c>
      <c r="AK10" s="2">
        <f t="shared" si="31"/>
        <v>7523.8490000000011</v>
      </c>
      <c r="AL10" s="2">
        <f>AL6-AL9</f>
        <v>4042.0210000000006</v>
      </c>
      <c r="AM10" s="2">
        <f>AM6-AM9</f>
        <v>4069</v>
      </c>
      <c r="AN10" s="2">
        <f>AN6-AN9</f>
        <v>6630</v>
      </c>
      <c r="AO10" s="2">
        <f>AO6-AO9</f>
        <v>13606</v>
      </c>
      <c r="AP10" s="2">
        <f>AP6-AP9</f>
        <v>20853</v>
      </c>
      <c r="AQ10" s="2"/>
      <c r="AR10" s="2"/>
      <c r="AS10" s="2"/>
      <c r="AT10" s="2"/>
      <c r="AU10" s="2"/>
      <c r="AV10" s="2"/>
      <c r="AW10" s="2"/>
      <c r="AX10" s="2"/>
      <c r="AY10" s="2"/>
    </row>
    <row r="11" spans="1:60" x14ac:dyDescent="0.25">
      <c r="B11" t="s">
        <v>83</v>
      </c>
      <c r="C11" s="2">
        <f>350848*0.001</f>
        <v>350.84800000000001</v>
      </c>
      <c r="D11" s="2">
        <f>340174*0.001</f>
        <v>340.17400000000004</v>
      </c>
      <c r="E11" s="2">
        <f>323898*0.001</f>
        <v>323.89800000000002</v>
      </c>
      <c r="F11" s="2">
        <f>334</f>
        <v>334</v>
      </c>
      <c r="G11" s="2">
        <f>AM11-(F11+E11+D11)</f>
        <v>344.92799999999988</v>
      </c>
      <c r="H11" s="2">
        <f>324</f>
        <v>324</v>
      </c>
      <c r="I11" s="2">
        <f>334</f>
        <v>334</v>
      </c>
      <c r="J11" s="2">
        <f>366</f>
        <v>366</v>
      </c>
      <c r="K11" s="2">
        <f>AN11-(J11+I11+H11)</f>
        <v>467</v>
      </c>
      <c r="L11" s="2">
        <f>666</f>
        <v>666</v>
      </c>
      <c r="M11" s="2">
        <f>576</f>
        <v>576</v>
      </c>
      <c r="N11" s="2">
        <f>611</f>
        <v>611</v>
      </c>
      <c r="O11" s="2">
        <f>AO11-(N11+M11+L11)</f>
        <v>740</v>
      </c>
      <c r="P11" s="2">
        <f>865</f>
        <v>865</v>
      </c>
      <c r="Q11" s="2">
        <f>667</f>
        <v>667</v>
      </c>
      <c r="R11" s="2">
        <f>733</f>
        <v>733</v>
      </c>
      <c r="S11" s="2">
        <f>AP11-(R11+Q11+P11)</f>
        <v>810</v>
      </c>
      <c r="T11" s="2">
        <f>771</f>
        <v>771</v>
      </c>
      <c r="U11" s="2">
        <f>943</f>
        <v>943</v>
      </c>
      <c r="X11" s="5"/>
      <c r="Y11" s="5" t="s">
        <v>108</v>
      </c>
      <c r="AE11" t="s">
        <v>83</v>
      </c>
      <c r="AF11" s="2">
        <f>273978/1000</f>
        <v>273.97800000000001</v>
      </c>
      <c r="AG11" s="2">
        <f>231976/1000</f>
        <v>231.976</v>
      </c>
      <c r="AH11" s="2">
        <f>464700/1000</f>
        <v>464.7</v>
      </c>
      <c r="AI11" s="2">
        <f>717900/1000</f>
        <v>717.9</v>
      </c>
      <c r="AJ11" s="2">
        <f>834408/1000</f>
        <v>834.40800000000002</v>
      </c>
      <c r="AK11" s="2">
        <f>1378073/1000</f>
        <v>1378.0730000000001</v>
      </c>
      <c r="AL11" s="2">
        <f>1460370*0.001</f>
        <v>1460.3700000000001</v>
      </c>
      <c r="AM11" s="2">
        <f>1343</f>
        <v>1343</v>
      </c>
      <c r="AN11" s="2">
        <f>1491</f>
        <v>1491</v>
      </c>
      <c r="AO11" s="2">
        <f>2593</f>
        <v>2593</v>
      </c>
      <c r="AP11" s="2">
        <f>3075</f>
        <v>3075</v>
      </c>
      <c r="AQ11" s="2"/>
      <c r="AR11" s="2"/>
      <c r="AS11" s="2"/>
      <c r="AT11" s="2"/>
      <c r="AU11" s="2"/>
      <c r="AV11" s="2"/>
      <c r="AW11" s="2"/>
      <c r="AX11" s="2"/>
      <c r="AY11" s="2"/>
    </row>
    <row r="12" spans="1:60" x14ac:dyDescent="0.25">
      <c r="B12" t="s">
        <v>84</v>
      </c>
      <c r="C12" s="2">
        <f>729876*0.001</f>
        <v>729.87599999999998</v>
      </c>
      <c r="D12" s="2">
        <f>703929*0.001</f>
        <v>703.92899999999997</v>
      </c>
      <c r="E12" s="2">
        <f>647261*0.001</f>
        <v>647.26099999999997</v>
      </c>
      <c r="F12" s="2">
        <f>596</f>
        <v>596</v>
      </c>
      <c r="G12" s="2">
        <f>AM12-(F12+E12+D12)</f>
        <v>698.81</v>
      </c>
      <c r="H12" s="2">
        <f>627</f>
        <v>627</v>
      </c>
      <c r="I12" s="2">
        <f>596</f>
        <v>596</v>
      </c>
      <c r="J12" s="2">
        <f>888</f>
        <v>888</v>
      </c>
      <c r="K12" s="2">
        <f>AN12-(J12+I12+H12)</f>
        <v>1034</v>
      </c>
      <c r="L12" s="2">
        <f>1056</f>
        <v>1056</v>
      </c>
      <c r="M12" s="2">
        <f>973</f>
        <v>973</v>
      </c>
      <c r="N12" s="2">
        <f>994</f>
        <v>994</v>
      </c>
      <c r="O12" s="2">
        <f>AO12-(N12+M12+L12)</f>
        <v>1494</v>
      </c>
      <c r="P12" s="2">
        <f>992</f>
        <v>992</v>
      </c>
      <c r="Q12" s="2">
        <f>961+142</f>
        <v>1103</v>
      </c>
      <c r="R12" s="2">
        <f>961</f>
        <v>961</v>
      </c>
      <c r="S12" s="2">
        <f>AP12-(R12+Q12+P12)</f>
        <v>890</v>
      </c>
      <c r="T12" s="2">
        <f>1076</f>
        <v>1076</v>
      </c>
      <c r="U12" s="2">
        <f>1191</f>
        <v>1191</v>
      </c>
      <c r="AE12" t="s">
        <v>84</v>
      </c>
      <c r="AF12" s="2">
        <f>150372/1000</f>
        <v>150.37200000000001</v>
      </c>
      <c r="AG12" s="2">
        <f>285569/1000</f>
        <v>285.56900000000002</v>
      </c>
      <c r="AH12" s="2">
        <f>603660/1000</f>
        <v>603.66</v>
      </c>
      <c r="AI12" s="2">
        <f>922232/1000</f>
        <v>922.23199999999997</v>
      </c>
      <c r="AJ12" s="2">
        <f>1432189/1000</f>
        <v>1432.1890000000001</v>
      </c>
      <c r="AK12" s="2">
        <f>2476500/1000</f>
        <v>2476.5</v>
      </c>
      <c r="AL12" s="2">
        <f>2834491*0.01</f>
        <v>28344.91</v>
      </c>
      <c r="AM12" s="2">
        <f>2646</f>
        <v>2646</v>
      </c>
      <c r="AN12" s="2">
        <f>3145</f>
        <v>3145</v>
      </c>
      <c r="AO12" s="2">
        <f>4517</f>
        <v>4517</v>
      </c>
      <c r="AP12" s="2">
        <f>3946</f>
        <v>3946</v>
      </c>
      <c r="AQ12" s="2"/>
      <c r="AR12" s="2"/>
      <c r="AS12" s="2"/>
      <c r="AT12" s="2"/>
      <c r="AU12" s="2"/>
      <c r="AV12" s="2"/>
      <c r="AW12" s="2"/>
      <c r="AX12" s="2"/>
      <c r="AY12" s="2"/>
    </row>
    <row r="13" spans="1:60" x14ac:dyDescent="0.25">
      <c r="B13" s="5" t="s">
        <v>85</v>
      </c>
      <c r="C13" s="2">
        <f>C11+C12</f>
        <v>1080.7239999999999</v>
      </c>
      <c r="D13" s="2">
        <f>D11+D12</f>
        <v>1044.1030000000001</v>
      </c>
      <c r="E13" s="2">
        <f>E11+E12</f>
        <v>971.15899999999999</v>
      </c>
      <c r="F13" s="2">
        <f t="shared" ref="F13" si="32">F11+F12</f>
        <v>930</v>
      </c>
      <c r="G13" s="2">
        <f>AM13-(F13+E13+D13)</f>
        <v>1043.7379999999998</v>
      </c>
      <c r="H13" s="2">
        <f t="shared" ref="H13" si="33">H11+H12</f>
        <v>951</v>
      </c>
      <c r="I13" s="2">
        <f t="shared" ref="I13" si="34">I11+I12</f>
        <v>930</v>
      </c>
      <c r="J13" s="2">
        <f>J11+J12</f>
        <v>1254</v>
      </c>
      <c r="K13" s="2">
        <f>AN13-(J13+I13+H13)</f>
        <v>1501</v>
      </c>
      <c r="L13" s="2">
        <f t="shared" ref="L13" si="35">L11+L12</f>
        <v>1722</v>
      </c>
      <c r="M13" s="2">
        <f t="shared" ref="M13" si="36">M11+M12</f>
        <v>1549</v>
      </c>
      <c r="N13" s="2">
        <f t="shared" ref="N13" si="37">N11+N12</f>
        <v>1605</v>
      </c>
      <c r="O13" s="2">
        <f>AO13-(N13+M13+L13)</f>
        <v>2234</v>
      </c>
      <c r="P13" s="2">
        <f t="shared" ref="P13" si="38">P11+P12</f>
        <v>1857</v>
      </c>
      <c r="Q13" s="2">
        <f t="shared" ref="Q13" si="39">Q11+Q12</f>
        <v>1770</v>
      </c>
      <c r="R13" s="2">
        <f t="shared" ref="R13" si="40">R11+R12</f>
        <v>1694</v>
      </c>
      <c r="S13" s="2">
        <f>AP13-(R13+Q13+P13)</f>
        <v>1700</v>
      </c>
      <c r="T13" s="2">
        <f t="shared" ref="T13" si="41">T11+T12</f>
        <v>1847</v>
      </c>
      <c r="U13" s="2">
        <f t="shared" ref="U13" si="42">U11+U12</f>
        <v>2134</v>
      </c>
      <c r="AE13" s="5" t="s">
        <v>85</v>
      </c>
      <c r="AF13" s="2">
        <f t="shared" ref="AF13:AK13" si="43">AF11+AF12</f>
        <v>424.35</v>
      </c>
      <c r="AG13" s="2">
        <f t="shared" si="43"/>
        <v>517.54500000000007</v>
      </c>
      <c r="AH13" s="2">
        <f t="shared" si="43"/>
        <v>1068.3599999999999</v>
      </c>
      <c r="AI13" s="2">
        <f t="shared" si="43"/>
        <v>1640.1320000000001</v>
      </c>
      <c r="AJ13" s="2">
        <f t="shared" si="43"/>
        <v>2266.5970000000002</v>
      </c>
      <c r="AK13" s="2">
        <f t="shared" si="43"/>
        <v>3854.5730000000003</v>
      </c>
      <c r="AL13" s="2">
        <f>AL11+AL12</f>
        <v>29805.279999999999</v>
      </c>
      <c r="AM13" s="2">
        <f>AM11+AM12</f>
        <v>3989</v>
      </c>
      <c r="AN13" s="2">
        <f>AN11+AN12</f>
        <v>4636</v>
      </c>
      <c r="AO13" s="2">
        <f>AO11+AO12</f>
        <v>7110</v>
      </c>
      <c r="AP13" s="2">
        <f>AP11+AP12</f>
        <v>7021</v>
      </c>
      <c r="AQ13" s="2"/>
      <c r="AR13" s="2"/>
      <c r="AS13" s="2"/>
      <c r="AT13" s="2"/>
      <c r="AU13" s="2"/>
      <c r="AV13" s="2"/>
      <c r="AW13" s="2"/>
      <c r="AX13" s="2"/>
      <c r="AY13" s="2"/>
    </row>
    <row r="14" spans="1:60" x14ac:dyDescent="0.25">
      <c r="B14" s="5" t="s">
        <v>86</v>
      </c>
      <c r="C14" s="2">
        <f>C10-C13</f>
        <v>442.94100000000003</v>
      </c>
      <c r="D14" s="2">
        <f>D10-D13</f>
        <v>-478.36000000000013</v>
      </c>
      <c r="E14" s="2">
        <f>E10-E13</f>
        <v>56.209000000000401</v>
      </c>
      <c r="F14" s="2">
        <f t="shared" ref="F14" si="44">F10-F13</f>
        <v>261</v>
      </c>
      <c r="G14" s="2">
        <f>AM14-(F14+E14+D14)</f>
        <v>241.15099999999973</v>
      </c>
      <c r="H14" s="2">
        <f>H10-H13</f>
        <v>283</v>
      </c>
      <c r="I14" s="2">
        <f>I10-I13</f>
        <v>337</v>
      </c>
      <c r="J14" s="2">
        <f>J10-J13</f>
        <v>809</v>
      </c>
      <c r="K14" s="2">
        <f>AN14-(J14+I14+H14)</f>
        <v>565</v>
      </c>
      <c r="L14" s="2">
        <f>L10-L13</f>
        <v>493</v>
      </c>
      <c r="M14" s="2">
        <f t="shared" ref="M14" si="45">M10-M13</f>
        <v>1335</v>
      </c>
      <c r="N14" s="2">
        <f t="shared" ref="N14" si="46">N10-N13</f>
        <v>2055</v>
      </c>
      <c r="O14" s="2">
        <f>AO14-(N14+M14+L14)</f>
        <v>2613</v>
      </c>
      <c r="P14" s="2">
        <f t="shared" ref="P14" si="47">P10-P13</f>
        <v>3603</v>
      </c>
      <c r="Q14" s="2">
        <f t="shared" ref="Q14" si="48">Q10-Q13</f>
        <v>2464</v>
      </c>
      <c r="R14" s="2">
        <f t="shared" ref="R14" si="49">R10-R13</f>
        <v>3688</v>
      </c>
      <c r="S14" s="2">
        <f>AP14-(R14+Q14+P14)</f>
        <v>4077</v>
      </c>
      <c r="T14" s="2">
        <f t="shared" ref="T14" si="50">T10-T13</f>
        <v>2664</v>
      </c>
      <c r="U14" s="2">
        <f>U10-U13</f>
        <v>2399</v>
      </c>
      <c r="AE14" s="5" t="s">
        <v>86</v>
      </c>
      <c r="AF14" s="2">
        <f t="shared" ref="AF14:AK14" si="51">AF10-AF13</f>
        <v>-394.28300000000002</v>
      </c>
      <c r="AG14" s="2">
        <f t="shared" si="51"/>
        <v>-61.822999999999865</v>
      </c>
      <c r="AH14" s="2">
        <f t="shared" si="51"/>
        <v>-186.68900000000008</v>
      </c>
      <c r="AI14" s="2">
        <f t="shared" si="51"/>
        <v>1795.7889999999998</v>
      </c>
      <c r="AJ14" s="2">
        <f t="shared" si="51"/>
        <v>3434.8019999999992</v>
      </c>
      <c r="AK14" s="2">
        <f t="shared" si="51"/>
        <v>3669.2760000000007</v>
      </c>
      <c r="AL14" s="2">
        <f>AL10-AL13</f>
        <v>-25763.258999999998</v>
      </c>
      <c r="AM14" s="2">
        <f>AM10-AM13</f>
        <v>80</v>
      </c>
      <c r="AN14" s="2">
        <f>AN10-AN13</f>
        <v>1994</v>
      </c>
      <c r="AO14" s="2">
        <f>AO10-AO13</f>
        <v>6496</v>
      </c>
      <c r="AP14" s="2">
        <f>AP10-AP13</f>
        <v>13832</v>
      </c>
      <c r="AQ14" s="2"/>
      <c r="AR14" s="2"/>
      <c r="AS14" s="2"/>
      <c r="AT14" s="2"/>
      <c r="AU14" s="2"/>
      <c r="AV14" s="2"/>
      <c r="AW14" s="2"/>
      <c r="AX14" s="2"/>
      <c r="AY14" s="2"/>
    </row>
    <row r="15" spans="1:60" x14ac:dyDescent="0.25">
      <c r="B15" t="s">
        <v>87</v>
      </c>
      <c r="C15" s="2">
        <f>416757*0.001</f>
        <v>416.75700000000001</v>
      </c>
      <c r="D15" s="2">
        <f>8762*0.001</f>
        <v>8.7620000000000005</v>
      </c>
      <c r="E15" s="2">
        <f>10362*0.001</f>
        <v>10.362</v>
      </c>
      <c r="F15" s="2">
        <f>15</f>
        <v>15</v>
      </c>
      <c r="G15" s="2">
        <f>AM15-(F15+E15+D15)</f>
        <v>9.8759999999999977</v>
      </c>
      <c r="H15" s="2">
        <f>10</f>
        <v>10</v>
      </c>
      <c r="I15" s="2">
        <f>8</f>
        <v>8</v>
      </c>
      <c r="J15" s="2">
        <f>6</f>
        <v>6</v>
      </c>
      <c r="K15" s="2">
        <f>AN15-(J15+I15+H15)</f>
        <v>6</v>
      </c>
      <c r="L15" s="2">
        <f>10</f>
        <v>10</v>
      </c>
      <c r="M15" s="2">
        <f>11</f>
        <v>11</v>
      </c>
      <c r="N15" s="2">
        <f>10</f>
        <v>10</v>
      </c>
      <c r="O15" s="2">
        <f>AO15-(N15+M15+L15)</f>
        <v>25</v>
      </c>
      <c r="P15" s="2">
        <f>28</f>
        <v>28</v>
      </c>
      <c r="Q15" s="2">
        <f>26</f>
        <v>26</v>
      </c>
      <c r="R15" s="2">
        <f>86</f>
        <v>86</v>
      </c>
      <c r="S15" s="2">
        <f>AP15-(R15+Q15+P15)</f>
        <v>157</v>
      </c>
      <c r="T15" s="2">
        <f>213</f>
        <v>213</v>
      </c>
      <c r="U15" s="2">
        <f>238</f>
        <v>238</v>
      </c>
      <c r="AE15" t="s">
        <v>87</v>
      </c>
      <c r="AF15" s="2">
        <f>288/1000</f>
        <v>0.28799999999999998</v>
      </c>
      <c r="AG15" s="2">
        <f>189/1000</f>
        <v>0.189</v>
      </c>
      <c r="AH15" s="2">
        <f>1126/1000</f>
        <v>1.1259999999999999</v>
      </c>
      <c r="AI15" s="2">
        <f>1508/1000</f>
        <v>1.508</v>
      </c>
      <c r="AJ15" s="2">
        <f>8530/1000</f>
        <v>8.5299999999999994</v>
      </c>
      <c r="AK15" s="2">
        <f>19686/1000</f>
        <v>19.686</v>
      </c>
      <c r="AL15" s="2">
        <f>24533*0.001</f>
        <v>24.533000000000001</v>
      </c>
      <c r="AM15" s="2">
        <f>44</f>
        <v>44</v>
      </c>
      <c r="AN15" s="2">
        <f>30</f>
        <v>30</v>
      </c>
      <c r="AO15" s="2">
        <f>56</f>
        <v>56</v>
      </c>
      <c r="AP15" s="2">
        <f>297</f>
        <v>297</v>
      </c>
      <c r="AQ15" s="2"/>
      <c r="AR15" s="2"/>
      <c r="AS15" s="2"/>
      <c r="AT15" s="2"/>
      <c r="AU15" s="2"/>
      <c r="AV15" s="2"/>
      <c r="AW15" s="2"/>
      <c r="AX15" s="2"/>
      <c r="AY15" s="2"/>
    </row>
    <row r="16" spans="1:60" x14ac:dyDescent="0.25">
      <c r="B16" t="s">
        <v>88</v>
      </c>
      <c r="C16" s="2">
        <f>175220*0.001</f>
        <v>175.22</v>
      </c>
      <c r="D16" s="2">
        <f>157453*0.001</f>
        <v>157.453</v>
      </c>
      <c r="E16" s="2">
        <f>171979*0.001</f>
        <v>171.97900000000001</v>
      </c>
      <c r="F16" s="2">
        <f>185</f>
        <v>185</v>
      </c>
      <c r="G16" s="2">
        <f>AM16-(F16+E16+D16)</f>
        <v>170.56799999999998</v>
      </c>
      <c r="H16" s="2">
        <f>169</f>
        <v>169</v>
      </c>
      <c r="I16" s="2">
        <f>170</f>
        <v>170</v>
      </c>
      <c r="J16" s="2">
        <f>163</f>
        <v>163</v>
      </c>
      <c r="K16" s="2">
        <f>AN16-(J16+I16+H16)</f>
        <v>246</v>
      </c>
      <c r="L16" s="2">
        <f>99</f>
        <v>99</v>
      </c>
      <c r="M16" s="2">
        <f>75</f>
        <v>75</v>
      </c>
      <c r="N16" s="2">
        <f>126</f>
        <v>126</v>
      </c>
      <c r="O16" s="2">
        <f>AO16-(N16+M16+L16)</f>
        <v>71</v>
      </c>
      <c r="P16" s="2">
        <f>61</f>
        <v>61</v>
      </c>
      <c r="Q16" s="2">
        <f>44</f>
        <v>44</v>
      </c>
      <c r="R16" s="2">
        <f>53</f>
        <v>53</v>
      </c>
      <c r="S16" s="2">
        <f>AP16-(R16+Q16+P16)</f>
        <v>-349</v>
      </c>
      <c r="T16" s="2">
        <f>29</f>
        <v>29</v>
      </c>
      <c r="U16" s="2">
        <f>28</f>
        <v>28</v>
      </c>
      <c r="AE16" t="s">
        <v>88</v>
      </c>
      <c r="AF16" s="2">
        <f>254/1000</f>
        <v>0.254</v>
      </c>
      <c r="AG16" s="2">
        <f>32934/1000</f>
        <v>32.933999999999997</v>
      </c>
      <c r="AH16" s="2">
        <f>100886/1000</f>
        <v>100.886</v>
      </c>
      <c r="AI16" s="2">
        <f>118851/1000</f>
        <v>118.851</v>
      </c>
      <c r="AJ16" s="2">
        <f>198810/1000</f>
        <v>198.81</v>
      </c>
      <c r="AK16" s="2">
        <f>471259/1000</f>
        <v>471.25900000000001</v>
      </c>
      <c r="AL16" s="2">
        <f>663071*0.001</f>
        <v>663.07100000000003</v>
      </c>
      <c r="AM16" s="2">
        <f>685</f>
        <v>685</v>
      </c>
      <c r="AN16" s="2">
        <f>748</f>
        <v>748</v>
      </c>
      <c r="AO16" s="2">
        <f>371</f>
        <v>371</v>
      </c>
      <c r="AP16" s="2">
        <v>-191</v>
      </c>
      <c r="AQ16" s="2"/>
      <c r="AR16" s="2"/>
      <c r="AS16" s="2"/>
      <c r="AT16" s="2"/>
      <c r="AU16" s="2"/>
      <c r="AV16" s="2"/>
      <c r="AW16" s="2"/>
      <c r="AX16" s="2"/>
      <c r="AY16" s="2"/>
    </row>
    <row r="17" spans="1:60" x14ac:dyDescent="0.25">
      <c r="B17" s="5" t="s">
        <v>89</v>
      </c>
      <c r="C17" s="2">
        <f>C13-C16+C10</f>
        <v>2429.1689999999999</v>
      </c>
      <c r="D17" s="2">
        <f>D13-D16+D10</f>
        <v>1452.393</v>
      </c>
      <c r="E17" s="2">
        <f>E13-E16+E10</f>
        <v>1826.5480000000002</v>
      </c>
      <c r="F17" s="2">
        <f t="shared" ref="F17" si="52">F13-F16+F10</f>
        <v>1936</v>
      </c>
      <c r="G17" s="2">
        <f>AM17-(F17+E17+D17)</f>
        <v>2158.0589999999993</v>
      </c>
      <c r="H17" s="2">
        <f>H13-H16+H10</f>
        <v>2016</v>
      </c>
      <c r="I17" s="2">
        <f t="shared" ref="I17" si="53">I13-I16+I10</f>
        <v>2027</v>
      </c>
      <c r="J17" s="2">
        <f t="shared" ref="J17" si="54">J13-J16+J10</f>
        <v>3154</v>
      </c>
      <c r="K17" s="2">
        <f>AN17-(J17+I17+H17)</f>
        <v>3321</v>
      </c>
      <c r="L17" s="2">
        <f t="shared" ref="L17" si="55">L13-L16+L10</f>
        <v>3838</v>
      </c>
      <c r="M17" s="2">
        <f t="shared" ref="M17" si="56">M13-M16+M10</f>
        <v>4358</v>
      </c>
      <c r="N17" s="2">
        <f t="shared" ref="N17" si="57">N13-N16+N10</f>
        <v>5139</v>
      </c>
      <c r="O17" s="2">
        <f>AO17-(N17+M17+L17)</f>
        <v>7010</v>
      </c>
      <c r="P17" s="2">
        <f t="shared" ref="P17" si="58">P13-P16+P10</f>
        <v>7256</v>
      </c>
      <c r="Q17" s="2">
        <f t="shared" ref="Q17" si="59">Q13-Q16+Q10</f>
        <v>5960</v>
      </c>
      <c r="R17" s="2">
        <f t="shared" ref="R17" si="60">R13-R16+R10</f>
        <v>7023</v>
      </c>
      <c r="S17" s="2">
        <f>AP17-(R17+Q17+P17)</f>
        <v>7826</v>
      </c>
      <c r="T17" s="2">
        <f>T13-T16+T10</f>
        <v>6329</v>
      </c>
      <c r="U17" s="2">
        <f t="shared" ref="U17" si="61">U13-U16+U10</f>
        <v>6639</v>
      </c>
      <c r="AE17" s="5" t="s">
        <v>89</v>
      </c>
      <c r="AF17" s="2">
        <f t="shared" ref="AF17:AK17" si="62">AF13-AF16+AF10</f>
        <v>454.16300000000001</v>
      </c>
      <c r="AG17" s="2">
        <f t="shared" si="62"/>
        <v>940.33300000000031</v>
      </c>
      <c r="AH17" s="2">
        <f t="shared" si="62"/>
        <v>1849.1449999999998</v>
      </c>
      <c r="AI17" s="2">
        <f t="shared" si="62"/>
        <v>4957.2019999999993</v>
      </c>
      <c r="AJ17" s="2">
        <f t="shared" si="62"/>
        <v>7769.1859999999997</v>
      </c>
      <c r="AK17" s="2">
        <f t="shared" si="62"/>
        <v>10907.163</v>
      </c>
      <c r="AL17" s="2">
        <f>AL13-AL16+AL10</f>
        <v>33184.229999999996</v>
      </c>
      <c r="AM17" s="2">
        <f>AM13-AM16+AM10</f>
        <v>7373</v>
      </c>
      <c r="AN17" s="2">
        <f>AN13-AN16+AN10</f>
        <v>10518</v>
      </c>
      <c r="AO17" s="2">
        <f>AO13-AO16+AO10</f>
        <v>20345</v>
      </c>
      <c r="AP17" s="2">
        <f>AP13-AP16+AP10</f>
        <v>28065</v>
      </c>
      <c r="AQ17" s="2"/>
      <c r="AR17" s="2"/>
      <c r="AS17" s="2"/>
      <c r="AT17" s="2"/>
      <c r="AU17" s="2"/>
      <c r="AV17" s="2"/>
      <c r="AW17" s="2"/>
      <c r="AX17" s="2"/>
      <c r="AY17" s="2"/>
    </row>
    <row r="18" spans="1:60" x14ac:dyDescent="0.25">
      <c r="B18" t="s">
        <v>90</v>
      </c>
      <c r="C18" s="2">
        <f>16647*0.001</f>
        <v>16.647000000000002</v>
      </c>
      <c r="D18" s="2">
        <f>22873*0.001</f>
        <v>22.873000000000001</v>
      </c>
      <c r="E18" s="2">
        <f>19431*0.001</f>
        <v>19.431000000000001</v>
      </c>
      <c r="F18" s="2">
        <f>26</f>
        <v>26</v>
      </c>
      <c r="G18" s="2">
        <f>AM18-(F18+E18+D18)</f>
        <v>41.695999999999998</v>
      </c>
      <c r="H18" s="2">
        <f>2</f>
        <v>2</v>
      </c>
      <c r="I18" s="2">
        <f>21</f>
        <v>21</v>
      </c>
      <c r="J18" s="2">
        <f>186</f>
        <v>186</v>
      </c>
      <c r="K18" s="2">
        <f>AN18-(J18+I18+H18)</f>
        <v>83</v>
      </c>
      <c r="L18" s="2">
        <f>69</f>
        <v>69</v>
      </c>
      <c r="M18" s="2">
        <f>115</f>
        <v>115</v>
      </c>
      <c r="N18" s="2">
        <f>223</f>
        <v>223</v>
      </c>
      <c r="O18" s="2">
        <f>AO18-(N18+M18+L18)</f>
        <v>292</v>
      </c>
      <c r="P18" s="2">
        <f>346</f>
        <v>346</v>
      </c>
      <c r="Q18" s="2">
        <f>205</f>
        <v>205</v>
      </c>
      <c r="R18" s="2">
        <f>305</f>
        <v>305</v>
      </c>
      <c r="S18" s="2">
        <f>AP18-(R18+Q18+P18)</f>
        <v>276</v>
      </c>
      <c r="T18" s="2">
        <f>261</f>
        <v>261</v>
      </c>
      <c r="U18" s="2">
        <f>323</f>
        <v>323</v>
      </c>
      <c r="AE18" t="s">
        <v>90</v>
      </c>
      <c r="AF18" s="2">
        <f>136/1000</f>
        <v>0.13600000000000001</v>
      </c>
      <c r="AG18" s="2">
        <v>0.25879999999999997</v>
      </c>
      <c r="AH18" s="2">
        <f>9404/1000</f>
        <v>9.4039999999999999</v>
      </c>
      <c r="AI18" s="2">
        <f>13039/1000</f>
        <v>13.039</v>
      </c>
      <c r="AJ18" s="2">
        <f>26698/1000</f>
        <v>26.698</v>
      </c>
      <c r="AK18" s="2">
        <f>31546/1000</f>
        <v>31.545999999999999</v>
      </c>
      <c r="AL18" s="2">
        <f>57837*0.001</f>
        <v>57.837000000000003</v>
      </c>
      <c r="AM18" s="2">
        <f>110</f>
        <v>110</v>
      </c>
      <c r="AN18" s="2">
        <f>292</f>
        <v>292</v>
      </c>
      <c r="AO18" s="2">
        <f>699</f>
        <v>699</v>
      </c>
      <c r="AP18" s="2">
        <f>1132</f>
        <v>1132</v>
      </c>
      <c r="AQ18" s="2"/>
      <c r="AR18" s="2"/>
      <c r="AS18" s="2"/>
      <c r="AT18" s="2"/>
      <c r="AU18" s="2"/>
      <c r="AV18" s="2"/>
      <c r="AW18" s="2"/>
      <c r="AX18" s="2"/>
      <c r="AY18" s="2"/>
    </row>
    <row r="19" spans="1:60" x14ac:dyDescent="0.25">
      <c r="B19" s="5" t="s">
        <v>91</v>
      </c>
      <c r="C19" s="2">
        <f>C17-C18</f>
        <v>2412.5219999999999</v>
      </c>
      <c r="D19" s="2">
        <f>D17-D18</f>
        <v>1429.52</v>
      </c>
      <c r="E19" s="2">
        <f t="shared" ref="E19:U19" si="63">E17-E18</f>
        <v>1807.1170000000002</v>
      </c>
      <c r="F19" s="2">
        <f t="shared" si="63"/>
        <v>1910</v>
      </c>
      <c r="G19" s="2">
        <f>AM19-(F19+E19+D19)</f>
        <v>2116.3629999999994</v>
      </c>
      <c r="H19" s="2">
        <f t="shared" si="63"/>
        <v>2014</v>
      </c>
      <c r="I19" s="2">
        <f t="shared" si="63"/>
        <v>2006</v>
      </c>
      <c r="J19" s="2">
        <f t="shared" si="63"/>
        <v>2968</v>
      </c>
      <c r="K19" s="2">
        <f>AN19-(J19+I19+H19)</f>
        <v>3238</v>
      </c>
      <c r="L19" s="2">
        <f t="shared" si="63"/>
        <v>3769</v>
      </c>
      <c r="M19" s="2">
        <f t="shared" si="63"/>
        <v>4243</v>
      </c>
      <c r="N19" s="2">
        <f t="shared" si="63"/>
        <v>4916</v>
      </c>
      <c r="O19" s="2">
        <f>AO19-(N19+M19+L19)</f>
        <v>6718</v>
      </c>
      <c r="P19" s="2">
        <f t="shared" si="63"/>
        <v>6910</v>
      </c>
      <c r="Q19" s="2">
        <f t="shared" si="63"/>
        <v>5755</v>
      </c>
      <c r="R19" s="2">
        <f t="shared" si="63"/>
        <v>6718</v>
      </c>
      <c r="S19" s="2">
        <f>AP19-(R19+Q19+P19)</f>
        <v>7550</v>
      </c>
      <c r="T19" s="2">
        <f t="shared" si="63"/>
        <v>6068</v>
      </c>
      <c r="U19" s="2">
        <f t="shared" si="63"/>
        <v>6316</v>
      </c>
      <c r="V19" s="2"/>
      <c r="X19" t="s">
        <v>92</v>
      </c>
      <c r="AE19" s="5" t="s">
        <v>91</v>
      </c>
      <c r="AF19" s="2">
        <f t="shared" ref="AF19:AK19" si="64">AF17-AF18</f>
        <v>454.02699999999999</v>
      </c>
      <c r="AG19" s="2">
        <f t="shared" si="64"/>
        <v>940.07420000000036</v>
      </c>
      <c r="AH19" s="2">
        <f t="shared" si="64"/>
        <v>1839.7409999999998</v>
      </c>
      <c r="AI19" s="2">
        <f t="shared" si="64"/>
        <v>4944.1629999999996</v>
      </c>
      <c r="AJ19" s="2">
        <f t="shared" si="64"/>
        <v>7742.4879999999994</v>
      </c>
      <c r="AK19" s="2">
        <f t="shared" si="64"/>
        <v>10875.617</v>
      </c>
      <c r="AL19" s="2">
        <f>AL17-AL18</f>
        <v>33126.392999999996</v>
      </c>
      <c r="AM19" s="2">
        <f>AM17-AM18</f>
        <v>7263</v>
      </c>
      <c r="AN19" s="2">
        <f>AN17-AN18</f>
        <v>10226</v>
      </c>
      <c r="AO19" s="2">
        <f>AO17-AO18</f>
        <v>19646</v>
      </c>
      <c r="AP19" s="2">
        <f>AP17-AP18</f>
        <v>26933</v>
      </c>
      <c r="AQ19" s="2"/>
      <c r="AR19" s="2"/>
      <c r="AS19" s="2"/>
      <c r="AT19" s="2"/>
      <c r="AU19" s="2"/>
      <c r="AV19" s="2"/>
      <c r="AW19" s="2"/>
      <c r="AX19" s="2"/>
      <c r="AY19" s="2"/>
    </row>
    <row r="20" spans="1:60" x14ac:dyDescent="0.25"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W20" s="5" t="s">
        <v>93</v>
      </c>
      <c r="X20" t="s">
        <v>92</v>
      </c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L20" s="2"/>
      <c r="AM20" s="2"/>
      <c r="AN20" s="2"/>
      <c r="AO20" s="2"/>
      <c r="AP20" s="2"/>
      <c r="AQ20" s="2"/>
      <c r="AR20" s="2"/>
      <c r="AS20" s="2"/>
      <c r="AT20" s="5"/>
      <c r="AU20" s="2"/>
      <c r="AV20" s="2"/>
      <c r="AW20" s="2"/>
      <c r="AX20" s="2"/>
    </row>
    <row r="21" spans="1:60" x14ac:dyDescent="0.25">
      <c r="B21" s="5" t="s">
        <v>94</v>
      </c>
      <c r="C21" s="10" t="s">
        <v>95</v>
      </c>
      <c r="D21" s="12">
        <f>D4/C4-1</f>
        <v>-0.38940746373938606</v>
      </c>
      <c r="E21" s="12">
        <f>E4/D4-1</f>
        <v>0.44376736940503436</v>
      </c>
      <c r="F21" s="12">
        <f t="shared" ref="F21:U21" si="65">F4/E4-1</f>
        <v>-4.350317657446312E-3</v>
      </c>
      <c r="G21" s="12">
        <f t="shared" si="65"/>
        <v>0.18956659816925092</v>
      </c>
      <c r="H21" s="12">
        <f t="shared" si="65"/>
        <v>-0.19406383730517063</v>
      </c>
      <c r="I21" s="12">
        <f t="shared" si="65"/>
        <v>9.1582229150428685E-3</v>
      </c>
      <c r="J21" s="12">
        <f t="shared" si="65"/>
        <v>0.46958872369183235</v>
      </c>
      <c r="K21" s="12">
        <f t="shared" si="65"/>
        <v>0.22375509131520177</v>
      </c>
      <c r="L21" s="12">
        <f t="shared" si="65"/>
        <v>-3.349796006012451E-2</v>
      </c>
      <c r="M21" s="12">
        <f t="shared" si="65"/>
        <v>0.13374805598755835</v>
      </c>
      <c r="N21" s="12">
        <f t="shared" si="65"/>
        <v>0.18136390358612586</v>
      </c>
      <c r="O21" s="12">
        <f t="shared" si="65"/>
        <v>0.32429294185950064</v>
      </c>
      <c r="P21" s="12">
        <f t="shared" si="65"/>
        <v>5.5990480365754269E-2</v>
      </c>
      <c r="Q21" s="12">
        <f t="shared" si="65"/>
        <v>-0.13397781863471914</v>
      </c>
      <c r="R21" s="12">
        <f t="shared" si="65"/>
        <v>0.28009861662785918</v>
      </c>
      <c r="S21" s="12">
        <f t="shared" si="65"/>
        <v>0.13989942221271123</v>
      </c>
      <c r="T21" s="12">
        <f t="shared" si="65"/>
        <v>-6.3077861735579832E-2</v>
      </c>
      <c r="U21" s="12">
        <f t="shared" si="65"/>
        <v>6.5370936232029164E-2</v>
      </c>
      <c r="V21" s="12"/>
      <c r="W21" s="12">
        <f>AVERAGE(B21:S21)</f>
        <v>0.10599575179618907</v>
      </c>
      <c r="X21" s="12"/>
      <c r="Y21" s="12"/>
      <c r="Z21" s="12"/>
      <c r="AA21" s="12"/>
      <c r="AB21" s="12"/>
      <c r="AC21" s="12"/>
      <c r="AD21" s="12"/>
      <c r="AE21" s="5" t="s">
        <v>94</v>
      </c>
      <c r="AF21" s="12"/>
      <c r="AG21" s="12">
        <f t="shared" ref="AF21:AL21" si="66">AG4/AF4-1</f>
        <v>4.1796504528142409</v>
      </c>
      <c r="AH21" s="12">
        <f t="shared" si="66"/>
        <v>0.59813063060808314</v>
      </c>
      <c r="AI21" s="12">
        <f t="shared" si="66"/>
        <v>7.4815134291324359E-2</v>
      </c>
      <c r="AJ21" s="12">
        <f t="shared" si="66"/>
        <v>0.62869453695913857</v>
      </c>
      <c r="AK21" s="12">
        <f t="shared" si="66"/>
        <v>0.52706053150407595</v>
      </c>
      <c r="AL21" s="12">
        <f t="shared" si="66"/>
        <v>1.1693639135618703</v>
      </c>
      <c r="AM21" s="12">
        <f>AM4/AL4-1</f>
        <v>0.12454869658805512</v>
      </c>
      <c r="AN21" s="12">
        <f>AN4/AM4-1</f>
        <v>0.30810239661879835</v>
      </c>
      <c r="AO21" s="12">
        <f>AO4/AN4-1</f>
        <v>0.73417535614627694</v>
      </c>
      <c r="AP21" s="12">
        <f>AP4/AO4-1</f>
        <v>0.51299966124661256</v>
      </c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x14ac:dyDescent="0.25">
      <c r="B22" s="5" t="s">
        <v>96</v>
      </c>
      <c r="C22" s="13" t="s">
        <v>95</v>
      </c>
      <c r="D22" s="12">
        <f>D6/C6-1</f>
        <v>-0.33452679373302885</v>
      </c>
      <c r="E22" s="12">
        <f>E6/D6-1</f>
        <v>0.39815618928169427</v>
      </c>
      <c r="F22" s="12">
        <f>F6/E6-1</f>
        <v>-7.3509262519851903E-3</v>
      </c>
      <c r="G22" s="12">
        <f>G6/F6-1</f>
        <v>0.17148342059336841</v>
      </c>
      <c r="H22" s="12">
        <f>H6/F6-1</f>
        <v>-5.0452165635411661E-2</v>
      </c>
      <c r="I22" s="12">
        <f>I6/H6-1</f>
        <v>8.521303258145263E-3</v>
      </c>
      <c r="J22" s="12">
        <f>J6/I6-1</f>
        <v>0.4531146454605699</v>
      </c>
      <c r="K22" s="12">
        <f>K6/J6-1</f>
        <v>0.2249458442594916</v>
      </c>
      <c r="L22" s="12">
        <f>L6/J6-1</f>
        <v>0.18447155398472237</v>
      </c>
      <c r="M22" s="12">
        <f>M6/L6-1</f>
        <v>0.15102512272596025</v>
      </c>
      <c r="N22" s="12">
        <f>N6/M6-1</f>
        <v>0.15044321792941973</v>
      </c>
      <c r="O22" s="12">
        <f>O6/N6-1</f>
        <v>0.28799883695573159</v>
      </c>
      <c r="P22" s="12">
        <f>P6/N6-1</f>
        <v>0.36337864359962202</v>
      </c>
      <c r="Q22" s="12">
        <f>Q6/P6-1</f>
        <v>-9.7142247814032801E-2</v>
      </c>
      <c r="R22" s="12">
        <f>R6/Q6-1</f>
        <v>0.26691862525097432</v>
      </c>
      <c r="S22" s="12">
        <f>S6/R6-1</f>
        <v>0.13349491936235669</v>
      </c>
      <c r="T22" s="12">
        <f>T6/R6-1</f>
        <v>8.7396289736179744E-2</v>
      </c>
      <c r="U22" s="12">
        <f>U6/T6-1</f>
        <v>6.8498435423721471E-2</v>
      </c>
      <c r="W22" s="12">
        <f>AVERAGE(B22:S22)</f>
        <v>0.14403001182672487</v>
      </c>
      <c r="Y22" s="12"/>
      <c r="Z22" s="12"/>
      <c r="AA22" s="12"/>
      <c r="AB22" s="12"/>
      <c r="AC22" s="12"/>
      <c r="AD22" s="12"/>
      <c r="AE22" s="5" t="s">
        <v>96</v>
      </c>
      <c r="AF22" s="13"/>
      <c r="AG22" s="13">
        <f t="shared" ref="AF22:AL22" si="67">AG6/AF6-1</f>
        <v>3.8709661807693054</v>
      </c>
      <c r="AH22" s="13">
        <f t="shared" si="67"/>
        <v>0.58888520166362279</v>
      </c>
      <c r="AI22" s="13">
        <f t="shared" si="67"/>
        <v>0.1696549727422465</v>
      </c>
      <c r="AJ22" s="13">
        <f t="shared" si="67"/>
        <v>0.69762412078355007</v>
      </c>
      <c r="AK22" s="13">
        <f t="shared" si="67"/>
        <v>0.51813182850698669</v>
      </c>
      <c r="AL22" s="13">
        <f t="shared" si="67"/>
        <v>1.2259724311036893</v>
      </c>
      <c r="AM22" s="13">
        <f>AM6/AL6-1</f>
        <v>0.14522590184326489</v>
      </c>
      <c r="AN22" s="13">
        <f>AN6/AM6-1</f>
        <v>0.28309870615998056</v>
      </c>
      <c r="AO22" s="13">
        <f>AO6/AN6-1</f>
        <v>0.70671613394216126</v>
      </c>
      <c r="AP22" s="13">
        <f>AP6/AO6-1</f>
        <v>0.51351652639206291</v>
      </c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x14ac:dyDescent="0.25">
      <c r="B23" s="5" t="s">
        <v>97</v>
      </c>
      <c r="C23" s="12">
        <f t="shared" ref="C23:U23" si="68">C10/C6</f>
        <v>0.22326682162993358</v>
      </c>
      <c r="D23" s="12">
        <f t="shared" si="68"/>
        <v>0.1245728249745016</v>
      </c>
      <c r="E23" s="12">
        <f t="shared" si="68"/>
        <v>0.16179849176556416</v>
      </c>
      <c r="F23" s="12">
        <f t="shared" si="68"/>
        <v>0.18895763921941933</v>
      </c>
      <c r="G23" s="12">
        <f t="shared" si="68"/>
        <v>0.17401318551543496</v>
      </c>
      <c r="H23" s="12">
        <f t="shared" si="68"/>
        <v>0.20618212197159566</v>
      </c>
      <c r="I23" s="12">
        <f t="shared" si="68"/>
        <v>0.20990722332670642</v>
      </c>
      <c r="J23" s="12">
        <f t="shared" si="68"/>
        <v>0.23520693193478509</v>
      </c>
      <c r="K23" s="12">
        <f t="shared" si="68"/>
        <v>0.19229337304542071</v>
      </c>
      <c r="L23" s="12">
        <f t="shared" si="68"/>
        <v>0.21320627586870727</v>
      </c>
      <c r="M23" s="12">
        <f t="shared" si="68"/>
        <v>0.24117745442381669</v>
      </c>
      <c r="N23" s="12">
        <f t="shared" si="68"/>
        <v>0.26604637639020134</v>
      </c>
      <c r="O23" s="12">
        <f t="shared" si="68"/>
        <v>0.27354816863254133</v>
      </c>
      <c r="P23" s="12">
        <f t="shared" si="68"/>
        <v>0.29110684580934099</v>
      </c>
      <c r="Q23" s="12">
        <f t="shared" si="68"/>
        <v>0.25002952639659853</v>
      </c>
      <c r="R23" s="12">
        <f t="shared" si="68"/>
        <v>0.25086231005873033</v>
      </c>
      <c r="S23" s="12">
        <f t="shared" si="68"/>
        <v>0.23756065465910026</v>
      </c>
      <c r="T23" s="12">
        <f t="shared" si="68"/>
        <v>0.19336448197522396</v>
      </c>
      <c r="U23" s="12">
        <f t="shared" si="68"/>
        <v>0.18185100493440848</v>
      </c>
      <c r="W23" s="12">
        <f>AVERAGE(A23:S23)</f>
        <v>0.21998448386014105</v>
      </c>
      <c r="Y23" s="12"/>
      <c r="Z23" s="12"/>
      <c r="AA23" s="12"/>
      <c r="AB23" s="12"/>
      <c r="AC23" s="12"/>
      <c r="AD23" s="12"/>
      <c r="AE23" s="5" t="s">
        <v>97</v>
      </c>
      <c r="AF23" s="12">
        <f t="shared" ref="AF23:AK23" si="69">AF10/AF6</f>
        <v>7.2756354414696953E-2</v>
      </c>
      <c r="AG23" s="12">
        <f t="shared" si="69"/>
        <v>0.22639441696688858</v>
      </c>
      <c r="AH23" s="12">
        <f t="shared" si="69"/>
        <v>0.27566380978227562</v>
      </c>
      <c r="AI23" s="12">
        <f t="shared" si="69"/>
        <v>0.91845650850727867</v>
      </c>
      <c r="AJ23" s="12">
        <f t="shared" si="69"/>
        <v>0.89774981474675652</v>
      </c>
      <c r="AK23" s="12">
        <f t="shared" si="69"/>
        <v>0.78037702384533203</v>
      </c>
      <c r="AL23" s="12">
        <f>AL10/AL6</f>
        <v>0.18834026954977687</v>
      </c>
      <c r="AM23" s="12">
        <f>AM10/AM6</f>
        <v>0.1655545609895028</v>
      </c>
      <c r="AN23" s="12">
        <f>AN10/AN6</f>
        <v>0.2102359208523592</v>
      </c>
      <c r="AO23" s="12">
        <f>AO10/AO6</f>
        <v>0.25279155751258753</v>
      </c>
      <c r="AP23" s="12">
        <f>AP10/AP6</f>
        <v>0.25598438535759005</v>
      </c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x14ac:dyDescent="0.25">
      <c r="B24" s="5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Y24" s="12"/>
      <c r="Z24" s="12"/>
      <c r="AA24" s="12"/>
      <c r="AB24" s="12"/>
      <c r="AC24" s="12"/>
      <c r="AD24" s="12"/>
      <c r="AE24" s="5"/>
      <c r="AF24" s="12"/>
      <c r="AG24" s="12"/>
      <c r="AH24" s="12"/>
      <c r="AI24" s="12"/>
      <c r="AJ24" s="12"/>
      <c r="AL24" s="12"/>
      <c r="AM24" s="12"/>
      <c r="AN24" s="12"/>
      <c r="AO24" s="12"/>
      <c r="AP24" s="12"/>
      <c r="AQ24" s="2"/>
      <c r="AR24" s="2"/>
      <c r="AS24" s="2"/>
      <c r="AT24" s="12"/>
      <c r="AU24" s="2"/>
      <c r="AV24" s="2"/>
      <c r="AW24" s="2"/>
      <c r="AX24" s="2"/>
      <c r="AY24" s="2"/>
    </row>
    <row r="25" spans="1:60" x14ac:dyDescent="0.25">
      <c r="A25" s="7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60" x14ac:dyDescent="0.25">
      <c r="B26" s="5" t="s">
        <v>98</v>
      </c>
      <c r="V26" s="5" t="s">
        <v>93</v>
      </c>
      <c r="AE26" s="5" t="s">
        <v>98</v>
      </c>
      <c r="AK26" s="5"/>
      <c r="AL26" s="2"/>
      <c r="AM26" s="2"/>
      <c r="AN26" s="2"/>
      <c r="AO26" s="2"/>
      <c r="AP26" s="2"/>
      <c r="AQ26" s="2"/>
      <c r="AR26" s="2"/>
      <c r="AS26" s="2"/>
      <c r="AT26" s="5"/>
      <c r="AU26" s="2"/>
      <c r="AV26" s="2"/>
      <c r="AW26" s="2"/>
      <c r="AX26" s="2"/>
      <c r="AY26" s="2"/>
    </row>
    <row r="27" spans="1:60" x14ac:dyDescent="0.25">
      <c r="B27" t="s">
        <v>99</v>
      </c>
      <c r="D27" s="14">
        <v>14163</v>
      </c>
      <c r="E27" s="14">
        <v>14517</v>
      </c>
      <c r="F27" s="14">
        <v>16318</v>
      </c>
      <c r="G27" s="14">
        <v>17933</v>
      </c>
      <c r="H27" s="14">
        <v>15390</v>
      </c>
      <c r="I27" s="14">
        <v>6326</v>
      </c>
      <c r="J27" s="14">
        <v>16992</v>
      </c>
      <c r="K27" s="14">
        <v>16097</v>
      </c>
      <c r="L27" s="14">
        <v>0</v>
      </c>
      <c r="M27" s="14">
        <v>2340</v>
      </c>
      <c r="N27" s="14">
        <v>8941</v>
      </c>
      <c r="O27" s="14">
        <v>13109</v>
      </c>
      <c r="P27" s="14">
        <v>14218</v>
      </c>
      <c r="Q27" s="14">
        <v>16411</v>
      </c>
      <c r="R27" s="14">
        <v>19935</v>
      </c>
      <c r="S27" s="14">
        <v>20613</v>
      </c>
      <c r="T27" s="14">
        <v>19437</v>
      </c>
      <c r="V27" s="2">
        <f>AVERAGE(D27:T27)</f>
        <v>13690.588235294117</v>
      </c>
      <c r="AE27" t="s">
        <v>99</v>
      </c>
      <c r="AK27" s="5"/>
      <c r="AL27" s="2"/>
      <c r="AM27" s="2">
        <f>SUM(D27:G27)</f>
        <v>62931</v>
      </c>
      <c r="AN27" s="2">
        <f>SUM(H27:K27)</f>
        <v>54805</v>
      </c>
      <c r="AO27" s="2">
        <f>SUM(L27:O27)</f>
        <v>24390</v>
      </c>
      <c r="AP27" s="2">
        <f>SUM(P27:S27)</f>
        <v>71177</v>
      </c>
      <c r="AQ27" s="2"/>
      <c r="AR27" s="2"/>
      <c r="AS27" s="2"/>
      <c r="AT27" s="2"/>
      <c r="AU27" s="2"/>
      <c r="AV27" s="2"/>
      <c r="AW27" s="2"/>
      <c r="AX27" s="2"/>
      <c r="AY27" s="2"/>
    </row>
    <row r="28" spans="1:60" x14ac:dyDescent="0.25">
      <c r="B28" t="s">
        <v>100</v>
      </c>
      <c r="D28" s="14">
        <v>62975</v>
      </c>
      <c r="E28" s="14">
        <v>72531</v>
      </c>
      <c r="F28" s="14">
        <v>79837</v>
      </c>
      <c r="G28" s="14">
        <v>86958</v>
      </c>
      <c r="H28" s="14">
        <v>87282</v>
      </c>
      <c r="I28" s="14">
        <v>75946</v>
      </c>
      <c r="J28" s="14">
        <v>128044</v>
      </c>
      <c r="K28" s="14">
        <v>163660</v>
      </c>
      <c r="L28" s="14">
        <v>180338</v>
      </c>
      <c r="M28" s="14">
        <v>204081</v>
      </c>
      <c r="N28" s="14">
        <v>228882</v>
      </c>
      <c r="O28" s="14">
        <v>292731</v>
      </c>
      <c r="P28" s="14">
        <v>291189</v>
      </c>
      <c r="Q28" s="14">
        <v>242169</v>
      </c>
      <c r="R28" s="14">
        <v>345988</v>
      </c>
      <c r="S28" s="14">
        <v>419088</v>
      </c>
      <c r="T28" s="14">
        <v>421371</v>
      </c>
      <c r="V28" s="2">
        <f>AVERAGE(D28:T28)</f>
        <v>199004.11764705883</v>
      </c>
      <c r="AE28" t="s">
        <v>100</v>
      </c>
      <c r="AK28" s="5"/>
      <c r="AL28" s="2"/>
      <c r="AM28" s="2">
        <f>SUM(D28:G28)</f>
        <v>302301</v>
      </c>
      <c r="AN28" s="2">
        <f>SUM(H28:K28)</f>
        <v>454932</v>
      </c>
      <c r="AO28" s="2">
        <f>SUM(L28:O28)</f>
        <v>906032</v>
      </c>
      <c r="AP28" s="2">
        <f>SUM(P28:S28)</f>
        <v>1298434</v>
      </c>
      <c r="AQ28" s="2"/>
      <c r="AR28" s="2"/>
      <c r="AS28" s="2"/>
      <c r="AT28" s="2"/>
      <c r="AU28" s="2"/>
      <c r="AV28" s="2"/>
      <c r="AW28" s="2"/>
      <c r="AX28" s="2"/>
      <c r="AY28" s="2"/>
    </row>
    <row r="29" spans="1:60" x14ac:dyDescent="0.25">
      <c r="B29" s="5" t="s">
        <v>101</v>
      </c>
      <c r="C29" s="5"/>
      <c r="D29" s="15">
        <f>D27+D28</f>
        <v>77138</v>
      </c>
      <c r="E29" s="15">
        <f t="shared" ref="E29:T29" si="70">E27+E28</f>
        <v>87048</v>
      </c>
      <c r="F29" s="15">
        <f t="shared" si="70"/>
        <v>96155</v>
      </c>
      <c r="G29" s="15">
        <f t="shared" si="70"/>
        <v>104891</v>
      </c>
      <c r="H29" s="15">
        <f t="shared" si="70"/>
        <v>102672</v>
      </c>
      <c r="I29" s="15">
        <f t="shared" si="70"/>
        <v>82272</v>
      </c>
      <c r="J29" s="15">
        <f t="shared" si="70"/>
        <v>145036</v>
      </c>
      <c r="K29" s="15">
        <f t="shared" si="70"/>
        <v>179757</v>
      </c>
      <c r="L29" s="15">
        <f t="shared" si="70"/>
        <v>180338</v>
      </c>
      <c r="M29" s="15">
        <f t="shared" si="70"/>
        <v>206421</v>
      </c>
      <c r="N29" s="15">
        <f t="shared" si="70"/>
        <v>237823</v>
      </c>
      <c r="O29" s="15">
        <f t="shared" si="70"/>
        <v>305840</v>
      </c>
      <c r="P29" s="15">
        <f t="shared" si="70"/>
        <v>305407</v>
      </c>
      <c r="Q29" s="15">
        <f t="shared" si="70"/>
        <v>258580</v>
      </c>
      <c r="R29" s="15">
        <f t="shared" si="70"/>
        <v>365923</v>
      </c>
      <c r="S29" s="15">
        <f t="shared" si="70"/>
        <v>439701</v>
      </c>
      <c r="T29" s="15">
        <f t="shared" si="70"/>
        <v>440808</v>
      </c>
      <c r="U29" s="5"/>
      <c r="V29" s="2">
        <f>AVERAGE(D29:T29)</f>
        <v>212694.70588235295</v>
      </c>
      <c r="AE29" s="5" t="s">
        <v>101</v>
      </c>
      <c r="AL29" s="2"/>
      <c r="AM29" s="2">
        <f>SUM(D29:G29)</f>
        <v>365232</v>
      </c>
      <c r="AN29" s="2">
        <f>SUM(H29:K29)</f>
        <v>509737</v>
      </c>
      <c r="AO29" s="2">
        <f>SUM(L29:O29)</f>
        <v>930422</v>
      </c>
      <c r="AP29" s="2">
        <f>SUM(P29:S29)</f>
        <v>1369611</v>
      </c>
      <c r="AQ29" s="2"/>
      <c r="AR29" s="2"/>
      <c r="AS29" s="2"/>
      <c r="AT29" s="2"/>
      <c r="AU29" s="2"/>
      <c r="AV29" s="2"/>
      <c r="AW29" s="2"/>
      <c r="AX29" s="2"/>
      <c r="AY29" s="2"/>
    </row>
    <row r="30" spans="1:60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U30" s="11"/>
      <c r="AL30" s="2"/>
      <c r="AM30" s="2"/>
      <c r="AN30" s="2"/>
      <c r="AO30" s="2"/>
      <c r="AP30" s="2"/>
      <c r="AQ30" s="2"/>
      <c r="AR30" s="2"/>
      <c r="AS30" s="2"/>
      <c r="AU30" s="2"/>
      <c r="AV30" s="2"/>
      <c r="AW30" s="2"/>
      <c r="AX30" s="2"/>
      <c r="AY30" s="2"/>
    </row>
    <row r="31" spans="1:60" x14ac:dyDescent="0.25">
      <c r="B31" s="5" t="s">
        <v>102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5" t="s">
        <v>102</v>
      </c>
      <c r="AF31" s="11"/>
      <c r="AG31" s="11"/>
      <c r="AH31" s="11"/>
      <c r="AI31" s="11"/>
      <c r="AJ31" s="11"/>
      <c r="AK31" s="11"/>
      <c r="AL31" s="2"/>
      <c r="AM31" s="2"/>
      <c r="AN31" s="2"/>
      <c r="AO31" s="2"/>
      <c r="AP31" s="2"/>
      <c r="AQ31" s="2"/>
      <c r="AR31" s="2"/>
      <c r="AS31" s="2"/>
      <c r="AT31" s="11"/>
      <c r="AU31" s="2"/>
      <c r="AV31" s="2"/>
      <c r="AW31" s="2"/>
      <c r="AX31" s="2"/>
      <c r="AY31" s="2"/>
    </row>
    <row r="32" spans="1:60" x14ac:dyDescent="0.25">
      <c r="B32" t="s">
        <v>99</v>
      </c>
      <c r="C32" s="11"/>
      <c r="D32" s="14">
        <v>12091</v>
      </c>
      <c r="E32" s="14">
        <v>17722</v>
      </c>
      <c r="F32" s="14">
        <v>17483</v>
      </c>
      <c r="G32" s="14">
        <v>19475</v>
      </c>
      <c r="H32" s="14">
        <v>12230</v>
      </c>
      <c r="I32" s="14">
        <v>10600</v>
      </c>
      <c r="J32" s="14">
        <v>15200</v>
      </c>
      <c r="K32" s="14">
        <v>18920</v>
      </c>
      <c r="L32" s="14">
        <v>2020</v>
      </c>
      <c r="M32" s="14">
        <v>1890</v>
      </c>
      <c r="N32" s="14">
        <v>9275</v>
      </c>
      <c r="O32" s="14">
        <v>11750</v>
      </c>
      <c r="P32" s="14">
        <v>14724</v>
      </c>
      <c r="Q32" s="14">
        <v>16162</v>
      </c>
      <c r="R32" s="14">
        <v>18672</v>
      </c>
      <c r="S32" s="14">
        <v>17147</v>
      </c>
      <c r="T32" s="14">
        <v>10695</v>
      </c>
      <c r="U32" s="14"/>
      <c r="V32" s="2">
        <f>AVERAGE(D32:T32)</f>
        <v>13297.411764705883</v>
      </c>
      <c r="W32" s="11"/>
      <c r="X32" s="11"/>
      <c r="Y32" s="11"/>
      <c r="Z32" s="11"/>
      <c r="AA32" s="11"/>
      <c r="AB32" s="11"/>
      <c r="AC32" s="11"/>
      <c r="AD32" s="11"/>
      <c r="AE32" t="s">
        <v>99</v>
      </c>
      <c r="AF32" s="11"/>
      <c r="AG32" s="11"/>
      <c r="AH32" s="11"/>
      <c r="AI32" s="11"/>
      <c r="AJ32" s="11"/>
      <c r="AK32" s="11"/>
      <c r="AL32" s="2"/>
      <c r="AM32" s="2">
        <f>SUM(D32:G32)</f>
        <v>66771</v>
      </c>
      <c r="AN32" s="2">
        <f>SUM(H32:K32)</f>
        <v>56950</v>
      </c>
      <c r="AO32" s="2">
        <f>SUM(L32:O32)</f>
        <v>24935</v>
      </c>
      <c r="AP32" s="2">
        <f>SUM(P32:S32)</f>
        <v>66705</v>
      </c>
      <c r="AQ32" s="2"/>
      <c r="AR32" s="2"/>
      <c r="AS32" s="2"/>
      <c r="AT32" s="2"/>
      <c r="AU32" s="2"/>
      <c r="AV32" s="2"/>
      <c r="AW32" s="2"/>
      <c r="AX32" s="2"/>
      <c r="AY32" s="2"/>
    </row>
    <row r="33" spans="2:51" x14ac:dyDescent="0.25">
      <c r="B33" t="s">
        <v>100</v>
      </c>
      <c r="C33" s="11"/>
      <c r="D33" s="14">
        <v>50928</v>
      </c>
      <c r="E33" s="14">
        <v>77634</v>
      </c>
      <c r="F33" s="14">
        <v>79703</v>
      </c>
      <c r="G33" s="14">
        <v>92620</v>
      </c>
      <c r="H33" s="14">
        <v>76266</v>
      </c>
      <c r="I33" s="14">
        <v>80050</v>
      </c>
      <c r="J33" s="14">
        <v>124100</v>
      </c>
      <c r="K33" s="14">
        <v>161650</v>
      </c>
      <c r="L33" s="14">
        <v>182780</v>
      </c>
      <c r="M33" s="14">
        <v>199360</v>
      </c>
      <c r="N33" s="14">
        <v>232025</v>
      </c>
      <c r="O33" s="14">
        <v>296850</v>
      </c>
      <c r="P33" s="14">
        <v>295324</v>
      </c>
      <c r="Q33" s="14">
        <v>238533</v>
      </c>
      <c r="R33" s="14">
        <v>325158</v>
      </c>
      <c r="S33" s="14">
        <v>388131</v>
      </c>
      <c r="T33" s="14">
        <v>412180</v>
      </c>
      <c r="U33" s="14"/>
      <c r="V33" s="2">
        <f>AVERAGE(D33:T33)</f>
        <v>194899.5294117647</v>
      </c>
      <c r="W33" s="11"/>
      <c r="X33" s="11"/>
      <c r="Y33" s="11"/>
      <c r="Z33" s="11"/>
      <c r="AA33" s="11"/>
      <c r="AB33" s="11"/>
      <c r="AC33" s="11"/>
      <c r="AD33" s="11"/>
      <c r="AE33" t="s">
        <v>100</v>
      </c>
      <c r="AF33" s="11"/>
      <c r="AG33" s="11"/>
      <c r="AH33" s="11"/>
      <c r="AI33" s="11"/>
      <c r="AJ33" s="11"/>
      <c r="AK33" s="11"/>
      <c r="AL33" s="2"/>
      <c r="AM33" s="2">
        <f>SUM(D33:G33)</f>
        <v>300885</v>
      </c>
      <c r="AN33" s="2">
        <f>SUM(H33:K33)</f>
        <v>442066</v>
      </c>
      <c r="AO33" s="2">
        <f>SUM(L33:O33)</f>
        <v>911015</v>
      </c>
      <c r="AP33" s="2">
        <f>SUM(P33:S33)</f>
        <v>1247146</v>
      </c>
      <c r="AQ33" s="2"/>
      <c r="AR33" s="2"/>
      <c r="AS33" s="2"/>
      <c r="AT33" s="2"/>
      <c r="AU33" s="2"/>
      <c r="AV33" s="2"/>
      <c r="AW33" s="2"/>
      <c r="AX33" s="2"/>
      <c r="AY33" s="2"/>
    </row>
    <row r="34" spans="2:51" x14ac:dyDescent="0.25">
      <c r="B34" s="5" t="s">
        <v>101</v>
      </c>
      <c r="C34" s="11"/>
      <c r="D34" s="15">
        <f>D32+D33</f>
        <v>63019</v>
      </c>
      <c r="E34" s="15">
        <f t="shared" ref="E34" si="71">E32+E33</f>
        <v>95356</v>
      </c>
      <c r="F34" s="15">
        <f t="shared" ref="F34" si="72">F32+F33</f>
        <v>97186</v>
      </c>
      <c r="G34" s="15">
        <f t="shared" ref="G34" si="73">G32+G33</f>
        <v>112095</v>
      </c>
      <c r="H34" s="15">
        <f t="shared" ref="H34" si="74">H32+H33</f>
        <v>88496</v>
      </c>
      <c r="I34" s="15">
        <f t="shared" ref="I34" si="75">I32+I33</f>
        <v>90650</v>
      </c>
      <c r="J34" s="15">
        <f t="shared" ref="J34" si="76">J32+J33</f>
        <v>139300</v>
      </c>
      <c r="K34" s="15">
        <f t="shared" ref="K34" si="77">K32+K33</f>
        <v>180570</v>
      </c>
      <c r="L34" s="15">
        <f t="shared" ref="L34" si="78">L32+L33</f>
        <v>184800</v>
      </c>
      <c r="M34" s="15">
        <f t="shared" ref="M34" si="79">M32+M33</f>
        <v>201250</v>
      </c>
      <c r="N34" s="15">
        <f t="shared" ref="N34" si="80">N32+N33</f>
        <v>241300</v>
      </c>
      <c r="O34" s="15">
        <f t="shared" ref="O34" si="81">O32+O33</f>
        <v>308600</v>
      </c>
      <c r="P34" s="15">
        <f t="shared" ref="P34" si="82">P32+P33</f>
        <v>310048</v>
      </c>
      <c r="Q34" s="15">
        <f t="shared" ref="Q34" si="83">Q32+Q33</f>
        <v>254695</v>
      </c>
      <c r="R34" s="15">
        <f t="shared" ref="R34" si="84">R32+R33</f>
        <v>343830</v>
      </c>
      <c r="S34" s="15">
        <f t="shared" ref="S34" si="85">S32+S33</f>
        <v>405278</v>
      </c>
      <c r="T34" s="15">
        <f t="shared" ref="T34" si="86">T32+T33</f>
        <v>422875</v>
      </c>
      <c r="U34" s="11"/>
      <c r="V34" s="2">
        <f>AVERAGE(D34:T34)</f>
        <v>208196.9411764706</v>
      </c>
      <c r="W34" s="11"/>
      <c r="X34" s="11"/>
      <c r="Y34" s="11"/>
      <c r="Z34" s="11"/>
      <c r="AA34" s="11"/>
      <c r="AB34" s="11"/>
      <c r="AC34" s="11"/>
      <c r="AD34" s="11"/>
      <c r="AE34" s="5" t="s">
        <v>101</v>
      </c>
      <c r="AF34" s="11"/>
      <c r="AG34" s="11"/>
      <c r="AH34" s="11"/>
      <c r="AI34" s="11"/>
      <c r="AJ34" s="11"/>
      <c r="AK34" s="11"/>
      <c r="AL34" s="2"/>
      <c r="AM34" s="2">
        <f>SUM(D34:G34)</f>
        <v>367656</v>
      </c>
      <c r="AN34" s="2">
        <f>SUM(H34:K34)</f>
        <v>499016</v>
      </c>
      <c r="AO34" s="2">
        <f>SUM(L34:O34)</f>
        <v>935950</v>
      </c>
      <c r="AP34" s="2">
        <f>SUM(P34:S34)</f>
        <v>1313851</v>
      </c>
      <c r="AQ34" s="2"/>
      <c r="AR34" s="2"/>
      <c r="AS34" s="2"/>
      <c r="AT34" s="2"/>
      <c r="AU34" s="2"/>
      <c r="AV34" s="2"/>
      <c r="AW34" s="2"/>
      <c r="AX34" s="2"/>
      <c r="AY34" s="2"/>
    </row>
    <row r="35" spans="2:51" x14ac:dyDescent="0.25"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2:51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2:51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2:5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2:5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</row>
    <row r="40" spans="2:5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</row>
    <row r="41" spans="2:5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2:5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2:5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2:5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2:5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2:5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2:5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2:5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3:2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</sheetData>
  <conditionalFormatting sqref="A1:XFD1048576">
    <cfRule type="expression" dxfId="0" priority="59">
      <formula>MOD(ROW(),2)=0</formula>
    </cfRule>
  </conditionalFormatting>
  <conditionalFormatting sqref="C4:U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U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U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U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U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U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U1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U1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U1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U1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U1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U1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U1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U1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U1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U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U2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U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U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T2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T2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T2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T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T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T3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:AX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:AY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Cratchley</dc:creator>
  <cp:keywords/>
  <dc:description/>
  <cp:lastModifiedBy>Ethan Cratchley</cp:lastModifiedBy>
  <cp:revision/>
  <dcterms:created xsi:type="dcterms:W3CDTF">2023-10-09T05:39:05Z</dcterms:created>
  <dcterms:modified xsi:type="dcterms:W3CDTF">2023-11-17T07:39:30Z</dcterms:modified>
  <cp:category/>
  <cp:contentStatus/>
</cp:coreProperties>
</file>