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13_ncr:1_{C9F63BF6-BFBE-4F1B-84FA-A3C1F1ED54BB}" xr6:coauthVersionLast="47" xr6:coauthVersionMax="47" xr10:uidLastSave="{00000000-0000-0000-0000-000000000000}"/>
  <bookViews>
    <workbookView xWindow="-22065" yWindow="2280" windowWidth="21600" windowHeight="11385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2" l="1"/>
  <c r="AC19" i="2"/>
  <c r="AY13" i="2" l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AI8" i="2" l="1"/>
  <c r="AI10" i="2" s="1"/>
  <c r="AI13" i="2" s="1"/>
  <c r="AX22" i="2"/>
  <c r="AX23" i="2" s="1"/>
  <c r="AW22" i="2"/>
  <c r="AW23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22" i="2"/>
  <c r="AX12" i="2"/>
  <c r="AX10" i="2"/>
  <c r="AX8" i="2"/>
  <c r="AX6" i="2"/>
  <c r="AX5" i="2"/>
  <c r="AW12" i="2"/>
  <c r="AW10" i="2"/>
  <c r="AW8" i="2"/>
  <c r="AW6" i="2"/>
  <c r="AW5" i="2"/>
  <c r="AV12" i="2"/>
  <c r="AV10" i="2"/>
  <c r="AV8" i="2"/>
  <c r="AV6" i="2"/>
  <c r="AV7" i="2" s="1"/>
  <c r="AV5" i="2"/>
  <c r="AU12" i="2"/>
  <c r="AU10" i="2"/>
  <c r="AU8" i="2"/>
  <c r="AU6" i="2"/>
  <c r="AU7" i="2" s="1"/>
  <c r="AU5" i="2"/>
  <c r="AR10" i="2"/>
  <c r="AQ10" i="2"/>
  <c r="AO10" i="2"/>
  <c r="AN10" i="2"/>
  <c r="AM10" i="2"/>
  <c r="AM9" i="2"/>
  <c r="AM11" i="2" s="1"/>
  <c r="AM13" i="2" s="1"/>
  <c r="AT7" i="2"/>
  <c r="AT9" i="2" s="1"/>
  <c r="AT11" i="2" s="1"/>
  <c r="AT13" i="2" s="1"/>
  <c r="AS7" i="2"/>
  <c r="AS9" i="2" s="1"/>
  <c r="AS11" i="2" s="1"/>
  <c r="AS13" i="2" s="1"/>
  <c r="AR7" i="2"/>
  <c r="AR9" i="2" s="1"/>
  <c r="AQ7" i="2"/>
  <c r="AQ9" i="2" s="1"/>
  <c r="AQ11" i="2" s="1"/>
  <c r="AQ13" i="2" s="1"/>
  <c r="AP7" i="2"/>
  <c r="AP9" i="2" s="1"/>
  <c r="AO7" i="2"/>
  <c r="AO9" i="2" s="1"/>
  <c r="AN7" i="2"/>
  <c r="AN9" i="2" s="1"/>
  <c r="AM7" i="2"/>
  <c r="AL10" i="2"/>
  <c r="AL11" i="2" s="1"/>
  <c r="AL13" i="2" s="1"/>
  <c r="AI9" i="2"/>
  <c r="AL9" i="2"/>
  <c r="AL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AI12" i="2"/>
  <c r="AX7" i="2" l="1"/>
  <c r="AX9" i="2" s="1"/>
  <c r="AX11" i="2" s="1"/>
  <c r="AX13" i="2" s="1"/>
  <c r="AW7" i="2"/>
  <c r="AW9" i="2" s="1"/>
  <c r="AW11" i="2" s="1"/>
  <c r="AW13" i="2" s="1"/>
  <c r="AV9" i="2"/>
  <c r="AV11" i="2" s="1"/>
  <c r="AV13" i="2" s="1"/>
  <c r="AU9" i="2"/>
  <c r="AU11" i="2" s="1"/>
  <c r="AU13" i="2" s="1"/>
  <c r="AR11" i="2"/>
  <c r="AR13" i="2" s="1"/>
  <c r="AP11" i="2"/>
  <c r="AP13" i="2" s="1"/>
  <c r="AO11" i="2"/>
  <c r="AO13" i="2" s="1"/>
  <c r="AN11" i="2"/>
  <c r="AN13" i="2" s="1"/>
  <c r="AE26" i="2"/>
  <c r="AD26" i="2"/>
  <c r="AA26" i="2"/>
  <c r="Z26" i="2"/>
  <c r="Y26" i="2"/>
  <c r="X26" i="2"/>
  <c r="W26" i="2"/>
  <c r="V26" i="2"/>
  <c r="S26" i="2"/>
  <c r="R26" i="2"/>
  <c r="O26" i="2"/>
  <c r="N26" i="2"/>
  <c r="K26" i="2"/>
  <c r="J26" i="2"/>
  <c r="G26" i="2"/>
  <c r="P22" i="2"/>
  <c r="AE21" i="2"/>
  <c r="AD21" i="2"/>
  <c r="AC21" i="2"/>
  <c r="AA21" i="2"/>
  <c r="Z21" i="2"/>
  <c r="W21" i="2"/>
  <c r="V21" i="2"/>
  <c r="S21" i="2"/>
  <c r="R21" i="2"/>
  <c r="O21" i="2"/>
  <c r="N21" i="2"/>
  <c r="K21" i="2"/>
  <c r="J21" i="2"/>
  <c r="G21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6" i="2"/>
  <c r="F21" i="2"/>
  <c r="F20" i="2"/>
  <c r="AB15" i="2"/>
  <c r="AC26" i="2" s="1"/>
  <c r="AB12" i="2"/>
  <c r="AB10" i="2"/>
  <c r="AB8" i="2"/>
  <c r="AB21" i="2" s="1"/>
  <c r="AB6" i="2"/>
  <c r="AB5" i="2"/>
  <c r="AC20" i="2" s="1"/>
  <c r="X12" i="2"/>
  <c r="T10" i="2"/>
  <c r="X10" i="2"/>
  <c r="X8" i="2"/>
  <c r="Y21" i="2" s="1"/>
  <c r="X6" i="2"/>
  <c r="X5" i="2"/>
  <c r="Y20" i="2" s="1"/>
  <c r="T15" i="2"/>
  <c r="T26" i="2" s="1"/>
  <c r="T12" i="2"/>
  <c r="T8" i="2"/>
  <c r="U21" i="2" s="1"/>
  <c r="T6" i="2"/>
  <c r="T5" i="2"/>
  <c r="T20" i="2" s="1"/>
  <c r="P15" i="2"/>
  <c r="Q26" i="2" s="1"/>
  <c r="P12" i="2"/>
  <c r="P10" i="2"/>
  <c r="P8" i="2"/>
  <c r="P21" i="2" s="1"/>
  <c r="P6" i="2"/>
  <c r="P5" i="2"/>
  <c r="P7" i="2" s="1"/>
  <c r="L15" i="2"/>
  <c r="M26" i="2" s="1"/>
  <c r="H15" i="2"/>
  <c r="H26" i="2" s="1"/>
  <c r="L12" i="2"/>
  <c r="L10" i="2"/>
  <c r="L8" i="2"/>
  <c r="M21" i="2" s="1"/>
  <c r="L6" i="2"/>
  <c r="L5" i="2"/>
  <c r="L20" i="2" s="1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D19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I21" i="2" s="1"/>
  <c r="H6" i="2"/>
  <c r="H5" i="2"/>
  <c r="H20" i="2" s="1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S19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K19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G19" i="2" s="1"/>
  <c r="F7" i="2"/>
  <c r="F9" i="2" s="1"/>
  <c r="F11" i="2" s="1"/>
  <c r="F13" i="2" s="1"/>
  <c r="E7" i="2"/>
  <c r="E9" i="2" s="1"/>
  <c r="E11" i="2" s="1"/>
  <c r="E13" i="2" s="1"/>
  <c r="E19" i="1"/>
  <c r="E22" i="1" s="1"/>
  <c r="E24" i="1" s="1"/>
  <c r="A2" i="1"/>
  <c r="J19" i="2" l="1"/>
  <c r="I26" i="2"/>
  <c r="F19" i="2"/>
  <c r="N19" i="2"/>
  <c r="V19" i="2"/>
  <c r="AE19" i="2"/>
  <c r="W19" i="2"/>
  <c r="V22" i="2"/>
  <c r="Z19" i="2"/>
  <c r="E22" i="2"/>
  <c r="L21" i="2"/>
  <c r="W22" i="2"/>
  <c r="AB26" i="2"/>
  <c r="AA19" i="2"/>
  <c r="AC22" i="2"/>
  <c r="O19" i="2"/>
  <c r="U26" i="2"/>
  <c r="X21" i="2"/>
  <c r="J22" i="2"/>
  <c r="AD22" i="2"/>
  <c r="Q21" i="2"/>
  <c r="K22" i="2"/>
  <c r="P26" i="2"/>
  <c r="I20" i="2"/>
  <c r="U20" i="2"/>
  <c r="H21" i="2"/>
  <c r="T21" i="2"/>
  <c r="G22" i="2"/>
  <c r="M22" i="2"/>
  <c r="M23" i="2" s="1"/>
  <c r="S22" i="2"/>
  <c r="Y22" i="2"/>
  <c r="AE22" i="2"/>
  <c r="AE23" i="2" s="1"/>
  <c r="L26" i="2"/>
  <c r="R19" i="2"/>
  <c r="X20" i="2"/>
  <c r="M20" i="2"/>
  <c r="R22" i="2"/>
  <c r="S23" i="2" s="1"/>
  <c r="F22" i="2"/>
  <c r="F23" i="2" s="1"/>
  <c r="P20" i="2"/>
  <c r="AB20" i="2"/>
  <c r="N22" i="2"/>
  <c r="Z22" i="2"/>
  <c r="J23" i="2"/>
  <c r="P23" i="2"/>
  <c r="Q22" i="2"/>
  <c r="Q23" i="2" s="1"/>
  <c r="Q20" i="2"/>
  <c r="I22" i="2"/>
  <c r="O22" i="2"/>
  <c r="U22" i="2"/>
  <c r="AA22" i="2"/>
  <c r="AA23" i="2" s="1"/>
  <c r="L7" i="2"/>
  <c r="L22" i="2" s="1"/>
  <c r="L23" i="2" s="1"/>
  <c r="AB7" i="2"/>
  <c r="X7" i="2"/>
  <c r="T7" i="2"/>
  <c r="P9" i="2"/>
  <c r="P11" i="2" s="1"/>
  <c r="P13" i="2" s="1"/>
  <c r="P19" i="2" s="1"/>
  <c r="H7" i="2"/>
  <c r="O23" i="2" l="1"/>
  <c r="Z23" i="2"/>
  <c r="AD23" i="2"/>
  <c r="W23" i="2"/>
  <c r="L9" i="2"/>
  <c r="L11" i="2" s="1"/>
  <c r="L13" i="2" s="1"/>
  <c r="M19" i="2" s="1"/>
  <c r="K23" i="2"/>
  <c r="X9" i="2"/>
  <c r="X11" i="2" s="1"/>
  <c r="X13" i="2" s="1"/>
  <c r="X22" i="2"/>
  <c r="G23" i="2"/>
  <c r="H9" i="2"/>
  <c r="H11" i="2" s="1"/>
  <c r="H13" i="2" s="1"/>
  <c r="H22" i="2"/>
  <c r="H23" i="2" s="1"/>
  <c r="AB9" i="2"/>
  <c r="AB11" i="2" s="1"/>
  <c r="AB13" i="2" s="1"/>
  <c r="AB22" i="2"/>
  <c r="R23" i="2"/>
  <c r="N23" i="2"/>
  <c r="Q19" i="2"/>
  <c r="T9" i="2"/>
  <c r="T11" i="2" s="1"/>
  <c r="T13" i="2" s="1"/>
  <c r="T22" i="2"/>
  <c r="T23" i="2" s="1"/>
  <c r="V23" i="2"/>
  <c r="L19" i="2" l="1"/>
  <c r="AB19" i="2"/>
  <c r="H19" i="2"/>
  <c r="I19" i="2"/>
  <c r="T19" i="2"/>
  <c r="U19" i="2"/>
  <c r="I23" i="2"/>
  <c r="U23" i="2"/>
  <c r="X23" i="2"/>
  <c r="Y23" i="2"/>
  <c r="AB23" i="2"/>
  <c r="AC23" i="2"/>
  <c r="X19" i="2"/>
  <c r="Y19" i="2"/>
</calcChain>
</file>

<file path=xl/sharedStrings.xml><?xml version="1.0" encoding="utf-8"?>
<sst xmlns="http://schemas.openxmlformats.org/spreadsheetml/2006/main" count="118" uniqueCount="116">
  <si>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</si>
  <si>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</si>
  <si>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</si>
  <si>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</si>
  <si>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</si>
  <si>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</si>
  <si>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</si>
  <si>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</si>
  <si>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</si>
  <si>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</si>
  <si>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</si>
  <si>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</si>
  <si>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</si>
  <si>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</si>
  <si>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</si>
  <si>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</si>
  <si>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</si>
  <si>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</si>
  <si>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</si>
  <si>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</si>
  <si>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</si>
  <si>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</si>
  <si>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</si>
  <si>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</si>
  <si>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</si>
  <si>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</si>
  <si>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</si>
  <si>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</si>
  <si>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</si>
  <si>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</si>
  <si>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</si>
  <si>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</si>
  <si>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</si>
  <si>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</si>
  <si>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</si>
  <si>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</si>
  <si>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</si>
  <si>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</si>
  <si>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</si>
  <si>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</si>
  <si>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</si>
  <si>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</si>
  <si>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</si>
  <si>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</si>
  <si>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</si>
  <si>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</si>
  <si>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</si>
  <si>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</si>
  <si>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</si>
  <si>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</si>
  <si>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</si>
  <si>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</si>
  <si>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</si>
  <si>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</si>
  <si>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</si>
  <si>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</si>
  <si>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</si>
  <si>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</si>
  <si>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</si>
  <si>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</si>
  <si>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</si>
  <si>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</si>
  <si>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</si>
  <si>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</si>
  <si>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</si>
  <si>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</si>
  <si>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</si>
  <si>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</si>
  <si>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</si>
  <si>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</si>
  <si>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</si>
  <si>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</si>
  <si>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</si>
  <si>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</si>
  <si>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</si>
  <si>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</si>
  <si>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</si>
  <si>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</si>
  <si>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</si>
  <si>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</si>
  <si>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</si>
  <si>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</si>
  <si>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</si>
  <si>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</si>
  <si>
    <t>My Analysis:</t>
  </si>
  <si>
    <t>NPV</t>
  </si>
  <si>
    <t>C-D</t>
  </si>
  <si>
    <t>Net NPV</t>
  </si>
  <si>
    <t>Share</t>
  </si>
  <si>
    <t>Difference</t>
  </si>
  <si>
    <t>Current</t>
  </si>
  <si>
    <t>Discount Rate</t>
  </si>
  <si>
    <t>Maturity</t>
  </si>
  <si>
    <t>Annual Reports:</t>
  </si>
  <si>
    <t>NVIDIA is a semiconductor company based in Santa Clara, California. NVIDIA has made significant advancements in AI and DL through it's CUDA platform.</t>
  </si>
  <si>
    <t>Founder and CEO of NVIDIA since inception</t>
  </si>
  <si>
    <t>Bachelors Electrical Eng @ Oregon State</t>
  </si>
  <si>
    <t>Masters EE Stanford</t>
  </si>
  <si>
    <t>60 yrs old</t>
  </si>
  <si>
    <t>owns 3.6% of company stock</t>
  </si>
  <si>
    <t>21.36M yearly comp</t>
  </si>
  <si>
    <t>Reneas</t>
  </si>
  <si>
    <t>Cisco</t>
  </si>
  <si>
    <t>AMD</t>
  </si>
  <si>
    <t>HP</t>
  </si>
  <si>
    <t>Broadcom</t>
  </si>
  <si>
    <t>Intel</t>
  </si>
  <si>
    <t>Qualcomm</t>
  </si>
  <si>
    <t>M&amp;A:</t>
  </si>
  <si>
    <t xml:space="preserve">Mellanox </t>
  </si>
  <si>
    <t>Arm</t>
  </si>
  <si>
    <t>SwiftStack</t>
  </si>
  <si>
    <t>Ageia</t>
  </si>
  <si>
    <t>OmniML</t>
  </si>
  <si>
    <t>CoreWeave</t>
  </si>
  <si>
    <t>TSMC makes NVIDIA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</si>
</sst>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M26"/>
  <sheetViews>
    <sheetView tabSelected="1" topLeftCell="A13" workbookViewId="0">
      <selection activeCell="E22" sqref="E22"/>
    </sheetView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7" max="7" width="12.5703125" bestFit="1" customWidth="1"/>
  </cols>
  <sheetData>
    <row r="1" spans="1:8" x14ac:dyDescent="0.25">
      <c r="A1" s="1" t="s">
        <v>0</v>
      </c>
    </row>
    <row r="2" spans="1:8" x14ac:dyDescent="0.25">
      <c r="A2" s="2">
        <f ca="1">TODAY()</f>
        <v>45335</v>
      </c>
    </row>
    <row r="3" spans="1:8" x14ac:dyDescent="0.25">
      <c r="D3" s="3" t="s">
        <v>3</v>
      </c>
      <c r="E3" t="s">
        <v>11</v>
      </c>
      <c r="G3" s="3" t="s">
        <v>17</v>
      </c>
    </row>
    <row r="4" spans="1:8" x14ac:dyDescent="0.25">
      <c r="A4" t="s">
        <v>1</v>
      </c>
      <c r="D4" s="3" t="s">
        <v>4</v>
      </c>
      <c r="E4" t="s">
        <v>12</v>
      </c>
      <c r="H4" t="s">
        <v>94</v>
      </c>
    </row>
    <row r="5" spans="1:8" x14ac:dyDescent="0.25">
      <c r="D5" s="3" t="s">
        <v>6</v>
      </c>
      <c r="E5" t="s">
        <v>15</v>
      </c>
      <c r="H5" t="s">
        <v>115</v>
      </c>
    </row>
    <row r="6" spans="1:8" x14ac:dyDescent="0.25">
      <c r="A6" s="5" t="s">
        <v>2</v>
      </c>
      <c r="D6" s="3" t="s">
        <v>5</v>
      </c>
      <c r="E6" t="s">
        <v>16</v>
      </c>
    </row>
    <row r="7" spans="1:8" x14ac:dyDescent="0.25">
      <c r="D7" s="3" t="s">
        <v>7</v>
      </c>
      <c r="E7" t="s">
        <v>14</v>
      </c>
    </row>
    <row r="8" spans="1:8" x14ac:dyDescent="0.25">
      <c r="D8" s="3" t="s">
        <v>8</v>
      </c>
      <c r="E8" t="s">
        <v>13</v>
      </c>
    </row>
    <row r="9" spans="1:8" x14ac:dyDescent="0.25">
      <c r="D9" s="3" t="s">
        <v>9</v>
      </c>
      <c r="E9">
        <v>1993</v>
      </c>
    </row>
    <row r="10" spans="1:8" x14ac:dyDescent="0.25">
      <c r="D10" s="3" t="s">
        <v>10</v>
      </c>
      <c r="E10" s="4">
        <v>26000</v>
      </c>
      <c r="G10" s="3" t="s">
        <v>18</v>
      </c>
    </row>
    <row r="11" spans="1:8" x14ac:dyDescent="0.25">
      <c r="H11" t="s">
        <v>95</v>
      </c>
    </row>
    <row r="12" spans="1:8" x14ac:dyDescent="0.25">
      <c r="D12" s="3" t="s">
        <v>19</v>
      </c>
      <c r="E12" t="s">
        <v>15</v>
      </c>
      <c r="H12" t="s">
        <v>96</v>
      </c>
    </row>
    <row r="13" spans="1:8" x14ac:dyDescent="0.25">
      <c r="D13" s="3" t="s">
        <v>20</v>
      </c>
      <c r="E13" t="s">
        <v>22</v>
      </c>
      <c r="H13" t="s">
        <v>97</v>
      </c>
    </row>
    <row r="14" spans="1:8" x14ac:dyDescent="0.25">
      <c r="D14" s="3" t="s">
        <v>21</v>
      </c>
      <c r="E14" t="s">
        <v>23</v>
      </c>
      <c r="H14" t="s">
        <v>98</v>
      </c>
    </row>
    <row r="15" spans="1:8" x14ac:dyDescent="0.25">
      <c r="H15" t="s">
        <v>99</v>
      </c>
    </row>
    <row r="16" spans="1:8" x14ac:dyDescent="0.25">
      <c r="D16" s="3" t="s">
        <v>25</v>
      </c>
      <c r="G16" s="3"/>
      <c r="H16" t="s">
        <v>100</v>
      </c>
    </row>
    <row r="17" spans="4:13" x14ac:dyDescent="0.25">
      <c r="D17" t="s">
        <v>26</v>
      </c>
      <c r="E17">
        <v>721</v>
      </c>
    </row>
    <row r="18" spans="4:13" x14ac:dyDescent="0.25">
      <c r="D18" t="s">
        <v>27</v>
      </c>
      <c r="E18" s="4">
        <v>2468</v>
      </c>
      <c r="G18" s="3" t="s">
        <v>24</v>
      </c>
      <c r="J18" s="3" t="s">
        <v>108</v>
      </c>
      <c r="M18" s="3"/>
    </row>
    <row r="19" spans="4:13" x14ac:dyDescent="0.25">
      <c r="D19" t="s">
        <v>28</v>
      </c>
      <c r="E19" s="4">
        <f>E18*E17</f>
        <v>1779428</v>
      </c>
      <c r="H19" t="s">
        <v>101</v>
      </c>
      <c r="K19" t="s">
        <v>109</v>
      </c>
    </row>
    <row r="20" spans="4:13" x14ac:dyDescent="0.25">
      <c r="D20" t="s">
        <v>29</v>
      </c>
      <c r="E20" s="4">
        <v>13296</v>
      </c>
      <c r="H20" t="s">
        <v>102</v>
      </c>
      <c r="K20" t="s">
        <v>110</v>
      </c>
    </row>
    <row r="21" spans="4:13" x14ac:dyDescent="0.25">
      <c r="D21" t="s">
        <v>30</v>
      </c>
      <c r="E21" s="4">
        <v>10605</v>
      </c>
      <c r="H21" t="s">
        <v>103</v>
      </c>
      <c r="K21" t="s">
        <v>111</v>
      </c>
    </row>
    <row r="22" spans="4:13" x14ac:dyDescent="0.25">
      <c r="D22" t="s">
        <v>31</v>
      </c>
      <c r="E22" s="4">
        <f>E19-E20+E21</f>
        <v>1776737</v>
      </c>
      <c r="H22" t="s">
        <v>104</v>
      </c>
      <c r="K22" t="s">
        <v>112</v>
      </c>
    </row>
    <row r="23" spans="4:13" x14ac:dyDescent="0.25">
      <c r="D23" t="s">
        <v>32</v>
      </c>
      <c r="E23" s="4">
        <v>22160</v>
      </c>
      <c r="H23" t="s">
        <v>105</v>
      </c>
      <c r="K23" t="s">
        <v>113</v>
      </c>
    </row>
    <row r="24" spans="4:13" x14ac:dyDescent="0.25">
      <c r="D24" t="s">
        <v>33</v>
      </c>
      <c r="E24" s="4">
        <f>E22/E23</f>
        <v>80.177662454873641</v>
      </c>
      <c r="H24" t="s">
        <v>106</v>
      </c>
      <c r="K24" t="s">
        <v>114</v>
      </c>
    </row>
    <row r="25" spans="4:13" x14ac:dyDescent="0.25">
      <c r="H25" t="s">
        <v>107</v>
      </c>
    </row>
    <row r="26" spans="4:13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FH26"/>
  <sheetViews>
    <sheetView zoomScaleNormal="100" workbookViewId="0">
      <pane xSplit="4" ySplit="4" topLeftCell="AA5" activePane="bottomRight" state="frozen"/>
      <selection pane="topRight" activeCell="E1" sqref="E1"/>
      <selection pane="bottomLeft" activeCell="A5" sqref="A5"/>
      <selection pane="bottomRight" activeCell="AI13" sqref="AI13"/>
    </sheetView>
  </sheetViews>
  <sheetFormatPr defaultRowHeight="15" x14ac:dyDescent="0.25"/>
  <cols>
    <col min="4" max="4" width="19.7109375" bestFit="1" customWidth="1"/>
    <col min="34" max="34" width="13.85546875" bestFit="1" customWidth="1"/>
    <col min="37" max="37" width="15.28515625" bestFit="1" customWidth="1"/>
  </cols>
  <sheetData>
    <row r="1" spans="1:164" x14ac:dyDescent="0.25">
      <c r="A1" s="1" t="s">
        <v>35</v>
      </c>
    </row>
    <row r="3" spans="1:164" x14ac:dyDescent="0.25">
      <c r="A3" s="5" t="s">
        <v>36</v>
      </c>
      <c r="D3" s="3" t="s">
        <v>37</v>
      </c>
      <c r="AK3" s="3" t="s">
        <v>93</v>
      </c>
    </row>
    <row r="4" spans="1:164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  <c r="AL4">
        <v>2011</v>
      </c>
      <c r="AM4">
        <f t="shared" ref="AM4:BS4" si="0">AL4+1</f>
        <v>2012</v>
      </c>
      <c r="AN4">
        <f t="shared" si="0"/>
        <v>2013</v>
      </c>
      <c r="AO4">
        <f t="shared" si="0"/>
        <v>2014</v>
      </c>
      <c r="AP4">
        <f t="shared" si="0"/>
        <v>2015</v>
      </c>
      <c r="AQ4">
        <f t="shared" si="0"/>
        <v>2016</v>
      </c>
      <c r="AR4">
        <f t="shared" si="0"/>
        <v>2017</v>
      </c>
      <c r="AS4">
        <f t="shared" si="0"/>
        <v>2018</v>
      </c>
      <c r="AT4">
        <f t="shared" si="0"/>
        <v>2019</v>
      </c>
      <c r="AU4">
        <f t="shared" si="0"/>
        <v>2020</v>
      </c>
      <c r="AV4">
        <f t="shared" si="0"/>
        <v>2021</v>
      </c>
      <c r="AW4">
        <f t="shared" si="0"/>
        <v>2022</v>
      </c>
      <c r="AX4">
        <f t="shared" si="0"/>
        <v>2023</v>
      </c>
      <c r="AY4">
        <f t="shared" si="0"/>
        <v>2024</v>
      </c>
      <c r="AZ4">
        <f t="shared" si="0"/>
        <v>2025</v>
      </c>
      <c r="BA4">
        <f t="shared" si="0"/>
        <v>2026</v>
      </c>
      <c r="BB4">
        <f t="shared" si="0"/>
        <v>2027</v>
      </c>
      <c r="BC4">
        <f t="shared" si="0"/>
        <v>2028</v>
      </c>
      <c r="BD4">
        <f t="shared" si="0"/>
        <v>2029</v>
      </c>
      <c r="BE4">
        <f t="shared" si="0"/>
        <v>2030</v>
      </c>
      <c r="BF4">
        <f t="shared" si="0"/>
        <v>2031</v>
      </c>
      <c r="BG4">
        <f t="shared" si="0"/>
        <v>2032</v>
      </c>
      <c r="BH4">
        <f t="shared" si="0"/>
        <v>2033</v>
      </c>
      <c r="BI4">
        <f t="shared" si="0"/>
        <v>2034</v>
      </c>
      <c r="BJ4">
        <f t="shared" si="0"/>
        <v>2035</v>
      </c>
      <c r="BK4">
        <f t="shared" si="0"/>
        <v>2036</v>
      </c>
      <c r="BL4">
        <f t="shared" si="0"/>
        <v>2037</v>
      </c>
      <c r="BM4">
        <f t="shared" si="0"/>
        <v>2038</v>
      </c>
      <c r="BN4">
        <f t="shared" si="0"/>
        <v>2039</v>
      </c>
      <c r="BO4">
        <f t="shared" si="0"/>
        <v>2040</v>
      </c>
      <c r="BP4">
        <f t="shared" si="0"/>
        <v>2041</v>
      </c>
      <c r="BQ4">
        <f t="shared" si="0"/>
        <v>2042</v>
      </c>
      <c r="BR4">
        <f t="shared" si="0"/>
        <v>2043</v>
      </c>
      <c r="BS4">
        <f t="shared" si="0"/>
        <v>2044</v>
      </c>
    </row>
    <row r="5" spans="1:164" x14ac:dyDescent="0.25">
      <c r="D5" s="3" t="s">
        <v>42</v>
      </c>
      <c r="E5" s="4">
        <v>1937</v>
      </c>
      <c r="F5" s="4">
        <v>2230</v>
      </c>
      <c r="G5" s="4">
        <v>2636</v>
      </c>
      <c r="H5" s="4">
        <f>9714-E5-F5-G5</f>
        <v>2911</v>
      </c>
      <c r="I5" s="4">
        <v>3207</v>
      </c>
      <c r="J5" s="4">
        <v>3123</v>
      </c>
      <c r="K5" s="4">
        <v>3181</v>
      </c>
      <c r="L5" s="4">
        <f>11716-I5-J5-K5</f>
        <v>2205</v>
      </c>
      <c r="M5" s="4">
        <v>2220</v>
      </c>
      <c r="N5" s="4">
        <v>2579</v>
      </c>
      <c r="O5" s="4">
        <v>3014</v>
      </c>
      <c r="P5" s="4">
        <f>10918-M5-N5-O5</f>
        <v>3105</v>
      </c>
      <c r="Q5" s="4">
        <v>3080</v>
      </c>
      <c r="R5" s="4">
        <v>3866</v>
      </c>
      <c r="S5" s="4">
        <v>4276</v>
      </c>
      <c r="T5" s="4">
        <f>16675-Q5-R5-S5</f>
        <v>5453</v>
      </c>
      <c r="U5" s="4">
        <v>5661</v>
      </c>
      <c r="V5" s="4">
        <v>6507</v>
      </c>
      <c r="W5" s="4">
        <v>7103</v>
      </c>
      <c r="X5" s="4">
        <f>26914-U5-V5-W5</f>
        <v>7643</v>
      </c>
      <c r="Y5" s="4">
        <v>8288</v>
      </c>
      <c r="Z5" s="4">
        <v>6704</v>
      </c>
      <c r="AA5" s="4">
        <v>5931</v>
      </c>
      <c r="AB5" s="4">
        <f>26974-Y5-Z5-AA5</f>
        <v>6051</v>
      </c>
      <c r="AC5" s="4">
        <v>7192</v>
      </c>
      <c r="AD5" s="4">
        <v>13507</v>
      </c>
      <c r="AE5" s="4">
        <v>18120</v>
      </c>
      <c r="AF5" s="4"/>
      <c r="AG5" s="4"/>
      <c r="AH5" s="9" t="s">
        <v>84</v>
      </c>
      <c r="AI5" s="4"/>
      <c r="AJ5" s="4"/>
      <c r="AK5" s="4"/>
      <c r="AL5" s="4">
        <v>3543</v>
      </c>
      <c r="AM5" s="4">
        <v>4000</v>
      </c>
      <c r="AN5" s="4">
        <v>4280</v>
      </c>
      <c r="AO5" s="4">
        <v>4130</v>
      </c>
      <c r="AP5" s="4">
        <v>4681</v>
      </c>
      <c r="AQ5" s="4">
        <v>11716</v>
      </c>
      <c r="AR5" s="4">
        <v>10918</v>
      </c>
      <c r="AS5" s="4">
        <v>9714</v>
      </c>
      <c r="AT5" s="4">
        <v>11716</v>
      </c>
      <c r="AU5" s="4">
        <f>SUM(M5:P5)</f>
        <v>10918</v>
      </c>
      <c r="AV5" s="4">
        <f>SUM(T5:W5)</f>
        <v>24724</v>
      </c>
      <c r="AW5" s="4">
        <f>SUM(U5:X5)</f>
        <v>26914</v>
      </c>
      <c r="AX5" s="4">
        <f>SUM(Y5:AB5)</f>
        <v>26974</v>
      </c>
    </row>
    <row r="6" spans="1:164" x14ac:dyDescent="0.25">
      <c r="D6" s="3" t="s">
        <v>43</v>
      </c>
      <c r="E6" s="4">
        <v>787</v>
      </c>
      <c r="F6" s="4">
        <v>928</v>
      </c>
      <c r="G6" s="4">
        <v>1067</v>
      </c>
      <c r="H6" s="4">
        <f>3892-G6-F6-E6</f>
        <v>1110</v>
      </c>
      <c r="I6" s="4">
        <v>1139</v>
      </c>
      <c r="J6" s="4">
        <v>1148</v>
      </c>
      <c r="K6" s="4">
        <v>1260</v>
      </c>
      <c r="L6" s="4">
        <f>4545-I6-J6-K6</f>
        <v>998</v>
      </c>
      <c r="M6" s="4">
        <v>924</v>
      </c>
      <c r="N6" s="4">
        <v>1038</v>
      </c>
      <c r="O6" s="4">
        <v>1098</v>
      </c>
      <c r="P6" s="4">
        <f>4150-M6-N6-O6</f>
        <v>1090</v>
      </c>
      <c r="Q6" s="4">
        <v>1076</v>
      </c>
      <c r="R6" s="4">
        <v>1591</v>
      </c>
      <c r="S6" s="4">
        <v>1766</v>
      </c>
      <c r="T6" s="4">
        <f>6279-Q6-R6-S6</f>
        <v>1846</v>
      </c>
      <c r="U6" s="4">
        <v>2032</v>
      </c>
      <c r="V6" s="4">
        <v>2292</v>
      </c>
      <c r="W6" s="4">
        <v>2472</v>
      </c>
      <c r="X6" s="4">
        <f>9439-U6-V6-W6</f>
        <v>2643</v>
      </c>
      <c r="Y6" s="4">
        <v>2857</v>
      </c>
      <c r="Z6" s="4">
        <v>3789</v>
      </c>
      <c r="AA6" s="4">
        <v>2754</v>
      </c>
      <c r="AB6" s="4">
        <f>11618-Y6-Z6-AA6</f>
        <v>2218</v>
      </c>
      <c r="AC6" s="4">
        <v>2544</v>
      </c>
      <c r="AD6" s="4">
        <v>4045</v>
      </c>
      <c r="AE6" s="4">
        <v>4720</v>
      </c>
      <c r="AF6" s="4"/>
      <c r="AG6" s="4"/>
      <c r="AH6" s="4" t="s">
        <v>92</v>
      </c>
      <c r="AI6" s="10">
        <v>0.08</v>
      </c>
      <c r="AJ6" s="4"/>
      <c r="AK6" s="4"/>
      <c r="AL6" s="4">
        <v>2134</v>
      </c>
      <c r="AM6" s="4">
        <v>1941</v>
      </c>
      <c r="AN6" s="4">
        <v>2053</v>
      </c>
      <c r="AO6" s="4">
        <v>1862</v>
      </c>
      <c r="AP6" s="4">
        <v>2082</v>
      </c>
      <c r="AQ6" s="4">
        <v>4545</v>
      </c>
      <c r="AR6" s="4">
        <v>4150</v>
      </c>
      <c r="AS6" s="4">
        <v>3892</v>
      </c>
      <c r="AT6" s="4">
        <v>4545</v>
      </c>
      <c r="AU6" s="4">
        <f>SUM(M6:P6)</f>
        <v>4150</v>
      </c>
      <c r="AV6" s="4">
        <f>SUM(T6:W6)</f>
        <v>8642</v>
      </c>
      <c r="AW6" s="4">
        <f>SUM(U6:X6)</f>
        <v>9439</v>
      </c>
      <c r="AX6" s="4">
        <f>SUM(Y6:AB6)</f>
        <v>11618</v>
      </c>
    </row>
    <row r="7" spans="1:164" x14ac:dyDescent="0.25">
      <c r="D7" s="3" t="s">
        <v>44</v>
      </c>
      <c r="E7" s="4">
        <f>E5-E6</f>
        <v>1150</v>
      </c>
      <c r="F7" s="4">
        <f t="shared" ref="F7:X7" si="1">F5-F6</f>
        <v>1302</v>
      </c>
      <c r="G7" s="4">
        <f t="shared" si="1"/>
        <v>1569</v>
      </c>
      <c r="H7" s="4">
        <f t="shared" si="1"/>
        <v>1801</v>
      </c>
      <c r="I7" s="4">
        <f t="shared" si="1"/>
        <v>2068</v>
      </c>
      <c r="J7" s="4">
        <f t="shared" si="1"/>
        <v>1975</v>
      </c>
      <c r="K7" s="4">
        <f t="shared" si="1"/>
        <v>1921</v>
      </c>
      <c r="L7" s="4">
        <f t="shared" si="1"/>
        <v>1207</v>
      </c>
      <c r="M7" s="4">
        <f t="shared" si="1"/>
        <v>1296</v>
      </c>
      <c r="N7" s="4">
        <f t="shared" si="1"/>
        <v>1541</v>
      </c>
      <c r="O7" s="4">
        <f t="shared" si="1"/>
        <v>1916</v>
      </c>
      <c r="P7" s="4">
        <f t="shared" si="1"/>
        <v>2015</v>
      </c>
      <c r="Q7" s="4">
        <f t="shared" si="1"/>
        <v>2004</v>
      </c>
      <c r="R7" s="4">
        <f t="shared" si="1"/>
        <v>2275</v>
      </c>
      <c r="S7" s="4">
        <f t="shared" si="1"/>
        <v>2510</v>
      </c>
      <c r="T7" s="4">
        <f t="shared" si="1"/>
        <v>3607</v>
      </c>
      <c r="U7" s="4">
        <f t="shared" si="1"/>
        <v>3629</v>
      </c>
      <c r="V7" s="4">
        <f t="shared" si="1"/>
        <v>4215</v>
      </c>
      <c r="W7" s="4">
        <f t="shared" si="1"/>
        <v>4631</v>
      </c>
      <c r="X7" s="4">
        <f t="shared" si="1"/>
        <v>5000</v>
      </c>
      <c r="Y7" s="4">
        <f t="shared" ref="Y7" si="2">Y5-Y6</f>
        <v>5431</v>
      </c>
      <c r="Z7" s="4">
        <f t="shared" ref="Z7" si="3">Z5-Z6</f>
        <v>2915</v>
      </c>
      <c r="AA7" s="4">
        <f t="shared" ref="AA7" si="4">AA5-AA6</f>
        <v>3177</v>
      </c>
      <c r="AB7" s="4">
        <f t="shared" ref="AB7" si="5">AB5-AB6</f>
        <v>3833</v>
      </c>
      <c r="AC7" s="4">
        <f t="shared" ref="AC7" si="6">AC5-AC6</f>
        <v>4648</v>
      </c>
      <c r="AD7" s="4">
        <f t="shared" ref="AD7" si="7">AD5-AD6</f>
        <v>9462</v>
      </c>
      <c r="AE7" s="4">
        <f t="shared" ref="AE7" si="8">AE5-AE6</f>
        <v>13400</v>
      </c>
      <c r="AF7" s="4">
        <f t="shared" ref="AF7" si="9">AF5-AF6</f>
        <v>0</v>
      </c>
      <c r="AG7" s="4"/>
      <c r="AH7" s="4" t="s">
        <v>91</v>
      </c>
      <c r="AI7" s="10">
        <v>6.5000000000000002E-2</v>
      </c>
      <c r="AJ7" s="4"/>
      <c r="AK7" s="4"/>
      <c r="AL7" s="4">
        <f>AL5-AL6</f>
        <v>1409</v>
      </c>
      <c r="AM7" s="4">
        <f t="shared" ref="AM7:AX7" si="10">AM5-AM6</f>
        <v>2059</v>
      </c>
      <c r="AN7" s="4">
        <f t="shared" si="10"/>
        <v>2227</v>
      </c>
      <c r="AO7" s="4">
        <f t="shared" si="10"/>
        <v>2268</v>
      </c>
      <c r="AP7" s="4">
        <f t="shared" si="10"/>
        <v>2599</v>
      </c>
      <c r="AQ7" s="4">
        <f t="shared" si="10"/>
        <v>7171</v>
      </c>
      <c r="AR7" s="4">
        <f t="shared" si="10"/>
        <v>6768</v>
      </c>
      <c r="AS7" s="4">
        <f t="shared" si="10"/>
        <v>5822</v>
      </c>
      <c r="AT7" s="4">
        <f t="shared" si="10"/>
        <v>7171</v>
      </c>
      <c r="AU7" s="4">
        <f t="shared" si="10"/>
        <v>6768</v>
      </c>
      <c r="AV7" s="4">
        <f t="shared" si="10"/>
        <v>16082</v>
      </c>
      <c r="AW7" s="4">
        <f t="shared" si="10"/>
        <v>17475</v>
      </c>
      <c r="AX7" s="4">
        <f t="shared" si="10"/>
        <v>15356</v>
      </c>
      <c r="AY7" s="4"/>
      <c r="AZ7" s="4"/>
      <c r="BA7" s="4"/>
      <c r="BB7" s="4"/>
      <c r="BC7" s="4"/>
      <c r="BD7" s="4"/>
      <c r="BE7" s="4"/>
    </row>
    <row r="8" spans="1:164" x14ac:dyDescent="0.25">
      <c r="D8" s="3" t="s">
        <v>45</v>
      </c>
      <c r="E8" s="4">
        <v>596</v>
      </c>
      <c r="F8" s="4">
        <v>614</v>
      </c>
      <c r="G8" s="4">
        <v>674</v>
      </c>
      <c r="H8" s="4">
        <f>2612-G8-F8-E8</f>
        <v>728</v>
      </c>
      <c r="I8" s="4">
        <v>773</v>
      </c>
      <c r="J8" s="4">
        <v>818</v>
      </c>
      <c r="K8" s="4">
        <v>863</v>
      </c>
      <c r="L8" s="4">
        <f>3367-I8-J8-K8</f>
        <v>913</v>
      </c>
      <c r="M8" s="4">
        <v>938</v>
      </c>
      <c r="N8" s="4">
        <v>970</v>
      </c>
      <c r="O8" s="4">
        <v>989</v>
      </c>
      <c r="P8" s="4">
        <f>3922-M8-N8-O8</f>
        <v>1025</v>
      </c>
      <c r="Q8" s="4">
        <v>1028</v>
      </c>
      <c r="R8" s="4">
        <v>1624</v>
      </c>
      <c r="S8" s="4">
        <v>1562</v>
      </c>
      <c r="T8" s="4">
        <f>5864-S8-R8-Q8</f>
        <v>1650</v>
      </c>
      <c r="U8" s="4">
        <v>1673</v>
      </c>
      <c r="V8" s="4">
        <v>1771</v>
      </c>
      <c r="W8" s="4">
        <v>1960</v>
      </c>
      <c r="X8" s="4">
        <f>7434-U8-V8-W8</f>
        <v>2030</v>
      </c>
      <c r="Y8" s="4">
        <v>1868</v>
      </c>
      <c r="Z8" s="4">
        <v>2416</v>
      </c>
      <c r="AA8" s="4">
        <v>2576</v>
      </c>
      <c r="AB8" s="4">
        <f>11132-Y8-Z8-AA8</f>
        <v>4272</v>
      </c>
      <c r="AC8" s="4">
        <v>2508</v>
      </c>
      <c r="AD8" s="4">
        <v>2662</v>
      </c>
      <c r="AE8" s="4">
        <v>2983</v>
      </c>
      <c r="AF8" s="4"/>
      <c r="AG8" s="4"/>
      <c r="AH8" s="9" t="s">
        <v>85</v>
      </c>
      <c r="AI8" s="4">
        <f>NPV(AI7,AL13:FH13)</f>
        <v>567665.79106775171</v>
      </c>
      <c r="AJ8" s="4"/>
      <c r="AK8" s="4"/>
      <c r="AL8" s="4">
        <v>1153</v>
      </c>
      <c r="AM8" s="4">
        <v>1408</v>
      </c>
      <c r="AN8" s="4">
        <v>1578</v>
      </c>
      <c r="AO8" s="4">
        <v>1771</v>
      </c>
      <c r="AP8" s="4">
        <v>1840</v>
      </c>
      <c r="AQ8" s="4">
        <v>3367</v>
      </c>
      <c r="AR8" s="4">
        <v>3922</v>
      </c>
      <c r="AS8" s="4">
        <v>2612</v>
      </c>
      <c r="AT8" s="4">
        <v>3367</v>
      </c>
      <c r="AU8" s="4">
        <f>SUM(M8:P8)</f>
        <v>3922</v>
      </c>
      <c r="AV8" s="4">
        <f>SUM(T8:W8)</f>
        <v>7054</v>
      </c>
      <c r="AW8" s="4">
        <f>SUM(U8:X8)</f>
        <v>7434</v>
      </c>
      <c r="AX8" s="4">
        <f>SUM(Y8:AB8)</f>
        <v>11132</v>
      </c>
    </row>
    <row r="9" spans="1:164" x14ac:dyDescent="0.25">
      <c r="D9" s="3" t="s">
        <v>46</v>
      </c>
      <c r="E9" s="4">
        <f>E7-E8</f>
        <v>554</v>
      </c>
      <c r="F9" s="4">
        <f t="shared" ref="F9:X9" si="11">F7-F8</f>
        <v>688</v>
      </c>
      <c r="G9" s="4">
        <f t="shared" si="11"/>
        <v>895</v>
      </c>
      <c r="H9" s="4">
        <f t="shared" si="11"/>
        <v>1073</v>
      </c>
      <c r="I9" s="4">
        <f t="shared" si="11"/>
        <v>1295</v>
      </c>
      <c r="J9" s="4">
        <f t="shared" si="11"/>
        <v>1157</v>
      </c>
      <c r="K9" s="4">
        <f t="shared" si="11"/>
        <v>1058</v>
      </c>
      <c r="L9" s="4">
        <f t="shared" si="11"/>
        <v>294</v>
      </c>
      <c r="M9" s="4">
        <f t="shared" si="11"/>
        <v>358</v>
      </c>
      <c r="N9" s="4">
        <f t="shared" si="11"/>
        <v>571</v>
      </c>
      <c r="O9" s="4">
        <f t="shared" si="11"/>
        <v>927</v>
      </c>
      <c r="P9" s="4">
        <f t="shared" si="11"/>
        <v>990</v>
      </c>
      <c r="Q9" s="4">
        <f t="shared" si="11"/>
        <v>976</v>
      </c>
      <c r="R9" s="4">
        <f t="shared" si="11"/>
        <v>651</v>
      </c>
      <c r="S9" s="4">
        <f t="shared" si="11"/>
        <v>948</v>
      </c>
      <c r="T9" s="4">
        <f t="shared" si="11"/>
        <v>1957</v>
      </c>
      <c r="U9" s="4">
        <f t="shared" si="11"/>
        <v>1956</v>
      </c>
      <c r="V9" s="4">
        <f t="shared" si="11"/>
        <v>2444</v>
      </c>
      <c r="W9" s="4">
        <f t="shared" si="11"/>
        <v>2671</v>
      </c>
      <c r="X9" s="4">
        <f t="shared" si="11"/>
        <v>2970</v>
      </c>
      <c r="Y9" s="4">
        <f t="shared" ref="Y9" si="12">Y7-Y8</f>
        <v>3563</v>
      </c>
      <c r="Z9" s="4">
        <f t="shared" ref="Z9" si="13">Z7-Z8</f>
        <v>499</v>
      </c>
      <c r="AA9" s="4">
        <f t="shared" ref="AA9" si="14">AA7-AA8</f>
        <v>601</v>
      </c>
      <c r="AB9" s="4">
        <f t="shared" ref="AB9" si="15">AB7-AB8</f>
        <v>-439</v>
      </c>
      <c r="AC9" s="4">
        <f t="shared" ref="AC9" si="16">AC7-AC8</f>
        <v>2140</v>
      </c>
      <c r="AD9" s="4">
        <f t="shared" ref="AD9" si="17">AD7-AD8</f>
        <v>6800</v>
      </c>
      <c r="AE9" s="4">
        <f t="shared" ref="AE9" si="18">AE7-AE8</f>
        <v>10417</v>
      </c>
      <c r="AF9" s="4">
        <f t="shared" ref="AF9" si="19">AF7-AF8</f>
        <v>0</v>
      </c>
      <c r="AG9" s="4"/>
      <c r="AH9" s="4" t="s">
        <v>86</v>
      </c>
      <c r="AI9" s="4">
        <f>Main!E20-Model!E21</f>
        <v>13296</v>
      </c>
      <c r="AJ9" s="4"/>
      <c r="AK9" s="4"/>
      <c r="AL9" s="4">
        <f t="shared" ref="AL9:AX9" si="20">AL7-AL8</f>
        <v>256</v>
      </c>
      <c r="AM9" s="4">
        <f t="shared" si="20"/>
        <v>651</v>
      </c>
      <c r="AN9" s="4">
        <f t="shared" si="20"/>
        <v>649</v>
      </c>
      <c r="AO9" s="4">
        <f t="shared" si="20"/>
        <v>497</v>
      </c>
      <c r="AP9" s="4">
        <f t="shared" si="20"/>
        <v>759</v>
      </c>
      <c r="AQ9" s="4">
        <f t="shared" si="20"/>
        <v>3804</v>
      </c>
      <c r="AR9" s="4">
        <f t="shared" si="20"/>
        <v>2846</v>
      </c>
      <c r="AS9" s="4">
        <f t="shared" si="20"/>
        <v>3210</v>
      </c>
      <c r="AT9" s="4">
        <f t="shared" si="20"/>
        <v>3804</v>
      </c>
      <c r="AU9" s="4">
        <f t="shared" si="20"/>
        <v>2846</v>
      </c>
      <c r="AV9" s="4">
        <f t="shared" si="20"/>
        <v>9028</v>
      </c>
      <c r="AW9" s="4">
        <f t="shared" si="20"/>
        <v>10041</v>
      </c>
      <c r="AX9" s="4">
        <f t="shared" si="20"/>
        <v>4224</v>
      </c>
      <c r="AY9" s="4"/>
      <c r="AZ9" s="4"/>
      <c r="BA9" s="4"/>
      <c r="BB9" s="4"/>
      <c r="BC9" s="4"/>
      <c r="BD9" s="4"/>
      <c r="BE9" s="4"/>
    </row>
    <row r="10" spans="1:164" x14ac:dyDescent="0.25">
      <c r="D10" s="3" t="s">
        <v>47</v>
      </c>
      <c r="E10" s="4">
        <v>-18</v>
      </c>
      <c r="F10" s="4">
        <v>-4</v>
      </c>
      <c r="G10" s="4">
        <v>-1</v>
      </c>
      <c r="H10" s="4">
        <f>E10+F10+G10</f>
        <v>-23</v>
      </c>
      <c r="I10" s="4">
        <v>16</v>
      </c>
      <c r="J10" s="4">
        <v>23</v>
      </c>
      <c r="K10" s="4">
        <v>23</v>
      </c>
      <c r="L10" s="4">
        <f>92-I10-J10-K10</f>
        <v>30</v>
      </c>
      <c r="M10" s="4">
        <v>31</v>
      </c>
      <c r="N10" s="4">
        <v>35</v>
      </c>
      <c r="O10" s="4">
        <v>32</v>
      </c>
      <c r="P10" s="4">
        <f>124-M10-N10-O10</f>
        <v>26</v>
      </c>
      <c r="Q10" s="4">
        <v>5</v>
      </c>
      <c r="R10" s="4">
        <v>-42</v>
      </c>
      <c r="S10" s="4">
        <v>-50</v>
      </c>
      <c r="T10" s="4">
        <f>-123-Q10-R10-S10</f>
        <v>-36</v>
      </c>
      <c r="U10" s="4">
        <v>88</v>
      </c>
      <c r="V10" s="4">
        <v>-50</v>
      </c>
      <c r="W10" s="4">
        <v>-33</v>
      </c>
      <c r="X10" s="4">
        <f>-100-U10-V10-W10</f>
        <v>-105</v>
      </c>
      <c r="Y10" s="4">
        <v>-63</v>
      </c>
      <c r="Z10" s="4">
        <v>-24</v>
      </c>
      <c r="AA10" s="4">
        <v>12</v>
      </c>
      <c r="AB10" s="4">
        <f>-43-Y10-Z10-AA10</f>
        <v>32</v>
      </c>
      <c r="AC10" s="4">
        <v>69</v>
      </c>
      <c r="AD10" s="4">
        <v>181</v>
      </c>
      <c r="AE10" s="4">
        <v>105</v>
      </c>
      <c r="AF10" s="4"/>
      <c r="AG10" s="4"/>
      <c r="AH10" s="9" t="s">
        <v>87</v>
      </c>
      <c r="AI10" s="4">
        <f>AI8+AI9</f>
        <v>580961.79106775171</v>
      </c>
      <c r="AJ10" s="4"/>
      <c r="AK10" s="4"/>
      <c r="AL10" s="4">
        <f>19-4</f>
        <v>15</v>
      </c>
      <c r="AM10" s="4">
        <f>19-3</f>
        <v>16</v>
      </c>
      <c r="AN10" s="4">
        <f>19-5</f>
        <v>14</v>
      </c>
      <c r="AO10" s="4">
        <f>15</f>
        <v>15</v>
      </c>
      <c r="AP10" s="4">
        <v>10</v>
      </c>
      <c r="AQ10" s="4">
        <f>136-58+14</f>
        <v>92</v>
      </c>
      <c r="AR10" s="4">
        <f>178-54</f>
        <v>124</v>
      </c>
      <c r="AS10" s="4">
        <v>-14</v>
      </c>
      <c r="AT10" s="4">
        <v>92</v>
      </c>
      <c r="AU10" s="4">
        <f>SUM(M10:P10)</f>
        <v>124</v>
      </c>
      <c r="AV10" s="4">
        <f>SUM(T10:W10)</f>
        <v>-31</v>
      </c>
      <c r="AW10" s="4">
        <f>SUM(U10:X10)</f>
        <v>-100</v>
      </c>
      <c r="AX10" s="4">
        <f>SUM(Y10:AB10)</f>
        <v>-43</v>
      </c>
    </row>
    <row r="11" spans="1:164" x14ac:dyDescent="0.25">
      <c r="D11" s="3" t="s">
        <v>48</v>
      </c>
      <c r="E11" s="4">
        <f>E9+E10</f>
        <v>536</v>
      </c>
      <c r="F11" s="4">
        <f t="shared" ref="F11:X11" si="21">F9+F10</f>
        <v>684</v>
      </c>
      <c r="G11" s="4">
        <f t="shared" si="21"/>
        <v>894</v>
      </c>
      <c r="H11" s="4">
        <f t="shared" si="21"/>
        <v>1050</v>
      </c>
      <c r="I11" s="4">
        <f t="shared" si="21"/>
        <v>1311</v>
      </c>
      <c r="J11" s="4">
        <f t="shared" si="21"/>
        <v>1180</v>
      </c>
      <c r="K11" s="4">
        <f t="shared" si="21"/>
        <v>1081</v>
      </c>
      <c r="L11" s="4">
        <f t="shared" si="21"/>
        <v>324</v>
      </c>
      <c r="M11" s="4">
        <f t="shared" si="21"/>
        <v>389</v>
      </c>
      <c r="N11" s="4">
        <f t="shared" si="21"/>
        <v>606</v>
      </c>
      <c r="O11" s="4">
        <f t="shared" si="21"/>
        <v>959</v>
      </c>
      <c r="P11" s="4">
        <f t="shared" si="21"/>
        <v>1016</v>
      </c>
      <c r="Q11" s="4">
        <f t="shared" si="21"/>
        <v>981</v>
      </c>
      <c r="R11" s="4">
        <f t="shared" si="21"/>
        <v>609</v>
      </c>
      <c r="S11" s="4">
        <f t="shared" si="21"/>
        <v>898</v>
      </c>
      <c r="T11" s="4">
        <f t="shared" si="21"/>
        <v>1921</v>
      </c>
      <c r="U11" s="4">
        <f t="shared" si="21"/>
        <v>2044</v>
      </c>
      <c r="V11" s="4">
        <f t="shared" si="21"/>
        <v>2394</v>
      </c>
      <c r="W11" s="4">
        <f t="shared" si="21"/>
        <v>2638</v>
      </c>
      <c r="X11" s="4">
        <f t="shared" si="21"/>
        <v>2865</v>
      </c>
      <c r="Y11" s="4">
        <f t="shared" ref="Y11" si="22">Y9+Y10</f>
        <v>3500</v>
      </c>
      <c r="Z11" s="4">
        <f t="shared" ref="Z11" si="23">Z9+Z10</f>
        <v>475</v>
      </c>
      <c r="AA11" s="4">
        <f t="shared" ref="AA11" si="24">AA9+AA10</f>
        <v>613</v>
      </c>
      <c r="AB11" s="4">
        <f t="shared" ref="AB11" si="25">AB9+AB10</f>
        <v>-407</v>
      </c>
      <c r="AC11" s="4">
        <f t="shared" ref="AC11" si="26">AC9+AC10</f>
        <v>2209</v>
      </c>
      <c r="AD11" s="4">
        <f t="shared" ref="AD11" si="27">AD9+AD10</f>
        <v>6981</v>
      </c>
      <c r="AE11" s="4">
        <f t="shared" ref="AE11" si="28">AE9+AE10</f>
        <v>10522</v>
      </c>
      <c r="AF11" s="4">
        <f t="shared" ref="AF11" si="29">AF9+AF10</f>
        <v>0</v>
      </c>
      <c r="AG11" s="4"/>
      <c r="AH11" s="4"/>
      <c r="AI11" s="4"/>
      <c r="AJ11" s="4"/>
      <c r="AK11" s="4"/>
      <c r="AL11" s="4">
        <f t="shared" ref="AL11:AX11" si="30">AL9+AL10</f>
        <v>271</v>
      </c>
      <c r="AM11" s="4">
        <f t="shared" si="30"/>
        <v>667</v>
      </c>
      <c r="AN11" s="4">
        <f t="shared" si="30"/>
        <v>663</v>
      </c>
      <c r="AO11" s="4">
        <f t="shared" si="30"/>
        <v>512</v>
      </c>
      <c r="AP11" s="4">
        <f t="shared" si="30"/>
        <v>769</v>
      </c>
      <c r="AQ11" s="4">
        <f t="shared" si="30"/>
        <v>3896</v>
      </c>
      <c r="AR11" s="4">
        <f t="shared" si="30"/>
        <v>2970</v>
      </c>
      <c r="AS11" s="4">
        <f t="shared" si="30"/>
        <v>3196</v>
      </c>
      <c r="AT11" s="4">
        <f t="shared" si="30"/>
        <v>3896</v>
      </c>
      <c r="AU11" s="4">
        <f t="shared" si="30"/>
        <v>2970</v>
      </c>
      <c r="AV11" s="4">
        <f t="shared" si="30"/>
        <v>8997</v>
      </c>
      <c r="AW11" s="4">
        <f t="shared" si="30"/>
        <v>9941</v>
      </c>
      <c r="AX11" s="4">
        <f t="shared" si="30"/>
        <v>4181</v>
      </c>
      <c r="AY11" s="4"/>
      <c r="AZ11" s="4"/>
      <c r="BA11" s="4"/>
      <c r="BB11" s="4"/>
      <c r="BC11" s="4"/>
      <c r="BD11" s="4"/>
      <c r="BE11" s="4"/>
    </row>
    <row r="12" spans="1:164" x14ac:dyDescent="0.25">
      <c r="D12" s="3" t="s">
        <v>49</v>
      </c>
      <c r="E12" s="4">
        <v>29</v>
      </c>
      <c r="F12" s="4">
        <v>101</v>
      </c>
      <c r="G12" s="4">
        <v>58</v>
      </c>
      <c r="H12" s="4">
        <f>149-E12-F12-G12</f>
        <v>-39</v>
      </c>
      <c r="I12" s="4">
        <v>67</v>
      </c>
      <c r="J12" s="4">
        <v>79</v>
      </c>
      <c r="K12" s="4">
        <v>-149</v>
      </c>
      <c r="L12" s="4">
        <f>-245</f>
        <v>-245</v>
      </c>
      <c r="M12" s="4">
        <v>-5</v>
      </c>
      <c r="N12" s="4">
        <v>54</v>
      </c>
      <c r="O12" s="4">
        <v>60</v>
      </c>
      <c r="P12" s="4">
        <f>174+M12-N12-O12</f>
        <v>55</v>
      </c>
      <c r="Q12" s="4">
        <v>64</v>
      </c>
      <c r="R12" s="4">
        <v>-13</v>
      </c>
      <c r="S12" s="4">
        <v>12</v>
      </c>
      <c r="T12" s="4">
        <f>77-Q12+R12-S12</f>
        <v>-12</v>
      </c>
      <c r="U12" s="4">
        <v>132</v>
      </c>
      <c r="V12" s="4">
        <v>20</v>
      </c>
      <c r="W12" s="4">
        <v>174</v>
      </c>
      <c r="X12" s="4">
        <f>189-U12-V12-W12</f>
        <v>-137</v>
      </c>
      <c r="Y12" s="4">
        <v>187</v>
      </c>
      <c r="Z12" s="4">
        <v>-181</v>
      </c>
      <c r="AA12" s="4">
        <v>-67</v>
      </c>
      <c r="AB12" s="4">
        <f>-187-Y12-Z12-AA12</f>
        <v>-126</v>
      </c>
      <c r="AC12" s="4">
        <v>166</v>
      </c>
      <c r="AD12" s="4">
        <v>793</v>
      </c>
      <c r="AE12" s="4">
        <v>1279</v>
      </c>
      <c r="AF12" s="4"/>
      <c r="AG12" s="4"/>
      <c r="AH12" s="9" t="s">
        <v>90</v>
      </c>
      <c r="AI12" s="4">
        <f>Main!E17</f>
        <v>721</v>
      </c>
      <c r="AJ12" s="4"/>
      <c r="AK12" s="4"/>
      <c r="AL12" s="4">
        <v>18</v>
      </c>
      <c r="AM12" s="4">
        <v>82</v>
      </c>
      <c r="AN12" s="4">
        <v>99</v>
      </c>
      <c r="AO12" s="4">
        <v>70</v>
      </c>
      <c r="AP12" s="4">
        <v>130</v>
      </c>
      <c r="AQ12" s="4">
        <v>-245</v>
      </c>
      <c r="AR12" s="4">
        <v>174</v>
      </c>
      <c r="AS12" s="4">
        <v>149</v>
      </c>
      <c r="AT12" s="4">
        <v>-245</v>
      </c>
      <c r="AU12" s="4">
        <f>SUM(M12:P12)</f>
        <v>164</v>
      </c>
      <c r="AV12" s="4">
        <f>SUM(T12:W12)</f>
        <v>314</v>
      </c>
      <c r="AW12" s="4">
        <f>SUM(U12:X12)</f>
        <v>189</v>
      </c>
      <c r="AX12" s="4">
        <f>SUM(Y12:AB12)</f>
        <v>-187</v>
      </c>
    </row>
    <row r="13" spans="1:164" x14ac:dyDescent="0.25">
      <c r="D13" s="3" t="s">
        <v>50</v>
      </c>
      <c r="E13" s="4">
        <f>E11-E12</f>
        <v>507</v>
      </c>
      <c r="F13" s="4">
        <f t="shared" ref="F13:X13" si="31">F11-F12</f>
        <v>583</v>
      </c>
      <c r="G13" s="4">
        <f t="shared" si="31"/>
        <v>836</v>
      </c>
      <c r="H13" s="4">
        <f t="shared" si="31"/>
        <v>1089</v>
      </c>
      <c r="I13" s="4">
        <f t="shared" si="31"/>
        <v>1244</v>
      </c>
      <c r="J13" s="4">
        <f t="shared" si="31"/>
        <v>1101</v>
      </c>
      <c r="K13" s="4">
        <f t="shared" si="31"/>
        <v>1230</v>
      </c>
      <c r="L13" s="4">
        <f t="shared" si="31"/>
        <v>569</v>
      </c>
      <c r="M13" s="4">
        <f t="shared" si="31"/>
        <v>394</v>
      </c>
      <c r="N13" s="4">
        <f t="shared" si="31"/>
        <v>552</v>
      </c>
      <c r="O13" s="4">
        <f t="shared" si="31"/>
        <v>899</v>
      </c>
      <c r="P13" s="4">
        <f t="shared" si="31"/>
        <v>961</v>
      </c>
      <c r="Q13" s="4">
        <f t="shared" si="31"/>
        <v>917</v>
      </c>
      <c r="R13" s="4">
        <f t="shared" si="31"/>
        <v>622</v>
      </c>
      <c r="S13" s="4">
        <f t="shared" si="31"/>
        <v>886</v>
      </c>
      <c r="T13" s="4">
        <f t="shared" si="31"/>
        <v>1933</v>
      </c>
      <c r="U13" s="4">
        <f t="shared" si="31"/>
        <v>1912</v>
      </c>
      <c r="V13" s="4">
        <f t="shared" si="31"/>
        <v>2374</v>
      </c>
      <c r="W13" s="4">
        <f t="shared" si="31"/>
        <v>2464</v>
      </c>
      <c r="X13" s="4">
        <f t="shared" si="31"/>
        <v>3002</v>
      </c>
      <c r="Y13" s="4">
        <f t="shared" ref="Y13" si="32">Y11-Y12</f>
        <v>3313</v>
      </c>
      <c r="Z13" s="4">
        <f t="shared" ref="Z13" si="33">Z11-Z12</f>
        <v>656</v>
      </c>
      <c r="AA13" s="4">
        <f t="shared" ref="AA13" si="34">AA11-AA12</f>
        <v>680</v>
      </c>
      <c r="AB13" s="4">
        <f t="shared" ref="AB13" si="35">AB11-AB12</f>
        <v>-281</v>
      </c>
      <c r="AC13" s="4">
        <f t="shared" ref="AC13" si="36">AC11-AC12</f>
        <v>2043</v>
      </c>
      <c r="AD13" s="4">
        <f t="shared" ref="AD13" si="37">AD11-AD12</f>
        <v>6188</v>
      </c>
      <c r="AE13" s="4">
        <f t="shared" ref="AE13" si="38">AE11-AE12</f>
        <v>9243</v>
      </c>
      <c r="AF13" s="4">
        <f t="shared" ref="AF13" si="39">AF11-AF12</f>
        <v>0</v>
      </c>
      <c r="AG13" s="4"/>
      <c r="AH13" s="9" t="s">
        <v>88</v>
      </c>
      <c r="AI13" s="4">
        <f>AI10/Main!E18</f>
        <v>235.39780837429163</v>
      </c>
      <c r="AJ13" s="4"/>
      <c r="AK13" s="4"/>
      <c r="AL13" s="4">
        <f t="shared" ref="AL13:AX13" si="40">AL11-AL12</f>
        <v>253</v>
      </c>
      <c r="AM13" s="4">
        <f t="shared" si="40"/>
        <v>585</v>
      </c>
      <c r="AN13" s="4">
        <f t="shared" si="40"/>
        <v>564</v>
      </c>
      <c r="AO13" s="4">
        <f t="shared" si="40"/>
        <v>442</v>
      </c>
      <c r="AP13" s="4">
        <f t="shared" si="40"/>
        <v>639</v>
      </c>
      <c r="AQ13" s="4">
        <f t="shared" si="40"/>
        <v>4141</v>
      </c>
      <c r="AR13" s="4">
        <f t="shared" si="40"/>
        <v>2796</v>
      </c>
      <c r="AS13" s="4">
        <f t="shared" si="40"/>
        <v>3047</v>
      </c>
      <c r="AT13" s="4">
        <f t="shared" si="40"/>
        <v>4141</v>
      </c>
      <c r="AU13" s="4">
        <f t="shared" si="40"/>
        <v>2806</v>
      </c>
      <c r="AV13" s="4">
        <f t="shared" si="40"/>
        <v>8683</v>
      </c>
      <c r="AW13" s="4">
        <f t="shared" si="40"/>
        <v>9752</v>
      </c>
      <c r="AX13" s="4">
        <f t="shared" si="40"/>
        <v>4368</v>
      </c>
      <c r="AY13" s="4">
        <f>AX13*($AI$6+1)</f>
        <v>4717.4400000000005</v>
      </c>
      <c r="AZ13" s="4">
        <f t="shared" ref="AZ13:DK13" si="41">AY13*($AI$6+1)</f>
        <v>5094.8352000000004</v>
      </c>
      <c r="BA13" s="4">
        <f t="shared" si="41"/>
        <v>5502.4220160000004</v>
      </c>
      <c r="BB13" s="4">
        <f t="shared" si="41"/>
        <v>5942.6157772800007</v>
      </c>
      <c r="BC13" s="4">
        <f t="shared" si="41"/>
        <v>6418.0250394624009</v>
      </c>
      <c r="BD13" s="4">
        <f t="shared" si="41"/>
        <v>6931.4670426193934</v>
      </c>
      <c r="BE13" s="4">
        <f t="shared" si="41"/>
        <v>7485.9844060289452</v>
      </c>
      <c r="BF13" s="4">
        <f t="shared" si="41"/>
        <v>8084.8631585112616</v>
      </c>
      <c r="BG13" s="4">
        <f t="shared" si="41"/>
        <v>8731.652211192164</v>
      </c>
      <c r="BH13" s="4">
        <f t="shared" si="41"/>
        <v>9430.1843880875385</v>
      </c>
      <c r="BI13" s="4">
        <f t="shared" si="41"/>
        <v>10184.599139134541</v>
      </c>
      <c r="BJ13" s="4">
        <f t="shared" si="41"/>
        <v>10999.367070265305</v>
      </c>
      <c r="BK13" s="4">
        <f t="shared" si="41"/>
        <v>11879.316435886531</v>
      </c>
      <c r="BL13" s="4">
        <f t="shared" si="41"/>
        <v>12829.661750757454</v>
      </c>
      <c r="BM13" s="4">
        <f t="shared" si="41"/>
        <v>13856.034690818051</v>
      </c>
      <c r="BN13" s="4">
        <f t="shared" si="41"/>
        <v>14964.517466083496</v>
      </c>
      <c r="BO13" s="4">
        <f t="shared" si="41"/>
        <v>16161.678863370178</v>
      </c>
      <c r="BP13" s="4">
        <f t="shared" si="41"/>
        <v>17454.613172439793</v>
      </c>
      <c r="BQ13" s="4">
        <f t="shared" si="41"/>
        <v>18850.982226234977</v>
      </c>
      <c r="BR13" s="4">
        <f t="shared" si="41"/>
        <v>20359.060804333778</v>
      </c>
      <c r="BS13" s="4">
        <f t="shared" si="41"/>
        <v>21987.785668680481</v>
      </c>
      <c r="BT13" s="4">
        <f t="shared" si="41"/>
        <v>23746.808522174921</v>
      </c>
      <c r="BU13" s="4">
        <f t="shared" si="41"/>
        <v>25646.553203948915</v>
      </c>
      <c r="BV13" s="4">
        <f t="shared" si="41"/>
        <v>27698.277460264831</v>
      </c>
      <c r="BW13" s="4">
        <f t="shared" si="41"/>
        <v>29914.13965708602</v>
      </c>
      <c r="BX13" s="4">
        <f t="shared" si="41"/>
        <v>32307.270829652902</v>
      </c>
      <c r="BY13" s="4">
        <f t="shared" si="41"/>
        <v>34891.852496025138</v>
      </c>
      <c r="BZ13" s="4">
        <f t="shared" si="41"/>
        <v>37683.20069570715</v>
      </c>
      <c r="CA13" s="4">
        <f t="shared" si="41"/>
        <v>40697.856751363724</v>
      </c>
      <c r="CB13" s="4">
        <f t="shared" si="41"/>
        <v>43953.685291472822</v>
      </c>
      <c r="CC13" s="4">
        <f t="shared" si="41"/>
        <v>47469.980114790655</v>
      </c>
      <c r="CD13" s="4">
        <f t="shared" si="41"/>
        <v>51267.578523973913</v>
      </c>
      <c r="CE13" s="4">
        <f t="shared" si="41"/>
        <v>55368.984805891829</v>
      </c>
      <c r="CF13" s="4">
        <f t="shared" si="41"/>
        <v>59798.50359036318</v>
      </c>
      <c r="CG13" s="4">
        <f t="shared" si="41"/>
        <v>64582.383877592241</v>
      </c>
      <c r="CH13" s="4">
        <f t="shared" si="41"/>
        <v>69748.974587799632</v>
      </c>
      <c r="CI13" s="4">
        <f t="shared" si="41"/>
        <v>75328.892554823615</v>
      </c>
      <c r="CJ13" s="4">
        <f t="shared" si="41"/>
        <v>81355.20395920951</v>
      </c>
      <c r="CK13" s="4">
        <f t="shared" si="41"/>
        <v>87863.620275946276</v>
      </c>
      <c r="CL13" s="4">
        <f t="shared" si="41"/>
        <v>94892.709898021989</v>
      </c>
      <c r="CM13" s="4">
        <f t="shared" si="41"/>
        <v>102484.12668986376</v>
      </c>
      <c r="CN13" s="4">
        <f t="shared" si="41"/>
        <v>110682.85682505286</v>
      </c>
      <c r="CO13" s="4">
        <f t="shared" si="41"/>
        <v>119537.4853710571</v>
      </c>
      <c r="CP13" s="4">
        <f t="shared" si="41"/>
        <v>129100.48420074169</v>
      </c>
      <c r="CQ13" s="4">
        <f t="shared" si="41"/>
        <v>139428.52293680102</v>
      </c>
      <c r="CR13" s="4">
        <f t="shared" si="41"/>
        <v>150582.80477174511</v>
      </c>
      <c r="CS13" s="4">
        <f t="shared" si="41"/>
        <v>162629.42915348473</v>
      </c>
      <c r="CT13" s="4">
        <f t="shared" si="41"/>
        <v>175639.78348576353</v>
      </c>
      <c r="CU13" s="4">
        <f t="shared" si="41"/>
        <v>189690.96616462464</v>
      </c>
      <c r="CV13" s="4">
        <f t="shared" si="41"/>
        <v>204866.24345779463</v>
      </c>
      <c r="CW13" s="4">
        <f t="shared" si="41"/>
        <v>221255.54293441822</v>
      </c>
      <c r="CX13" s="4">
        <f t="shared" si="41"/>
        <v>238955.9863691717</v>
      </c>
      <c r="CY13" s="4">
        <f t="shared" si="41"/>
        <v>258072.46527870547</v>
      </c>
      <c r="CZ13" s="4">
        <f t="shared" si="41"/>
        <v>278718.26250100194</v>
      </c>
      <c r="DA13" s="4">
        <f t="shared" si="41"/>
        <v>301015.7235010821</v>
      </c>
      <c r="DB13" s="4">
        <f t="shared" si="41"/>
        <v>325096.98138116871</v>
      </c>
      <c r="DC13" s="4">
        <f t="shared" si="41"/>
        <v>351104.7398916622</v>
      </c>
      <c r="DD13" s="4">
        <f t="shared" si="41"/>
        <v>379193.11908299522</v>
      </c>
      <c r="DE13" s="4">
        <f t="shared" si="41"/>
        <v>409528.56860963488</v>
      </c>
      <c r="DF13" s="4">
        <f t="shared" si="41"/>
        <v>442290.85409840569</v>
      </c>
      <c r="DG13" s="4">
        <f t="shared" si="41"/>
        <v>477674.12242627819</v>
      </c>
      <c r="DH13" s="4">
        <f t="shared" si="41"/>
        <v>515888.05222038046</v>
      </c>
      <c r="DI13" s="4">
        <f t="shared" si="41"/>
        <v>557159.09639801097</v>
      </c>
      <c r="DJ13" s="4">
        <f t="shared" si="41"/>
        <v>601731.82410985185</v>
      </c>
      <c r="DK13" s="4">
        <f t="shared" si="41"/>
        <v>649870.37003863999</v>
      </c>
      <c r="DL13" s="4">
        <f t="shared" ref="DL13:FH13" si="42">DK13*($AI$6+1)</f>
        <v>701859.99964173127</v>
      </c>
      <c r="DM13" s="4">
        <f t="shared" si="42"/>
        <v>758008.79961306986</v>
      </c>
      <c r="DN13" s="4">
        <f t="shared" si="42"/>
        <v>818649.50358211552</v>
      </c>
      <c r="DO13" s="4">
        <f t="shared" si="42"/>
        <v>884141.46386868483</v>
      </c>
      <c r="DP13" s="4">
        <f t="shared" si="42"/>
        <v>954872.78097817965</v>
      </c>
      <c r="DQ13" s="4">
        <f t="shared" si="42"/>
        <v>1031262.6034564341</v>
      </c>
      <c r="DR13" s="4">
        <f t="shared" si="42"/>
        <v>1113763.6117329488</v>
      </c>
      <c r="DS13" s="4">
        <f t="shared" si="42"/>
        <v>1202864.7006715848</v>
      </c>
      <c r="DT13" s="4">
        <f t="shared" si="42"/>
        <v>1299093.8767253116</v>
      </c>
      <c r="DU13" s="4">
        <f t="shared" si="42"/>
        <v>1403021.3868633367</v>
      </c>
      <c r="DV13" s="4">
        <f t="shared" si="42"/>
        <v>1515263.0978124037</v>
      </c>
      <c r="DW13" s="4">
        <f t="shared" si="42"/>
        <v>1636484.145637396</v>
      </c>
      <c r="DX13" s="4">
        <f t="shared" si="42"/>
        <v>1767402.8772883879</v>
      </c>
      <c r="DY13" s="4">
        <f t="shared" si="42"/>
        <v>1908795.1074714591</v>
      </c>
      <c r="DZ13" s="4">
        <f t="shared" si="42"/>
        <v>2061498.7160691759</v>
      </c>
      <c r="EA13" s="4">
        <f t="shared" si="42"/>
        <v>2226418.6133547099</v>
      </c>
      <c r="EB13" s="4">
        <f t="shared" si="42"/>
        <v>2404532.1024230868</v>
      </c>
      <c r="EC13" s="4">
        <f t="shared" si="42"/>
        <v>2596894.6706169341</v>
      </c>
      <c r="ED13" s="4">
        <f t="shared" si="42"/>
        <v>2804646.2442662888</v>
      </c>
      <c r="EE13" s="4">
        <f t="shared" si="42"/>
        <v>3029017.9438075921</v>
      </c>
      <c r="EF13" s="4">
        <f t="shared" si="42"/>
        <v>3271339.3793121995</v>
      </c>
      <c r="EG13" s="4">
        <f t="shared" si="42"/>
        <v>3533046.5296571758</v>
      </c>
      <c r="EH13" s="4">
        <f t="shared" si="42"/>
        <v>3815690.25202975</v>
      </c>
      <c r="EI13" s="4">
        <f t="shared" si="42"/>
        <v>4120945.4721921305</v>
      </c>
      <c r="EJ13" s="4">
        <f t="shared" si="42"/>
        <v>4450621.1099675009</v>
      </c>
      <c r="EK13" s="4">
        <f t="shared" si="42"/>
        <v>4806670.7987649012</v>
      </c>
      <c r="EL13" s="4">
        <f t="shared" si="42"/>
        <v>5191204.4626660934</v>
      </c>
      <c r="EM13" s="4">
        <f t="shared" si="42"/>
        <v>5606500.8196793813</v>
      </c>
      <c r="EN13" s="4">
        <f t="shared" si="42"/>
        <v>6055020.8852537321</v>
      </c>
      <c r="EO13" s="4">
        <f t="shared" si="42"/>
        <v>6539422.5560740307</v>
      </c>
      <c r="EP13" s="4">
        <f t="shared" si="42"/>
        <v>7062576.3605599534</v>
      </c>
      <c r="EQ13" s="4">
        <f t="shared" si="42"/>
        <v>7627582.4694047505</v>
      </c>
      <c r="ER13" s="4">
        <f t="shared" si="42"/>
        <v>8237789.066957131</v>
      </c>
      <c r="ES13" s="4">
        <f t="shared" si="42"/>
        <v>8896812.1923137028</v>
      </c>
      <c r="ET13" s="4">
        <f t="shared" si="42"/>
        <v>9608557.1676987987</v>
      </c>
      <c r="EU13" s="4">
        <f t="shared" si="42"/>
        <v>10377241.741114704</v>
      </c>
      <c r="EV13" s="4">
        <f t="shared" si="42"/>
        <v>11207421.080403881</v>
      </c>
      <c r="EW13" s="4">
        <f t="shared" si="42"/>
        <v>12104014.766836192</v>
      </c>
      <c r="EX13" s="4">
        <f t="shared" si="42"/>
        <v>13072335.948183089</v>
      </c>
      <c r="EY13" s="4">
        <f t="shared" si="42"/>
        <v>14118122.824037738</v>
      </c>
      <c r="EZ13" s="4">
        <f t="shared" si="42"/>
        <v>15247572.649960758</v>
      </c>
      <c r="FA13" s="4">
        <f t="shared" si="42"/>
        <v>16467378.46195762</v>
      </c>
      <c r="FB13" s="4">
        <f t="shared" si="42"/>
        <v>17784768.738914233</v>
      </c>
      <c r="FC13" s="4">
        <f t="shared" si="42"/>
        <v>19207550.238027371</v>
      </c>
      <c r="FD13" s="4">
        <f t="shared" si="42"/>
        <v>20744154.257069562</v>
      </c>
      <c r="FE13" s="4">
        <f t="shared" si="42"/>
        <v>22403686.597635128</v>
      </c>
      <c r="FF13" s="4">
        <f t="shared" si="42"/>
        <v>24195981.525445938</v>
      </c>
      <c r="FG13" s="4">
        <f t="shared" si="42"/>
        <v>26131660.047481615</v>
      </c>
      <c r="FH13" s="4">
        <f t="shared" si="42"/>
        <v>28222192.851280145</v>
      </c>
    </row>
    <row r="14" spans="1:164" x14ac:dyDescent="0.25"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 t="s">
        <v>89</v>
      </c>
      <c r="AI14" s="10">
        <f>AI13/AI12-1</f>
        <v>-0.67351205495937361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64" x14ac:dyDescent="0.25">
      <c r="D15" s="3" t="s">
        <v>51</v>
      </c>
      <c r="E15" s="6">
        <v>0.79</v>
      </c>
      <c r="F15" s="6">
        <v>0.92</v>
      </c>
      <c r="G15" s="6">
        <v>1.33</v>
      </c>
      <c r="H15" s="6">
        <f>4.82-G15-F15-E15</f>
        <v>1.7800000000000002</v>
      </c>
      <c r="I15" s="6">
        <v>1.98</v>
      </c>
      <c r="J15" s="6">
        <v>1.76</v>
      </c>
      <c r="K15" s="6">
        <v>2.02</v>
      </c>
      <c r="L15" s="6">
        <f>6.81-I15-J15-K15</f>
        <v>1.0500000000000003</v>
      </c>
      <c r="M15" s="6">
        <v>0.64</v>
      </c>
      <c r="N15" s="6">
        <v>0.91</v>
      </c>
      <c r="O15" s="6">
        <v>1.47</v>
      </c>
      <c r="P15" s="6">
        <f>4.52-O15-N15-M15</f>
        <v>1.4999999999999996</v>
      </c>
      <c r="Q15" s="6">
        <v>1.47</v>
      </c>
      <c r="R15" s="6">
        <v>0.99</v>
      </c>
      <c r="S15" s="6">
        <v>2.12</v>
      </c>
      <c r="T15" s="6">
        <f>6.9-Q15-R15-S15</f>
        <v>2.3200000000000003</v>
      </c>
      <c r="U15" s="6">
        <v>3.03</v>
      </c>
      <c r="V15" s="6">
        <v>0.94</v>
      </c>
      <c r="W15" s="6">
        <v>0.97</v>
      </c>
      <c r="X15" s="6">
        <v>1.0900000000000001</v>
      </c>
      <c r="Y15" s="6">
        <v>0.64</v>
      </c>
      <c r="Z15" s="6">
        <v>0.26</v>
      </c>
      <c r="AA15" s="6">
        <v>0.27</v>
      </c>
      <c r="AB15" s="6">
        <f>1.74-Y15-Z15-AA15</f>
        <v>0.57000000000000006</v>
      </c>
      <c r="AC15" s="6">
        <v>0.82</v>
      </c>
      <c r="AD15" s="6">
        <v>2.5</v>
      </c>
      <c r="AE15" s="6">
        <v>3.75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164" x14ac:dyDescent="0.25">
      <c r="D16" s="3" t="s">
        <v>52</v>
      </c>
      <c r="E16" s="4">
        <v>641</v>
      </c>
      <c r="F16" s="4">
        <v>633</v>
      </c>
      <c r="G16" s="4">
        <v>628</v>
      </c>
      <c r="H16" s="4">
        <v>632</v>
      </c>
      <c r="I16" s="4">
        <v>627</v>
      </c>
      <c r="J16" s="4">
        <v>626</v>
      </c>
      <c r="K16" s="4">
        <v>625</v>
      </c>
      <c r="L16" s="4">
        <v>625</v>
      </c>
      <c r="M16" s="4">
        <v>616</v>
      </c>
      <c r="N16" s="4">
        <v>616</v>
      </c>
      <c r="O16" s="4">
        <v>618</v>
      </c>
      <c r="P16" s="4">
        <v>618</v>
      </c>
      <c r="Q16" s="4">
        <v>622</v>
      </c>
      <c r="R16" s="4">
        <v>626</v>
      </c>
      <c r="S16" s="4">
        <v>630</v>
      </c>
      <c r="T16" s="4">
        <v>628</v>
      </c>
      <c r="U16" s="4">
        <v>632</v>
      </c>
      <c r="V16" s="4">
        <v>2532</v>
      </c>
      <c r="W16" s="4">
        <v>2538</v>
      </c>
      <c r="X16" s="4">
        <v>2535</v>
      </c>
      <c r="Y16" s="4">
        <v>2537</v>
      </c>
      <c r="Z16" s="4">
        <v>2516</v>
      </c>
      <c r="AA16" s="4">
        <v>2499</v>
      </c>
      <c r="AB16" s="4">
        <v>2507</v>
      </c>
      <c r="AC16" s="4">
        <v>2490</v>
      </c>
      <c r="AD16" s="4">
        <v>2499</v>
      </c>
      <c r="AE16" s="4">
        <v>2494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4:62" x14ac:dyDescent="0.25">
      <c r="D17" s="3" t="s">
        <v>32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4:62" x14ac:dyDescent="0.25">
      <c r="D18" s="3"/>
      <c r="S18" s="4"/>
    </row>
    <row r="19" spans="4:62" x14ac:dyDescent="0.25">
      <c r="D19" s="3" t="s">
        <v>77</v>
      </c>
      <c r="E19" s="8"/>
      <c r="F19" s="8">
        <f>F13/E13-1</f>
        <v>0.14990138067061154</v>
      </c>
      <c r="G19" s="8">
        <f t="shared" ref="G19:AE19" si="43">G13/F13-1</f>
        <v>0.4339622641509433</v>
      </c>
      <c r="H19" s="8">
        <f t="shared" si="43"/>
        <v>0.30263157894736836</v>
      </c>
      <c r="I19" s="8">
        <f t="shared" si="43"/>
        <v>0.14233241505968786</v>
      </c>
      <c r="J19" s="8">
        <f t="shared" si="43"/>
        <v>-0.114951768488746</v>
      </c>
      <c r="K19" s="8">
        <f t="shared" si="43"/>
        <v>0.11716621253406001</v>
      </c>
      <c r="L19" s="8">
        <f t="shared" si="43"/>
        <v>-0.5373983739837398</v>
      </c>
      <c r="M19" s="8">
        <f t="shared" si="43"/>
        <v>-0.30755711775043937</v>
      </c>
      <c r="N19" s="8">
        <f t="shared" si="43"/>
        <v>0.40101522842639592</v>
      </c>
      <c r="O19" s="8">
        <f t="shared" si="43"/>
        <v>0.62862318840579712</v>
      </c>
      <c r="P19" s="8">
        <f t="shared" si="43"/>
        <v>6.8965517241379226E-2</v>
      </c>
      <c r="Q19" s="8">
        <f t="shared" si="43"/>
        <v>-4.57856399583767E-2</v>
      </c>
      <c r="R19" s="8">
        <f t="shared" si="43"/>
        <v>-0.32170119956379495</v>
      </c>
      <c r="S19" s="8">
        <f t="shared" si="43"/>
        <v>0.42443729903536975</v>
      </c>
      <c r="T19" s="7">
        <f t="shared" si="43"/>
        <v>1.1817155756207676</v>
      </c>
      <c r="U19" s="8">
        <f t="shared" si="43"/>
        <v>-1.0863942058975673E-2</v>
      </c>
      <c r="V19" s="8">
        <f t="shared" si="43"/>
        <v>0.24163179916318001</v>
      </c>
      <c r="W19" s="8">
        <f t="shared" si="43"/>
        <v>3.7910699241785917E-2</v>
      </c>
      <c r="X19" s="8">
        <f t="shared" si="43"/>
        <v>0.2183441558441559</v>
      </c>
      <c r="Y19" s="8">
        <f t="shared" si="43"/>
        <v>0.10359760159893394</v>
      </c>
      <c r="Z19" s="7">
        <f t="shared" si="43"/>
        <v>-0.8019921521279807</v>
      </c>
      <c r="AA19" s="8">
        <f t="shared" si="43"/>
        <v>3.6585365853658569E-2</v>
      </c>
      <c r="AB19" s="7">
        <f t="shared" si="43"/>
        <v>-1.4132352941176469</v>
      </c>
      <c r="AC19" s="7">
        <f>AC13/AB13-1</f>
        <v>-8.270462633451956</v>
      </c>
      <c r="AD19" s="7">
        <f t="shared" si="43"/>
        <v>2.0288790993636807</v>
      </c>
      <c r="AE19" s="8">
        <f t="shared" si="43"/>
        <v>0.49369747899159666</v>
      </c>
      <c r="AF19" s="8"/>
      <c r="AG19" s="8"/>
      <c r="AH19" s="8"/>
      <c r="AI19" s="8"/>
      <c r="AJ19" s="8"/>
      <c r="AK19" s="8"/>
      <c r="AL19" s="8"/>
      <c r="AM19" s="8">
        <f t="shared" ref="AM19" si="44">AM13/AL13-1</f>
        <v>1.3122529644268774</v>
      </c>
      <c r="AN19" s="8">
        <f t="shared" ref="AN19" si="45">AN13/AM13-1</f>
        <v>-3.5897435897435881E-2</v>
      </c>
      <c r="AO19" s="8">
        <f t="shared" ref="AO19" si="46">AO13/AN13-1</f>
        <v>-0.21631205673758869</v>
      </c>
      <c r="AP19" s="8">
        <f t="shared" ref="AP19" si="47">AP13/AO13-1</f>
        <v>0.44570135746606332</v>
      </c>
      <c r="AQ19" s="8">
        <f t="shared" ref="AQ19" si="48">AQ13/AP13-1</f>
        <v>5.4804381846635364</v>
      </c>
      <c r="AR19" s="8">
        <f t="shared" ref="AR19" si="49">AR13/AQ13-1</f>
        <v>-0.3248007727602028</v>
      </c>
      <c r="AS19" s="8">
        <f t="shared" ref="AS19" si="50">AS13/AR13-1</f>
        <v>8.9771101573676626E-2</v>
      </c>
      <c r="AT19" s="8">
        <f t="shared" ref="AT19" si="51">AT13/AS13-1</f>
        <v>0.35904168034131922</v>
      </c>
      <c r="AU19" s="8">
        <f t="shared" ref="AU19" si="52">AU13/AT13-1</f>
        <v>-0.32238589712629795</v>
      </c>
      <c r="AV19" s="8">
        <f t="shared" ref="AV19" si="53">AV13/AU13-1</f>
        <v>2.0944404846756948</v>
      </c>
      <c r="AW19" s="8">
        <f t="shared" ref="AW19" si="54">AW13/AV13-1</f>
        <v>0.12311413106069335</v>
      </c>
      <c r="AX19" s="8">
        <f t="shared" ref="AX19" si="55">AX13/AW13-1</f>
        <v>-0.55209187858900743</v>
      </c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4:62" x14ac:dyDescent="0.25">
      <c r="D20" s="3" t="s">
        <v>78</v>
      </c>
      <c r="E20" s="8"/>
      <c r="F20" s="8">
        <f>F5/E5-1</f>
        <v>0.15126484254001027</v>
      </c>
      <c r="G20" s="8">
        <f t="shared" ref="G20:AE20" si="56">G5/F5-1</f>
        <v>0.1820627802690582</v>
      </c>
      <c r="H20" s="8">
        <f t="shared" si="56"/>
        <v>0.10432473444613044</v>
      </c>
      <c r="I20" s="8">
        <f t="shared" si="56"/>
        <v>0.1016832703538304</v>
      </c>
      <c r="J20" s="8">
        <f t="shared" si="56"/>
        <v>-2.6192703461178635E-2</v>
      </c>
      <c r="K20" s="8">
        <f t="shared" si="56"/>
        <v>1.8571886007044514E-2</v>
      </c>
      <c r="L20" s="8">
        <f t="shared" si="56"/>
        <v>-0.30682175416535684</v>
      </c>
      <c r="M20" s="8">
        <f t="shared" si="56"/>
        <v>6.8027210884353817E-3</v>
      </c>
      <c r="N20" s="8">
        <f t="shared" si="56"/>
        <v>0.16171171171171173</v>
      </c>
      <c r="O20" s="8">
        <f t="shared" si="56"/>
        <v>0.16867002714230317</v>
      </c>
      <c r="P20" s="8">
        <f t="shared" si="56"/>
        <v>3.0192435301924281E-2</v>
      </c>
      <c r="Q20" s="8">
        <f t="shared" si="56"/>
        <v>-8.0515297906602612E-3</v>
      </c>
      <c r="R20" s="8">
        <f t="shared" si="56"/>
        <v>0.2551948051948052</v>
      </c>
      <c r="S20" s="8">
        <f t="shared" si="56"/>
        <v>0.10605276771857208</v>
      </c>
      <c r="T20" s="8">
        <f t="shared" si="56"/>
        <v>0.27525724976613652</v>
      </c>
      <c r="U20" s="8">
        <f t="shared" si="56"/>
        <v>3.8144140839904583E-2</v>
      </c>
      <c r="V20" s="8">
        <f t="shared" si="56"/>
        <v>0.14944356120826718</v>
      </c>
      <c r="W20" s="8">
        <f t="shared" si="56"/>
        <v>9.1593668357153879E-2</v>
      </c>
      <c r="X20" s="8">
        <f t="shared" si="56"/>
        <v>7.6024215120371608E-2</v>
      </c>
      <c r="Y20" s="8">
        <f t="shared" si="56"/>
        <v>8.4390945963626951E-2</v>
      </c>
      <c r="Z20" s="8">
        <f t="shared" si="56"/>
        <v>-0.19111969111969107</v>
      </c>
      <c r="AA20" s="8">
        <f t="shared" si="56"/>
        <v>-0.11530429594272074</v>
      </c>
      <c r="AB20" s="8">
        <f t="shared" si="56"/>
        <v>2.0232675771370667E-2</v>
      </c>
      <c r="AC20" s="8">
        <f t="shared" si="56"/>
        <v>0.1885638737398776</v>
      </c>
      <c r="AD20" s="8">
        <f t="shared" si="56"/>
        <v>0.87805895439377091</v>
      </c>
      <c r="AE20" s="8">
        <f t="shared" si="56"/>
        <v>0.34152661582882948</v>
      </c>
      <c r="AF20" s="8"/>
      <c r="AG20" s="8"/>
      <c r="AH20" s="8"/>
      <c r="AI20" s="8"/>
      <c r="AJ20" s="8"/>
      <c r="AK20" s="8"/>
      <c r="AL20" s="8"/>
      <c r="AM20" s="8">
        <f t="shared" ref="AM20" si="57">AM5/AL5-1</f>
        <v>0.12898673440587083</v>
      </c>
      <c r="AN20" s="8">
        <f t="shared" ref="AN20" si="58">AN5/AM5-1</f>
        <v>7.0000000000000062E-2</v>
      </c>
      <c r="AO20" s="8">
        <f t="shared" ref="AO20" si="59">AO5/AN5-1</f>
        <v>-3.5046728971962593E-2</v>
      </c>
      <c r="AP20" s="8">
        <f t="shared" ref="AP20" si="60">AP5/AO5-1</f>
        <v>0.13341404358353515</v>
      </c>
      <c r="AQ20" s="8">
        <f t="shared" ref="AQ20" si="61">AQ5/AP5-1</f>
        <v>1.5028839991454817</v>
      </c>
      <c r="AR20" s="8">
        <f t="shared" ref="AR20" si="62">AR5/AQ5-1</f>
        <v>-6.8111983612154314E-2</v>
      </c>
      <c r="AS20" s="8">
        <f t="shared" ref="AS20" si="63">AS5/AR5-1</f>
        <v>-0.11027660743725953</v>
      </c>
      <c r="AT20" s="8">
        <f t="shared" ref="AT20" si="64">AT5/AS5-1</f>
        <v>0.20609429689108505</v>
      </c>
      <c r="AU20" s="8">
        <f t="shared" ref="AU20" si="65">AU5/AT5-1</f>
        <v>-6.8111983612154314E-2</v>
      </c>
      <c r="AV20" s="8">
        <f t="shared" ref="AV20" si="66">AV5/AU5-1</f>
        <v>1.2645173108627952</v>
      </c>
      <c r="AW20" s="8">
        <f t="shared" ref="AW20" si="67">AW5/AV5-1</f>
        <v>8.8577900016178601E-2</v>
      </c>
      <c r="AX20" s="8">
        <f t="shared" ref="AX20" si="68">AX5/AW5-1</f>
        <v>2.2293230289069932E-3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4:62" x14ac:dyDescent="0.25">
      <c r="D21" s="3" t="s">
        <v>82</v>
      </c>
      <c r="E21" s="8"/>
      <c r="F21" s="8">
        <f>F8/E8-1</f>
        <v>3.0201342281879207E-2</v>
      </c>
      <c r="G21" s="8">
        <f t="shared" ref="G21:AE21" si="69">G8/F8-1</f>
        <v>9.7719869706840434E-2</v>
      </c>
      <c r="H21" s="8">
        <f t="shared" si="69"/>
        <v>8.0118694362017795E-2</v>
      </c>
      <c r="I21" s="8">
        <f t="shared" si="69"/>
        <v>6.1813186813186816E-2</v>
      </c>
      <c r="J21" s="8">
        <f t="shared" si="69"/>
        <v>5.8214747736093253E-2</v>
      </c>
      <c r="K21" s="8">
        <f t="shared" si="69"/>
        <v>5.5012224938875365E-2</v>
      </c>
      <c r="L21" s="8">
        <f t="shared" si="69"/>
        <v>5.7937427578215628E-2</v>
      </c>
      <c r="M21" s="8">
        <f t="shared" si="69"/>
        <v>2.7382256297918905E-2</v>
      </c>
      <c r="N21" s="8">
        <f t="shared" si="69"/>
        <v>3.4115138592750505E-2</v>
      </c>
      <c r="O21" s="8">
        <f t="shared" si="69"/>
        <v>1.9587628865979312E-2</v>
      </c>
      <c r="P21" s="8">
        <f t="shared" si="69"/>
        <v>3.6400404448938328E-2</v>
      </c>
      <c r="Q21" s="8">
        <f t="shared" si="69"/>
        <v>2.9268292682926855E-3</v>
      </c>
      <c r="R21" s="8">
        <f t="shared" si="69"/>
        <v>0.57976653696498048</v>
      </c>
      <c r="S21" s="8">
        <f t="shared" si="69"/>
        <v>-3.8177339901477869E-2</v>
      </c>
      <c r="T21" s="8">
        <f t="shared" si="69"/>
        <v>5.6338028169014009E-2</v>
      </c>
      <c r="U21" s="8">
        <f t="shared" si="69"/>
        <v>1.3939393939393918E-2</v>
      </c>
      <c r="V21" s="8">
        <f t="shared" si="69"/>
        <v>5.8577405857740628E-2</v>
      </c>
      <c r="W21" s="8">
        <f t="shared" si="69"/>
        <v>0.10671936758893286</v>
      </c>
      <c r="X21" s="8">
        <f t="shared" si="69"/>
        <v>3.5714285714285809E-2</v>
      </c>
      <c r="Y21" s="8">
        <f t="shared" si="69"/>
        <v>-7.98029556650246E-2</v>
      </c>
      <c r="Z21" s="8">
        <f t="shared" si="69"/>
        <v>0.29336188436830835</v>
      </c>
      <c r="AA21" s="8">
        <f t="shared" si="69"/>
        <v>6.6225165562913801E-2</v>
      </c>
      <c r="AB21" s="8">
        <f t="shared" si="69"/>
        <v>0.65838509316770177</v>
      </c>
      <c r="AC21" s="8">
        <f t="shared" si="69"/>
        <v>-0.4129213483146067</v>
      </c>
      <c r="AD21" s="8">
        <f t="shared" si="69"/>
        <v>6.1403508771929793E-2</v>
      </c>
      <c r="AE21" s="8">
        <f t="shared" si="69"/>
        <v>0.12058602554470332</v>
      </c>
      <c r="AF21" s="8"/>
      <c r="AG21" s="8"/>
      <c r="AH21" s="8"/>
      <c r="AI21" s="8"/>
      <c r="AJ21" s="8"/>
      <c r="AK21" s="8"/>
      <c r="AL21" s="8"/>
      <c r="AM21" s="8">
        <f t="shared" ref="AM21" si="70">AM8/AL8-1</f>
        <v>0.22116218560277545</v>
      </c>
      <c r="AN21" s="8">
        <f t="shared" ref="AN21" si="71">AN8/AM8-1</f>
        <v>0.12073863636363646</v>
      </c>
      <c r="AO21" s="8">
        <f t="shared" ref="AO21" si="72">AO8/AN8-1</f>
        <v>0.12230671736375154</v>
      </c>
      <c r="AP21" s="8">
        <f t="shared" ref="AP21" si="73">AP8/AO8-1</f>
        <v>3.8961038961038863E-2</v>
      </c>
      <c r="AQ21" s="8">
        <f t="shared" ref="AQ21" si="74">AQ8/AP8-1</f>
        <v>0.82989130434782599</v>
      </c>
      <c r="AR21" s="8">
        <f t="shared" ref="AR21" si="75">AR8/AQ8-1</f>
        <v>0.16483516483516492</v>
      </c>
      <c r="AS21" s="8">
        <f t="shared" ref="AS21" si="76">AS8/AR8-1</f>
        <v>-0.33401325854156039</v>
      </c>
      <c r="AT21" s="8">
        <f t="shared" ref="AT21" si="77">AT8/AS8-1</f>
        <v>0.28905053598774888</v>
      </c>
      <c r="AU21" s="8">
        <f t="shared" ref="AU21" si="78">AU8/AT8-1</f>
        <v>0.16483516483516492</v>
      </c>
      <c r="AV21" s="8">
        <f t="shared" ref="AV21" si="79">AV8/AU8-1</f>
        <v>0.79857215706272311</v>
      </c>
      <c r="AW21" s="8">
        <f t="shared" ref="AW21" si="80">AW8/AV8-1</f>
        <v>5.3870144598809233E-2</v>
      </c>
      <c r="AX21" s="8">
        <f t="shared" ref="AX21" si="81">AX8/AW8-1</f>
        <v>0.49744417541027719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4:62" x14ac:dyDescent="0.25">
      <c r="D22" s="3" t="s">
        <v>79</v>
      </c>
      <c r="E22" s="8">
        <f>E7/E5</f>
        <v>0.59370160041300979</v>
      </c>
      <c r="F22" s="8">
        <f>F7/F5</f>
        <v>0.58385650224215246</v>
      </c>
      <c r="G22" s="8">
        <f t="shared" ref="G22:AE22" si="82">G7/G5</f>
        <v>0.59522003034901361</v>
      </c>
      <c r="H22" s="8">
        <f t="shared" si="82"/>
        <v>0.61868773617313633</v>
      </c>
      <c r="I22" s="8">
        <f t="shared" si="82"/>
        <v>0.6448394137823511</v>
      </c>
      <c r="J22" s="8">
        <f t="shared" si="82"/>
        <v>0.63240473903298111</v>
      </c>
      <c r="K22" s="8">
        <f t="shared" si="82"/>
        <v>0.60389814523734675</v>
      </c>
      <c r="L22" s="8">
        <f t="shared" si="82"/>
        <v>0.54739229024943314</v>
      </c>
      <c r="M22" s="8">
        <f t="shared" si="82"/>
        <v>0.58378378378378382</v>
      </c>
      <c r="N22" s="8">
        <f t="shared" si="82"/>
        <v>0.59751841799146954</v>
      </c>
      <c r="O22" s="8">
        <f t="shared" si="82"/>
        <v>0.63570006635700071</v>
      </c>
      <c r="P22" s="8">
        <f t="shared" si="82"/>
        <v>0.64895330112721417</v>
      </c>
      <c r="Q22" s="8">
        <f t="shared" si="82"/>
        <v>0.6506493506493507</v>
      </c>
      <c r="R22" s="8">
        <f t="shared" si="82"/>
        <v>0.58846352819451631</v>
      </c>
      <c r="S22" s="8">
        <f t="shared" si="82"/>
        <v>0.58699719363891489</v>
      </c>
      <c r="T22" s="8">
        <f t="shared" si="82"/>
        <v>0.66147075004584632</v>
      </c>
      <c r="U22" s="8">
        <f t="shared" si="82"/>
        <v>0.6410528175234057</v>
      </c>
      <c r="V22" s="8">
        <f t="shared" si="82"/>
        <v>0.64776394651913327</v>
      </c>
      <c r="W22" s="8">
        <f t="shared" si="82"/>
        <v>0.65197803744896521</v>
      </c>
      <c r="X22" s="8">
        <f t="shared" si="82"/>
        <v>0.65419337956299883</v>
      </c>
      <c r="Y22" s="8">
        <f t="shared" si="82"/>
        <v>0.65528474903474898</v>
      </c>
      <c r="Z22" s="8">
        <f t="shared" si="82"/>
        <v>0.43481503579952269</v>
      </c>
      <c r="AA22" s="8">
        <f t="shared" si="82"/>
        <v>0.53566009104704093</v>
      </c>
      <c r="AB22" s="8">
        <f t="shared" si="82"/>
        <v>0.63344901669145592</v>
      </c>
      <c r="AC22" s="8">
        <f t="shared" si="82"/>
        <v>0.64627363737486099</v>
      </c>
      <c r="AD22" s="8">
        <f t="shared" si="82"/>
        <v>0.7005256533649219</v>
      </c>
      <c r="AE22" s="8">
        <f t="shared" si="82"/>
        <v>0.73951434878587197</v>
      </c>
      <c r="AF22" s="8"/>
      <c r="AG22" s="8"/>
      <c r="AH22" s="8"/>
      <c r="AI22" s="8"/>
      <c r="AJ22" s="8"/>
      <c r="AK22" s="8"/>
      <c r="AL22" s="8">
        <f t="shared" ref="AL22:AX22" si="83">AL7/AL5</f>
        <v>0.39768557719446795</v>
      </c>
      <c r="AM22" s="8">
        <f t="shared" si="83"/>
        <v>0.51475000000000004</v>
      </c>
      <c r="AN22" s="8">
        <f t="shared" si="83"/>
        <v>0.52032710280373828</v>
      </c>
      <c r="AO22" s="8">
        <f t="shared" si="83"/>
        <v>0.54915254237288136</v>
      </c>
      <c r="AP22" s="8">
        <f t="shared" si="83"/>
        <v>0.5552232428968169</v>
      </c>
      <c r="AQ22" s="8">
        <f t="shared" si="83"/>
        <v>0.61206896551724133</v>
      </c>
      <c r="AR22" s="8">
        <f t="shared" si="83"/>
        <v>0.61989375343469499</v>
      </c>
      <c r="AS22" s="8">
        <f t="shared" si="83"/>
        <v>0.59934115709285563</v>
      </c>
      <c r="AT22" s="8">
        <f t="shared" si="83"/>
        <v>0.61206896551724133</v>
      </c>
      <c r="AU22" s="8">
        <f t="shared" si="83"/>
        <v>0.61989375343469499</v>
      </c>
      <c r="AV22" s="8">
        <f t="shared" si="83"/>
        <v>0.65046109043844036</v>
      </c>
      <c r="AW22" s="8">
        <f t="shared" si="83"/>
        <v>0.64929033216913135</v>
      </c>
      <c r="AX22" s="8">
        <f t="shared" si="83"/>
        <v>0.56928894490991322</v>
      </c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4:62" x14ac:dyDescent="0.25">
      <c r="D23" s="3" t="s">
        <v>80</v>
      </c>
      <c r="E23" s="8"/>
      <c r="F23" s="8">
        <f>F22/E22-1</f>
        <v>-1.6582569701696248E-2</v>
      </c>
      <c r="G23" s="8">
        <f t="shared" ref="G23:AE23" si="84">G22/F22-1</f>
        <v>1.946287840115235E-2</v>
      </c>
      <c r="H23" s="8">
        <f t="shared" si="84"/>
        <v>3.9426942353338212E-2</v>
      </c>
      <c r="I23" s="8">
        <f t="shared" si="84"/>
        <v>4.2269591071862456E-2</v>
      </c>
      <c r="J23" s="8">
        <f t="shared" si="84"/>
        <v>-1.9283366499627475E-2</v>
      </c>
      <c r="K23" s="8">
        <f t="shared" si="84"/>
        <v>-4.5076502493046178E-2</v>
      </c>
      <c r="L23" s="8">
        <f t="shared" si="84"/>
        <v>-9.3568518852968907E-2</v>
      </c>
      <c r="M23" s="8">
        <f t="shared" si="84"/>
        <v>6.6481560267807049E-2</v>
      </c>
      <c r="N23" s="8">
        <f t="shared" si="84"/>
        <v>2.3526919707609784E-2</v>
      </c>
      <c r="O23" s="8">
        <f t="shared" si="84"/>
        <v>6.3900370626025271E-2</v>
      </c>
      <c r="P23" s="8">
        <f t="shared" si="84"/>
        <v>2.0848251355648939E-2</v>
      </c>
      <c r="Q23" s="8">
        <f t="shared" si="84"/>
        <v>2.6135155167414936E-3</v>
      </c>
      <c r="R23" s="8">
        <f t="shared" si="84"/>
        <v>-9.5575016547350233E-2</v>
      </c>
      <c r="S23" s="8">
        <f t="shared" si="84"/>
        <v>-2.491801930529669E-3</v>
      </c>
      <c r="T23" s="8">
        <f t="shared" si="84"/>
        <v>0.12687208254822258</v>
      </c>
      <c r="U23" s="8">
        <f t="shared" si="84"/>
        <v>-3.0867476031291585E-2</v>
      </c>
      <c r="V23" s="8">
        <f t="shared" si="84"/>
        <v>1.0468917400058952E-2</v>
      </c>
      <c r="W23" s="8">
        <f t="shared" si="84"/>
        <v>6.5055966027085521E-3</v>
      </c>
      <c r="X23" s="8">
        <f t="shared" si="84"/>
        <v>3.3978784357548975E-3</v>
      </c>
      <c r="Y23" s="8">
        <f t="shared" si="84"/>
        <v>1.6682673745171961E-3</v>
      </c>
      <c r="Z23" s="8">
        <f t="shared" si="84"/>
        <v>-0.33644871723320857</v>
      </c>
      <c r="AA23" s="8">
        <f t="shared" si="84"/>
        <v>0.23192632946118774</v>
      </c>
      <c r="AB23" s="8">
        <f t="shared" si="84"/>
        <v>0.182557796033058</v>
      </c>
      <c r="AC23" s="8">
        <f t="shared" si="84"/>
        <v>2.0245703040773222E-2</v>
      </c>
      <c r="AD23" s="8">
        <f t="shared" si="84"/>
        <v>8.3945890490644937E-2</v>
      </c>
      <c r="AE23" s="8">
        <f t="shared" si="84"/>
        <v>5.5656342110629087E-2</v>
      </c>
      <c r="AF23" s="8"/>
      <c r="AG23" s="8"/>
      <c r="AH23" s="8"/>
      <c r="AI23" s="8"/>
      <c r="AJ23" s="8"/>
      <c r="AK23" s="8"/>
      <c r="AL23" s="8"/>
      <c r="AM23" s="8">
        <f t="shared" ref="AM23" si="85">AM22/AL22-1</f>
        <v>0.29436426543647998</v>
      </c>
      <c r="AN23" s="8">
        <f t="shared" ref="AN23" si="86">AN22/AM22-1</f>
        <v>1.0834585339948077E-2</v>
      </c>
      <c r="AO23" s="8">
        <f t="shared" ref="AO23" si="87">AO22/AN22-1</f>
        <v>5.5398689427899495E-2</v>
      </c>
      <c r="AP23" s="8">
        <f t="shared" ref="AP23" si="88">AP22/AO22-1</f>
        <v>1.1054670707166592E-2</v>
      </c>
      <c r="AQ23" s="8">
        <f t="shared" ref="AQ23" si="89">AQ22/AP22-1</f>
        <v>0.10238354274190331</v>
      </c>
      <c r="AR23" s="8">
        <f t="shared" ref="AR23" si="90">AR22/AQ22-1</f>
        <v>1.2784160541191802E-2</v>
      </c>
      <c r="AS23" s="8">
        <f t="shared" ref="AS23" si="91">AS22/AR22-1</f>
        <v>-3.3155030564450683E-2</v>
      </c>
      <c r="AT23" s="8">
        <f t="shared" ref="AT23" si="92">AT22/AS22-1</f>
        <v>2.1236333052985668E-2</v>
      </c>
      <c r="AU23" s="8">
        <f t="shared" ref="AU23" si="93">AU22/AT22-1</f>
        <v>1.2784160541191802E-2</v>
      </c>
      <c r="AV23" s="8">
        <f t="shared" ref="AV23" si="94">AV22/AU22-1</f>
        <v>4.9310606590852846E-2</v>
      </c>
      <c r="AW23" s="8">
        <f t="shared" ref="AW23" si="95">AW22/AV22-1</f>
        <v>-1.7998897805245884E-3</v>
      </c>
      <c r="AX23" s="8">
        <f t="shared" ref="AX23" si="96">AX22/AW22-1</f>
        <v>-0.12321358149897543</v>
      </c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4:62" x14ac:dyDescent="0.25">
      <c r="D24" s="3" t="s">
        <v>81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4:62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4:62" x14ac:dyDescent="0.25">
      <c r="D26" s="3" t="s">
        <v>83</v>
      </c>
      <c r="E26" s="8"/>
      <c r="F26" s="8">
        <f>F15/E15-1</f>
        <v>0.16455696202531644</v>
      </c>
      <c r="G26" s="8">
        <f t="shared" ref="G26:AE26" si="97">G15/F15-1</f>
        <v>0.44565217391304346</v>
      </c>
      <c r="H26" s="8">
        <f t="shared" si="97"/>
        <v>0.33834586466165417</v>
      </c>
      <c r="I26" s="8">
        <f t="shared" si="97"/>
        <v>0.11235955056179758</v>
      </c>
      <c r="J26" s="8">
        <f t="shared" si="97"/>
        <v>-0.11111111111111105</v>
      </c>
      <c r="K26" s="8">
        <f t="shared" si="97"/>
        <v>0.14772727272727271</v>
      </c>
      <c r="L26" s="8">
        <f t="shared" si="97"/>
        <v>-0.48019801980198007</v>
      </c>
      <c r="M26" s="8">
        <f t="shared" si="97"/>
        <v>-0.39047619047619064</v>
      </c>
      <c r="N26" s="8">
        <f t="shared" si="97"/>
        <v>0.421875</v>
      </c>
      <c r="O26" s="8">
        <f t="shared" si="97"/>
        <v>0.6153846153846152</v>
      </c>
      <c r="P26" s="8">
        <f t="shared" si="97"/>
        <v>2.0408163265305923E-2</v>
      </c>
      <c r="Q26" s="8">
        <f t="shared" si="97"/>
        <v>-1.9999999999999685E-2</v>
      </c>
      <c r="R26" s="8">
        <f t="shared" si="97"/>
        <v>-0.32653061224489799</v>
      </c>
      <c r="S26" s="8">
        <f t="shared" si="97"/>
        <v>1.1414141414141414</v>
      </c>
      <c r="T26" s="8">
        <f t="shared" si="97"/>
        <v>9.4339622641509413E-2</v>
      </c>
      <c r="U26" s="8">
        <f t="shared" si="97"/>
        <v>0.30603448275862055</v>
      </c>
      <c r="V26" s="8">
        <f t="shared" si="97"/>
        <v>-0.68976897689768979</v>
      </c>
      <c r="W26" s="8">
        <f t="shared" si="97"/>
        <v>3.1914893617021267E-2</v>
      </c>
      <c r="X26" s="8">
        <f t="shared" si="97"/>
        <v>0.12371134020618557</v>
      </c>
      <c r="Y26" s="8">
        <f t="shared" si="97"/>
        <v>-0.41284403669724778</v>
      </c>
      <c r="Z26" s="8">
        <f t="shared" si="97"/>
        <v>-0.59375</v>
      </c>
      <c r="AA26" s="8">
        <f t="shared" si="97"/>
        <v>3.8461538461538547E-2</v>
      </c>
      <c r="AB26" s="7">
        <f t="shared" si="97"/>
        <v>1.1111111111111112</v>
      </c>
      <c r="AC26" s="8">
        <f t="shared" si="97"/>
        <v>0.43859649122806998</v>
      </c>
      <c r="AD26" s="7">
        <f t="shared" si="97"/>
        <v>2.0487804878048781</v>
      </c>
      <c r="AE26" s="8">
        <f t="shared" si="97"/>
        <v>0.5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2024-02-14T08:02:44Z</dcterms:modified>
</cp:coreProperties>
</file>