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zz5\OneDrive\Desktop\FModels\ATZ\"/>
    </mc:Choice>
  </mc:AlternateContent>
  <xr:revisionPtr revIDLastSave="0" documentId="8_{BBAD5EAC-E993-4EDB-A055-7B9008759638}" xr6:coauthVersionLast="47" xr6:coauthVersionMax="47" xr10:uidLastSave="{00000000-0000-0000-0000-000000000000}"/>
  <bookViews>
    <workbookView xWindow="-120" yWindow="-120" windowWidth="29040" windowHeight="15840" activeTab="1" xr2:uid="{645EE65A-A10C-4E22-88FB-D323E444812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8" i="2" l="1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AQ23" i="2"/>
  <c r="AP23" i="2"/>
  <c r="AO23" i="2"/>
  <c r="AN23" i="2"/>
  <c r="AM23" i="2"/>
  <c r="AL23" i="2"/>
  <c r="AK23" i="2"/>
  <c r="AC16" i="2"/>
  <c r="AB20" i="2"/>
  <c r="C19" i="2"/>
  <c r="AC17" i="2" l="1"/>
  <c r="AC8" i="2"/>
  <c r="AC18" i="2" s="1"/>
  <c r="AC7" i="2"/>
  <c r="AC19" i="2" s="1"/>
  <c r="D17" i="1"/>
  <c r="D20" i="1" s="1"/>
  <c r="D22" i="1" s="1"/>
  <c r="AB8" i="2"/>
  <c r="AA8" i="2"/>
  <c r="AB18" i="2" s="1"/>
  <c r="AB17" i="2"/>
  <c r="AD7" i="2"/>
  <c r="AD9" i="2" s="1"/>
  <c r="AD12" i="2" s="1"/>
  <c r="AD14" i="2" s="1"/>
  <c r="AB7" i="2"/>
  <c r="AB19" i="2" s="1"/>
  <c r="AA7" i="2"/>
  <c r="AA19" i="2" s="1"/>
  <c r="AC9" i="2" l="1"/>
  <c r="AC12" i="2" s="1"/>
  <c r="AC14" i="2" s="1"/>
  <c r="AA20" i="2"/>
  <c r="AA9" i="2"/>
  <c r="AA12" i="2" s="1"/>
  <c r="AA14" i="2" s="1"/>
  <c r="AB9" i="2"/>
  <c r="AB12" i="2" s="1"/>
  <c r="AB14" i="2" s="1"/>
  <c r="AB16" i="2" s="1"/>
  <c r="AG11" i="2"/>
  <c r="AK7" i="2"/>
  <c r="AK19" i="2" s="1"/>
  <c r="AK8" i="2"/>
  <c r="Z13" i="2"/>
  <c r="AQ13" i="2" s="1"/>
  <c r="Z11" i="2"/>
  <c r="AQ11" i="2" s="1"/>
  <c r="Z10" i="2"/>
  <c r="AQ10" i="2" s="1"/>
  <c r="Z6" i="2"/>
  <c r="AQ6" i="2" s="1"/>
  <c r="Z5" i="2"/>
  <c r="Y18" i="2"/>
  <c r="Y17" i="2"/>
  <c r="X17" i="2"/>
  <c r="U17" i="2"/>
  <c r="T17" i="2"/>
  <c r="Q17" i="2"/>
  <c r="P17" i="2"/>
  <c r="M17" i="2"/>
  <c r="L17" i="2"/>
  <c r="I17" i="2"/>
  <c r="H17" i="2"/>
  <c r="E17" i="2"/>
  <c r="D17" i="2"/>
  <c r="W8" i="2"/>
  <c r="X18" i="2" s="1"/>
  <c r="V13" i="2"/>
  <c r="AP13" i="2" s="1"/>
  <c r="V11" i="2"/>
  <c r="AP11" i="2" s="1"/>
  <c r="V10" i="2"/>
  <c r="AP10" i="2" s="1"/>
  <c r="V6" i="2"/>
  <c r="AP6" i="2" s="1"/>
  <c r="V5" i="2"/>
  <c r="W17" i="2" s="1"/>
  <c r="U8" i="2"/>
  <c r="T8" i="2"/>
  <c r="S8" i="2"/>
  <c r="R13" i="2"/>
  <c r="AO13" i="2" s="1"/>
  <c r="R11" i="2"/>
  <c r="AO11" i="2" s="1"/>
  <c r="R6" i="2"/>
  <c r="R5" i="2"/>
  <c r="R17" i="2" s="1"/>
  <c r="Q8" i="2"/>
  <c r="P10" i="2"/>
  <c r="R10" i="2" s="1"/>
  <c r="P8" i="2"/>
  <c r="O8" i="2"/>
  <c r="N13" i="2"/>
  <c r="AN13" i="2" s="1"/>
  <c r="N11" i="2"/>
  <c r="AN11" i="2" s="1"/>
  <c r="N10" i="2"/>
  <c r="AN10" i="2" s="1"/>
  <c r="N6" i="2"/>
  <c r="AN6" i="2" s="1"/>
  <c r="N5" i="2"/>
  <c r="O17" i="2" s="1"/>
  <c r="M8" i="2"/>
  <c r="L8" i="2"/>
  <c r="K8" i="2"/>
  <c r="J11" i="2"/>
  <c r="AM11" i="2" s="1"/>
  <c r="J13" i="2"/>
  <c r="AM13" i="2" s="1"/>
  <c r="J10" i="2"/>
  <c r="AM10" i="2" s="1"/>
  <c r="J6" i="2"/>
  <c r="AM6" i="2" s="1"/>
  <c r="J5" i="2"/>
  <c r="F13" i="2"/>
  <c r="AL13" i="2" s="1"/>
  <c r="F11" i="2"/>
  <c r="AL11" i="2" s="1"/>
  <c r="F10" i="2"/>
  <c r="AL10" i="2" s="1"/>
  <c r="F6" i="2"/>
  <c r="F5" i="2"/>
  <c r="F17" i="2" s="1"/>
  <c r="I8" i="2"/>
  <c r="H8" i="2"/>
  <c r="G8" i="2"/>
  <c r="E8" i="2"/>
  <c r="D8" i="2"/>
  <c r="Y7" i="2"/>
  <c r="X7" i="2"/>
  <c r="W7" i="2"/>
  <c r="W19" i="2" s="1"/>
  <c r="U7" i="2"/>
  <c r="U19" i="2" s="1"/>
  <c r="T7" i="2"/>
  <c r="T19" i="2" s="1"/>
  <c r="S7" i="2"/>
  <c r="S19" i="2" s="1"/>
  <c r="Q7" i="2"/>
  <c r="Q19" i="2" s="1"/>
  <c r="P7" i="2"/>
  <c r="P19" i="2" s="1"/>
  <c r="O7" i="2"/>
  <c r="O19" i="2" s="1"/>
  <c r="M7" i="2"/>
  <c r="L7" i="2"/>
  <c r="L19" i="2" s="1"/>
  <c r="K7" i="2"/>
  <c r="K19" i="2" s="1"/>
  <c r="I7" i="2"/>
  <c r="I19" i="2" s="1"/>
  <c r="H7" i="2"/>
  <c r="H19" i="2" s="1"/>
  <c r="G7" i="2"/>
  <c r="G19" i="2" s="1"/>
  <c r="E7" i="2"/>
  <c r="E19" i="2" s="1"/>
  <c r="D7" i="2"/>
  <c r="D19" i="2" s="1"/>
  <c r="C8" i="2"/>
  <c r="F8" i="2" s="1"/>
  <c r="F18" i="2" s="1"/>
  <c r="C7" i="2"/>
  <c r="AM4" i="2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Y4" i="2" s="1"/>
  <c r="AZ4" i="2" s="1"/>
  <c r="BA4" i="2" s="1"/>
  <c r="BB4" i="2" s="1"/>
  <c r="BC4" i="2" s="1"/>
  <c r="BD4" i="2" s="1"/>
  <c r="BE4" i="2" s="1"/>
  <c r="BF4" i="2" s="1"/>
  <c r="BG4" i="2" s="1"/>
  <c r="BH4" i="2" s="1"/>
  <c r="AK4" i="2"/>
  <c r="H20" i="2" l="1"/>
  <c r="P20" i="2"/>
  <c r="P18" i="2"/>
  <c r="F7" i="2"/>
  <c r="F19" i="2" s="1"/>
  <c r="E20" i="2" s="1"/>
  <c r="F20" i="2"/>
  <c r="K20" i="2"/>
  <c r="D20" i="2"/>
  <c r="M9" i="2"/>
  <c r="M12" i="2" s="1"/>
  <c r="M14" i="2" s="1"/>
  <c r="M19" i="2"/>
  <c r="L20" i="2" s="1"/>
  <c r="G20" i="2"/>
  <c r="O20" i="2"/>
  <c r="X9" i="2"/>
  <c r="X12" i="2" s="1"/>
  <c r="X14" i="2" s="1"/>
  <c r="X19" i="2"/>
  <c r="W20" i="2" s="1"/>
  <c r="J7" i="2"/>
  <c r="J19" i="2" s="1"/>
  <c r="I20" i="2" s="1"/>
  <c r="S20" i="2"/>
  <c r="T20" i="2"/>
  <c r="Y9" i="2"/>
  <c r="Y12" i="2" s="1"/>
  <c r="Y14" i="2" s="1"/>
  <c r="Y19" i="2"/>
  <c r="X20" i="2" s="1"/>
  <c r="I18" i="2"/>
  <c r="C9" i="2"/>
  <c r="C12" i="2" s="1"/>
  <c r="C14" i="2" s="1"/>
  <c r="J8" i="2"/>
  <c r="J18" i="2" s="1"/>
  <c r="AM7" i="2"/>
  <c r="AM19" i="2" s="1"/>
  <c r="G17" i="2"/>
  <c r="AL5" i="2"/>
  <c r="AL17" i="2" s="1"/>
  <c r="AK9" i="2"/>
  <c r="AK12" i="2" s="1"/>
  <c r="AK14" i="2" s="1"/>
  <c r="AL6" i="2"/>
  <c r="AN5" i="2"/>
  <c r="V8" i="2"/>
  <c r="V18" i="2" s="1"/>
  <c r="AL8" i="2"/>
  <c r="AL18" i="2" s="1"/>
  <c r="L18" i="2"/>
  <c r="D18" i="2"/>
  <c r="S17" i="2"/>
  <c r="AM5" i="2"/>
  <c r="S9" i="2"/>
  <c r="M18" i="2"/>
  <c r="R7" i="2"/>
  <c r="U18" i="2"/>
  <c r="AP5" i="2"/>
  <c r="D9" i="2"/>
  <c r="D12" i="2" s="1"/>
  <c r="D14" i="2" s="1"/>
  <c r="E18" i="2"/>
  <c r="N7" i="2"/>
  <c r="N19" i="2" s="1"/>
  <c r="N17" i="2"/>
  <c r="AO6" i="2"/>
  <c r="Z17" i="2"/>
  <c r="AA17" i="2"/>
  <c r="G9" i="2"/>
  <c r="W9" i="2"/>
  <c r="H18" i="2"/>
  <c r="N8" i="2"/>
  <c r="N18" i="2" s="1"/>
  <c r="Z7" i="2"/>
  <c r="Z19" i="2" s="1"/>
  <c r="AM8" i="2"/>
  <c r="AO10" i="2"/>
  <c r="Q18" i="2"/>
  <c r="T18" i="2"/>
  <c r="Z8" i="2"/>
  <c r="AQ8" i="2" s="1"/>
  <c r="AL7" i="2"/>
  <c r="AO5" i="2"/>
  <c r="AO17" i="2" s="1"/>
  <c r="AQ5" i="2"/>
  <c r="R8" i="2"/>
  <c r="AO8" i="2" s="1"/>
  <c r="P9" i="2"/>
  <c r="P12" i="2" s="1"/>
  <c r="P14" i="2" s="1"/>
  <c r="Q9" i="2"/>
  <c r="Q12" i="2" s="1"/>
  <c r="Q14" i="2" s="1"/>
  <c r="J17" i="2"/>
  <c r="V17" i="2"/>
  <c r="K17" i="2"/>
  <c r="G18" i="2"/>
  <c r="L9" i="2"/>
  <c r="L12" i="2" s="1"/>
  <c r="L14" i="2" s="1"/>
  <c r="M16" i="2" s="1"/>
  <c r="V7" i="2"/>
  <c r="U9" i="2"/>
  <c r="U12" i="2" s="1"/>
  <c r="U14" i="2" s="1"/>
  <c r="T9" i="2"/>
  <c r="T12" i="2" s="1"/>
  <c r="T14" i="2" s="1"/>
  <c r="O9" i="2"/>
  <c r="K9" i="2"/>
  <c r="F9" i="2"/>
  <c r="F12" i="2" s="1"/>
  <c r="F14" i="2" s="1"/>
  <c r="I9" i="2"/>
  <c r="I12" i="2" s="1"/>
  <c r="I14" i="2" s="1"/>
  <c r="H9" i="2"/>
  <c r="H12" i="2" s="1"/>
  <c r="H14" i="2" s="1"/>
  <c r="E9" i="2"/>
  <c r="J9" i="2" l="1"/>
  <c r="J12" i="2" s="1"/>
  <c r="J14" i="2" s="1"/>
  <c r="K18" i="2"/>
  <c r="M20" i="2"/>
  <c r="J20" i="2"/>
  <c r="Y16" i="2"/>
  <c r="AL19" i="2"/>
  <c r="AK20" i="2" s="1"/>
  <c r="V9" i="2"/>
  <c r="V12" i="2" s="1"/>
  <c r="V14" i="2" s="1"/>
  <c r="V16" i="2" s="1"/>
  <c r="V19" i="2"/>
  <c r="AM17" i="2"/>
  <c r="N20" i="2"/>
  <c r="Y20" i="2"/>
  <c r="Z20" i="2"/>
  <c r="AO7" i="2"/>
  <c r="AO19" i="2" s="1"/>
  <c r="R19" i="2"/>
  <c r="AN17" i="2"/>
  <c r="W18" i="2"/>
  <c r="AP8" i="2"/>
  <c r="AP18" i="2" s="1"/>
  <c r="AM18" i="2"/>
  <c r="O18" i="2"/>
  <c r="AQ17" i="2"/>
  <c r="N9" i="2"/>
  <c r="N12" i="2" s="1"/>
  <c r="N14" i="2" s="1"/>
  <c r="N16" i="2" s="1"/>
  <c r="AP7" i="2"/>
  <c r="AP19" i="2" s="1"/>
  <c r="Z9" i="2"/>
  <c r="Z12" i="2" s="1"/>
  <c r="Z14" i="2" s="1"/>
  <c r="AA16" i="2" s="1"/>
  <c r="AP17" i="2"/>
  <c r="S12" i="2"/>
  <c r="D16" i="2"/>
  <c r="AN8" i="2"/>
  <c r="AN18" i="2" s="1"/>
  <c r="AL9" i="2"/>
  <c r="AN7" i="2"/>
  <c r="AN19" i="2" s="1"/>
  <c r="AM20" i="2" s="1"/>
  <c r="K12" i="2"/>
  <c r="W12" i="2"/>
  <c r="Z18" i="2"/>
  <c r="AA18" i="2"/>
  <c r="G12" i="2"/>
  <c r="AM9" i="2"/>
  <c r="AQ7" i="2"/>
  <c r="AQ19" i="2" s="1"/>
  <c r="O12" i="2"/>
  <c r="E12" i="2"/>
  <c r="E14" i="2" s="1"/>
  <c r="AL14" i="2" s="1"/>
  <c r="S18" i="2"/>
  <c r="R18" i="2"/>
  <c r="I16" i="2"/>
  <c r="R9" i="2"/>
  <c r="R12" i="2" s="1"/>
  <c r="R14" i="2" s="1"/>
  <c r="R16" i="2" s="1"/>
  <c r="J16" i="2"/>
  <c r="Q16" i="2"/>
  <c r="U16" i="2"/>
  <c r="AQ18" i="2" l="1"/>
  <c r="AN20" i="2"/>
  <c r="AL20" i="2"/>
  <c r="AO20" i="2"/>
  <c r="AP20" i="2"/>
  <c r="AQ9" i="2"/>
  <c r="AP9" i="2"/>
  <c r="Q20" i="2"/>
  <c r="R20" i="2"/>
  <c r="U20" i="2"/>
  <c r="V20" i="2"/>
  <c r="Z16" i="2"/>
  <c r="AN9" i="2"/>
  <c r="AO9" i="2"/>
  <c r="AL16" i="2"/>
  <c r="O14" i="2"/>
  <c r="AO12" i="2"/>
  <c r="S14" i="2"/>
  <c r="AP12" i="2"/>
  <c r="W14" i="2"/>
  <c r="AQ12" i="2"/>
  <c r="AL12" i="2"/>
  <c r="G14" i="2"/>
  <c r="AM12" i="2"/>
  <c r="K14" i="2"/>
  <c r="AN12" i="2"/>
  <c r="AO18" i="2"/>
  <c r="E16" i="2"/>
  <c r="F16" i="2"/>
  <c r="AM14" i="2" l="1"/>
  <c r="G16" i="2"/>
  <c r="H16" i="2"/>
  <c r="K16" i="2"/>
  <c r="AN14" i="2"/>
  <c r="L16" i="2"/>
  <c r="AP14" i="2"/>
  <c r="T16" i="2"/>
  <c r="S16" i="2"/>
  <c r="AO14" i="2"/>
  <c r="P16" i="2"/>
  <c r="O16" i="2"/>
  <c r="AQ14" i="2"/>
  <c r="X16" i="2"/>
  <c r="W16" i="2"/>
  <c r="AP16" i="2" l="1"/>
  <c r="AQ16" i="2"/>
  <c r="AR14" i="2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BJ14" i="2" s="1"/>
  <c r="BK14" i="2" s="1"/>
  <c r="BL14" i="2" s="1"/>
  <c r="BM14" i="2" s="1"/>
  <c r="BN14" i="2" s="1"/>
  <c r="BO14" i="2" s="1"/>
  <c r="BP14" i="2" s="1"/>
  <c r="BQ14" i="2" s="1"/>
  <c r="BR14" i="2" s="1"/>
  <c r="BS14" i="2" s="1"/>
  <c r="BT14" i="2" s="1"/>
  <c r="BU14" i="2" s="1"/>
  <c r="BV14" i="2" s="1"/>
  <c r="BW14" i="2" s="1"/>
  <c r="BX14" i="2" s="1"/>
  <c r="BY14" i="2" s="1"/>
  <c r="BZ14" i="2" s="1"/>
  <c r="CA14" i="2" s="1"/>
  <c r="CB14" i="2" s="1"/>
  <c r="CC14" i="2" s="1"/>
  <c r="CD14" i="2" s="1"/>
  <c r="CE14" i="2" s="1"/>
  <c r="CF14" i="2" s="1"/>
  <c r="CG14" i="2" s="1"/>
  <c r="CH14" i="2" s="1"/>
  <c r="CI14" i="2" s="1"/>
  <c r="CJ14" i="2" s="1"/>
  <c r="CK14" i="2" s="1"/>
  <c r="CL14" i="2" s="1"/>
  <c r="CM14" i="2" s="1"/>
  <c r="CN14" i="2" s="1"/>
  <c r="CO14" i="2" s="1"/>
  <c r="CP14" i="2" s="1"/>
  <c r="CQ14" i="2" s="1"/>
  <c r="CR14" i="2" s="1"/>
  <c r="CS14" i="2" s="1"/>
  <c r="CT14" i="2" s="1"/>
  <c r="CU14" i="2" s="1"/>
  <c r="CV14" i="2" s="1"/>
  <c r="CW14" i="2" s="1"/>
  <c r="CX14" i="2" s="1"/>
  <c r="CY14" i="2" s="1"/>
  <c r="CZ14" i="2" s="1"/>
  <c r="DA14" i="2" s="1"/>
  <c r="DB14" i="2" s="1"/>
  <c r="DC14" i="2" s="1"/>
  <c r="DD14" i="2" s="1"/>
  <c r="DE14" i="2" s="1"/>
  <c r="DF14" i="2" s="1"/>
  <c r="DG14" i="2" s="1"/>
  <c r="DH14" i="2" s="1"/>
  <c r="DI14" i="2" s="1"/>
  <c r="DJ14" i="2" s="1"/>
  <c r="DK14" i="2" s="1"/>
  <c r="DL14" i="2" s="1"/>
  <c r="DM14" i="2" s="1"/>
  <c r="DN14" i="2" s="1"/>
  <c r="DO14" i="2" s="1"/>
  <c r="DP14" i="2" s="1"/>
  <c r="DQ14" i="2" s="1"/>
  <c r="DR14" i="2" s="1"/>
  <c r="DS14" i="2" s="1"/>
  <c r="DT14" i="2" s="1"/>
  <c r="DU14" i="2" s="1"/>
  <c r="DV14" i="2" s="1"/>
  <c r="DW14" i="2" s="1"/>
  <c r="DX14" i="2" s="1"/>
  <c r="DY14" i="2" s="1"/>
  <c r="DZ14" i="2" s="1"/>
  <c r="EA14" i="2" s="1"/>
  <c r="EB14" i="2" s="1"/>
  <c r="EC14" i="2" s="1"/>
  <c r="ED14" i="2" s="1"/>
  <c r="EE14" i="2" s="1"/>
  <c r="EF14" i="2" s="1"/>
  <c r="EG14" i="2" s="1"/>
  <c r="EH14" i="2" s="1"/>
  <c r="EI14" i="2" s="1"/>
  <c r="EJ14" i="2" s="1"/>
  <c r="EK14" i="2" s="1"/>
  <c r="EL14" i="2" s="1"/>
  <c r="EM14" i="2" s="1"/>
  <c r="EN14" i="2" s="1"/>
  <c r="EO14" i="2" s="1"/>
  <c r="EP14" i="2" s="1"/>
  <c r="EQ14" i="2" s="1"/>
  <c r="ER14" i="2" s="1"/>
  <c r="ES14" i="2" s="1"/>
  <c r="ET14" i="2" s="1"/>
  <c r="EU14" i="2" s="1"/>
  <c r="EV14" i="2" s="1"/>
  <c r="EW14" i="2" s="1"/>
  <c r="EX14" i="2" s="1"/>
  <c r="EY14" i="2" s="1"/>
  <c r="EZ14" i="2" s="1"/>
  <c r="FA14" i="2" s="1"/>
  <c r="FB14" i="2" s="1"/>
  <c r="FC14" i="2" s="1"/>
  <c r="FD14" i="2" s="1"/>
  <c r="FE14" i="2" s="1"/>
  <c r="FF14" i="2" s="1"/>
  <c r="FG14" i="2" s="1"/>
  <c r="FH14" i="2" s="1"/>
  <c r="FI14" i="2" s="1"/>
  <c r="FJ14" i="2" s="1"/>
  <c r="FK14" i="2" s="1"/>
  <c r="FL14" i="2" s="1"/>
  <c r="FM14" i="2" s="1"/>
  <c r="FN14" i="2" s="1"/>
  <c r="FO14" i="2" s="1"/>
  <c r="FP14" i="2" s="1"/>
  <c r="FQ14" i="2" s="1"/>
  <c r="FR14" i="2" s="1"/>
  <c r="FS14" i="2" s="1"/>
  <c r="FT14" i="2" s="1"/>
  <c r="FU14" i="2" s="1"/>
  <c r="FV14" i="2" s="1"/>
  <c r="FW14" i="2" s="1"/>
  <c r="FX14" i="2" s="1"/>
  <c r="FY14" i="2" s="1"/>
  <c r="FZ14" i="2" s="1"/>
  <c r="GA14" i="2" s="1"/>
  <c r="GB14" i="2" s="1"/>
  <c r="GC14" i="2" s="1"/>
  <c r="GD14" i="2" s="1"/>
  <c r="GE14" i="2" s="1"/>
  <c r="AM16" i="2"/>
  <c r="AN16" i="2"/>
  <c r="AO16" i="2"/>
  <c r="AG7" i="2" l="1"/>
  <c r="AG9" i="2" s="1"/>
  <c r="AG12" i="2" s="1"/>
  <c r="AG13" i="2" s="1"/>
</calcChain>
</file>

<file path=xl/sharedStrings.xml><?xml version="1.0" encoding="utf-8"?>
<sst xmlns="http://schemas.openxmlformats.org/spreadsheetml/2006/main" count="146" uniqueCount="125">
  <si>
    <t>Company Name:</t>
  </si>
  <si>
    <t>Description:</t>
  </si>
  <si>
    <t>Ticker:</t>
  </si>
  <si>
    <t>| - Ethan Cratchley</t>
  </si>
  <si>
    <t>Founder:</t>
  </si>
  <si>
    <t xml:space="preserve">Industry: </t>
  </si>
  <si>
    <t>Model</t>
  </si>
  <si>
    <t>Location:</t>
  </si>
  <si>
    <t>Website:</t>
  </si>
  <si>
    <t>Founded:</t>
  </si>
  <si>
    <t>Employees:</t>
  </si>
  <si>
    <t>CEO:</t>
  </si>
  <si>
    <t>CFO:</t>
  </si>
  <si>
    <t>Basic Info:</t>
  </si>
  <si>
    <t>P</t>
  </si>
  <si>
    <t>S/O</t>
  </si>
  <si>
    <t>MC</t>
  </si>
  <si>
    <t>C</t>
  </si>
  <si>
    <t>D</t>
  </si>
  <si>
    <t>EV</t>
  </si>
  <si>
    <t>12/02/2023</t>
  </si>
  <si>
    <t>ATZ</t>
  </si>
  <si>
    <t>ALL IN $ CAD</t>
  </si>
  <si>
    <t>Main</t>
  </si>
  <si>
    <t>Quarterly Reports:</t>
  </si>
  <si>
    <t>Annual Reports:</t>
  </si>
  <si>
    <t>Q1 -2018</t>
  </si>
  <si>
    <t>Q2 - 2018</t>
  </si>
  <si>
    <t>Q3 -2018</t>
  </si>
  <si>
    <t>Q4 - 2018</t>
  </si>
  <si>
    <t>Q1 - 2019</t>
  </si>
  <si>
    <t>Q2 - 2019</t>
  </si>
  <si>
    <t>Q3 -2019</t>
  </si>
  <si>
    <t>Q4 -2019</t>
  </si>
  <si>
    <t>Q1 - 2020</t>
  </si>
  <si>
    <t>Q2 -2020</t>
  </si>
  <si>
    <t>Q3 - 2020</t>
  </si>
  <si>
    <t>Q4 -2020</t>
  </si>
  <si>
    <t>Q1 -2021</t>
  </si>
  <si>
    <t>Q2 - 2021</t>
  </si>
  <si>
    <t>Q3 - 2021</t>
  </si>
  <si>
    <t>Q4 - 2021</t>
  </si>
  <si>
    <t>Q1 - 2022</t>
  </si>
  <si>
    <t>Q2 - 2022</t>
  </si>
  <si>
    <t>Q3 - 2022</t>
  </si>
  <si>
    <t>Q4 - 2022</t>
  </si>
  <si>
    <t>Q1 - 2023</t>
  </si>
  <si>
    <t>Q2 - 2023</t>
  </si>
  <si>
    <t>Q3- 2023</t>
  </si>
  <si>
    <t>Q4 - 2023</t>
  </si>
  <si>
    <t>Jennifer Wong</t>
  </si>
  <si>
    <t>aritzia.com</t>
  </si>
  <si>
    <t>Vancouver, BC, Canada</t>
  </si>
  <si>
    <t>Clothing, Retail</t>
  </si>
  <si>
    <t>Brian Hill</t>
  </si>
  <si>
    <t>Todd Ingledew</t>
  </si>
  <si>
    <t>ALL $ IN CAD THOUSANDS</t>
  </si>
  <si>
    <t>Revenue</t>
  </si>
  <si>
    <t>COGS</t>
  </si>
  <si>
    <t>Gross Profit</t>
  </si>
  <si>
    <t>Operating Expenses</t>
  </si>
  <si>
    <t>Finance Expense</t>
  </si>
  <si>
    <t>Other Expense</t>
  </si>
  <si>
    <t>Tax</t>
  </si>
  <si>
    <t>Net Income</t>
  </si>
  <si>
    <t>Income Before Tax</t>
  </si>
  <si>
    <t>Net Profit</t>
  </si>
  <si>
    <t>Net Income Growth</t>
  </si>
  <si>
    <t>Revenue Growth</t>
  </si>
  <si>
    <t>Expenses Growth</t>
  </si>
  <si>
    <t>Q1-2024</t>
  </si>
  <si>
    <t>Q2-2024</t>
  </si>
  <si>
    <t>Q3-2024</t>
  </si>
  <si>
    <t>Q4-2024</t>
  </si>
  <si>
    <t>Information:</t>
  </si>
  <si>
    <t>Maturity</t>
  </si>
  <si>
    <t>Discount Rate</t>
  </si>
  <si>
    <t>C-D</t>
  </si>
  <si>
    <t>NPV</t>
  </si>
  <si>
    <t>Net NPV</t>
  </si>
  <si>
    <t>Current</t>
  </si>
  <si>
    <t>Share</t>
  </si>
  <si>
    <t>Difference</t>
  </si>
  <si>
    <t>Notes:</t>
  </si>
  <si>
    <t>New distribution facilities coming</t>
  </si>
  <si>
    <t>Sustainability iniatives</t>
  </si>
  <si>
    <t>Report mentions several risks of economic conditions and currency exchange rates</t>
  </si>
  <si>
    <t>Competitive pressures from fast fashion, athletic</t>
  </si>
  <si>
    <t>increase in rev/sales by 1.6%</t>
  </si>
  <si>
    <t>profit margin decreased from 41.9 to 35%</t>
  </si>
  <si>
    <t>Net income decrease</t>
  </si>
  <si>
    <t>Retail inc 3%</t>
  </si>
  <si>
    <t>e-commerece decrease 1%</t>
  </si>
  <si>
    <t xml:space="preserve">Aritzia is a Canadian women's fashion brand known for its boutique-style retail stores. The company offers a range of high-quality apparel, including dresses, blouses, pants, </t>
  </si>
  <si>
    <t xml:space="preserve">and accessories, targeted primarily at a young, fashion-forward demographic. Aritzia distinguishes itself through a mix of exclusive in-house brands and carefully curated selections from other designers. </t>
  </si>
  <si>
    <t xml:space="preserve">The brand emphasizes a unique shopping experience with a focus on exceptional client service, aspirational design, and an elegant store ambiance. </t>
  </si>
  <si>
    <t xml:space="preserve">Their market positioning sits between fast fashion and luxury, aiming to offer stylish, quality products at attainable price points. </t>
  </si>
  <si>
    <t>Aritzia operates primarily in the Canadian and United States markets, with both a strong physical retail presence and a growing e-commerce platform.</t>
  </si>
  <si>
    <t>Q2-2024 MD&amp;A</t>
  </si>
  <si>
    <t>Q3-2024 MD&amp;A</t>
  </si>
  <si>
    <t>Jennifer Wong Notes:</t>
  </si>
  <si>
    <t>net rev 5% inc</t>
  </si>
  <si>
    <t>EV/EBITDA</t>
  </si>
  <si>
    <t>EBITDA</t>
  </si>
  <si>
    <t>Gross Margin</t>
  </si>
  <si>
    <t>Gross Margin Growth</t>
  </si>
  <si>
    <t>Q324</t>
  </si>
  <si>
    <t>EBITDA Growth</t>
  </si>
  <si>
    <t>UBC Arts Graduate</t>
  </si>
  <si>
    <t>Over 36 yrs of experience at Artitzia (almost 2 as CEO)</t>
  </si>
  <si>
    <t>Promoted to CEO in May 2022</t>
  </si>
  <si>
    <t>Worked way up in company from the very bottom</t>
  </si>
  <si>
    <t>49 yrs of age</t>
  </si>
  <si>
    <t>Competitors:</t>
  </si>
  <si>
    <t>Etsy</t>
  </si>
  <si>
    <t>Moncler</t>
  </si>
  <si>
    <t>Frank and Oak</t>
  </si>
  <si>
    <t>Koton</t>
  </si>
  <si>
    <t>Forever 21</t>
  </si>
  <si>
    <t>H&amp;M</t>
  </si>
  <si>
    <t>Lululemon</t>
  </si>
  <si>
    <t>Zara (Inditex)</t>
  </si>
  <si>
    <t>celeb partnerships emma chamberlin and more</t>
  </si>
  <si>
    <t>1.2 Mil salary approx</t>
  </si>
  <si>
    <t>total comp 4.5M approx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</si>
</sst>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3" fillId="0" borderId="0" xfId="0" applyFont="1"/>
    <xf numFmtId="14" fontId="0" fillId="0" borderId="0" xfId="0" applyNumberFormat="1"/>
    <xf numFmtId="0" fontId="1" fillId="0" borderId="0" xfId="0" applyFont="1"/>
    <xf numFmtId="0" fontId="2" fillId="0" borderId="0" xfId="1" applyNumberFormat="1"/>
    <xf numFmtId="3" fontId="0" fillId="0" borderId="0" xfId="0" applyNumberFormat="1"/>
    <xf numFmtId="0" fontId="2" fillId="0" borderId="0" xfId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9" fontId="0" fillId="0" borderId="0" xfId="0" applyNumberFormat="1"/>
    <xf numFmtId="10" fontId="0" fillId="0" borderId="0" xfId="0" applyNumberFormat="1"/>
    <xf numFmtId="10" fontId="1" fillId="0" borderId="0" xfId="0" applyNumberFormat="1" applyFont="1"/>
    <xf numFmtId="0" fontId="0" fillId="0" borderId="0" xfId="0" applyAlignment="1">
      <alignment horizontal="right" vertical="top"/>
    </xf>
    <xf numFmtId="3" fontId="1" fillId="0" borderId="0" xfId="0" applyNumberFormat="1" applyFont="1"/>
    <xf numFmtId="3" fontId="0" fillId="0" borderId="0" xfId="0" applyNumberFormat="1" applyAlignment="1">
      <alignment horizontal="right"/>
    </xf>
    <xf numFmtId="0" fontId="0" fillId="2" borderId="0" xfId="0" applyFill="1"/>
    <xf numFmtId="0" fontId="0" fillId="0" borderId="0" xfId="0" applyBorder="1"/>
    <xf numFmtId="164" fontId="0" fillId="0" borderId="0" xfId="0" applyNumberFormat="1"/>
    <xf numFmtId="3" fontId="0" fillId="0" borderId="0" xfId="0" applyNumberFormat="1" applyFont="1"/>
    <xf numFmtId="10" fontId="0" fillId="2" borderId="0" xfId="0" applyNumberFormat="1" applyFill="1"/>
    <xf numFmtId="9" fontId="1" fillId="0" borderId="0" xfId="0" applyNumberFormat="1" applyFont="1"/>
    <xf numFmtId="17" fontId="0" fillId="0" borderId="0" xfId="0" applyNumberFormat="1"/>
  </cellXfs>
  <cellStyles count="2">
    <cellStyle name="Hyperlink" xfId="1" builtinId="8"/>
    <cellStyle name="Normal" xfId="0" builtinId="0"/>
  </cellStyles>
  <dxfs count="4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numFmt numFmtId="0" formatCode="General"/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70502-B4DC-46B0-8B7D-A5FD062945B7}">
  <dimension ref="A1:G37"/>
  <sheetViews>
    <sheetView workbookViewId="0">
      <selection activeCell="G33" sqref="G33"/>
    </sheetView>
  </sheetViews>
  <sheetFormatPr defaultRowHeight="15" x14ac:dyDescent="0.25"/>
  <cols>
    <col min="3" max="3" width="15.7109375" bestFit="1" customWidth="1"/>
    <col min="4" max="4" width="21.5703125" bestFit="1" customWidth="1"/>
    <col min="6" max="6" width="12.5703125" bestFit="1" customWidth="1"/>
    <col min="7" max="7" width="47.85546875" customWidth="1"/>
  </cols>
  <sheetData>
    <row r="1" spans="1:7" x14ac:dyDescent="0.25">
      <c r="A1" s="1" t="s">
        <v>22</v>
      </c>
    </row>
    <row r="2" spans="1:7" x14ac:dyDescent="0.25">
      <c r="A2" s="2" t="s">
        <v>20</v>
      </c>
      <c r="C2" s="3" t="s">
        <v>0</v>
      </c>
      <c r="F2" s="3" t="s">
        <v>1</v>
      </c>
    </row>
    <row r="3" spans="1:7" x14ac:dyDescent="0.25">
      <c r="C3" s="3" t="s">
        <v>2</v>
      </c>
      <c r="D3" t="s">
        <v>21</v>
      </c>
      <c r="G3" t="s">
        <v>93</v>
      </c>
    </row>
    <row r="4" spans="1:7" x14ac:dyDescent="0.25">
      <c r="A4" t="s">
        <v>3</v>
      </c>
      <c r="C4" s="3" t="s">
        <v>4</v>
      </c>
      <c r="D4" t="s">
        <v>54</v>
      </c>
      <c r="G4" t="s">
        <v>94</v>
      </c>
    </row>
    <row r="5" spans="1:7" x14ac:dyDescent="0.25">
      <c r="C5" s="3" t="s">
        <v>5</v>
      </c>
      <c r="D5" t="s">
        <v>53</v>
      </c>
      <c r="G5" t="s">
        <v>95</v>
      </c>
    </row>
    <row r="6" spans="1:7" x14ac:dyDescent="0.25">
      <c r="A6" s="4"/>
      <c r="C6" s="3" t="s">
        <v>7</v>
      </c>
      <c r="D6" t="s">
        <v>52</v>
      </c>
      <c r="G6" t="s">
        <v>96</v>
      </c>
    </row>
    <row r="7" spans="1:7" x14ac:dyDescent="0.25">
      <c r="A7" s="6" t="s">
        <v>6</v>
      </c>
      <c r="C7" s="3" t="s">
        <v>8</v>
      </c>
      <c r="D7" t="s">
        <v>51</v>
      </c>
      <c r="G7" t="s">
        <v>97</v>
      </c>
    </row>
    <row r="8" spans="1:7" x14ac:dyDescent="0.25">
      <c r="C8" s="3" t="s">
        <v>9</v>
      </c>
      <c r="D8">
        <v>1984</v>
      </c>
    </row>
    <row r="9" spans="1:7" x14ac:dyDescent="0.25">
      <c r="C9" s="3" t="s">
        <v>10</v>
      </c>
      <c r="D9" s="5">
        <v>8300</v>
      </c>
      <c r="F9" s="3" t="s">
        <v>100</v>
      </c>
    </row>
    <row r="10" spans="1:7" x14ac:dyDescent="0.25">
      <c r="G10" t="s">
        <v>108</v>
      </c>
    </row>
    <row r="11" spans="1:7" x14ac:dyDescent="0.25">
      <c r="C11" s="3" t="s">
        <v>11</v>
      </c>
      <c r="D11" t="s">
        <v>50</v>
      </c>
      <c r="G11" t="s">
        <v>109</v>
      </c>
    </row>
    <row r="12" spans="1:7" x14ac:dyDescent="0.25">
      <c r="C12" s="3" t="s">
        <v>12</v>
      </c>
      <c r="D12" t="s">
        <v>55</v>
      </c>
      <c r="G12" t="s">
        <v>110</v>
      </c>
    </row>
    <row r="13" spans="1:7" x14ac:dyDescent="0.25">
      <c r="G13" t="s">
        <v>111</v>
      </c>
    </row>
    <row r="14" spans="1:7" x14ac:dyDescent="0.25">
      <c r="C14" s="3" t="s">
        <v>13</v>
      </c>
      <c r="G14" t="s">
        <v>112</v>
      </c>
    </row>
    <row r="15" spans="1:7" x14ac:dyDescent="0.25">
      <c r="C15" t="s">
        <v>14</v>
      </c>
      <c r="D15" s="17">
        <v>27.94</v>
      </c>
      <c r="G15" t="s">
        <v>124</v>
      </c>
    </row>
    <row r="16" spans="1:7" x14ac:dyDescent="0.25">
      <c r="C16" t="s">
        <v>15</v>
      </c>
      <c r="D16" s="5">
        <v>111620</v>
      </c>
      <c r="E16" t="s">
        <v>106</v>
      </c>
      <c r="G16" t="s">
        <v>123</v>
      </c>
    </row>
    <row r="17" spans="3:7" x14ac:dyDescent="0.25">
      <c r="C17" t="s">
        <v>16</v>
      </c>
      <c r="D17" s="5">
        <f>D15*D16</f>
        <v>3118662.8000000003</v>
      </c>
      <c r="F17" s="5"/>
      <c r="G17" s="21"/>
    </row>
    <row r="18" spans="3:7" x14ac:dyDescent="0.25">
      <c r="C18" t="s">
        <v>17</v>
      </c>
      <c r="D18" s="5">
        <v>86510</v>
      </c>
      <c r="E18" t="s">
        <v>106</v>
      </c>
      <c r="F18" s="3" t="s">
        <v>113</v>
      </c>
    </row>
    <row r="19" spans="3:7" x14ac:dyDescent="0.25">
      <c r="C19" t="s">
        <v>18</v>
      </c>
      <c r="D19" s="5">
        <v>772006</v>
      </c>
      <c r="E19" t="s">
        <v>106</v>
      </c>
      <c r="G19" t="s">
        <v>114</v>
      </c>
    </row>
    <row r="20" spans="3:7" x14ac:dyDescent="0.25">
      <c r="C20" t="s">
        <v>19</v>
      </c>
      <c r="D20" s="5">
        <f>D17-D18+D19</f>
        <v>3804158.8000000003</v>
      </c>
      <c r="G20" t="s">
        <v>115</v>
      </c>
    </row>
    <row r="21" spans="3:7" x14ac:dyDescent="0.25">
      <c r="C21" t="s">
        <v>103</v>
      </c>
      <c r="D21" s="5">
        <v>337085</v>
      </c>
      <c r="E21" t="s">
        <v>106</v>
      </c>
      <c r="G21" t="s">
        <v>116</v>
      </c>
    </row>
    <row r="22" spans="3:7" x14ac:dyDescent="0.25">
      <c r="C22" t="s">
        <v>102</v>
      </c>
      <c r="D22" s="17">
        <f>D20/D21</f>
        <v>11.285458563863715</v>
      </c>
      <c r="G22" t="s">
        <v>117</v>
      </c>
    </row>
    <row r="23" spans="3:7" x14ac:dyDescent="0.25">
      <c r="C23" s="16"/>
      <c r="G23" t="s">
        <v>118</v>
      </c>
    </row>
    <row r="24" spans="3:7" x14ac:dyDescent="0.25">
      <c r="C24" s="3" t="s">
        <v>83</v>
      </c>
      <c r="G24" t="s">
        <v>119</v>
      </c>
    </row>
    <row r="25" spans="3:7" x14ac:dyDescent="0.25">
      <c r="C25" s="3" t="s">
        <v>98</v>
      </c>
      <c r="G25" s="3" t="s">
        <v>121</v>
      </c>
    </row>
    <row r="26" spans="3:7" x14ac:dyDescent="0.25">
      <c r="C26" t="s">
        <v>84</v>
      </c>
      <c r="G26" t="s">
        <v>120</v>
      </c>
    </row>
    <row r="27" spans="3:7" x14ac:dyDescent="0.25">
      <c r="C27" t="s">
        <v>85</v>
      </c>
    </row>
    <row r="28" spans="3:7" x14ac:dyDescent="0.25">
      <c r="C28" t="s">
        <v>86</v>
      </c>
    </row>
    <row r="29" spans="3:7" x14ac:dyDescent="0.25">
      <c r="C29" t="s">
        <v>87</v>
      </c>
    </row>
    <row r="30" spans="3:7" x14ac:dyDescent="0.25">
      <c r="C30" t="s">
        <v>88</v>
      </c>
    </row>
    <row r="31" spans="3:7" x14ac:dyDescent="0.25">
      <c r="C31" t="s">
        <v>89</v>
      </c>
    </row>
    <row r="32" spans="3:7" x14ac:dyDescent="0.25">
      <c r="C32" t="s">
        <v>90</v>
      </c>
    </row>
    <row r="33" spans="3:7" x14ac:dyDescent="0.25">
      <c r="C33" t="s">
        <v>91</v>
      </c>
      <c r="G33" s="21"/>
    </row>
    <row r="34" spans="3:7" x14ac:dyDescent="0.25">
      <c r="C34" t="s">
        <v>92</v>
      </c>
    </row>
    <row r="35" spans="3:7" x14ac:dyDescent="0.25">
      <c r="C35" s="3" t="s">
        <v>99</v>
      </c>
    </row>
    <row r="36" spans="3:7" x14ac:dyDescent="0.25">
      <c r="C36" t="s">
        <v>101</v>
      </c>
    </row>
    <row r="37" spans="3:7" x14ac:dyDescent="0.25">
      <c r="C37" t="s">
        <v>122</v>
      </c>
    </row>
  </sheetData>
  <conditionalFormatting sqref="G1:XFD22 A23:XFD1048576 A9:F22">
    <cfRule type="expression" dxfId="3" priority="3">
      <formula>MOD(ROW(),2)=0</formula>
    </cfRule>
  </conditionalFormatting>
  <conditionalFormatting sqref="A1:F1 A2:B8 D2:F8">
    <cfRule type="expression" dxfId="2" priority="2">
      <formula>MOD(ROW(),2)=0</formula>
    </cfRule>
  </conditionalFormatting>
  <conditionalFormatting sqref="C2:C8">
    <cfRule type="expression" dxfId="1" priority="1">
      <formula>MOD(ROW(),2)=0</formula>
    </cfRule>
  </conditionalFormatting>
  <hyperlinks>
    <hyperlink ref="A7" location="Model!A1" display="Model" xr:uid="{B555C193-34C3-4248-84F1-B958259B3F45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E592D-D6B3-4845-B6A2-9CC455703B0D}">
  <dimension ref="A1:GE61"/>
  <sheetViews>
    <sheetView tabSelected="1" workbookViewId="0">
      <pane xSplit="2" ySplit="4" topLeftCell="X5" activePane="bottomRight" state="frozen"/>
      <selection pane="topRight" activeCell="D1" sqref="D1"/>
      <selection pane="bottomLeft" activeCell="A5" sqref="A5"/>
      <selection pane="bottomRight" activeCell="AC26" sqref="AC26"/>
    </sheetView>
  </sheetViews>
  <sheetFormatPr defaultRowHeight="15" x14ac:dyDescent="0.25"/>
  <cols>
    <col min="2" max="2" width="20.140625" bestFit="1" customWidth="1"/>
    <col min="3" max="15" width="9.28515625" bestFit="1" customWidth="1"/>
    <col min="16" max="17" width="10" bestFit="1" customWidth="1"/>
    <col min="18" max="26" width="9.28515625" bestFit="1" customWidth="1"/>
    <col min="27" max="28" width="8.28515625" bestFit="1" customWidth="1"/>
    <col min="29" max="29" width="8.85546875" bestFit="1" customWidth="1"/>
    <col min="30" max="30" width="8.42578125" bestFit="1" customWidth="1"/>
    <col min="32" max="32" width="13.28515625" bestFit="1" customWidth="1"/>
    <col min="36" max="36" width="18.85546875" bestFit="1" customWidth="1"/>
    <col min="37" max="43" width="9.28515625" bestFit="1" customWidth="1"/>
  </cols>
  <sheetData>
    <row r="1" spans="1:187" x14ac:dyDescent="0.25">
      <c r="A1" s="1" t="s">
        <v>56</v>
      </c>
    </row>
    <row r="2" spans="1:187" x14ac:dyDescent="0.25">
      <c r="A2" s="6"/>
    </row>
    <row r="3" spans="1:187" x14ac:dyDescent="0.25">
      <c r="A3" s="6"/>
      <c r="B3" s="3" t="s">
        <v>24</v>
      </c>
      <c r="C3" s="3"/>
      <c r="D3" s="3"/>
      <c r="E3" s="3"/>
      <c r="F3" s="5"/>
      <c r="AJ3" s="3" t="s">
        <v>25</v>
      </c>
      <c r="AK3" s="3"/>
    </row>
    <row r="4" spans="1:187" x14ac:dyDescent="0.25">
      <c r="A4" s="6" t="s">
        <v>23</v>
      </c>
      <c r="C4" t="s">
        <v>26</v>
      </c>
      <c r="D4" t="s">
        <v>27</v>
      </c>
      <c r="E4" t="s">
        <v>28</v>
      </c>
      <c r="F4" s="7" t="s">
        <v>29</v>
      </c>
      <c r="G4" s="8" t="s">
        <v>30</v>
      </c>
      <c r="H4" s="8" t="s">
        <v>31</v>
      </c>
      <c r="I4" s="8" t="s">
        <v>32</v>
      </c>
      <c r="J4" s="7" t="s">
        <v>33</v>
      </c>
      <c r="K4" s="8" t="s">
        <v>34</v>
      </c>
      <c r="L4" s="8" t="s">
        <v>35</v>
      </c>
      <c r="M4" s="8" t="s">
        <v>36</v>
      </c>
      <c r="N4" s="7" t="s">
        <v>37</v>
      </c>
      <c r="O4" s="8" t="s">
        <v>38</v>
      </c>
      <c r="P4" s="8" t="s">
        <v>39</v>
      </c>
      <c r="Q4" s="8" t="s">
        <v>40</v>
      </c>
      <c r="R4" s="7" t="s">
        <v>41</v>
      </c>
      <c r="S4" s="8" t="s">
        <v>42</v>
      </c>
      <c r="T4" s="8" t="s">
        <v>43</v>
      </c>
      <c r="U4" s="8" t="s">
        <v>44</v>
      </c>
      <c r="V4" s="7" t="s">
        <v>45</v>
      </c>
      <c r="W4" s="8" t="s">
        <v>46</v>
      </c>
      <c r="X4" s="8" t="s">
        <v>47</v>
      </c>
      <c r="Y4" s="8" t="s">
        <v>48</v>
      </c>
      <c r="Z4" s="7" t="s">
        <v>49</v>
      </c>
      <c r="AA4" s="8" t="s">
        <v>70</v>
      </c>
      <c r="AB4" s="12" t="s">
        <v>71</v>
      </c>
      <c r="AC4" s="8" t="s">
        <v>72</v>
      </c>
      <c r="AD4" s="7" t="s">
        <v>73</v>
      </c>
      <c r="AF4" s="3" t="s">
        <v>74</v>
      </c>
      <c r="AK4" s="3">
        <f>AL4-1</f>
        <v>2017</v>
      </c>
      <c r="AL4" s="3">
        <v>2018</v>
      </c>
      <c r="AM4" s="3">
        <f>AL4+1</f>
        <v>2019</v>
      </c>
      <c r="AN4" s="3">
        <f t="shared" ref="AN4:BH4" si="0">AM4+1</f>
        <v>2020</v>
      </c>
      <c r="AO4" s="3">
        <f t="shared" si="0"/>
        <v>2021</v>
      </c>
      <c r="AP4" s="3">
        <f t="shared" si="0"/>
        <v>2022</v>
      </c>
      <c r="AQ4" s="3">
        <f t="shared" si="0"/>
        <v>2023</v>
      </c>
      <c r="AR4" s="3">
        <f t="shared" si="0"/>
        <v>2024</v>
      </c>
      <c r="AS4" s="3">
        <f t="shared" si="0"/>
        <v>2025</v>
      </c>
      <c r="AT4" s="3">
        <f t="shared" si="0"/>
        <v>2026</v>
      </c>
      <c r="AU4" s="3">
        <f t="shared" si="0"/>
        <v>2027</v>
      </c>
      <c r="AV4" s="3">
        <f t="shared" si="0"/>
        <v>2028</v>
      </c>
      <c r="AW4" s="3">
        <f t="shared" si="0"/>
        <v>2029</v>
      </c>
      <c r="AX4" s="3">
        <f t="shared" si="0"/>
        <v>2030</v>
      </c>
      <c r="AY4" s="3">
        <f t="shared" si="0"/>
        <v>2031</v>
      </c>
      <c r="AZ4" s="3">
        <f t="shared" si="0"/>
        <v>2032</v>
      </c>
      <c r="BA4" s="3">
        <f t="shared" si="0"/>
        <v>2033</v>
      </c>
      <c r="BB4" s="3">
        <f t="shared" si="0"/>
        <v>2034</v>
      </c>
      <c r="BC4" s="3">
        <f t="shared" si="0"/>
        <v>2035</v>
      </c>
      <c r="BD4" s="3">
        <f t="shared" si="0"/>
        <v>2036</v>
      </c>
      <c r="BE4" s="3">
        <f t="shared" si="0"/>
        <v>2037</v>
      </c>
      <c r="BF4" s="3">
        <f t="shared" si="0"/>
        <v>2038</v>
      </c>
      <c r="BG4" s="3">
        <f t="shared" si="0"/>
        <v>2039</v>
      </c>
      <c r="BH4" s="3">
        <f t="shared" si="0"/>
        <v>2040</v>
      </c>
    </row>
    <row r="5" spans="1:187" x14ac:dyDescent="0.25">
      <c r="B5" s="3" t="s">
        <v>57</v>
      </c>
      <c r="C5" s="5">
        <v>145046</v>
      </c>
      <c r="D5" s="18">
        <v>173968</v>
      </c>
      <c r="E5" s="18">
        <v>204449</v>
      </c>
      <c r="F5" s="18">
        <f>-C5-D5-E5+743267</f>
        <v>219804</v>
      </c>
      <c r="G5" s="18">
        <v>167011</v>
      </c>
      <c r="H5" s="18">
        <v>205359</v>
      </c>
      <c r="I5" s="18">
        <v>242876</v>
      </c>
      <c r="J5" s="18">
        <f>874296-I5-H5-G5</f>
        <v>259050</v>
      </c>
      <c r="K5" s="18">
        <v>196699</v>
      </c>
      <c r="L5" s="18">
        <v>241178</v>
      </c>
      <c r="M5" s="18">
        <v>267282</v>
      </c>
      <c r="N5" s="18">
        <f>980589-M5-L5-K5</f>
        <v>275430</v>
      </c>
      <c r="O5" s="18">
        <v>111389</v>
      </c>
      <c r="P5" s="18">
        <v>200155</v>
      </c>
      <c r="Q5" s="18">
        <v>278254</v>
      </c>
      <c r="R5" s="18">
        <f>857323-Q5-P5-O5</f>
        <v>267525</v>
      </c>
      <c r="S5" s="18">
        <v>246916</v>
      </c>
      <c r="T5" s="18">
        <v>350069</v>
      </c>
      <c r="U5" s="18">
        <v>453323</v>
      </c>
      <c r="V5" s="18">
        <f>1494630-U5-T5-S5</f>
        <v>444322</v>
      </c>
      <c r="W5" s="18">
        <v>407910</v>
      </c>
      <c r="X5" s="18">
        <v>525523</v>
      </c>
      <c r="Y5" s="18">
        <v>624615</v>
      </c>
      <c r="Z5" s="18">
        <f>2195630-Y5-X5-W5</f>
        <v>637582</v>
      </c>
      <c r="AA5" s="18">
        <v>462665</v>
      </c>
      <c r="AB5" s="18">
        <v>534191</v>
      </c>
      <c r="AC5" s="5">
        <v>653524</v>
      </c>
      <c r="AD5" s="5"/>
      <c r="AE5" s="5"/>
      <c r="AF5" s="5" t="s">
        <v>75</v>
      </c>
      <c r="AG5" s="10">
        <v>3.5000000000000003E-2</v>
      </c>
      <c r="AH5" s="5"/>
      <c r="AI5" s="5"/>
      <c r="AJ5" s="3" t="s">
        <v>57</v>
      </c>
      <c r="AK5" s="5">
        <v>667181</v>
      </c>
      <c r="AL5" s="5">
        <f>SUM(C5:F5)</f>
        <v>743267</v>
      </c>
      <c r="AM5" s="5">
        <f>SUM(G5:J5)</f>
        <v>874296</v>
      </c>
      <c r="AN5" s="5">
        <f>SUM(K5:N5)</f>
        <v>980589</v>
      </c>
      <c r="AO5" s="5">
        <f>SUM(O5:R5)</f>
        <v>857323</v>
      </c>
      <c r="AP5" s="5">
        <f>SUM(S5:V5)</f>
        <v>1494630</v>
      </c>
      <c r="AQ5" s="5">
        <f>SUM(W5:Z5)</f>
        <v>2195630</v>
      </c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</row>
    <row r="6" spans="1:187" x14ac:dyDescent="0.25">
      <c r="A6" s="4"/>
      <c r="B6" s="3" t="s">
        <v>58</v>
      </c>
      <c r="C6" s="5">
        <v>87508</v>
      </c>
      <c r="D6" s="5">
        <v>110838</v>
      </c>
      <c r="E6" s="5">
        <v>112911</v>
      </c>
      <c r="F6" s="5">
        <f>-C6-D6-E6+447776</f>
        <v>136519</v>
      </c>
      <c r="G6" s="5">
        <v>99468</v>
      </c>
      <c r="H6" s="5">
        <v>128625</v>
      </c>
      <c r="I6" s="5">
        <v>138087</v>
      </c>
      <c r="J6" s="5">
        <f>531383-G6-H6-I6</f>
        <v>165203</v>
      </c>
      <c r="K6" s="5">
        <v>111138</v>
      </c>
      <c r="L6" s="5">
        <v>145751</v>
      </c>
      <c r="M6" s="5">
        <v>147687</v>
      </c>
      <c r="N6" s="5">
        <f>577165-M6-L6-K6</f>
        <v>172589</v>
      </c>
      <c r="O6" s="5">
        <v>98328</v>
      </c>
      <c r="P6" s="5">
        <v>129719</v>
      </c>
      <c r="Q6" s="5">
        <v>152171</v>
      </c>
      <c r="R6" s="5">
        <f>544818-Q6-P6-O6</f>
        <v>164600</v>
      </c>
      <c r="S6" s="5">
        <v>137808</v>
      </c>
      <c r="T6" s="5">
        <v>193873</v>
      </c>
      <c r="U6" s="5">
        <v>243181</v>
      </c>
      <c r="V6" s="5">
        <f>839678-U6-T6-S6</f>
        <v>264816</v>
      </c>
      <c r="W6" s="5">
        <v>227014</v>
      </c>
      <c r="X6" s="5">
        <v>305250</v>
      </c>
      <c r="Y6" s="5">
        <v>353952</v>
      </c>
      <c r="Z6" s="5">
        <f>1281638-Y6-X6-W6</f>
        <v>395422</v>
      </c>
      <c r="AA6" s="5">
        <v>282714</v>
      </c>
      <c r="AB6" s="5">
        <v>347345</v>
      </c>
      <c r="AC6" s="5">
        <v>382587</v>
      </c>
      <c r="AD6" s="5"/>
      <c r="AE6" s="5"/>
      <c r="AF6" s="5" t="s">
        <v>76</v>
      </c>
      <c r="AG6" s="10">
        <v>6.5000000000000002E-2</v>
      </c>
      <c r="AH6" s="5"/>
      <c r="AI6" s="5"/>
      <c r="AJ6" s="3" t="s">
        <v>58</v>
      </c>
      <c r="AK6" s="5">
        <v>401658</v>
      </c>
      <c r="AL6" s="5">
        <f t="shared" ref="AL6:AL14" si="1">SUM(C6:F6)</f>
        <v>447776</v>
      </c>
      <c r="AM6" s="5">
        <f t="shared" ref="AM6:AM14" si="2">SUM(G6:J6)</f>
        <v>531383</v>
      </c>
      <c r="AN6" s="5">
        <f t="shared" ref="AN6:AN14" si="3">SUM(K6:N6)</f>
        <v>577165</v>
      </c>
      <c r="AO6" s="5">
        <f t="shared" ref="AO6:AO14" si="4">SUM(O6:R6)</f>
        <v>544818</v>
      </c>
      <c r="AP6" s="5">
        <f t="shared" ref="AP6:AP14" si="5">SUM(S6:V6)</f>
        <v>839678</v>
      </c>
      <c r="AQ6" s="5">
        <f t="shared" ref="AQ6:AQ14" si="6">SUM(W6:Z6)</f>
        <v>1281638</v>
      </c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</row>
    <row r="7" spans="1:187" x14ac:dyDescent="0.25">
      <c r="B7" s="3" t="s">
        <v>59</v>
      </c>
      <c r="C7" s="5">
        <f>C5-C6</f>
        <v>57538</v>
      </c>
      <c r="D7" s="5">
        <f t="shared" ref="D7:AD7" si="7">D5-D6</f>
        <v>63130</v>
      </c>
      <c r="E7" s="5">
        <f t="shared" si="7"/>
        <v>91538</v>
      </c>
      <c r="F7" s="5">
        <f t="shared" si="7"/>
        <v>83285</v>
      </c>
      <c r="G7" s="5">
        <f t="shared" si="7"/>
        <v>67543</v>
      </c>
      <c r="H7" s="5">
        <f t="shared" si="7"/>
        <v>76734</v>
      </c>
      <c r="I7" s="5">
        <f t="shared" si="7"/>
        <v>104789</v>
      </c>
      <c r="J7" s="5">
        <f t="shared" si="7"/>
        <v>93847</v>
      </c>
      <c r="K7" s="5">
        <f t="shared" si="7"/>
        <v>85561</v>
      </c>
      <c r="L7" s="5">
        <f t="shared" si="7"/>
        <v>95427</v>
      </c>
      <c r="M7" s="5">
        <f t="shared" si="7"/>
        <v>119595</v>
      </c>
      <c r="N7" s="5">
        <f t="shared" si="7"/>
        <v>102841</v>
      </c>
      <c r="O7" s="5">
        <f t="shared" si="7"/>
        <v>13061</v>
      </c>
      <c r="P7" s="5">
        <f t="shared" si="7"/>
        <v>70436</v>
      </c>
      <c r="Q7" s="5">
        <f t="shared" si="7"/>
        <v>126083</v>
      </c>
      <c r="R7" s="5">
        <f t="shared" si="7"/>
        <v>102925</v>
      </c>
      <c r="S7" s="5">
        <f t="shared" si="7"/>
        <v>109108</v>
      </c>
      <c r="T7" s="5">
        <f t="shared" si="7"/>
        <v>156196</v>
      </c>
      <c r="U7" s="5">
        <f t="shared" si="7"/>
        <v>210142</v>
      </c>
      <c r="V7" s="5">
        <f t="shared" si="7"/>
        <v>179506</v>
      </c>
      <c r="W7" s="5">
        <f t="shared" si="7"/>
        <v>180896</v>
      </c>
      <c r="X7" s="5">
        <f t="shared" si="7"/>
        <v>220273</v>
      </c>
      <c r="Y7" s="5">
        <f t="shared" si="7"/>
        <v>270663</v>
      </c>
      <c r="Z7" s="5">
        <f t="shared" si="7"/>
        <v>242160</v>
      </c>
      <c r="AA7" s="5">
        <f t="shared" si="7"/>
        <v>179951</v>
      </c>
      <c r="AB7" s="5">
        <f t="shared" si="7"/>
        <v>186846</v>
      </c>
      <c r="AC7" s="5">
        <f>AC5-AC6</f>
        <v>270937</v>
      </c>
      <c r="AD7" s="5">
        <f t="shared" si="7"/>
        <v>0</v>
      </c>
      <c r="AE7" s="5"/>
      <c r="AF7" s="13" t="s">
        <v>78</v>
      </c>
      <c r="AG7" s="5">
        <f>NPV(AG6,AK14:GE14)</f>
        <v>4476501.9258455243</v>
      </c>
      <c r="AH7" s="5"/>
      <c r="AI7" s="5"/>
      <c r="AJ7" s="3" t="s">
        <v>59</v>
      </c>
      <c r="AK7" s="5">
        <f>AK5-AK6</f>
        <v>265523</v>
      </c>
      <c r="AL7" s="5">
        <f t="shared" si="1"/>
        <v>295491</v>
      </c>
      <c r="AM7" s="5">
        <f t="shared" si="2"/>
        <v>342913</v>
      </c>
      <c r="AN7" s="5">
        <f t="shared" si="3"/>
        <v>403424</v>
      </c>
      <c r="AO7" s="5">
        <f t="shared" si="4"/>
        <v>312505</v>
      </c>
      <c r="AP7" s="5">
        <f t="shared" si="5"/>
        <v>654952</v>
      </c>
      <c r="AQ7" s="5">
        <f t="shared" si="6"/>
        <v>913992</v>
      </c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</row>
    <row r="8" spans="1:187" x14ac:dyDescent="0.25">
      <c r="B8" s="3" t="s">
        <v>60</v>
      </c>
      <c r="C8" s="5">
        <f>40843+4667</f>
        <v>45510</v>
      </c>
      <c r="D8" s="5">
        <f>44572+3044</f>
        <v>47616</v>
      </c>
      <c r="E8" s="5">
        <f>47704+3930</f>
        <v>51634</v>
      </c>
      <c r="F8" s="5">
        <f>-C8-D8-E8+(183857+17240)</f>
        <v>56337</v>
      </c>
      <c r="G8" s="5">
        <f>46993+3819</f>
        <v>50812</v>
      </c>
      <c r="H8" s="5">
        <f>52824+2229</f>
        <v>55053</v>
      </c>
      <c r="I8" s="5">
        <f>56554+2896</f>
        <v>59450</v>
      </c>
      <c r="J8" s="5">
        <f>215297+11540-G8-H8-I8</f>
        <v>61522</v>
      </c>
      <c r="K8" s="5">
        <f>2374+54429</f>
        <v>56803</v>
      </c>
      <c r="L8" s="5">
        <f>1942+60567</f>
        <v>62509</v>
      </c>
      <c r="M8" s="5">
        <f>64035+1063</f>
        <v>65098</v>
      </c>
      <c r="N8" s="5">
        <f>243362+7790-M8-L8-K8</f>
        <v>66742</v>
      </c>
      <c r="O8" s="5">
        <f>43511+979</f>
        <v>44490</v>
      </c>
      <c r="P8" s="5">
        <f>60151+2147</f>
        <v>62298</v>
      </c>
      <c r="Q8" s="5">
        <f>74707+3372</f>
        <v>78079</v>
      </c>
      <c r="R8" s="5">
        <f>250726+10691-Q8-P8-O8</f>
        <v>76550</v>
      </c>
      <c r="S8" s="5">
        <f>70382+3035</f>
        <v>73417</v>
      </c>
      <c r="T8" s="5">
        <f>92115+8262</f>
        <v>100377</v>
      </c>
      <c r="U8" s="5">
        <f>110084+9109</f>
        <v>119193</v>
      </c>
      <c r="V8" s="5">
        <f>392802+26131-U8-T8-S8</f>
        <v>125946</v>
      </c>
      <c r="W8" s="5">
        <f>120279+673</f>
        <v>120952</v>
      </c>
      <c r="X8" s="5">
        <v>147154</v>
      </c>
      <c r="Y8" s="5">
        <v>163737</v>
      </c>
      <c r="Z8" s="5">
        <f>602469+24369-Y8-X8-W8</f>
        <v>194995</v>
      </c>
      <c r="AA8" s="5">
        <f>153459+4928</f>
        <v>158387</v>
      </c>
      <c r="AB8" s="5">
        <f>171116+2051</f>
        <v>173167</v>
      </c>
      <c r="AC8" s="5">
        <f>187373+9449</f>
        <v>196822</v>
      </c>
      <c r="AD8" s="5"/>
      <c r="AE8" s="5"/>
      <c r="AF8" s="5" t="s">
        <v>77</v>
      </c>
      <c r="AG8" s="5">
        <f>Main!D18-Main!D19</f>
        <v>-685496</v>
      </c>
      <c r="AH8" s="5"/>
      <c r="AI8" s="5"/>
      <c r="AJ8" s="3" t="s">
        <v>60</v>
      </c>
      <c r="AK8" s="5">
        <f>178773+103444</f>
        <v>282217</v>
      </c>
      <c r="AL8" s="5">
        <f t="shared" si="1"/>
        <v>201097</v>
      </c>
      <c r="AM8" s="5">
        <f t="shared" si="2"/>
        <v>226837</v>
      </c>
      <c r="AN8" s="5">
        <f t="shared" si="3"/>
        <v>251152</v>
      </c>
      <c r="AO8" s="5">
        <f t="shared" si="4"/>
        <v>261417</v>
      </c>
      <c r="AP8" s="5">
        <f t="shared" si="5"/>
        <v>418933</v>
      </c>
      <c r="AQ8" s="5">
        <f t="shared" si="6"/>
        <v>626838</v>
      </c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</row>
    <row r="9" spans="1:187" x14ac:dyDescent="0.25">
      <c r="B9" s="3" t="s">
        <v>66</v>
      </c>
      <c r="C9" s="5">
        <f>C7-C8</f>
        <v>12028</v>
      </c>
      <c r="D9" s="5">
        <f>D7-D8</f>
        <v>15514</v>
      </c>
      <c r="E9" s="5">
        <f t="shared" ref="E9:AD9" si="8">E7-E8</f>
        <v>39904</v>
      </c>
      <c r="F9" s="5">
        <f t="shared" si="8"/>
        <v>26948</v>
      </c>
      <c r="G9" s="5">
        <f t="shared" si="8"/>
        <v>16731</v>
      </c>
      <c r="H9" s="5">
        <f t="shared" si="8"/>
        <v>21681</v>
      </c>
      <c r="I9" s="5">
        <f t="shared" si="8"/>
        <v>45339</v>
      </c>
      <c r="J9" s="5">
        <f t="shared" si="8"/>
        <v>32325</v>
      </c>
      <c r="K9" s="5">
        <f t="shared" si="8"/>
        <v>28758</v>
      </c>
      <c r="L9" s="5">
        <f t="shared" si="8"/>
        <v>32918</v>
      </c>
      <c r="M9" s="5">
        <f t="shared" si="8"/>
        <v>54497</v>
      </c>
      <c r="N9" s="5">
        <f t="shared" si="8"/>
        <v>36099</v>
      </c>
      <c r="O9" s="5">
        <f t="shared" si="8"/>
        <v>-31429</v>
      </c>
      <c r="P9" s="5">
        <f t="shared" si="8"/>
        <v>8138</v>
      </c>
      <c r="Q9" s="5">
        <f t="shared" si="8"/>
        <v>48004</v>
      </c>
      <c r="R9" s="5">
        <f t="shared" si="8"/>
        <v>26375</v>
      </c>
      <c r="S9" s="5">
        <f t="shared" si="8"/>
        <v>35691</v>
      </c>
      <c r="T9" s="5">
        <f t="shared" si="8"/>
        <v>55819</v>
      </c>
      <c r="U9" s="5">
        <f t="shared" si="8"/>
        <v>90949</v>
      </c>
      <c r="V9" s="5">
        <f t="shared" si="8"/>
        <v>53560</v>
      </c>
      <c r="W9" s="5">
        <f t="shared" si="8"/>
        <v>59944</v>
      </c>
      <c r="X9" s="5">
        <f t="shared" si="8"/>
        <v>73119</v>
      </c>
      <c r="Y9" s="5">
        <f t="shared" si="8"/>
        <v>106926</v>
      </c>
      <c r="Z9" s="5">
        <f t="shared" si="8"/>
        <v>47165</v>
      </c>
      <c r="AA9" s="5">
        <f t="shared" si="8"/>
        <v>21564</v>
      </c>
      <c r="AB9" s="5">
        <f t="shared" si="8"/>
        <v>13679</v>
      </c>
      <c r="AC9" s="5">
        <f>AC7-AC8</f>
        <v>74115</v>
      </c>
      <c r="AD9" s="5">
        <f t="shared" si="8"/>
        <v>0</v>
      </c>
      <c r="AE9" s="5"/>
      <c r="AF9" s="13" t="s">
        <v>79</v>
      </c>
      <c r="AG9" s="5">
        <f>AG7+AG8</f>
        <v>3791005.9258455243</v>
      </c>
      <c r="AH9" s="5"/>
      <c r="AI9" s="5"/>
      <c r="AJ9" s="3" t="s">
        <v>66</v>
      </c>
      <c r="AK9" s="5">
        <f>AK7-AK8</f>
        <v>-16694</v>
      </c>
      <c r="AL9" s="5">
        <f t="shared" si="1"/>
        <v>94394</v>
      </c>
      <c r="AM9" s="5">
        <f t="shared" si="2"/>
        <v>116076</v>
      </c>
      <c r="AN9" s="5">
        <f t="shared" si="3"/>
        <v>152272</v>
      </c>
      <c r="AO9" s="5">
        <f t="shared" si="4"/>
        <v>51088</v>
      </c>
      <c r="AP9" s="5">
        <f t="shared" si="5"/>
        <v>236019</v>
      </c>
      <c r="AQ9" s="5">
        <f t="shared" si="6"/>
        <v>287154</v>
      </c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</row>
    <row r="10" spans="1:187" x14ac:dyDescent="0.25">
      <c r="B10" s="3" t="s">
        <v>61</v>
      </c>
      <c r="C10" s="5">
        <v>1266</v>
      </c>
      <c r="D10" s="5">
        <v>1382</v>
      </c>
      <c r="E10" s="5">
        <v>1255</v>
      </c>
      <c r="F10" s="5">
        <f>-C10-D10-E10+5221</f>
        <v>1318</v>
      </c>
      <c r="G10" s="5">
        <v>1391</v>
      </c>
      <c r="H10" s="5">
        <v>1110</v>
      </c>
      <c r="I10" s="5">
        <v>1101</v>
      </c>
      <c r="J10" s="5">
        <f>4821-G10-H10-I10</f>
        <v>1219</v>
      </c>
      <c r="K10" s="5">
        <v>7227</v>
      </c>
      <c r="L10" s="5">
        <v>7157</v>
      </c>
      <c r="M10" s="5">
        <v>7021</v>
      </c>
      <c r="N10" s="5">
        <f>28319-M10-L10-K10</f>
        <v>6914</v>
      </c>
      <c r="O10" s="5">
        <v>7390</v>
      </c>
      <c r="P10" s="5">
        <f>7355</f>
        <v>7355</v>
      </c>
      <c r="Q10" s="5">
        <v>7211</v>
      </c>
      <c r="R10" s="5">
        <f>28420-Q10-P10-O10</f>
        <v>6464</v>
      </c>
      <c r="S10" s="5">
        <v>6434</v>
      </c>
      <c r="T10" s="5">
        <v>6156</v>
      </c>
      <c r="U10" s="5">
        <v>6160</v>
      </c>
      <c r="V10" s="5">
        <f>25202-U10-T10-S10</f>
        <v>6452</v>
      </c>
      <c r="W10" s="5">
        <v>6048</v>
      </c>
      <c r="X10" s="5">
        <v>6658</v>
      </c>
      <c r="Y10" s="5">
        <v>9056</v>
      </c>
      <c r="Z10" s="5">
        <f>31263-Y10-X10-W10</f>
        <v>9501</v>
      </c>
      <c r="AA10" s="5">
        <v>11232</v>
      </c>
      <c r="AB10" s="5">
        <v>11793</v>
      </c>
      <c r="AC10" s="5">
        <v>13637</v>
      </c>
      <c r="AD10" s="5"/>
      <c r="AE10" s="5"/>
      <c r="AF10" s="5"/>
      <c r="AG10" s="5"/>
      <c r="AH10" s="5"/>
      <c r="AI10" s="5"/>
      <c r="AJ10" s="3" t="s">
        <v>61</v>
      </c>
      <c r="AK10" s="5">
        <v>10455</v>
      </c>
      <c r="AL10" s="5">
        <f t="shared" si="1"/>
        <v>5221</v>
      </c>
      <c r="AM10" s="5">
        <f t="shared" si="2"/>
        <v>4821</v>
      </c>
      <c r="AN10" s="5">
        <f t="shared" si="3"/>
        <v>28319</v>
      </c>
      <c r="AO10" s="5">
        <f t="shared" si="4"/>
        <v>28420</v>
      </c>
      <c r="AP10" s="5">
        <f t="shared" si="5"/>
        <v>25202</v>
      </c>
      <c r="AQ10" s="5">
        <f t="shared" si="6"/>
        <v>31263</v>
      </c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</row>
    <row r="11" spans="1:187" x14ac:dyDescent="0.25">
      <c r="B11" s="3" t="s">
        <v>62</v>
      </c>
      <c r="C11" s="5">
        <v>-2226</v>
      </c>
      <c r="D11" s="5">
        <v>6420</v>
      </c>
      <c r="E11" s="5">
        <v>-2013</v>
      </c>
      <c r="F11" s="5">
        <f>-C11-D11-E11+1890</f>
        <v>-291</v>
      </c>
      <c r="G11" s="5">
        <v>-2955</v>
      </c>
      <c r="H11" s="5">
        <v>-876</v>
      </c>
      <c r="I11" s="5">
        <v>-1403</v>
      </c>
      <c r="J11" s="5">
        <f>G11-H11-I11+395</f>
        <v>-281</v>
      </c>
      <c r="K11" s="5">
        <v>-1279</v>
      </c>
      <c r="L11" s="5">
        <v>667</v>
      </c>
      <c r="M11" s="5">
        <v>-216</v>
      </c>
      <c r="N11" s="5">
        <f>-2815-M11-L11-K11</f>
        <v>-1987</v>
      </c>
      <c r="O11" s="5">
        <v>-1218</v>
      </c>
      <c r="P11" s="5">
        <v>1345</v>
      </c>
      <c r="Q11" s="5">
        <v>-1532</v>
      </c>
      <c r="R11" s="5">
        <f>-3534-Q11-P11-O11</f>
        <v>-2129</v>
      </c>
      <c r="S11" s="5">
        <v>3856</v>
      </c>
      <c r="T11" s="5">
        <v>-7161</v>
      </c>
      <c r="U11" s="5">
        <v>-6218</v>
      </c>
      <c r="V11" s="5">
        <f>-8783-T11-U11-S11</f>
        <v>740</v>
      </c>
      <c r="W11" s="5">
        <v>6522</v>
      </c>
      <c r="X11" s="5">
        <v>-6496</v>
      </c>
      <c r="Y11" s="5">
        <v>-11994</v>
      </c>
      <c r="Z11" s="5">
        <f>-7916-Y11-X11-W11</f>
        <v>4052</v>
      </c>
      <c r="AA11" s="5">
        <v>-10371</v>
      </c>
      <c r="AB11" s="5">
        <v>7288</v>
      </c>
      <c r="AC11" s="5">
        <v>-1726</v>
      </c>
      <c r="AD11" s="5"/>
      <c r="AE11" s="5"/>
      <c r="AF11" s="13" t="s">
        <v>80</v>
      </c>
      <c r="AG11" s="5">
        <f>Main!D15</f>
        <v>27.94</v>
      </c>
      <c r="AH11" s="5"/>
      <c r="AI11" s="5"/>
      <c r="AJ11" s="3" t="s">
        <v>62</v>
      </c>
      <c r="AK11" s="5">
        <v>-1362</v>
      </c>
      <c r="AL11" s="5">
        <f t="shared" si="1"/>
        <v>1890</v>
      </c>
      <c r="AM11" s="5">
        <f t="shared" si="2"/>
        <v>-5515</v>
      </c>
      <c r="AN11" s="5">
        <f t="shared" si="3"/>
        <v>-2815</v>
      </c>
      <c r="AO11" s="5">
        <f t="shared" si="4"/>
        <v>-3534</v>
      </c>
      <c r="AP11" s="5">
        <f t="shared" si="5"/>
        <v>-8783</v>
      </c>
      <c r="AQ11" s="5">
        <f t="shared" si="6"/>
        <v>-7916</v>
      </c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</row>
    <row r="12" spans="1:187" x14ac:dyDescent="0.25">
      <c r="B12" s="3" t="s">
        <v>65</v>
      </c>
      <c r="C12" s="5">
        <f>C9-C10-C11</f>
        <v>12988</v>
      </c>
      <c r="D12" s="5">
        <f t="shared" ref="D12:AD12" si="9">D9-D10-D11</f>
        <v>7712</v>
      </c>
      <c r="E12" s="5">
        <f>E9-E10-E11</f>
        <v>40662</v>
      </c>
      <c r="F12" s="5">
        <f t="shared" si="9"/>
        <v>25921</v>
      </c>
      <c r="G12" s="5">
        <f t="shared" si="9"/>
        <v>18295</v>
      </c>
      <c r="H12" s="5">
        <f t="shared" si="9"/>
        <v>21447</v>
      </c>
      <c r="I12" s="5">
        <f t="shared" si="9"/>
        <v>45641</v>
      </c>
      <c r="J12" s="5">
        <f t="shared" si="9"/>
        <v>31387</v>
      </c>
      <c r="K12" s="5">
        <f t="shared" si="9"/>
        <v>22810</v>
      </c>
      <c r="L12" s="5">
        <f t="shared" si="9"/>
        <v>25094</v>
      </c>
      <c r="M12" s="5">
        <f t="shared" si="9"/>
        <v>47692</v>
      </c>
      <c r="N12" s="5">
        <f t="shared" si="9"/>
        <v>31172</v>
      </c>
      <c r="O12" s="5">
        <f t="shared" si="9"/>
        <v>-37601</v>
      </c>
      <c r="P12" s="5">
        <f t="shared" si="9"/>
        <v>-562</v>
      </c>
      <c r="Q12" s="5">
        <f t="shared" si="9"/>
        <v>42325</v>
      </c>
      <c r="R12" s="5">
        <f t="shared" si="9"/>
        <v>22040</v>
      </c>
      <c r="S12" s="5">
        <f t="shared" si="9"/>
        <v>25401</v>
      </c>
      <c r="T12" s="5">
        <f t="shared" si="9"/>
        <v>56824</v>
      </c>
      <c r="U12" s="5">
        <f t="shared" si="9"/>
        <v>91007</v>
      </c>
      <c r="V12" s="5">
        <f t="shared" si="9"/>
        <v>46368</v>
      </c>
      <c r="W12" s="5">
        <f t="shared" si="9"/>
        <v>47374</v>
      </c>
      <c r="X12" s="5">
        <f t="shared" si="9"/>
        <v>72957</v>
      </c>
      <c r="Y12" s="5">
        <f t="shared" si="9"/>
        <v>109864</v>
      </c>
      <c r="Z12" s="5">
        <f t="shared" si="9"/>
        <v>33612</v>
      </c>
      <c r="AA12" s="5">
        <f t="shared" si="9"/>
        <v>20703</v>
      </c>
      <c r="AB12" s="5">
        <f t="shared" si="9"/>
        <v>-5402</v>
      </c>
      <c r="AC12" s="5">
        <f>AC9-AC10-AC11</f>
        <v>62204</v>
      </c>
      <c r="AD12" s="5">
        <f t="shared" si="9"/>
        <v>0</v>
      </c>
      <c r="AE12" s="5"/>
      <c r="AF12" s="13" t="s">
        <v>81</v>
      </c>
      <c r="AG12" s="5">
        <f>AG9/Main!D16</f>
        <v>33.963500500318261</v>
      </c>
      <c r="AH12" s="5"/>
      <c r="AI12" s="5"/>
      <c r="AJ12" s="3" t="s">
        <v>65</v>
      </c>
      <c r="AK12" s="5">
        <f>AK9-AK10-AK11</f>
        <v>-25787</v>
      </c>
      <c r="AL12" s="5">
        <f t="shared" si="1"/>
        <v>87283</v>
      </c>
      <c r="AM12" s="5">
        <f t="shared" si="2"/>
        <v>116770</v>
      </c>
      <c r="AN12" s="5">
        <f t="shared" si="3"/>
        <v>126768</v>
      </c>
      <c r="AO12" s="5">
        <f t="shared" si="4"/>
        <v>26202</v>
      </c>
      <c r="AP12" s="5">
        <f t="shared" si="5"/>
        <v>219600</v>
      </c>
      <c r="AQ12" s="5">
        <f t="shared" si="6"/>
        <v>263807</v>
      </c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</row>
    <row r="13" spans="1:187" x14ac:dyDescent="0.25">
      <c r="B13" s="3" t="s">
        <v>63</v>
      </c>
      <c r="C13" s="5">
        <v>4859</v>
      </c>
      <c r="D13" s="5">
        <v>2722</v>
      </c>
      <c r="E13" s="5">
        <v>12589</v>
      </c>
      <c r="F13" s="5">
        <f>-C13-D13-E13+30190</f>
        <v>10020</v>
      </c>
      <c r="G13" s="5">
        <v>6005</v>
      </c>
      <c r="H13" s="5">
        <v>6332</v>
      </c>
      <c r="I13" s="5">
        <v>13041</v>
      </c>
      <c r="J13" s="5">
        <f>32922-G13-H13-I13</f>
        <v>7544</v>
      </c>
      <c r="K13" s="5">
        <v>6654</v>
      </c>
      <c r="L13" s="5">
        <v>7177</v>
      </c>
      <c r="M13" s="5">
        <v>12889</v>
      </c>
      <c r="N13" s="5">
        <f>35544-M13-L13-K13</f>
        <v>8824</v>
      </c>
      <c r="O13" s="5">
        <v>-11130</v>
      </c>
      <c r="P13" s="5">
        <v>312</v>
      </c>
      <c r="Q13" s="5">
        <v>11823</v>
      </c>
      <c r="R13" s="5">
        <f>6975-Q13-P13-O13</f>
        <v>5970</v>
      </c>
      <c r="S13" s="5">
        <v>7498</v>
      </c>
      <c r="T13" s="5">
        <v>16616</v>
      </c>
      <c r="U13" s="5">
        <v>26066</v>
      </c>
      <c r="V13" s="5">
        <f>62683-U13-S13-T13</f>
        <v>12503</v>
      </c>
      <c r="W13" s="5">
        <v>14113</v>
      </c>
      <c r="X13" s="5">
        <v>17715</v>
      </c>
      <c r="Y13" s="5">
        <v>27578</v>
      </c>
      <c r="Z13" s="5">
        <f>76219-Y13-X13-W13</f>
        <v>16813</v>
      </c>
      <c r="AA13" s="5">
        <v>3233</v>
      </c>
      <c r="AB13" s="5">
        <v>588</v>
      </c>
      <c r="AC13" s="5">
        <v>19111</v>
      </c>
      <c r="AD13" s="5"/>
      <c r="AE13" s="5"/>
      <c r="AF13" s="13" t="s">
        <v>82</v>
      </c>
      <c r="AG13" s="10">
        <f>AG12/AG11-1</f>
        <v>0.21558698998991632</v>
      </c>
      <c r="AH13" s="5"/>
      <c r="AI13" s="5"/>
      <c r="AJ13" s="3" t="s">
        <v>63</v>
      </c>
      <c r="AK13" s="5">
        <v>30722</v>
      </c>
      <c r="AL13" s="5">
        <f t="shared" si="1"/>
        <v>30190</v>
      </c>
      <c r="AM13" s="5">
        <f t="shared" si="2"/>
        <v>32922</v>
      </c>
      <c r="AN13" s="5">
        <f t="shared" si="3"/>
        <v>35544</v>
      </c>
      <c r="AO13" s="5">
        <f t="shared" si="4"/>
        <v>6975</v>
      </c>
      <c r="AP13" s="5">
        <f t="shared" si="5"/>
        <v>62683</v>
      </c>
      <c r="AQ13" s="5">
        <f t="shared" si="6"/>
        <v>76219</v>
      </c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</row>
    <row r="14" spans="1:187" x14ac:dyDescent="0.25">
      <c r="B14" s="3" t="s">
        <v>64</v>
      </c>
      <c r="C14" s="5">
        <f>C12-C13</f>
        <v>8129</v>
      </c>
      <c r="D14" s="5">
        <f t="shared" ref="D14:AD14" si="10">D12-D13</f>
        <v>4990</v>
      </c>
      <c r="E14" s="5">
        <f t="shared" si="10"/>
        <v>28073</v>
      </c>
      <c r="F14" s="5">
        <f t="shared" si="10"/>
        <v>15901</v>
      </c>
      <c r="G14" s="5">
        <f t="shared" si="10"/>
        <v>12290</v>
      </c>
      <c r="H14" s="5">
        <f t="shared" si="10"/>
        <v>15115</v>
      </c>
      <c r="I14" s="5">
        <f t="shared" si="10"/>
        <v>32600</v>
      </c>
      <c r="J14" s="5">
        <f t="shared" si="10"/>
        <v>23843</v>
      </c>
      <c r="K14" s="5">
        <f t="shared" si="10"/>
        <v>16156</v>
      </c>
      <c r="L14" s="5">
        <f t="shared" si="10"/>
        <v>17917</v>
      </c>
      <c r="M14" s="5">
        <f t="shared" si="10"/>
        <v>34803</v>
      </c>
      <c r="N14" s="5">
        <f t="shared" si="10"/>
        <v>22348</v>
      </c>
      <c r="O14" s="5">
        <f t="shared" si="10"/>
        <v>-26471</v>
      </c>
      <c r="P14" s="5">
        <f t="shared" si="10"/>
        <v>-874</v>
      </c>
      <c r="Q14" s="5">
        <f t="shared" si="10"/>
        <v>30502</v>
      </c>
      <c r="R14" s="5">
        <f t="shared" si="10"/>
        <v>16070</v>
      </c>
      <c r="S14" s="5">
        <f t="shared" si="10"/>
        <v>17903</v>
      </c>
      <c r="T14" s="5">
        <f t="shared" si="10"/>
        <v>40208</v>
      </c>
      <c r="U14" s="5">
        <f t="shared" si="10"/>
        <v>64941</v>
      </c>
      <c r="V14" s="5">
        <f t="shared" si="10"/>
        <v>33865</v>
      </c>
      <c r="W14" s="5">
        <f t="shared" si="10"/>
        <v>33261</v>
      </c>
      <c r="X14" s="5">
        <f t="shared" si="10"/>
        <v>55242</v>
      </c>
      <c r="Y14" s="5">
        <f t="shared" si="10"/>
        <v>82286</v>
      </c>
      <c r="Z14" s="5">
        <f t="shared" si="10"/>
        <v>16799</v>
      </c>
      <c r="AA14" s="5">
        <f t="shared" si="10"/>
        <v>17470</v>
      </c>
      <c r="AB14" s="5">
        <f t="shared" si="10"/>
        <v>-5990</v>
      </c>
      <c r="AC14" s="5">
        <f t="shared" si="10"/>
        <v>43093</v>
      </c>
      <c r="AD14" s="5">
        <f t="shared" si="10"/>
        <v>0</v>
      </c>
      <c r="AE14" s="5"/>
      <c r="AF14" s="5"/>
      <c r="AG14" s="5"/>
      <c r="AH14" s="5"/>
      <c r="AI14" s="5"/>
      <c r="AJ14" s="3" t="s">
        <v>64</v>
      </c>
      <c r="AK14" s="5">
        <f>AK12-AK13</f>
        <v>-56509</v>
      </c>
      <c r="AL14" s="5">
        <f t="shared" si="1"/>
        <v>57093</v>
      </c>
      <c r="AM14" s="5">
        <f t="shared" si="2"/>
        <v>83848</v>
      </c>
      <c r="AN14" s="5">
        <f t="shared" si="3"/>
        <v>91224</v>
      </c>
      <c r="AO14" s="5">
        <f t="shared" si="4"/>
        <v>19227</v>
      </c>
      <c r="AP14" s="5">
        <f t="shared" si="5"/>
        <v>156917</v>
      </c>
      <c r="AQ14" s="5">
        <f t="shared" si="6"/>
        <v>187588</v>
      </c>
      <c r="AR14" s="5">
        <f>AQ14*($AG5+1)</f>
        <v>194153.58</v>
      </c>
      <c r="AS14" s="5">
        <f t="shared" ref="AS14:DD14" si="11">AR14*($AG5+1)</f>
        <v>200948.95529999997</v>
      </c>
      <c r="AT14" s="5">
        <f t="shared" si="11"/>
        <v>207982.16873549996</v>
      </c>
      <c r="AU14" s="5">
        <f t="shared" si="11"/>
        <v>215261.54464124245</v>
      </c>
      <c r="AV14" s="5">
        <f t="shared" si="11"/>
        <v>222795.69870368592</v>
      </c>
      <c r="AW14" s="5">
        <f t="shared" si="11"/>
        <v>230593.54815831492</v>
      </c>
      <c r="AX14" s="5">
        <f t="shared" si="11"/>
        <v>238664.32234385592</v>
      </c>
      <c r="AY14" s="5">
        <f t="shared" si="11"/>
        <v>247017.57362589086</v>
      </c>
      <c r="AZ14" s="5">
        <f t="shared" si="11"/>
        <v>255663.18870279702</v>
      </c>
      <c r="BA14" s="5">
        <f t="shared" si="11"/>
        <v>264611.40030739491</v>
      </c>
      <c r="BB14" s="5">
        <f t="shared" si="11"/>
        <v>273872.7993181537</v>
      </c>
      <c r="BC14" s="5">
        <f t="shared" si="11"/>
        <v>283458.34729428904</v>
      </c>
      <c r="BD14" s="5">
        <f t="shared" si="11"/>
        <v>293379.38944958913</v>
      </c>
      <c r="BE14" s="5">
        <f t="shared" si="11"/>
        <v>303647.66808032471</v>
      </c>
      <c r="BF14" s="5">
        <f t="shared" si="11"/>
        <v>314275.33646313607</v>
      </c>
      <c r="BG14" s="5">
        <f t="shared" si="11"/>
        <v>325274.97323934583</v>
      </c>
      <c r="BH14" s="5">
        <f t="shared" si="11"/>
        <v>336659.59730272292</v>
      </c>
      <c r="BI14" s="5">
        <f t="shared" si="11"/>
        <v>348442.68320831819</v>
      </c>
      <c r="BJ14" s="5">
        <f t="shared" si="11"/>
        <v>360638.17712060933</v>
      </c>
      <c r="BK14" s="5">
        <f t="shared" si="11"/>
        <v>373260.51331983064</v>
      </c>
      <c r="BL14" s="5">
        <f t="shared" si="11"/>
        <v>386324.6312860247</v>
      </c>
      <c r="BM14" s="5">
        <f t="shared" si="11"/>
        <v>399845.99338103551</v>
      </c>
      <c r="BN14" s="5">
        <f t="shared" si="11"/>
        <v>413840.60314937175</v>
      </c>
      <c r="BO14" s="5">
        <f t="shared" si="11"/>
        <v>428325.02425959974</v>
      </c>
      <c r="BP14" s="5">
        <f t="shared" si="11"/>
        <v>443316.40010868572</v>
      </c>
      <c r="BQ14" s="5">
        <f t="shared" si="11"/>
        <v>458832.47411248967</v>
      </c>
      <c r="BR14" s="5">
        <f t="shared" si="11"/>
        <v>474891.61070642679</v>
      </c>
      <c r="BS14" s="5">
        <f t="shared" si="11"/>
        <v>491512.8170811517</v>
      </c>
      <c r="BT14" s="5">
        <f t="shared" si="11"/>
        <v>508715.76567899197</v>
      </c>
      <c r="BU14" s="5">
        <f t="shared" si="11"/>
        <v>526520.81747775665</v>
      </c>
      <c r="BV14" s="5">
        <f t="shared" si="11"/>
        <v>544949.04608947807</v>
      </c>
      <c r="BW14" s="5">
        <f t="shared" si="11"/>
        <v>564022.26270260976</v>
      </c>
      <c r="BX14" s="5">
        <f t="shared" si="11"/>
        <v>583763.0418972011</v>
      </c>
      <c r="BY14" s="5">
        <f t="shared" si="11"/>
        <v>604194.74836360314</v>
      </c>
      <c r="BZ14" s="5">
        <f t="shared" si="11"/>
        <v>625341.56455632916</v>
      </c>
      <c r="CA14" s="5">
        <f t="shared" si="11"/>
        <v>647228.51931580063</v>
      </c>
      <c r="CB14" s="5">
        <f t="shared" si="11"/>
        <v>669881.51749185356</v>
      </c>
      <c r="CC14" s="5">
        <f t="shared" si="11"/>
        <v>693327.37060406839</v>
      </c>
      <c r="CD14" s="5">
        <f t="shared" si="11"/>
        <v>717593.82857521076</v>
      </c>
      <c r="CE14" s="5">
        <f t="shared" si="11"/>
        <v>742709.61257534311</v>
      </c>
      <c r="CF14" s="5">
        <f t="shared" si="11"/>
        <v>768704.44901548012</v>
      </c>
      <c r="CG14" s="5">
        <f t="shared" si="11"/>
        <v>795609.10473102191</v>
      </c>
      <c r="CH14" s="5">
        <f t="shared" si="11"/>
        <v>823455.42339660763</v>
      </c>
      <c r="CI14" s="5">
        <f t="shared" si="11"/>
        <v>852276.36321548885</v>
      </c>
      <c r="CJ14" s="5">
        <f t="shared" si="11"/>
        <v>882106.03592803085</v>
      </c>
      <c r="CK14" s="5">
        <f t="shared" si="11"/>
        <v>912979.74718551186</v>
      </c>
      <c r="CL14" s="5">
        <f t="shared" si="11"/>
        <v>944934.03833700472</v>
      </c>
      <c r="CM14" s="5">
        <f t="shared" si="11"/>
        <v>978006.72967879986</v>
      </c>
      <c r="CN14" s="5">
        <f t="shared" si="11"/>
        <v>1012236.9652175577</v>
      </c>
      <c r="CO14" s="5">
        <f t="shared" si="11"/>
        <v>1047665.2590001721</v>
      </c>
      <c r="CP14" s="5">
        <f t="shared" si="11"/>
        <v>1084333.543065178</v>
      </c>
      <c r="CQ14" s="5">
        <f t="shared" si="11"/>
        <v>1122285.2170724592</v>
      </c>
      <c r="CR14" s="5">
        <f t="shared" si="11"/>
        <v>1161565.1996699951</v>
      </c>
      <c r="CS14" s="5">
        <f t="shared" si="11"/>
        <v>1202219.9816584447</v>
      </c>
      <c r="CT14" s="5">
        <f t="shared" si="11"/>
        <v>1244297.6810164901</v>
      </c>
      <c r="CU14" s="5">
        <f t="shared" si="11"/>
        <v>1287848.0998520672</v>
      </c>
      <c r="CV14" s="5">
        <f t="shared" si="11"/>
        <v>1332922.7833468895</v>
      </c>
      <c r="CW14" s="5">
        <f t="shared" si="11"/>
        <v>1379575.0807640306</v>
      </c>
      <c r="CX14" s="5">
        <f t="shared" si="11"/>
        <v>1427860.2085907715</v>
      </c>
      <c r="CY14" s="5">
        <f t="shared" si="11"/>
        <v>1477835.3158914484</v>
      </c>
      <c r="CZ14" s="5">
        <f t="shared" si="11"/>
        <v>1529559.5519476489</v>
      </c>
      <c r="DA14" s="5">
        <f t="shared" si="11"/>
        <v>1583094.1362658164</v>
      </c>
      <c r="DB14" s="5">
        <f t="shared" si="11"/>
        <v>1638502.4310351198</v>
      </c>
      <c r="DC14" s="5">
        <f t="shared" si="11"/>
        <v>1695850.0161213488</v>
      </c>
      <c r="DD14" s="5">
        <f t="shared" si="11"/>
        <v>1755204.766685596</v>
      </c>
      <c r="DE14" s="5">
        <f t="shared" ref="DE14:FP14" si="12">DD14*($AG5+1)</f>
        <v>1816636.9335195916</v>
      </c>
      <c r="DF14" s="5">
        <f t="shared" si="12"/>
        <v>1880219.226192777</v>
      </c>
      <c r="DG14" s="5">
        <f t="shared" si="12"/>
        <v>1946026.899109524</v>
      </c>
      <c r="DH14" s="5">
        <f t="shared" si="12"/>
        <v>2014137.8405783572</v>
      </c>
      <c r="DI14" s="5">
        <f t="shared" si="12"/>
        <v>2084632.6649985996</v>
      </c>
      <c r="DJ14" s="5">
        <f t="shared" si="12"/>
        <v>2157594.8082735506</v>
      </c>
      <c r="DK14" s="5">
        <f t="shared" si="12"/>
        <v>2233110.6265631248</v>
      </c>
      <c r="DL14" s="5">
        <f t="shared" si="12"/>
        <v>2311269.4984928342</v>
      </c>
      <c r="DM14" s="5">
        <f t="shared" si="12"/>
        <v>2392163.9309400832</v>
      </c>
      <c r="DN14" s="5">
        <f t="shared" si="12"/>
        <v>2475889.6685229861</v>
      </c>
      <c r="DO14" s="5">
        <f t="shared" si="12"/>
        <v>2562545.8069212902</v>
      </c>
      <c r="DP14" s="5">
        <f t="shared" si="12"/>
        <v>2652234.9101635353</v>
      </c>
      <c r="DQ14" s="5">
        <f t="shared" si="12"/>
        <v>2745063.1320192586</v>
      </c>
      <c r="DR14" s="5">
        <f t="shared" si="12"/>
        <v>2841140.3416399322</v>
      </c>
      <c r="DS14" s="5">
        <f t="shared" si="12"/>
        <v>2940580.2535973298</v>
      </c>
      <c r="DT14" s="5">
        <f t="shared" si="12"/>
        <v>3043500.5624732361</v>
      </c>
      <c r="DU14" s="5">
        <f t="shared" si="12"/>
        <v>3150023.0821597991</v>
      </c>
      <c r="DV14" s="5">
        <f t="shared" si="12"/>
        <v>3260273.8900353918</v>
      </c>
      <c r="DW14" s="5">
        <f t="shared" si="12"/>
        <v>3374383.4761866303</v>
      </c>
      <c r="DX14" s="5">
        <f t="shared" si="12"/>
        <v>3492486.8978531621</v>
      </c>
      <c r="DY14" s="5">
        <f t="shared" si="12"/>
        <v>3614723.9392780224</v>
      </c>
      <c r="DZ14" s="5">
        <f t="shared" si="12"/>
        <v>3741239.277152753</v>
      </c>
      <c r="EA14" s="5">
        <f t="shared" si="12"/>
        <v>3872182.651853099</v>
      </c>
      <c r="EB14" s="5">
        <f t="shared" si="12"/>
        <v>4007709.0446679574</v>
      </c>
      <c r="EC14" s="5">
        <f t="shared" si="12"/>
        <v>4147978.8612313354</v>
      </c>
      <c r="ED14" s="5">
        <f t="shared" si="12"/>
        <v>4293158.121374432</v>
      </c>
      <c r="EE14" s="5">
        <f t="shared" si="12"/>
        <v>4443418.6556225363</v>
      </c>
      <c r="EF14" s="5">
        <f t="shared" si="12"/>
        <v>4598938.3085693251</v>
      </c>
      <c r="EG14" s="5">
        <f t="shared" si="12"/>
        <v>4759901.149369251</v>
      </c>
      <c r="EH14" s="5">
        <f t="shared" si="12"/>
        <v>4926497.6895971745</v>
      </c>
      <c r="EI14" s="5">
        <f t="shared" si="12"/>
        <v>5098925.1087330757</v>
      </c>
      <c r="EJ14" s="5">
        <f t="shared" si="12"/>
        <v>5277387.4875387326</v>
      </c>
      <c r="EK14" s="5">
        <f t="shared" si="12"/>
        <v>5462096.0496025877</v>
      </c>
      <c r="EL14" s="5">
        <f t="shared" si="12"/>
        <v>5653269.4113386776</v>
      </c>
      <c r="EM14" s="5">
        <f t="shared" si="12"/>
        <v>5851133.8407355305</v>
      </c>
      <c r="EN14" s="5">
        <f t="shared" si="12"/>
        <v>6055923.5251612738</v>
      </c>
      <c r="EO14" s="5">
        <f t="shared" si="12"/>
        <v>6267880.8485419182</v>
      </c>
      <c r="EP14" s="5">
        <f t="shared" si="12"/>
        <v>6487256.678240885</v>
      </c>
      <c r="EQ14" s="5">
        <f t="shared" si="12"/>
        <v>6714310.6619793158</v>
      </c>
      <c r="ER14" s="5">
        <f t="shared" si="12"/>
        <v>6949311.5351485917</v>
      </c>
      <c r="ES14" s="5">
        <f t="shared" si="12"/>
        <v>7192537.4388787923</v>
      </c>
      <c r="ET14" s="5">
        <f t="shared" si="12"/>
        <v>7444276.249239549</v>
      </c>
      <c r="EU14" s="5">
        <f t="shared" si="12"/>
        <v>7704825.917962933</v>
      </c>
      <c r="EV14" s="5">
        <f t="shared" si="12"/>
        <v>7974494.8250916349</v>
      </c>
      <c r="EW14" s="5">
        <f t="shared" si="12"/>
        <v>8253602.1439698413</v>
      </c>
      <c r="EX14" s="5">
        <f t="shared" si="12"/>
        <v>8542478.2190087847</v>
      </c>
      <c r="EY14" s="5">
        <f t="shared" si="12"/>
        <v>8841464.9566740915</v>
      </c>
      <c r="EZ14" s="5">
        <f t="shared" si="12"/>
        <v>9150916.2301576845</v>
      </c>
      <c r="FA14" s="5">
        <f t="shared" si="12"/>
        <v>9471198.2982132025</v>
      </c>
      <c r="FB14" s="5">
        <f t="shared" si="12"/>
        <v>9802690.2386506647</v>
      </c>
      <c r="FC14" s="5">
        <f t="shared" si="12"/>
        <v>10145784.397003436</v>
      </c>
      <c r="FD14" s="5">
        <f t="shared" si="12"/>
        <v>10500886.850898556</v>
      </c>
      <c r="FE14" s="5">
        <f t="shared" si="12"/>
        <v>10868417.890680006</v>
      </c>
      <c r="FF14" s="5">
        <f t="shared" si="12"/>
        <v>11248812.516853806</v>
      </c>
      <c r="FG14" s="5">
        <f t="shared" si="12"/>
        <v>11642520.954943689</v>
      </c>
      <c r="FH14" s="5">
        <f t="shared" si="12"/>
        <v>12050009.188366717</v>
      </c>
      <c r="FI14" s="5">
        <f t="shared" si="12"/>
        <v>12471759.509959551</v>
      </c>
      <c r="FJ14" s="5">
        <f t="shared" si="12"/>
        <v>12908271.092808133</v>
      </c>
      <c r="FK14" s="5">
        <f t="shared" si="12"/>
        <v>13360060.581056416</v>
      </c>
      <c r="FL14" s="5">
        <f t="shared" si="12"/>
        <v>13827662.70139339</v>
      </c>
      <c r="FM14" s="5">
        <f t="shared" si="12"/>
        <v>14311630.895942157</v>
      </c>
      <c r="FN14" s="5">
        <f t="shared" si="12"/>
        <v>14812537.977300132</v>
      </c>
      <c r="FO14" s="5">
        <f t="shared" si="12"/>
        <v>15330976.806505635</v>
      </c>
      <c r="FP14" s="5">
        <f t="shared" si="12"/>
        <v>15867560.994733332</v>
      </c>
      <c r="FQ14" s="5">
        <f t="shared" ref="FQ14:GE14" si="13">FP14*($AG5+1)</f>
        <v>16422925.629548997</v>
      </c>
      <c r="FR14" s="5">
        <f t="shared" si="13"/>
        <v>16997728.02658321</v>
      </c>
      <c r="FS14" s="5">
        <f t="shared" si="13"/>
        <v>17592648.50751362</v>
      </c>
      <c r="FT14" s="5">
        <f t="shared" si="13"/>
        <v>18208391.205276594</v>
      </c>
      <c r="FU14" s="5">
        <f t="shared" si="13"/>
        <v>18845684.897461273</v>
      </c>
      <c r="FV14" s="5">
        <f t="shared" si="13"/>
        <v>19505283.868872415</v>
      </c>
      <c r="FW14" s="5">
        <f t="shared" si="13"/>
        <v>20187968.804282948</v>
      </c>
      <c r="FX14" s="5">
        <f t="shared" si="13"/>
        <v>20894547.71243285</v>
      </c>
      <c r="FY14" s="5">
        <f t="shared" si="13"/>
        <v>21625856.882367998</v>
      </c>
      <c r="FZ14" s="5">
        <f t="shared" si="13"/>
        <v>22382761.873250876</v>
      </c>
      <c r="GA14" s="5">
        <f t="shared" si="13"/>
        <v>23166158.538814653</v>
      </c>
      <c r="GB14" s="5">
        <f t="shared" si="13"/>
        <v>23976974.087673165</v>
      </c>
      <c r="GC14" s="5">
        <f t="shared" si="13"/>
        <v>24816168.180741724</v>
      </c>
      <c r="GD14" s="5">
        <f t="shared" si="13"/>
        <v>25684734.067067683</v>
      </c>
      <c r="GE14" s="5">
        <f t="shared" si="13"/>
        <v>26583699.759415049</v>
      </c>
    </row>
    <row r="15" spans="1:187" x14ac:dyDescent="0.25"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</row>
    <row r="16" spans="1:187" s="10" customFormat="1" x14ac:dyDescent="0.25">
      <c r="B16" s="11" t="s">
        <v>67</v>
      </c>
      <c r="C16" s="9"/>
      <c r="D16" s="9">
        <f>D14/C14-1</f>
        <v>-0.3861483577315783</v>
      </c>
      <c r="E16" s="9">
        <f t="shared" ref="E16:Z16" si="14">E14/D14-1</f>
        <v>4.6258517034068136</v>
      </c>
      <c r="F16" s="9">
        <f t="shared" si="14"/>
        <v>-0.43358387062301851</v>
      </c>
      <c r="G16" s="9">
        <f t="shared" si="14"/>
        <v>-0.22709263568329041</v>
      </c>
      <c r="H16" s="9">
        <f t="shared" si="14"/>
        <v>0.22986167615947917</v>
      </c>
      <c r="I16" s="9">
        <f t="shared" si="14"/>
        <v>1.1567978828977838</v>
      </c>
      <c r="J16" s="9">
        <f t="shared" si="14"/>
        <v>-0.26861963190184046</v>
      </c>
      <c r="K16" s="9">
        <f t="shared" si="14"/>
        <v>-0.32240070460931924</v>
      </c>
      <c r="L16" s="9">
        <f t="shared" si="14"/>
        <v>0.10899975241396387</v>
      </c>
      <c r="M16" s="9">
        <f t="shared" si="14"/>
        <v>0.94245688452307874</v>
      </c>
      <c r="N16" s="9">
        <f t="shared" si="14"/>
        <v>-0.35787144786368996</v>
      </c>
      <c r="O16" s="9">
        <f t="shared" si="14"/>
        <v>-2.1844907821729014</v>
      </c>
      <c r="P16" s="9">
        <f t="shared" si="14"/>
        <v>-0.96698273582410943</v>
      </c>
      <c r="Q16" s="9">
        <f t="shared" si="14"/>
        <v>-35.899313501144164</v>
      </c>
      <c r="R16" s="9">
        <f t="shared" si="14"/>
        <v>-0.47314930168513536</v>
      </c>
      <c r="S16" s="9">
        <f t="shared" si="14"/>
        <v>0.11406347230864955</v>
      </c>
      <c r="T16" s="9">
        <f t="shared" si="14"/>
        <v>1.2458805786739653</v>
      </c>
      <c r="U16" s="9">
        <f t="shared" si="14"/>
        <v>0.61512634301631519</v>
      </c>
      <c r="V16" s="9">
        <f t="shared" si="14"/>
        <v>-0.47852666266303256</v>
      </c>
      <c r="W16" s="9">
        <f t="shared" si="14"/>
        <v>-1.7835523401742215E-2</v>
      </c>
      <c r="X16" s="9">
        <f t="shared" si="14"/>
        <v>0.66086407504284295</v>
      </c>
      <c r="Y16" s="9">
        <f t="shared" si="14"/>
        <v>0.48955504869483368</v>
      </c>
      <c r="Z16" s="9">
        <f t="shared" si="14"/>
        <v>-0.79584619497848963</v>
      </c>
      <c r="AA16" s="9">
        <f t="shared" ref="AA16" si="15">AA14/Z14-1</f>
        <v>3.9942853741294027E-2</v>
      </c>
      <c r="AB16" s="9">
        <f t="shared" ref="AB16:AC16" si="16">AB14/AA14-1</f>
        <v>-1.3428734974241556</v>
      </c>
      <c r="AC16" s="9">
        <f>AC14/AB14-1</f>
        <v>-8.1941569282136903</v>
      </c>
      <c r="AD16" s="9"/>
      <c r="AE16" s="19"/>
      <c r="AJ16" s="11" t="s">
        <v>67</v>
      </c>
      <c r="AK16" s="9"/>
      <c r="AL16" s="9">
        <f>AL14/AK14-1</f>
        <v>-2.0103346369604842</v>
      </c>
      <c r="AM16" s="9">
        <f t="shared" ref="AM16:AQ16" si="17">AM14/AL14-1</f>
        <v>0.46862137214719835</v>
      </c>
      <c r="AN16" s="9">
        <f t="shared" si="17"/>
        <v>8.7968705276214143E-2</v>
      </c>
      <c r="AO16" s="9">
        <f t="shared" si="17"/>
        <v>-0.78923309655353857</v>
      </c>
      <c r="AP16" s="9">
        <f t="shared" si="17"/>
        <v>7.1612836115878711</v>
      </c>
      <c r="AQ16" s="9">
        <f t="shared" si="17"/>
        <v>0.19546002026549059</v>
      </c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</row>
    <row r="17" spans="2:69" x14ac:dyDescent="0.25">
      <c r="B17" s="3" t="s">
        <v>68</v>
      </c>
      <c r="C17" s="9"/>
      <c r="D17" s="9">
        <f>D5/C5-1</f>
        <v>0.19939881141155213</v>
      </c>
      <c r="E17" s="9">
        <f t="shared" ref="E17:Z17" si="18">E5/D5-1</f>
        <v>0.17521038351880813</v>
      </c>
      <c r="F17" s="9">
        <f t="shared" si="18"/>
        <v>7.5104304741035577E-2</v>
      </c>
      <c r="G17" s="9">
        <f t="shared" si="18"/>
        <v>-0.24018216229004019</v>
      </c>
      <c r="H17" s="9">
        <f t="shared" si="18"/>
        <v>0.22961361826466531</v>
      </c>
      <c r="I17" s="9">
        <f t="shared" si="18"/>
        <v>0.18268982610939877</v>
      </c>
      <c r="J17" s="9">
        <f t="shared" si="18"/>
        <v>6.6593652728141217E-2</v>
      </c>
      <c r="K17" s="9">
        <f t="shared" si="18"/>
        <v>-0.24069098629608188</v>
      </c>
      <c r="L17" s="9">
        <f t="shared" si="18"/>
        <v>0.22612722992999457</v>
      </c>
      <c r="M17" s="9">
        <f t="shared" si="18"/>
        <v>0.1082354111900754</v>
      </c>
      <c r="N17" s="9">
        <f t="shared" si="18"/>
        <v>3.0484656654769182E-2</v>
      </c>
      <c r="O17" s="9">
        <f t="shared" si="18"/>
        <v>-0.59558145445303712</v>
      </c>
      <c r="P17" s="9">
        <f t="shared" si="18"/>
        <v>0.79690095072224376</v>
      </c>
      <c r="Q17" s="9">
        <f t="shared" si="18"/>
        <v>0.39019260073443074</v>
      </c>
      <c r="R17" s="9">
        <f>R5/Q5-1</f>
        <v>-3.8558295657924013E-2</v>
      </c>
      <c r="S17" s="9">
        <f t="shared" si="18"/>
        <v>-7.7035791047565638E-2</v>
      </c>
      <c r="T17" s="9">
        <f t="shared" si="18"/>
        <v>0.41776555589755215</v>
      </c>
      <c r="U17" s="9">
        <f t="shared" si="18"/>
        <v>0.29495328063895965</v>
      </c>
      <c r="V17" s="9">
        <f t="shared" si="18"/>
        <v>-1.9855599649697853E-2</v>
      </c>
      <c r="W17" s="9">
        <f t="shared" si="18"/>
        <v>-8.1949577108493377E-2</v>
      </c>
      <c r="X17" s="9">
        <f t="shared" si="18"/>
        <v>0.28833075923610596</v>
      </c>
      <c r="Y17" s="9">
        <f t="shared" si="18"/>
        <v>0.18855882615984454</v>
      </c>
      <c r="Z17" s="9">
        <f t="shared" si="18"/>
        <v>2.075998815270208E-2</v>
      </c>
      <c r="AA17" s="9">
        <f t="shared" ref="AA17" si="19">AA5/Z5-1</f>
        <v>-0.27434431963261197</v>
      </c>
      <c r="AB17" s="9">
        <f>AB5/AA5-1</f>
        <v>0.15459565776533779</v>
      </c>
      <c r="AC17" s="9">
        <f>AC5/AB5-1</f>
        <v>0.2233901357379664</v>
      </c>
      <c r="AD17" s="9"/>
      <c r="AE17" s="5"/>
      <c r="AF17" s="10"/>
      <c r="AG17" s="5"/>
      <c r="AH17" s="5"/>
      <c r="AI17" s="5"/>
      <c r="AJ17" s="3" t="s">
        <v>68</v>
      </c>
      <c r="AK17" s="5"/>
      <c r="AL17" s="9">
        <f>AL5/AK5-1</f>
        <v>0.11404101735511052</v>
      </c>
      <c r="AM17" s="9">
        <f t="shared" ref="AM17:AQ17" si="20">AM5/AL5-1</f>
        <v>0.17628792883311117</v>
      </c>
      <c r="AN17" s="9">
        <f t="shared" si="20"/>
        <v>0.1215755304839552</v>
      </c>
      <c r="AO17" s="9">
        <f t="shared" si="20"/>
        <v>-0.1257060807331104</v>
      </c>
      <c r="AP17" s="9">
        <f t="shared" si="20"/>
        <v>0.7433686020321395</v>
      </c>
      <c r="AQ17" s="9">
        <f t="shared" si="20"/>
        <v>0.46901239771716075</v>
      </c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</row>
    <row r="18" spans="2:69" x14ac:dyDescent="0.25">
      <c r="B18" s="3" t="s">
        <v>69</v>
      </c>
      <c r="C18" s="9"/>
      <c r="D18" s="9">
        <f>D8/C8-1</f>
        <v>4.6275543836519439E-2</v>
      </c>
      <c r="E18" s="9">
        <f t="shared" ref="E18:Z18" si="21">E8/D8-1</f>
        <v>8.438340053763449E-2</v>
      </c>
      <c r="F18" s="9">
        <f t="shared" si="21"/>
        <v>9.1083394662431649E-2</v>
      </c>
      <c r="G18" s="9">
        <f t="shared" si="21"/>
        <v>-9.8070539787351141E-2</v>
      </c>
      <c r="H18" s="9">
        <f t="shared" si="21"/>
        <v>8.3464535936393025E-2</v>
      </c>
      <c r="I18" s="9">
        <f t="shared" si="21"/>
        <v>7.9868490363831146E-2</v>
      </c>
      <c r="J18" s="9">
        <f t="shared" si="21"/>
        <v>3.4852817493692179E-2</v>
      </c>
      <c r="K18" s="9">
        <f t="shared" si="21"/>
        <v>-7.6704268391794783E-2</v>
      </c>
      <c r="L18" s="9">
        <f t="shared" si="21"/>
        <v>0.10045244089220651</v>
      </c>
      <c r="M18" s="9">
        <f t="shared" si="21"/>
        <v>4.1418035802844422E-2</v>
      </c>
      <c r="N18" s="9">
        <f t="shared" si="21"/>
        <v>2.5254232080862637E-2</v>
      </c>
      <c r="O18" s="9">
        <f t="shared" si="21"/>
        <v>-0.33340325432261542</v>
      </c>
      <c r="P18" s="9">
        <f t="shared" si="21"/>
        <v>0.40026972353337831</v>
      </c>
      <c r="Q18" s="9">
        <f t="shared" si="21"/>
        <v>0.2533147131529101</v>
      </c>
      <c r="R18" s="9">
        <f t="shared" si="21"/>
        <v>-1.958273031160751E-2</v>
      </c>
      <c r="S18" s="9">
        <f t="shared" si="21"/>
        <v>-4.0927498367080317E-2</v>
      </c>
      <c r="T18" s="9">
        <f t="shared" si="21"/>
        <v>0.36721740196412278</v>
      </c>
      <c r="U18" s="9">
        <f t="shared" si="21"/>
        <v>0.18745330105502256</v>
      </c>
      <c r="V18" s="9">
        <f t="shared" si="21"/>
        <v>5.6656011678538176E-2</v>
      </c>
      <c r="W18" s="9">
        <f t="shared" si="21"/>
        <v>-3.9651914312483161E-2</v>
      </c>
      <c r="X18" s="9">
        <f t="shared" si="21"/>
        <v>0.21663139096501083</v>
      </c>
      <c r="Y18" s="9">
        <f t="shared" si="21"/>
        <v>0.11269146608315106</v>
      </c>
      <c r="Z18" s="9">
        <f t="shared" si="21"/>
        <v>0.1909037053323317</v>
      </c>
      <c r="AA18" s="9">
        <f t="shared" ref="AA18" si="22">AA8/Z8-1</f>
        <v>-0.18773814713197778</v>
      </c>
      <c r="AB18" s="9">
        <f t="shared" ref="AB18" si="23">AB8/AA8-1</f>
        <v>9.3315739296785827E-2</v>
      </c>
      <c r="AC18" s="9">
        <f>AC8/AB8-1</f>
        <v>0.13660223945670946</v>
      </c>
      <c r="AD18" s="9"/>
      <c r="AE18" s="5"/>
      <c r="AF18" s="5"/>
      <c r="AG18" s="5"/>
      <c r="AH18" s="5"/>
      <c r="AI18" s="5"/>
      <c r="AJ18" s="3" t="s">
        <v>69</v>
      </c>
      <c r="AK18" s="5"/>
      <c r="AL18" s="9">
        <f>AL8/AK8-1</f>
        <v>-0.28743838960799672</v>
      </c>
      <c r="AM18" s="9">
        <f t="shared" ref="AM18:AQ18" si="24">AM8/AL8-1</f>
        <v>0.12799793134656401</v>
      </c>
      <c r="AN18" s="9">
        <f t="shared" si="24"/>
        <v>0.10719150755829077</v>
      </c>
      <c r="AO18" s="9">
        <f t="shared" si="24"/>
        <v>4.0871663375167122E-2</v>
      </c>
      <c r="AP18" s="9">
        <f t="shared" si="24"/>
        <v>0.60254688868742279</v>
      </c>
      <c r="AQ18" s="9">
        <f t="shared" si="24"/>
        <v>0.49627267367335581</v>
      </c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</row>
    <row r="19" spans="2:69" x14ac:dyDescent="0.25">
      <c r="B19" s="3" t="s">
        <v>104</v>
      </c>
      <c r="C19" s="9">
        <f>C7/C5</f>
        <v>0.39668794727189993</v>
      </c>
      <c r="D19" s="9">
        <f>D7/D5</f>
        <v>0.36288282902602775</v>
      </c>
      <c r="E19" s="9">
        <f t="shared" ref="E19:AC19" si="25">E7/E5</f>
        <v>0.44773024079354756</v>
      </c>
      <c r="F19" s="9">
        <f t="shared" si="25"/>
        <v>0.37890575239759056</v>
      </c>
      <c r="G19" s="9">
        <f t="shared" si="25"/>
        <v>0.4044224631910473</v>
      </c>
      <c r="H19" s="9">
        <f t="shared" si="25"/>
        <v>0.37365783822476734</v>
      </c>
      <c r="I19" s="9">
        <f t="shared" si="25"/>
        <v>0.43145061677563862</v>
      </c>
      <c r="J19" s="9">
        <f t="shared" si="25"/>
        <v>0.3622736923373866</v>
      </c>
      <c r="K19" s="9">
        <f t="shared" si="25"/>
        <v>0.43498441781605396</v>
      </c>
      <c r="L19" s="9">
        <f t="shared" si="25"/>
        <v>0.39567041769979022</v>
      </c>
      <c r="M19" s="9">
        <f t="shared" si="25"/>
        <v>0.44744876198172717</v>
      </c>
      <c r="N19" s="9">
        <f t="shared" si="25"/>
        <v>0.37338343680790037</v>
      </c>
      <c r="O19" s="9">
        <f t="shared" si="25"/>
        <v>0.11725574338579213</v>
      </c>
      <c r="P19" s="9">
        <f t="shared" si="25"/>
        <v>0.35190727186430515</v>
      </c>
      <c r="Q19" s="9">
        <f t="shared" si="25"/>
        <v>0.45312196769857754</v>
      </c>
      <c r="R19" s="9">
        <f t="shared" si="25"/>
        <v>0.38473039902812822</v>
      </c>
      <c r="S19" s="9">
        <f t="shared" si="25"/>
        <v>0.44188306954591844</v>
      </c>
      <c r="T19" s="9">
        <f t="shared" si="25"/>
        <v>0.44618632326769864</v>
      </c>
      <c r="U19" s="9">
        <f t="shared" si="25"/>
        <v>0.46355909583233146</v>
      </c>
      <c r="V19" s="9">
        <f t="shared" si="25"/>
        <v>0.40399980194543594</v>
      </c>
      <c r="W19" s="9">
        <f t="shared" si="25"/>
        <v>0.443470373366674</v>
      </c>
      <c r="X19" s="9">
        <f t="shared" si="25"/>
        <v>0.41915006574403024</v>
      </c>
      <c r="Y19" s="9">
        <f t="shared" si="25"/>
        <v>0.43332772988160706</v>
      </c>
      <c r="Z19" s="9">
        <f t="shared" si="25"/>
        <v>0.37980996954117274</v>
      </c>
      <c r="AA19" s="9">
        <f t="shared" si="25"/>
        <v>0.38894448467033382</v>
      </c>
      <c r="AB19" s="9">
        <f t="shared" si="25"/>
        <v>0.34977377005602867</v>
      </c>
      <c r="AC19" s="9">
        <f t="shared" si="25"/>
        <v>0.41457850056004064</v>
      </c>
      <c r="AD19" s="5"/>
      <c r="AE19" s="5"/>
      <c r="AF19" s="5"/>
      <c r="AG19" s="5"/>
      <c r="AH19" s="5"/>
      <c r="AI19" s="5"/>
      <c r="AJ19" s="13" t="s">
        <v>105</v>
      </c>
      <c r="AK19" s="9">
        <f>AK7/AK5</f>
        <v>0.39797746038930965</v>
      </c>
      <c r="AL19" s="9">
        <f t="shared" ref="AL19:AQ19" si="26">AL7/AL5</f>
        <v>0.39755700172347219</v>
      </c>
      <c r="AM19" s="9">
        <f t="shared" si="26"/>
        <v>0.39221613732648897</v>
      </c>
      <c r="AN19" s="9">
        <f t="shared" si="26"/>
        <v>0.41140987712487087</v>
      </c>
      <c r="AO19" s="9">
        <f t="shared" si="26"/>
        <v>0.36451255827733536</v>
      </c>
      <c r="AP19" s="9">
        <f t="shared" si="26"/>
        <v>0.43820343496383718</v>
      </c>
      <c r="AQ19" s="9">
        <f t="shared" si="26"/>
        <v>0.41627778815191996</v>
      </c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</row>
    <row r="20" spans="2:69" x14ac:dyDescent="0.25">
      <c r="B20" s="3" t="s">
        <v>105</v>
      </c>
      <c r="D20" s="9">
        <f>E19/D19-1</f>
        <v>0.23381489831097557</v>
      </c>
      <c r="E20" s="9">
        <f t="shared" ref="E20:AB20" si="27">F19/E19-1</f>
        <v>-0.15371865048466227</v>
      </c>
      <c r="F20" s="9">
        <f t="shared" si="27"/>
        <v>6.7343160223869436E-2</v>
      </c>
      <c r="G20" s="9">
        <f t="shared" si="27"/>
        <v>-7.6070514786778509E-2</v>
      </c>
      <c r="H20" s="9">
        <f t="shared" si="27"/>
        <v>0.15466764681143141</v>
      </c>
      <c r="I20" s="9">
        <f t="shared" si="27"/>
        <v>-0.16033567168180718</v>
      </c>
      <c r="J20" s="9">
        <f t="shared" si="27"/>
        <v>0.20070661220122954</v>
      </c>
      <c r="K20" s="9">
        <f t="shared" si="27"/>
        <v>-9.0380249282604908E-2</v>
      </c>
      <c r="L20" s="9">
        <f t="shared" si="27"/>
        <v>0.13086230854191161</v>
      </c>
      <c r="M20" s="9">
        <f t="shared" si="27"/>
        <v>-0.16552805922581026</v>
      </c>
      <c r="N20" s="9">
        <f t="shared" si="27"/>
        <v>-0.68596426132817911</v>
      </c>
      <c r="O20" s="9">
        <f t="shared" si="27"/>
        <v>2.0011943270571235</v>
      </c>
      <c r="P20" s="9">
        <f t="shared" si="27"/>
        <v>0.2876175172455675</v>
      </c>
      <c r="Q20" s="9">
        <f t="shared" si="27"/>
        <v>-0.150934127113308</v>
      </c>
      <c r="R20" s="9">
        <f t="shared" si="27"/>
        <v>0.14855252057587398</v>
      </c>
      <c r="S20" s="9">
        <f t="shared" si="27"/>
        <v>9.7384444400692161E-3</v>
      </c>
      <c r="T20" s="9">
        <f t="shared" si="27"/>
        <v>3.8936138690673472E-2</v>
      </c>
      <c r="U20" s="9">
        <f t="shared" si="27"/>
        <v>-0.1284826345170843</v>
      </c>
      <c r="V20" s="9">
        <f t="shared" si="27"/>
        <v>9.7699482106599955E-2</v>
      </c>
      <c r="W20" s="9">
        <f t="shared" si="27"/>
        <v>-5.4840884720240402E-2</v>
      </c>
      <c r="X20" s="9">
        <f t="shared" si="27"/>
        <v>3.3824792827862549E-2</v>
      </c>
      <c r="Y20" s="9">
        <f t="shared" si="27"/>
        <v>-0.1235041208995703</v>
      </c>
      <c r="Z20" s="9">
        <f t="shared" si="27"/>
        <v>2.405022474843399E-2</v>
      </c>
      <c r="AA20" s="9">
        <f t="shared" si="27"/>
        <v>-0.1007102971199243</v>
      </c>
      <c r="AB20" s="9">
        <f>AC19/AB19-1</f>
        <v>0.18527613003579768</v>
      </c>
      <c r="AC20" s="9"/>
      <c r="AE20" s="5"/>
      <c r="AF20" s="5"/>
      <c r="AG20" s="5"/>
      <c r="AH20" s="5"/>
      <c r="AI20" s="5"/>
      <c r="AJ20" s="3" t="s">
        <v>105</v>
      </c>
      <c r="AK20" s="9">
        <f>AL19/AK19-1</f>
        <v>-1.0564886398997109E-3</v>
      </c>
      <c r="AL20" s="9">
        <f t="shared" ref="AL20:AP20" si="28">AM19/AL19-1</f>
        <v>-1.3434210374436262E-2</v>
      </c>
      <c r="AM20" s="9">
        <f t="shared" si="28"/>
        <v>4.8936639703849316E-2</v>
      </c>
      <c r="AN20" s="9">
        <f t="shared" si="28"/>
        <v>-0.11399171836922439</v>
      </c>
      <c r="AO20" s="9">
        <f t="shared" si="28"/>
        <v>0.2021627925105256</v>
      </c>
      <c r="AP20" s="9">
        <f t="shared" si="28"/>
        <v>-5.0035314793291485E-2</v>
      </c>
      <c r="AQ20" s="9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</row>
    <row r="21" spans="2:69" x14ac:dyDescent="0.25">
      <c r="B21" s="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</row>
    <row r="22" spans="2:69" x14ac:dyDescent="0.25">
      <c r="B22" s="3" t="s">
        <v>103</v>
      </c>
      <c r="C22" s="14">
        <v>17500</v>
      </c>
      <c r="D22" s="14">
        <v>20900</v>
      </c>
      <c r="E22" s="15">
        <v>45900</v>
      </c>
      <c r="F22" s="14">
        <v>32900</v>
      </c>
      <c r="G22" s="14">
        <v>22800</v>
      </c>
      <c r="H22" s="14">
        <v>28500</v>
      </c>
      <c r="I22" s="14">
        <v>52200</v>
      </c>
      <c r="J22" s="14">
        <v>39700</v>
      </c>
      <c r="K22" s="14">
        <v>52000</v>
      </c>
      <c r="L22" s="14">
        <v>55600</v>
      </c>
      <c r="M22" s="14">
        <v>78000</v>
      </c>
      <c r="N22" s="14">
        <v>60200</v>
      </c>
      <c r="O22" s="14">
        <v>-22100</v>
      </c>
      <c r="P22" s="14">
        <v>22700</v>
      </c>
      <c r="Q22" s="14">
        <v>72500</v>
      </c>
      <c r="R22" s="14">
        <v>50500</v>
      </c>
      <c r="S22" s="14">
        <v>60300</v>
      </c>
      <c r="T22" s="14">
        <v>81500</v>
      </c>
      <c r="U22" s="14">
        <v>119000</v>
      </c>
      <c r="V22" s="14">
        <v>80500</v>
      </c>
      <c r="W22" s="14">
        <v>90000</v>
      </c>
      <c r="X22" s="14">
        <v>95500</v>
      </c>
      <c r="Y22" s="14">
        <v>130000</v>
      </c>
      <c r="Z22" s="14">
        <v>82300</v>
      </c>
      <c r="AA22" s="14">
        <v>61400</v>
      </c>
      <c r="AB22" s="14">
        <v>28300</v>
      </c>
      <c r="AC22" s="5">
        <v>116000</v>
      </c>
      <c r="AD22" s="5"/>
      <c r="AE22" s="5"/>
      <c r="AF22" s="5"/>
      <c r="AG22" s="5"/>
      <c r="AH22" s="5"/>
      <c r="AI22" s="5"/>
      <c r="AJ22" s="13" t="s">
        <v>103</v>
      </c>
      <c r="AK22" s="5">
        <v>117660</v>
      </c>
      <c r="AL22" s="5">
        <v>132720</v>
      </c>
      <c r="AM22" s="5">
        <v>161040</v>
      </c>
      <c r="AN22" s="5">
        <v>172570</v>
      </c>
      <c r="AO22" s="5">
        <v>76810</v>
      </c>
      <c r="AP22" s="5">
        <v>289310</v>
      </c>
      <c r="AQ22" s="5">
        <v>351180</v>
      </c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</row>
    <row r="23" spans="2:69" s="9" customFormat="1" x14ac:dyDescent="0.25">
      <c r="B23" s="20" t="s">
        <v>107</v>
      </c>
      <c r="C23" s="9">
        <f>D22/C22-1</f>
        <v>0.19428571428571439</v>
      </c>
      <c r="D23" s="9">
        <f t="shared" ref="D23:AC23" si="29">E22/D22-1</f>
        <v>1.1961722488038276</v>
      </c>
      <c r="E23" s="9">
        <f t="shared" si="29"/>
        <v>-0.28322440087145972</v>
      </c>
      <c r="F23" s="9">
        <f t="shared" si="29"/>
        <v>-0.30699088145896658</v>
      </c>
      <c r="G23" s="9">
        <f t="shared" si="29"/>
        <v>0.25</v>
      </c>
      <c r="H23" s="9">
        <f t="shared" si="29"/>
        <v>0.83157894736842097</v>
      </c>
      <c r="I23" s="9">
        <f t="shared" si="29"/>
        <v>-0.23946360153256707</v>
      </c>
      <c r="J23" s="9">
        <f t="shared" si="29"/>
        <v>0.30982367758186391</v>
      </c>
      <c r="K23" s="9">
        <f t="shared" si="29"/>
        <v>6.9230769230769207E-2</v>
      </c>
      <c r="L23" s="9">
        <f t="shared" si="29"/>
        <v>0.40287769784172656</v>
      </c>
      <c r="M23" s="9">
        <f t="shared" si="29"/>
        <v>-0.22820512820512817</v>
      </c>
      <c r="N23" s="9">
        <f t="shared" si="29"/>
        <v>-1.367109634551495</v>
      </c>
      <c r="O23" s="9">
        <f t="shared" si="29"/>
        <v>-2.0271493212669682</v>
      </c>
      <c r="P23" s="9">
        <f t="shared" si="29"/>
        <v>2.1938325991189429</v>
      </c>
      <c r="Q23" s="9">
        <f t="shared" si="29"/>
        <v>-0.30344827586206902</v>
      </c>
      <c r="R23" s="9">
        <f t="shared" si="29"/>
        <v>0.19405940594059401</v>
      </c>
      <c r="S23" s="9">
        <f t="shared" si="29"/>
        <v>0.35157545605306795</v>
      </c>
      <c r="T23" s="9">
        <f t="shared" si="29"/>
        <v>0.46012269938650308</v>
      </c>
      <c r="U23" s="9">
        <f t="shared" si="29"/>
        <v>-0.32352941176470584</v>
      </c>
      <c r="V23" s="9">
        <f t="shared" si="29"/>
        <v>0.11801242236024834</v>
      </c>
      <c r="W23" s="9">
        <f t="shared" si="29"/>
        <v>6.1111111111111116E-2</v>
      </c>
      <c r="X23" s="9">
        <f t="shared" si="29"/>
        <v>0.3612565445026179</v>
      </c>
      <c r="Y23" s="9">
        <f t="shared" si="29"/>
        <v>-0.36692307692307691</v>
      </c>
      <c r="Z23" s="9">
        <f t="shared" si="29"/>
        <v>-0.2539489671931956</v>
      </c>
      <c r="AA23" s="9">
        <f t="shared" si="29"/>
        <v>-0.53908794788273617</v>
      </c>
      <c r="AB23" s="9">
        <f t="shared" si="29"/>
        <v>3.0989399293286217</v>
      </c>
      <c r="AJ23" s="20" t="s">
        <v>107</v>
      </c>
      <c r="AK23" s="9">
        <f>AL22/AK22-1</f>
        <v>0.12799592044875063</v>
      </c>
      <c r="AL23" s="9">
        <f t="shared" ref="AL23:AQ23" si="30">AM22/AL22-1</f>
        <v>0.21338155515370705</v>
      </c>
      <c r="AM23" s="9">
        <f t="shared" si="30"/>
        <v>7.159711872826624E-2</v>
      </c>
      <c r="AN23" s="9">
        <f t="shared" si="30"/>
        <v>-0.5549052558382106</v>
      </c>
      <c r="AO23" s="9">
        <f t="shared" si="30"/>
        <v>2.7665668532743131</v>
      </c>
      <c r="AP23" s="9">
        <f t="shared" si="30"/>
        <v>0.21385365179219518</v>
      </c>
      <c r="AQ23" s="9">
        <f t="shared" si="30"/>
        <v>-1</v>
      </c>
    </row>
    <row r="24" spans="2:69" x14ac:dyDescent="0.25">
      <c r="B24" s="3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</row>
    <row r="25" spans="2:69" x14ac:dyDescent="0.25"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</row>
    <row r="26" spans="2:69" x14ac:dyDescent="0.25"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</row>
    <row r="27" spans="2:69" x14ac:dyDescent="0.25"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</row>
    <row r="28" spans="2:69" x14ac:dyDescent="0.25"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</row>
    <row r="29" spans="2:69" x14ac:dyDescent="0.25"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</row>
    <row r="30" spans="2:69" x14ac:dyDescent="0.25"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</row>
    <row r="31" spans="2:69" x14ac:dyDescent="0.25"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</row>
    <row r="32" spans="2:69" x14ac:dyDescent="0.25"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</row>
    <row r="33" spans="3:69" x14ac:dyDescent="0.25"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</row>
    <row r="34" spans="3:69" x14ac:dyDescent="0.25"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</row>
    <row r="35" spans="3:69" x14ac:dyDescent="0.25"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</row>
    <row r="36" spans="3:69" x14ac:dyDescent="0.25"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</row>
    <row r="37" spans="3:69" x14ac:dyDescent="0.25"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</row>
    <row r="38" spans="3:69" x14ac:dyDescent="0.25"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</row>
    <row r="39" spans="3:69" x14ac:dyDescent="0.25"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</row>
    <row r="40" spans="3:69" x14ac:dyDescent="0.25"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</row>
    <row r="41" spans="3:69" x14ac:dyDescent="0.25"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</row>
    <row r="42" spans="3:69" x14ac:dyDescent="0.25"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</row>
    <row r="43" spans="3:69" x14ac:dyDescent="0.25"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</row>
    <row r="44" spans="3:69" x14ac:dyDescent="0.25"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</row>
    <row r="45" spans="3:69" x14ac:dyDescent="0.25"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</row>
    <row r="46" spans="3:69" x14ac:dyDescent="0.25"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</row>
    <row r="47" spans="3:69" x14ac:dyDescent="0.25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</row>
    <row r="48" spans="3:69" x14ac:dyDescent="0.25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</row>
    <row r="49" spans="3:65" x14ac:dyDescent="0.25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</row>
    <row r="50" spans="3:65" x14ac:dyDescent="0.25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</row>
    <row r="51" spans="3:65" x14ac:dyDescent="0.25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</row>
    <row r="52" spans="3:65" x14ac:dyDescent="0.25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</row>
    <row r="53" spans="3:65" x14ac:dyDescent="0.25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</row>
    <row r="54" spans="3:65" x14ac:dyDescent="0.25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</row>
    <row r="55" spans="3:65" x14ac:dyDescent="0.25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</row>
    <row r="56" spans="3:65" x14ac:dyDescent="0.25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</row>
    <row r="57" spans="3:65" x14ac:dyDescent="0.25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</row>
    <row r="58" spans="3:65" x14ac:dyDescent="0.25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</row>
    <row r="59" spans="3:65" x14ac:dyDescent="0.25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</row>
    <row r="60" spans="3:65" x14ac:dyDescent="0.25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</row>
    <row r="61" spans="3:65" x14ac:dyDescent="0.25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</row>
  </sheetData>
  <conditionalFormatting sqref="AF16:XFD16 A1:XFD15 A16:AD16 A17:XFD21 A22:D22 F22:XFD22 A23:XFD1048576">
    <cfRule type="expression" dxfId="0" priority="1">
      <formula>MOD(ROW(),2)=0</formula>
    </cfRule>
  </conditionalFormatting>
  <hyperlinks>
    <hyperlink ref="A4" location="Main!A1" display="Main" xr:uid="{B24E3194-B018-4319-B062-2B2FCD6645E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Cratchley</dc:creator>
  <cp:lastModifiedBy>Ethan Cratchley</cp:lastModifiedBy>
  <dcterms:created xsi:type="dcterms:W3CDTF">2023-12-02T08:03:47Z</dcterms:created>
  <dcterms:modified xsi:type="dcterms:W3CDTF">2024-02-07T07:53:37Z</dcterms:modified>
</cp:coreProperties>
</file>