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GOOGL\"/>
    </mc:Choice>
  </mc:AlternateContent>
  <xr:revisionPtr revIDLastSave="0" documentId="8_{DCE5F6B0-C3A9-4971-8408-F35D701C1DA6}" xr6:coauthVersionLast="47" xr6:coauthVersionMax="47" xr10:uidLastSave="{00000000-0000-0000-0000-000000000000}"/>
  <bookViews>
    <workbookView xWindow="-120" yWindow="-120" windowWidth="29040" windowHeight="15840" activeTab="1" xr2:uid="{8E8C2C85-D1A1-4F50-9F29-1B7847F792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1" i="2" l="1"/>
  <c r="AY8" i="2"/>
  <c r="AY5" i="2"/>
  <c r="AA6" i="2"/>
  <c r="AY6" i="2" s="1"/>
  <c r="AA5" i="2"/>
  <c r="AA18" i="2" s="1"/>
  <c r="AA15" i="2"/>
  <c r="AY15" i="2" s="1"/>
  <c r="AA14" i="2"/>
  <c r="AY14" i="2" s="1"/>
  <c r="AA10" i="2"/>
  <c r="AY10" i="2" s="1"/>
  <c r="AA9" i="2"/>
  <c r="AY9" i="2" s="1"/>
  <c r="AA8" i="2"/>
  <c r="Z18" i="2"/>
  <c r="Y18" i="2"/>
  <c r="V18" i="2"/>
  <c r="U18" i="2"/>
  <c r="R18" i="2"/>
  <c r="Q18" i="2"/>
  <c r="N18" i="2"/>
  <c r="M18" i="2"/>
  <c r="J18" i="2"/>
  <c r="I18" i="2"/>
  <c r="F18" i="2"/>
  <c r="E18" i="2"/>
  <c r="AI11" i="2"/>
  <c r="AI8" i="2"/>
  <c r="AX11" i="2" l="1"/>
  <c r="AW11" i="2"/>
  <c r="AV11" i="2"/>
  <c r="AU11" i="2"/>
  <c r="AT11" i="2"/>
  <c r="W15" i="2"/>
  <c r="AX15" i="2" s="1"/>
  <c r="W14" i="2"/>
  <c r="AX14" i="2" s="1"/>
  <c r="W10" i="2"/>
  <c r="AX10" i="2" s="1"/>
  <c r="W9" i="2"/>
  <c r="AX9" i="2" s="1"/>
  <c r="W8" i="2"/>
  <c r="AX8" i="2" s="1"/>
  <c r="W6" i="2"/>
  <c r="AX6" i="2" s="1"/>
  <c r="W5" i="2"/>
  <c r="T7" i="2"/>
  <c r="S15" i="2"/>
  <c r="AW15" i="2" s="1"/>
  <c r="S14" i="2"/>
  <c r="AW14" i="2" s="1"/>
  <c r="S10" i="2"/>
  <c r="AW10" i="2" s="1"/>
  <c r="S9" i="2"/>
  <c r="AW9" i="2" s="1"/>
  <c r="S8" i="2"/>
  <c r="S6" i="2"/>
  <c r="AW6" i="2" s="1"/>
  <c r="S5" i="2"/>
  <c r="O15" i="2"/>
  <c r="AV15" i="2" s="1"/>
  <c r="O14" i="2"/>
  <c r="AV14" i="2" s="1"/>
  <c r="O10" i="2"/>
  <c r="AV10" i="2" s="1"/>
  <c r="O9" i="2"/>
  <c r="AV9" i="2" s="1"/>
  <c r="O8" i="2"/>
  <c r="AV8" i="2" s="1"/>
  <c r="O6" i="2"/>
  <c r="AV6" i="2" s="1"/>
  <c r="O5" i="2"/>
  <c r="K14" i="2"/>
  <c r="AU14" i="2" s="1"/>
  <c r="K15" i="2"/>
  <c r="AU15" i="2" s="1"/>
  <c r="K10" i="2"/>
  <c r="AU10" i="2" s="1"/>
  <c r="K9" i="2"/>
  <c r="AU9" i="2" s="1"/>
  <c r="K8" i="2"/>
  <c r="AU8" i="2" s="1"/>
  <c r="K6" i="2"/>
  <c r="AU6" i="2" s="1"/>
  <c r="K5" i="2"/>
  <c r="E12" i="2"/>
  <c r="E14" i="2"/>
  <c r="G14" i="2" s="1"/>
  <c r="G15" i="2"/>
  <c r="AT15" i="2" s="1"/>
  <c r="G10" i="2"/>
  <c r="AT10" i="2" s="1"/>
  <c r="G9" i="2"/>
  <c r="AT9" i="2" s="1"/>
  <c r="G8" i="2"/>
  <c r="AT8" i="2" s="1"/>
  <c r="G6" i="2"/>
  <c r="AT6" i="2" s="1"/>
  <c r="G5" i="2"/>
  <c r="AE12" i="2"/>
  <c r="AD12" i="2"/>
  <c r="AC12" i="2"/>
  <c r="AB12" i="2"/>
  <c r="AA12" i="2"/>
  <c r="Z12" i="2"/>
  <c r="Y12" i="2"/>
  <c r="X12" i="2"/>
  <c r="V12" i="2"/>
  <c r="U12" i="2"/>
  <c r="T12" i="2"/>
  <c r="R12" i="2"/>
  <c r="Q12" i="2"/>
  <c r="P12" i="2"/>
  <c r="N12" i="2"/>
  <c r="M12" i="2"/>
  <c r="L12" i="2"/>
  <c r="J12" i="2"/>
  <c r="I12" i="2"/>
  <c r="H12" i="2"/>
  <c r="F12" i="2"/>
  <c r="AE7" i="2"/>
  <c r="AD7" i="2"/>
  <c r="AC7" i="2"/>
  <c r="AB7" i="2"/>
  <c r="AA7" i="2"/>
  <c r="Z7" i="2"/>
  <c r="Y7" i="2"/>
  <c r="Y19" i="2" s="1"/>
  <c r="X7" i="2"/>
  <c r="V7" i="2"/>
  <c r="V19" i="2" s="1"/>
  <c r="U7" i="2"/>
  <c r="U19" i="2" s="1"/>
  <c r="R7" i="2"/>
  <c r="R19" i="2" s="1"/>
  <c r="R20" i="2" s="1"/>
  <c r="Q7" i="2"/>
  <c r="Q19" i="2" s="1"/>
  <c r="P7" i="2"/>
  <c r="P19" i="2" s="1"/>
  <c r="N7" i="2"/>
  <c r="N19" i="2" s="1"/>
  <c r="M7" i="2"/>
  <c r="M19" i="2" s="1"/>
  <c r="L7" i="2"/>
  <c r="L19" i="2" s="1"/>
  <c r="J7" i="2"/>
  <c r="J19" i="2" s="1"/>
  <c r="J20" i="2" s="1"/>
  <c r="I7" i="2"/>
  <c r="I19" i="2" s="1"/>
  <c r="H7" i="2"/>
  <c r="H19" i="2" s="1"/>
  <c r="F7" i="2"/>
  <c r="F19" i="2" s="1"/>
  <c r="E7" i="2"/>
  <c r="E19" i="2" s="1"/>
  <c r="D12" i="2"/>
  <c r="D7" i="2"/>
  <c r="D19" i="2" s="1"/>
  <c r="E22" i="2" l="1"/>
  <c r="F20" i="2"/>
  <c r="AA22" i="2"/>
  <c r="N20" i="2"/>
  <c r="X19" i="2"/>
  <c r="AY7" i="2"/>
  <c r="Y20" i="2"/>
  <c r="M22" i="2"/>
  <c r="U22" i="2"/>
  <c r="AU5" i="2"/>
  <c r="K18" i="2"/>
  <c r="L18" i="2"/>
  <c r="I20" i="2"/>
  <c r="Q20" i="2"/>
  <c r="F22" i="2"/>
  <c r="N22" i="2"/>
  <c r="V22" i="2"/>
  <c r="P18" i="2"/>
  <c r="O18" i="2"/>
  <c r="AA13" i="2"/>
  <c r="AA19" i="2"/>
  <c r="AY12" i="2"/>
  <c r="AW5" i="2"/>
  <c r="T18" i="2"/>
  <c r="S18" i="2"/>
  <c r="I22" i="2"/>
  <c r="Q22" i="2"/>
  <c r="Y22" i="2"/>
  <c r="E20" i="2"/>
  <c r="M20" i="2"/>
  <c r="V20" i="2"/>
  <c r="J22" i="2"/>
  <c r="R22" i="2"/>
  <c r="Z22" i="2"/>
  <c r="H18" i="2"/>
  <c r="G18" i="2"/>
  <c r="X18" i="2"/>
  <c r="W18" i="2"/>
  <c r="S12" i="2"/>
  <c r="S22" i="2" s="1"/>
  <c r="AW12" i="2"/>
  <c r="AV5" i="2"/>
  <c r="AV18" i="2" s="1"/>
  <c r="K7" i="2"/>
  <c r="K19" i="2" s="1"/>
  <c r="K20" i="2" s="1"/>
  <c r="AX5" i="2"/>
  <c r="AW8" i="2"/>
  <c r="O7" i="2"/>
  <c r="K12" i="2"/>
  <c r="W12" i="2"/>
  <c r="W22" i="2" s="1"/>
  <c r="AT14" i="2"/>
  <c r="O12" i="2"/>
  <c r="O22" i="2" s="1"/>
  <c r="AT5" i="2"/>
  <c r="Z13" i="2"/>
  <c r="Z16" i="2" s="1"/>
  <c r="W7" i="2"/>
  <c r="W19" i="2" s="1"/>
  <c r="W20" i="2" s="1"/>
  <c r="T13" i="2"/>
  <c r="S7" i="2"/>
  <c r="S19" i="2" s="1"/>
  <c r="S20" i="2" s="1"/>
  <c r="AC13" i="2"/>
  <c r="AC16" i="2" s="1"/>
  <c r="Z19" i="2"/>
  <c r="Z20" i="2" s="1"/>
  <c r="N13" i="2"/>
  <c r="N16" i="2" s="1"/>
  <c r="T19" i="2"/>
  <c r="U20" i="2" s="1"/>
  <c r="J13" i="2"/>
  <c r="J16" i="2" s="1"/>
  <c r="V13" i="2"/>
  <c r="V16" i="2" s="1"/>
  <c r="Q13" i="2"/>
  <c r="Q16" i="2" s="1"/>
  <c r="G7" i="2"/>
  <c r="P13" i="2"/>
  <c r="AB13" i="2"/>
  <c r="AB16" i="2" s="1"/>
  <c r="L13" i="2"/>
  <c r="L16" i="2" s="1"/>
  <c r="R13" i="2"/>
  <c r="R16" i="2" s="1"/>
  <c r="X13" i="2"/>
  <c r="AD13" i="2"/>
  <c r="AD16" i="2" s="1"/>
  <c r="M13" i="2"/>
  <c r="M16" i="2" s="1"/>
  <c r="Y13" i="2"/>
  <c r="Y16" i="2" s="1"/>
  <c r="AE13" i="2"/>
  <c r="AE16" i="2" s="1"/>
  <c r="I13" i="2"/>
  <c r="I16" i="2" s="1"/>
  <c r="U13" i="2"/>
  <c r="U16" i="2" s="1"/>
  <c r="AA16" i="2"/>
  <c r="H13" i="2"/>
  <c r="G12" i="2"/>
  <c r="G22" i="2" s="1"/>
  <c r="F13" i="2"/>
  <c r="F16" i="2" s="1"/>
  <c r="E13" i="2"/>
  <c r="E16" i="2" s="1"/>
  <c r="D13" i="2"/>
  <c r="AA20" i="2" l="1"/>
  <c r="AX18" i="2"/>
  <c r="F21" i="2"/>
  <c r="J21" i="2"/>
  <c r="H22" i="2"/>
  <c r="AU18" i="2"/>
  <c r="T22" i="2"/>
  <c r="X16" i="2"/>
  <c r="Y21" i="2" s="1"/>
  <c r="AY13" i="2"/>
  <c r="R21" i="2"/>
  <c r="L20" i="2"/>
  <c r="AU12" i="2"/>
  <c r="K22" i="2"/>
  <c r="M21" i="2"/>
  <c r="Z21" i="2"/>
  <c r="AW18" i="2"/>
  <c r="V21" i="2"/>
  <c r="P22" i="2"/>
  <c r="T20" i="2"/>
  <c r="L22" i="2"/>
  <c r="N21" i="2"/>
  <c r="AA21" i="2"/>
  <c r="X22" i="2"/>
  <c r="X20" i="2"/>
  <c r="K13" i="2"/>
  <c r="K16" i="2" s="1"/>
  <c r="K21" i="2" s="1"/>
  <c r="AX7" i="2"/>
  <c r="AX19" i="2" s="1"/>
  <c r="AW7" i="2"/>
  <c r="AW19" i="2" s="1"/>
  <c r="AW20" i="2" s="1"/>
  <c r="H16" i="2"/>
  <c r="P16" i="2"/>
  <c r="AV12" i="2"/>
  <c r="AW22" i="2" s="1"/>
  <c r="O19" i="2"/>
  <c r="AV7" i="2"/>
  <c r="AV19" i="2" s="1"/>
  <c r="AX12" i="2"/>
  <c r="AX22" i="2" s="1"/>
  <c r="W13" i="2"/>
  <c r="W16" i="2" s="1"/>
  <c r="W21" i="2" s="1"/>
  <c r="T16" i="2"/>
  <c r="T21" i="2" s="1"/>
  <c r="AU7" i="2"/>
  <c r="AU19" i="2" s="1"/>
  <c r="O13" i="2"/>
  <c r="S13" i="2"/>
  <c r="S16" i="2" s="1"/>
  <c r="S21" i="2" s="1"/>
  <c r="D16" i="2"/>
  <c r="E21" i="2" s="1"/>
  <c r="G19" i="2"/>
  <c r="AT7" i="2"/>
  <c r="AT19" i="2" s="1"/>
  <c r="AT12" i="2"/>
  <c r="G13" i="2"/>
  <c r="G16" i="2" s="1"/>
  <c r="G21" i="2" s="1"/>
  <c r="D18" i="1"/>
  <c r="D21" i="1" s="1"/>
  <c r="D23" i="1" s="1"/>
  <c r="AU20" i="2" l="1"/>
  <c r="AV22" i="2"/>
  <c r="L21" i="2"/>
  <c r="O20" i="2"/>
  <c r="P20" i="2"/>
  <c r="G20" i="2"/>
  <c r="H20" i="2"/>
  <c r="AU16" i="2"/>
  <c r="H21" i="2"/>
  <c r="X21" i="2"/>
  <c r="AY16" i="2"/>
  <c r="AU22" i="2"/>
  <c r="U21" i="2"/>
  <c r="AV20" i="2"/>
  <c r="AX20" i="2"/>
  <c r="Q21" i="2"/>
  <c r="I21" i="2"/>
  <c r="AU13" i="2"/>
  <c r="AW16" i="2"/>
  <c r="AX13" i="2"/>
  <c r="AX16" i="2"/>
  <c r="O16" i="2"/>
  <c r="O21" i="2" s="1"/>
  <c r="AV13" i="2"/>
  <c r="AW13" i="2"/>
  <c r="AT13" i="2"/>
  <c r="AT16" i="2"/>
  <c r="AS4" i="2"/>
  <c r="AR4" i="2" s="1"/>
  <c r="AQ4" i="2" s="1"/>
  <c r="AP4" i="2" s="1"/>
  <c r="AO4" i="2" s="1"/>
  <c r="AN4" i="2" s="1"/>
  <c r="AM4" i="2" s="1"/>
  <c r="AL4" i="2" s="1"/>
  <c r="AU4" i="2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P21" i="2" l="1"/>
  <c r="AU21" i="2"/>
  <c r="AZ16" i="2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AX21" i="2"/>
  <c r="AV16" i="2"/>
  <c r="AI7" i="2" l="1"/>
  <c r="AI9" i="2" s="1"/>
  <c r="AI12" i="2" s="1"/>
  <c r="AV21" i="2"/>
  <c r="AW21" i="2"/>
  <c r="AI13" i="2" l="1"/>
</calcChain>
</file>

<file path=xl/sharedStrings.xml><?xml version="1.0" encoding="utf-8"?>
<sst xmlns="http://schemas.openxmlformats.org/spreadsheetml/2006/main" count="91" uniqueCount="91">
  <si>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</si>
  <si>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</si>
  <si>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</si>
  <si>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</si>
  <si>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</si>
  <si>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</si>
  <si>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</si>
  <si>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</si>
  <si>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</si>
  <si>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</si>
  <si>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</si>
  <si>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</si>
  <si>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</si>
  <si>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</si>
  <si>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</si>
  <si>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</si>
  <si>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</si>
  <si>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</si>
  <si>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</si>
  <si>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</si>
  <si>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</si>
  <si>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</si>
  <si>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</si>
  <si>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</si>
  <si>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</si>
  <si>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</si>
  <si>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</si>
  <si>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</si>
  <si>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</si>
  <si>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ALL $ are in USD</t>
  </si>
  <si>
    <t>Company Name:</t>
  </si>
  <si>
    <t>Description:</t>
  </si>
  <si>
    <t>Ticker:</t>
  </si>
  <si>
    <t>Model</t>
  </si>
  <si>
    <t xml:space="preserve">Industry: </t>
  </si>
  <si>
    <t>Location:</t>
  </si>
  <si>
    <t>Website:</t>
  </si>
  <si>
    <t>Basic Info:</t>
  </si>
  <si>
    <t>P</t>
  </si>
  <si>
    <t>S/O</t>
  </si>
  <si>
    <t>MC</t>
  </si>
  <si>
    <t>C</t>
  </si>
  <si>
    <t>D</t>
  </si>
  <si>
    <t>EV</t>
  </si>
  <si>
    <t>| - Ethan Cratchley</t>
  </si>
  <si>
    <t>Main</t>
  </si>
  <si>
    <t>Q4 - 2024</t>
  </si>
  <si>
    <t>Q3- 2024</t>
  </si>
  <si>
    <t>Q2 - 2024</t>
  </si>
  <si>
    <t>Q1 - 2024</t>
  </si>
  <si>
    <t xml:space="preserve">Products: </t>
  </si>
  <si>
    <t>Notes:</t>
  </si>
  <si>
    <t>GOOGL or GOOG</t>
  </si>
  <si>
    <t>Sundar Pichai</t>
  </si>
  <si>
    <t>Employees:</t>
  </si>
  <si>
    <t>google.com</t>
  </si>
  <si>
    <t>California, USA</t>
  </si>
  <si>
    <t>Larry Page and Sergey Brin</t>
  </si>
  <si>
    <t>CEO:</t>
  </si>
  <si>
    <t>CFO:</t>
  </si>
  <si>
    <t>Ruth M. Porat</t>
  </si>
  <si>
    <t>CPO:</t>
  </si>
  <si>
    <t>Fiona Clare Cicconi</t>
  </si>
  <si>
    <t>Serach, AI, Software, Hardware</t>
  </si>
  <si>
    <t>Revenue</t>
  </si>
  <si>
    <t>COGS</t>
  </si>
  <si>
    <t>Other Income</t>
  </si>
  <si>
    <t>Gross Profit</t>
  </si>
  <si>
    <t>Operating Income</t>
  </si>
  <si>
    <t>Taxes</t>
  </si>
  <si>
    <t>Net Income</t>
  </si>
  <si>
    <t>R&amp;D</t>
  </si>
  <si>
    <t>S&amp;M</t>
  </si>
  <si>
    <t>G&amp;A</t>
  </si>
  <si>
    <t>Operating Expenes</t>
  </si>
  <si>
    <t>Revenue Growth</t>
  </si>
  <si>
    <t xml:space="preserve">Gross Margin </t>
  </si>
  <si>
    <t>Net Income Growth</t>
  </si>
  <si>
    <t>European Commission Fine</t>
  </si>
  <si>
    <t>Information:</t>
  </si>
  <si>
    <t>Discount Rate</t>
  </si>
  <si>
    <t>C-D</t>
  </si>
  <si>
    <t>Net NPV</t>
  </si>
  <si>
    <t>Current</t>
  </si>
  <si>
    <t>Share</t>
  </si>
  <si>
    <t>Difference</t>
  </si>
  <si>
    <t>EBITDA</t>
  </si>
  <si>
    <t>EV/EBITDA</t>
  </si>
  <si>
    <t>Gross Margin Growth</t>
  </si>
  <si>
    <t>Expeneses Growth</t>
  </si>
  <si>
    <t>Founder: (1998)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</si>
</sst>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4" fillId="0" borderId="0" xfId="1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E13-8BEA-4E16-944C-C4F9B21E6C6C}">
  <dimension ref="A1:H26"/>
  <sheetViews>
    <sheetView workbookViewId="0">
      <selection activeCell="C4" sqref="C4"/>
    </sheetView>
  </sheetViews>
  <sheetFormatPr defaultRowHeight="15" x14ac:dyDescent="0.25"/>
  <cols>
    <col min="3" max="3" width="15" bestFit="1" customWidth="1"/>
    <col min="4" max="4" width="28.85546875" bestFit="1" customWidth="1"/>
    <col min="6" max="6" width="11.7109375" bestFit="1" customWidth="1"/>
  </cols>
  <sheetData>
    <row r="1" spans="1:8" x14ac:dyDescent="0.25">
      <c r="A1" s="1" t="s">
        <v>29</v>
      </c>
    </row>
    <row r="2" spans="1:8" x14ac:dyDescent="0.25">
      <c r="C2" s="2" t="s">
        <v>30</v>
      </c>
      <c r="F2" s="2" t="s">
        <v>31</v>
      </c>
    </row>
    <row r="3" spans="1:8" x14ac:dyDescent="0.25">
      <c r="C3" s="2" t="s">
        <v>32</v>
      </c>
      <c r="D3" t="s">
        <v>52</v>
      </c>
    </row>
    <row r="4" spans="1:8" x14ac:dyDescent="0.25">
      <c r="A4" s="3" t="s">
        <v>33</v>
      </c>
      <c r="C4" s="2" t="s">
        <v>90</v>
      </c>
      <c r="D4" t="s">
        <v>57</v>
      </c>
    </row>
    <row r="5" spans="1:8" x14ac:dyDescent="0.25">
      <c r="C5" s="2" t="s">
        <v>34</v>
      </c>
      <c r="D5" t="s">
        <v>63</v>
      </c>
    </row>
    <row r="6" spans="1:8" x14ac:dyDescent="0.25">
      <c r="A6" t="s">
        <v>44</v>
      </c>
      <c r="C6" s="2" t="s">
        <v>35</v>
      </c>
      <c r="D6" t="s">
        <v>56</v>
      </c>
    </row>
    <row r="7" spans="1:8" x14ac:dyDescent="0.25">
      <c r="C7" s="2" t="s">
        <v>36</v>
      </c>
      <c r="D7" t="s">
        <v>55</v>
      </c>
    </row>
    <row r="8" spans="1:8" x14ac:dyDescent="0.25">
      <c r="C8" s="2" t="s">
        <v>54</v>
      </c>
      <c r="D8" s="6">
        <v>182000</v>
      </c>
    </row>
    <row r="9" spans="1:8" x14ac:dyDescent="0.25">
      <c r="C9" s="2"/>
    </row>
    <row r="10" spans="1:8" x14ac:dyDescent="0.25">
      <c r="C10" s="2"/>
    </row>
    <row r="11" spans="1:8" x14ac:dyDescent="0.25">
      <c r="C11" s="2" t="s">
        <v>58</v>
      </c>
      <c r="D11" t="s">
        <v>53</v>
      </c>
    </row>
    <row r="12" spans="1:8" x14ac:dyDescent="0.25">
      <c r="C12" s="2" t="s">
        <v>59</v>
      </c>
      <c r="D12" t="s">
        <v>60</v>
      </c>
    </row>
    <row r="13" spans="1:8" x14ac:dyDescent="0.25">
      <c r="C13" s="2" t="s">
        <v>61</v>
      </c>
      <c r="D13" t="s">
        <v>62</v>
      </c>
    </row>
    <row r="15" spans="1:8" x14ac:dyDescent="0.25">
      <c r="C15" s="2" t="s">
        <v>37</v>
      </c>
      <c r="F15" s="2" t="s">
        <v>50</v>
      </c>
      <c r="H15" s="2"/>
    </row>
    <row r="16" spans="1:8" x14ac:dyDescent="0.25">
      <c r="C16" t="s">
        <v>38</v>
      </c>
      <c r="D16">
        <v>145</v>
      </c>
      <c r="F16" s="2"/>
    </row>
    <row r="17" spans="3:6" x14ac:dyDescent="0.25">
      <c r="C17" t="s">
        <v>39</v>
      </c>
      <c r="D17" s="6">
        <v>12580</v>
      </c>
    </row>
    <row r="18" spans="3:6" x14ac:dyDescent="0.25">
      <c r="C18" t="s">
        <v>40</v>
      </c>
      <c r="D18" s="6">
        <f>D16*D17</f>
        <v>1824100</v>
      </c>
    </row>
    <row r="19" spans="3:6" x14ac:dyDescent="0.25">
      <c r="C19" t="s">
        <v>41</v>
      </c>
      <c r="D19" s="6">
        <v>119940</v>
      </c>
    </row>
    <row r="20" spans="3:6" x14ac:dyDescent="0.25">
      <c r="C20" t="s">
        <v>42</v>
      </c>
      <c r="D20" s="6">
        <v>30450</v>
      </c>
    </row>
    <row r="21" spans="3:6" x14ac:dyDescent="0.25">
      <c r="C21" t="s">
        <v>43</v>
      </c>
      <c r="D21" s="6">
        <f>D18-D19+D20</f>
        <v>1734610</v>
      </c>
    </row>
    <row r="22" spans="3:6" x14ac:dyDescent="0.25">
      <c r="C22" t="s">
        <v>86</v>
      </c>
      <c r="D22" s="6">
        <v>97971</v>
      </c>
    </row>
    <row r="23" spans="3:6" x14ac:dyDescent="0.25">
      <c r="C23" t="s">
        <v>87</v>
      </c>
      <c r="D23" s="6">
        <f>D21/D22</f>
        <v>17.705341376529791</v>
      </c>
    </row>
    <row r="25" spans="3:6" x14ac:dyDescent="0.25">
      <c r="C25" s="2" t="s">
        <v>51</v>
      </c>
    </row>
    <row r="26" spans="3:6" x14ac:dyDescent="0.25">
      <c r="F26" s="2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C847FA9-BA3D-4A4A-91B6-D1BF7B4A8D7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4746-5A30-4581-9D98-1C3356B8712C}">
  <dimension ref="A1:FG55"/>
  <sheetViews>
    <sheetView tabSelected="1" workbookViewId="0">
      <pane xSplit="3" ySplit="4" topLeftCell="AB5" activePane="bottomRight" state="frozen"/>
      <selection pane="topRight" activeCell="D1" sqref="D1"/>
      <selection pane="bottomLeft" activeCell="A5" sqref="A5"/>
      <selection pane="bottomRight" activeCell="AM13" sqref="AM13"/>
    </sheetView>
  </sheetViews>
  <sheetFormatPr defaultRowHeight="15" x14ac:dyDescent="0.25"/>
  <cols>
    <col min="3" max="3" width="25.5703125" bestFit="1" customWidth="1"/>
    <col min="33" max="33" width="12.140625" bestFit="1" customWidth="1"/>
    <col min="34" max="34" width="13.28515625" bestFit="1" customWidth="1"/>
    <col min="35" max="35" width="14.140625" customWidth="1"/>
    <col min="37" max="37" width="25.5703125" bestFit="1" customWidth="1"/>
    <col min="38" max="45" width="5" bestFit="1" customWidth="1"/>
  </cols>
  <sheetData>
    <row r="1" spans="1:163" x14ac:dyDescent="0.25">
      <c r="A1" s="1" t="s">
        <v>0</v>
      </c>
    </row>
    <row r="3" spans="1:163" x14ac:dyDescent="0.25">
      <c r="A3" s="10" t="s">
        <v>45</v>
      </c>
      <c r="C3" s="2" t="s">
        <v>1</v>
      </c>
      <c r="D3" s="2"/>
      <c r="E3" s="2"/>
      <c r="F3" s="2"/>
      <c r="AK3" s="2" t="s">
        <v>2</v>
      </c>
      <c r="AL3" s="2"/>
      <c r="AM3" s="2"/>
      <c r="AN3" s="2"/>
      <c r="AO3" s="2"/>
      <c r="AP3" s="2"/>
      <c r="AQ3" s="2"/>
      <c r="AR3" s="2"/>
      <c r="AS3" s="2"/>
    </row>
    <row r="4" spans="1:163" x14ac:dyDescent="0.25">
      <c r="D4" t="s">
        <v>3</v>
      </c>
      <c r="E4" t="s">
        <v>4</v>
      </c>
      <c r="F4" t="s">
        <v>5</v>
      </c>
      <c r="G4" s="4" t="s">
        <v>6</v>
      </c>
      <c r="H4" s="5" t="s">
        <v>7</v>
      </c>
      <c r="I4" s="5" t="s">
        <v>8</v>
      </c>
      <c r="J4" s="5" t="s">
        <v>9</v>
      </c>
      <c r="K4" s="4" t="s">
        <v>10</v>
      </c>
      <c r="L4" s="5" t="s">
        <v>11</v>
      </c>
      <c r="M4" s="5" t="s">
        <v>12</v>
      </c>
      <c r="N4" s="5" t="s">
        <v>13</v>
      </c>
      <c r="O4" s="4" t="s">
        <v>14</v>
      </c>
      <c r="P4" s="5" t="s">
        <v>15</v>
      </c>
      <c r="Q4" s="5" t="s">
        <v>16</v>
      </c>
      <c r="R4" s="5" t="s">
        <v>17</v>
      </c>
      <c r="S4" s="4" t="s">
        <v>18</v>
      </c>
      <c r="T4" s="5" t="s">
        <v>19</v>
      </c>
      <c r="U4" s="5" t="s">
        <v>20</v>
      </c>
      <c r="V4" s="5" t="s">
        <v>21</v>
      </c>
      <c r="W4" s="4" t="s">
        <v>22</v>
      </c>
      <c r="X4" s="5" t="s">
        <v>23</v>
      </c>
      <c r="Y4" s="5" t="s">
        <v>24</v>
      </c>
      <c r="Z4" s="5" t="s">
        <v>25</v>
      </c>
      <c r="AA4" s="4" t="s">
        <v>26</v>
      </c>
      <c r="AB4" s="5" t="s">
        <v>49</v>
      </c>
      <c r="AC4" s="5" t="s">
        <v>48</v>
      </c>
      <c r="AD4" s="5" t="s">
        <v>47</v>
      </c>
      <c r="AE4" s="4" t="s">
        <v>46</v>
      </c>
      <c r="AF4" s="5"/>
      <c r="AG4" s="4" t="s">
        <v>79</v>
      </c>
      <c r="AH4" s="5"/>
      <c r="AI4" s="5"/>
      <c r="AJ4" s="4"/>
      <c r="AK4" s="4"/>
      <c r="AL4" s="2">
        <f t="shared" ref="AL4:AR4" si="0">AM4-1</f>
        <v>2010</v>
      </c>
      <c r="AM4" s="2">
        <f t="shared" si="0"/>
        <v>2011</v>
      </c>
      <c r="AN4" s="2">
        <f t="shared" si="0"/>
        <v>2012</v>
      </c>
      <c r="AO4" s="2">
        <f t="shared" si="0"/>
        <v>2013</v>
      </c>
      <c r="AP4" s="2">
        <f t="shared" si="0"/>
        <v>2014</v>
      </c>
      <c r="AQ4" s="2">
        <f t="shared" si="0"/>
        <v>2015</v>
      </c>
      <c r="AR4" s="2">
        <f t="shared" si="0"/>
        <v>2016</v>
      </c>
      <c r="AS4" s="2">
        <f>AT4-1</f>
        <v>2017</v>
      </c>
      <c r="AT4" s="2">
        <v>2018</v>
      </c>
      <c r="AU4" s="2">
        <f>AT4+1</f>
        <v>2019</v>
      </c>
      <c r="AV4" s="2">
        <f t="shared" ref="AV4:BF4" si="1">AU4+1</f>
        <v>2020</v>
      </c>
      <c r="AW4" s="2">
        <f t="shared" si="1"/>
        <v>2021</v>
      </c>
      <c r="AX4" s="2">
        <f t="shared" si="1"/>
        <v>2022</v>
      </c>
      <c r="AY4" s="2">
        <f t="shared" si="1"/>
        <v>2023</v>
      </c>
      <c r="AZ4" s="2">
        <f t="shared" si="1"/>
        <v>2024</v>
      </c>
      <c r="BA4" s="2">
        <f t="shared" si="1"/>
        <v>2025</v>
      </c>
      <c r="BB4" s="2">
        <f t="shared" si="1"/>
        <v>2026</v>
      </c>
      <c r="BC4" s="2">
        <f t="shared" si="1"/>
        <v>2027</v>
      </c>
      <c r="BD4" s="2">
        <f t="shared" si="1"/>
        <v>2028</v>
      </c>
      <c r="BE4" s="2">
        <f t="shared" si="1"/>
        <v>2029</v>
      </c>
      <c r="BF4" s="2">
        <f t="shared" si="1"/>
        <v>2030</v>
      </c>
    </row>
    <row r="5" spans="1:163" x14ac:dyDescent="0.25">
      <c r="C5" s="2" t="s">
        <v>64</v>
      </c>
      <c r="D5" s="6">
        <v>31146</v>
      </c>
      <c r="E5" s="6">
        <v>32657</v>
      </c>
      <c r="F5" s="6">
        <v>33740</v>
      </c>
      <c r="G5" s="6">
        <f>136819-F5-E5-D5</f>
        <v>39276</v>
      </c>
      <c r="H5" s="6">
        <v>36339</v>
      </c>
      <c r="I5" s="6">
        <v>38944</v>
      </c>
      <c r="J5" s="6">
        <v>40499</v>
      </c>
      <c r="K5" s="6">
        <f>161857-J5-I5-H5</f>
        <v>46075</v>
      </c>
      <c r="L5" s="6">
        <v>41159</v>
      </c>
      <c r="M5" s="6">
        <v>38297</v>
      </c>
      <c r="N5" s="6">
        <v>46173</v>
      </c>
      <c r="O5" s="6">
        <f>182527-N5-M5-L5</f>
        <v>56898</v>
      </c>
      <c r="P5" s="6">
        <v>55314</v>
      </c>
      <c r="Q5" s="6">
        <v>61880</v>
      </c>
      <c r="R5" s="6">
        <v>65118</v>
      </c>
      <c r="S5" s="6">
        <f>257637-R5-Q5-P5</f>
        <v>75325</v>
      </c>
      <c r="T5" s="6">
        <v>68011</v>
      </c>
      <c r="U5" s="6">
        <v>69685</v>
      </c>
      <c r="V5" s="6">
        <v>69092</v>
      </c>
      <c r="W5" s="6">
        <f>282836-V5-U5-T5</f>
        <v>76048</v>
      </c>
      <c r="X5" s="6">
        <v>69787</v>
      </c>
      <c r="Y5" s="6">
        <v>74604</v>
      </c>
      <c r="Z5" s="6">
        <v>76693</v>
      </c>
      <c r="AA5" s="6">
        <f>307394-Z5-Y5-X5</f>
        <v>86310</v>
      </c>
      <c r="AB5" s="6"/>
      <c r="AC5" s="7"/>
      <c r="AD5" s="6"/>
      <c r="AE5" s="6"/>
      <c r="AF5" s="6"/>
      <c r="AG5" s="6"/>
      <c r="AH5" s="6" t="s">
        <v>27</v>
      </c>
      <c r="AI5" s="8">
        <v>0.03</v>
      </c>
      <c r="AJ5" s="6"/>
      <c r="AK5" s="2"/>
      <c r="AL5" s="6"/>
      <c r="AM5" s="6"/>
      <c r="AN5" s="6"/>
      <c r="AO5" s="6"/>
      <c r="AP5" s="6"/>
      <c r="AQ5" s="6"/>
      <c r="AR5" s="6"/>
      <c r="AS5" s="6"/>
      <c r="AT5" s="6">
        <f t="shared" ref="AT5:AT16" si="2">SUM(D5:G5)</f>
        <v>136819</v>
      </c>
      <c r="AU5" s="6">
        <f t="shared" ref="AU5:AU16" si="3">SUM(H5:K5)</f>
        <v>161857</v>
      </c>
      <c r="AV5" s="6">
        <f t="shared" ref="AV5:AV16" si="4">SUM(O5:R5)</f>
        <v>239210</v>
      </c>
      <c r="AW5" s="6">
        <f t="shared" ref="AW5:AW16" si="5">SUM(P5:S5)</f>
        <v>257637</v>
      </c>
      <c r="AX5" s="6">
        <f t="shared" ref="AX5:AX16" si="6">SUM(T5:W5)</f>
        <v>282836</v>
      </c>
      <c r="AY5" s="6">
        <f t="shared" ref="AY5:AY16" si="7">SUM(X5:AA5)</f>
        <v>307394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163" x14ac:dyDescent="0.25">
      <c r="C6" s="2" t="s">
        <v>65</v>
      </c>
      <c r="D6" s="6">
        <v>13467</v>
      </c>
      <c r="E6" s="6">
        <v>13887</v>
      </c>
      <c r="F6" s="6">
        <v>14281</v>
      </c>
      <c r="G6" s="6">
        <f>59549-F6-E6-D6</f>
        <v>17914</v>
      </c>
      <c r="H6" s="6">
        <v>16012</v>
      </c>
      <c r="I6" s="6">
        <v>17296</v>
      </c>
      <c r="J6" s="6">
        <v>17568</v>
      </c>
      <c r="K6" s="6">
        <f>71896-J6-I6-H6</f>
        <v>21020</v>
      </c>
      <c r="L6" s="6">
        <v>18982</v>
      </c>
      <c r="M6" s="6">
        <v>18553</v>
      </c>
      <c r="N6" s="6">
        <v>21117</v>
      </c>
      <c r="O6" s="6">
        <f>84732-N6-M6-L6</f>
        <v>26080</v>
      </c>
      <c r="P6" s="6">
        <v>24103</v>
      </c>
      <c r="Q6" s="6">
        <v>26227</v>
      </c>
      <c r="R6" s="6">
        <v>27621</v>
      </c>
      <c r="S6" s="6">
        <f>110939-R6-Q6-P6</f>
        <v>32988</v>
      </c>
      <c r="T6" s="6">
        <v>29599</v>
      </c>
      <c r="U6" s="6">
        <v>30104</v>
      </c>
      <c r="V6" s="6">
        <v>31158</v>
      </c>
      <c r="W6" s="6">
        <f>126203-V6-U6-T6</f>
        <v>35342</v>
      </c>
      <c r="X6" s="6">
        <v>30612</v>
      </c>
      <c r="Y6" s="6">
        <v>31916</v>
      </c>
      <c r="Z6" s="6">
        <v>33229</v>
      </c>
      <c r="AA6" s="6">
        <f>133332-Z6-Y6-X6</f>
        <v>37575</v>
      </c>
      <c r="AB6" s="6"/>
      <c r="AC6" s="7"/>
      <c r="AD6" s="6"/>
      <c r="AE6" s="6"/>
      <c r="AF6" s="6"/>
      <c r="AG6" s="6"/>
      <c r="AH6" s="6" t="s">
        <v>80</v>
      </c>
      <c r="AI6" s="8">
        <v>0.06</v>
      </c>
      <c r="AJ6" s="6"/>
      <c r="AK6" s="2"/>
      <c r="AL6" s="6"/>
      <c r="AM6" s="6"/>
      <c r="AN6" s="6"/>
      <c r="AO6" s="6"/>
      <c r="AP6" s="6"/>
      <c r="AQ6" s="6"/>
      <c r="AR6" s="6"/>
      <c r="AS6" s="6"/>
      <c r="AT6" s="6">
        <f t="shared" si="2"/>
        <v>59549</v>
      </c>
      <c r="AU6" s="6">
        <f t="shared" si="3"/>
        <v>71896</v>
      </c>
      <c r="AV6" s="6">
        <f t="shared" si="4"/>
        <v>104031</v>
      </c>
      <c r="AW6" s="6">
        <f t="shared" si="5"/>
        <v>110939</v>
      </c>
      <c r="AX6" s="6">
        <f t="shared" si="6"/>
        <v>126203</v>
      </c>
      <c r="AY6" s="6">
        <f t="shared" si="7"/>
        <v>133332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" x14ac:dyDescent="0.25">
      <c r="C7" s="2" t="s">
        <v>67</v>
      </c>
      <c r="D7" s="6">
        <f>D5-D6</f>
        <v>17679</v>
      </c>
      <c r="E7" s="6">
        <f t="shared" ref="E7:AE7" si="8">E5-E6</f>
        <v>18770</v>
      </c>
      <c r="F7" s="6">
        <f t="shared" si="8"/>
        <v>19459</v>
      </c>
      <c r="G7" s="6">
        <f t="shared" si="8"/>
        <v>21362</v>
      </c>
      <c r="H7" s="6">
        <f t="shared" si="8"/>
        <v>20327</v>
      </c>
      <c r="I7" s="6">
        <f t="shared" si="8"/>
        <v>21648</v>
      </c>
      <c r="J7" s="6">
        <f t="shared" si="8"/>
        <v>22931</v>
      </c>
      <c r="K7" s="6">
        <f t="shared" si="8"/>
        <v>25055</v>
      </c>
      <c r="L7" s="6">
        <f t="shared" si="8"/>
        <v>22177</v>
      </c>
      <c r="M7" s="6">
        <f t="shared" si="8"/>
        <v>19744</v>
      </c>
      <c r="N7" s="6">
        <f t="shared" si="8"/>
        <v>25056</v>
      </c>
      <c r="O7" s="6">
        <f t="shared" si="8"/>
        <v>30818</v>
      </c>
      <c r="P7" s="6">
        <f t="shared" si="8"/>
        <v>31211</v>
      </c>
      <c r="Q7" s="6">
        <f t="shared" si="8"/>
        <v>35653</v>
      </c>
      <c r="R7" s="6">
        <f t="shared" si="8"/>
        <v>37497</v>
      </c>
      <c r="S7" s="6">
        <f t="shared" si="8"/>
        <v>42337</v>
      </c>
      <c r="T7" s="6">
        <f t="shared" si="8"/>
        <v>38412</v>
      </c>
      <c r="U7" s="6">
        <f t="shared" si="8"/>
        <v>39581</v>
      </c>
      <c r="V7" s="6">
        <f t="shared" si="8"/>
        <v>37934</v>
      </c>
      <c r="W7" s="6">
        <f t="shared" si="8"/>
        <v>40706</v>
      </c>
      <c r="X7" s="6">
        <f t="shared" si="8"/>
        <v>39175</v>
      </c>
      <c r="Y7" s="6">
        <f t="shared" si="8"/>
        <v>42688</v>
      </c>
      <c r="Z7" s="6">
        <f t="shared" si="8"/>
        <v>43464</v>
      </c>
      <c r="AA7" s="6">
        <f t="shared" si="8"/>
        <v>48735</v>
      </c>
      <c r="AB7" s="6">
        <f t="shared" si="8"/>
        <v>0</v>
      </c>
      <c r="AC7" s="6">
        <f t="shared" si="8"/>
        <v>0</v>
      </c>
      <c r="AD7" s="6">
        <f t="shared" si="8"/>
        <v>0</v>
      </c>
      <c r="AE7" s="6">
        <f t="shared" si="8"/>
        <v>0</v>
      </c>
      <c r="AF7" s="6"/>
      <c r="AG7" s="6"/>
      <c r="AH7" s="7" t="s">
        <v>28</v>
      </c>
      <c r="AI7" s="7">
        <f>NPV(AI6,AL16:FG16)</f>
        <v>1983154.6083422925</v>
      </c>
      <c r="AJ7" s="6"/>
      <c r="AK7" s="2"/>
      <c r="AL7" s="6"/>
      <c r="AM7" s="6"/>
      <c r="AN7" s="6"/>
      <c r="AO7" s="6"/>
      <c r="AP7" s="6"/>
      <c r="AQ7" s="6"/>
      <c r="AR7" s="6"/>
      <c r="AS7" s="6"/>
      <c r="AT7" s="6">
        <f t="shared" si="2"/>
        <v>77270</v>
      </c>
      <c r="AU7" s="6">
        <f t="shared" si="3"/>
        <v>89961</v>
      </c>
      <c r="AV7" s="6">
        <f t="shared" si="4"/>
        <v>135179</v>
      </c>
      <c r="AW7" s="6">
        <f t="shared" si="5"/>
        <v>146698</v>
      </c>
      <c r="AX7" s="6">
        <f t="shared" si="6"/>
        <v>156633</v>
      </c>
      <c r="AY7" s="6">
        <f t="shared" si="7"/>
        <v>174062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" x14ac:dyDescent="0.25">
      <c r="C8" s="2" t="s">
        <v>71</v>
      </c>
      <c r="D8" s="6">
        <v>5039</v>
      </c>
      <c r="E8" s="6">
        <v>5114</v>
      </c>
      <c r="F8" s="6">
        <v>5232</v>
      </c>
      <c r="G8" s="6">
        <f>21419-F8-E8-D8</f>
        <v>6034</v>
      </c>
      <c r="H8" s="6">
        <v>6029</v>
      </c>
      <c r="I8" s="6">
        <v>6123</v>
      </c>
      <c r="J8" s="6">
        <v>6554</v>
      </c>
      <c r="K8" s="6">
        <f>26018-J8-I8-H8</f>
        <v>7312</v>
      </c>
      <c r="L8" s="6">
        <v>6820</v>
      </c>
      <c r="M8" s="6">
        <v>6875</v>
      </c>
      <c r="N8" s="6">
        <v>6856</v>
      </c>
      <c r="O8" s="6">
        <f>27573-N8-M8-L8</f>
        <v>7022</v>
      </c>
      <c r="P8" s="6">
        <v>7485</v>
      </c>
      <c r="Q8" s="6">
        <v>7675</v>
      </c>
      <c r="R8" s="6">
        <v>7694</v>
      </c>
      <c r="S8" s="6">
        <f>31562-R8-Q8-P8</f>
        <v>8708</v>
      </c>
      <c r="T8" s="6">
        <v>9119</v>
      </c>
      <c r="U8" s="6">
        <v>9841</v>
      </c>
      <c r="V8" s="6">
        <v>10273</v>
      </c>
      <c r="W8" s="6">
        <f>39500-V8-U8-T8</f>
        <v>10267</v>
      </c>
      <c r="X8" s="6">
        <v>11468</v>
      </c>
      <c r="Y8" s="6">
        <v>10588</v>
      </c>
      <c r="Z8" s="6">
        <v>11258</v>
      </c>
      <c r="AA8" s="6">
        <f>45427-X8-Y8-Z8</f>
        <v>12113</v>
      </c>
      <c r="AB8" s="6"/>
      <c r="AC8" s="7"/>
      <c r="AD8" s="6"/>
      <c r="AE8" s="6"/>
      <c r="AF8" s="6"/>
      <c r="AG8" s="6"/>
      <c r="AH8" s="6" t="s">
        <v>81</v>
      </c>
      <c r="AI8" s="6">
        <f>Main!D19-Main!D20</f>
        <v>89490</v>
      </c>
      <c r="AJ8" s="6"/>
      <c r="AK8" s="2"/>
      <c r="AL8" s="6"/>
      <c r="AM8" s="6"/>
      <c r="AN8" s="6"/>
      <c r="AO8" s="6"/>
      <c r="AP8" s="6"/>
      <c r="AQ8" s="6"/>
      <c r="AR8" s="6"/>
      <c r="AS8" s="6"/>
      <c r="AT8" s="6">
        <f t="shared" si="2"/>
        <v>21419</v>
      </c>
      <c r="AU8" s="6">
        <f t="shared" si="3"/>
        <v>26018</v>
      </c>
      <c r="AV8" s="6">
        <f t="shared" si="4"/>
        <v>29876</v>
      </c>
      <c r="AW8" s="6">
        <f t="shared" si="5"/>
        <v>31562</v>
      </c>
      <c r="AX8" s="6">
        <f t="shared" si="6"/>
        <v>39500</v>
      </c>
      <c r="AY8" s="6">
        <f t="shared" si="7"/>
        <v>45427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" x14ac:dyDescent="0.25">
      <c r="C9" s="2" t="s">
        <v>72</v>
      </c>
      <c r="D9" s="6">
        <v>3604</v>
      </c>
      <c r="E9" s="6">
        <v>3780</v>
      </c>
      <c r="F9" s="6">
        <v>3849</v>
      </c>
      <c r="G9" s="6">
        <f>16333-F9-E9-D9</f>
        <v>5100</v>
      </c>
      <c r="H9" s="6">
        <v>3905</v>
      </c>
      <c r="I9" s="6">
        <v>4212</v>
      </c>
      <c r="J9" s="6">
        <v>4609</v>
      </c>
      <c r="K9" s="6">
        <f>18464-J9-H9-I9</f>
        <v>5738</v>
      </c>
      <c r="L9" s="6">
        <v>4500</v>
      </c>
      <c r="M9" s="6">
        <v>3901</v>
      </c>
      <c r="N9" s="6">
        <v>4231</v>
      </c>
      <c r="O9" s="6">
        <f>17946-N9-M9-L9</f>
        <v>5314</v>
      </c>
      <c r="P9" s="6">
        <v>4516</v>
      </c>
      <c r="Q9" s="6">
        <v>5276</v>
      </c>
      <c r="R9" s="6">
        <v>5516</v>
      </c>
      <c r="S9" s="6">
        <f>22912-R9-Q9-P9</f>
        <v>7604</v>
      </c>
      <c r="T9" s="6">
        <v>5828</v>
      </c>
      <c r="U9" s="6">
        <v>6630</v>
      </c>
      <c r="V9" s="6">
        <v>6929</v>
      </c>
      <c r="W9" s="6">
        <f>26567-V9-U9-T9</f>
        <v>7180</v>
      </c>
      <c r="X9" s="6">
        <v>6533</v>
      </c>
      <c r="Y9" s="6">
        <v>6781</v>
      </c>
      <c r="Z9" s="6">
        <v>6884</v>
      </c>
      <c r="AA9" s="6">
        <f>27917-X9-Y9-Z9</f>
        <v>7719</v>
      </c>
      <c r="AB9" s="6"/>
      <c r="AC9" s="7"/>
      <c r="AD9" s="6"/>
      <c r="AE9" s="6"/>
      <c r="AF9" s="6"/>
      <c r="AG9" s="6"/>
      <c r="AH9" s="7" t="s">
        <v>82</v>
      </c>
      <c r="AI9" s="7">
        <f>AI7+AI8</f>
        <v>2072644.6083422925</v>
      </c>
      <c r="AJ9" s="6"/>
      <c r="AK9" s="2"/>
      <c r="AL9" s="6"/>
      <c r="AM9" s="6"/>
      <c r="AN9" s="6"/>
      <c r="AO9" s="6"/>
      <c r="AP9" s="6"/>
      <c r="AQ9" s="6"/>
      <c r="AR9" s="6"/>
      <c r="AS9" s="6"/>
      <c r="AT9" s="6">
        <f t="shared" si="2"/>
        <v>16333</v>
      </c>
      <c r="AU9" s="6">
        <f t="shared" si="3"/>
        <v>18464</v>
      </c>
      <c r="AV9" s="6">
        <f t="shared" si="4"/>
        <v>20622</v>
      </c>
      <c r="AW9" s="6">
        <f t="shared" si="5"/>
        <v>22912</v>
      </c>
      <c r="AX9" s="6">
        <f t="shared" si="6"/>
        <v>26567</v>
      </c>
      <c r="AY9" s="6">
        <f t="shared" si="7"/>
        <v>27917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" x14ac:dyDescent="0.25">
      <c r="C10" s="2" t="s">
        <v>73</v>
      </c>
      <c r="D10" s="6">
        <v>2035</v>
      </c>
      <c r="E10" s="6">
        <v>2002</v>
      </c>
      <c r="F10" s="6">
        <v>2068</v>
      </c>
      <c r="G10" s="6">
        <f>8126-F10-E10-D10</f>
        <v>2021</v>
      </c>
      <c r="H10" s="6">
        <v>2088</v>
      </c>
      <c r="I10" s="6">
        <v>2043</v>
      </c>
      <c r="J10" s="6">
        <v>2591</v>
      </c>
      <c r="K10" s="6">
        <f>9551-H10-J10-I10</f>
        <v>2829</v>
      </c>
      <c r="L10" s="6">
        <v>2880</v>
      </c>
      <c r="M10" s="6">
        <v>2585</v>
      </c>
      <c r="N10" s="6">
        <v>2746</v>
      </c>
      <c r="O10" s="6">
        <f>11052-N10-M10-L10</f>
        <v>2841</v>
      </c>
      <c r="P10" s="6">
        <v>2773</v>
      </c>
      <c r="Q10" s="6">
        <v>3341</v>
      </c>
      <c r="R10" s="6">
        <v>3256</v>
      </c>
      <c r="S10" s="6">
        <f>13510-R10-Q10-P10</f>
        <v>4140</v>
      </c>
      <c r="T10" s="6">
        <v>3374</v>
      </c>
      <c r="U10" s="6">
        <v>3657</v>
      </c>
      <c r="V10" s="6">
        <v>3597</v>
      </c>
      <c r="W10" s="6">
        <f>15724-V10-U10-T10</f>
        <v>5096</v>
      </c>
      <c r="X10" s="6">
        <v>3759</v>
      </c>
      <c r="Y10" s="6">
        <v>3281</v>
      </c>
      <c r="Z10" s="6">
        <v>3979</v>
      </c>
      <c r="AA10" s="6">
        <f>16425-X10-Y10-Z10</f>
        <v>5406</v>
      </c>
      <c r="AB10" s="6"/>
      <c r="AC10" s="7"/>
      <c r="AD10" s="6"/>
      <c r="AE10" s="6"/>
      <c r="AF10" s="6"/>
      <c r="AG10" s="6"/>
      <c r="AH10" s="6"/>
      <c r="AI10" s="6"/>
      <c r="AJ10" s="6"/>
      <c r="AK10" s="2"/>
      <c r="AL10" s="6"/>
      <c r="AM10" s="6"/>
      <c r="AN10" s="6"/>
      <c r="AO10" s="6"/>
      <c r="AP10" s="6"/>
      <c r="AQ10" s="6"/>
      <c r="AR10" s="6"/>
      <c r="AS10" s="6"/>
      <c r="AT10" s="6">
        <f t="shared" si="2"/>
        <v>8126</v>
      </c>
      <c r="AU10" s="6">
        <f t="shared" si="3"/>
        <v>9551</v>
      </c>
      <c r="AV10" s="6">
        <f t="shared" si="4"/>
        <v>12211</v>
      </c>
      <c r="AW10" s="6">
        <f t="shared" si="5"/>
        <v>13510</v>
      </c>
      <c r="AX10" s="6">
        <f t="shared" si="6"/>
        <v>15724</v>
      </c>
      <c r="AY10" s="6">
        <f t="shared" si="7"/>
        <v>16425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" x14ac:dyDescent="0.25">
      <c r="C11" s="2" t="s">
        <v>78</v>
      </c>
      <c r="D11" s="6">
        <v>0</v>
      </c>
      <c r="E11" s="6">
        <v>5049</v>
      </c>
      <c r="F11" s="6">
        <v>0</v>
      </c>
      <c r="G11" s="6">
        <v>0</v>
      </c>
      <c r="H11" s="6">
        <v>1697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/>
      <c r="AG11" s="6"/>
      <c r="AH11" s="7" t="s">
        <v>83</v>
      </c>
      <c r="AI11" s="6">
        <f>Main!D16</f>
        <v>145</v>
      </c>
      <c r="AJ11" s="6"/>
      <c r="AK11" s="2"/>
      <c r="AL11" s="6"/>
      <c r="AM11" s="6"/>
      <c r="AN11" s="6"/>
      <c r="AO11" s="6"/>
      <c r="AP11" s="6"/>
      <c r="AQ11" s="6"/>
      <c r="AR11" s="6"/>
      <c r="AS11" s="6"/>
      <c r="AT11" s="6">
        <f t="shared" si="2"/>
        <v>5049</v>
      </c>
      <c r="AU11" s="6">
        <f t="shared" si="3"/>
        <v>1697</v>
      </c>
      <c r="AV11" s="6">
        <f t="shared" si="4"/>
        <v>0</v>
      </c>
      <c r="AW11" s="6">
        <f t="shared" si="5"/>
        <v>0</v>
      </c>
      <c r="AX11" s="6">
        <f t="shared" si="6"/>
        <v>0</v>
      </c>
      <c r="AY11" s="6">
        <f t="shared" si="7"/>
        <v>0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" x14ac:dyDescent="0.25">
      <c r="C12" s="2" t="s">
        <v>74</v>
      </c>
      <c r="D12" s="6">
        <f>D8+D9+D10</f>
        <v>10678</v>
      </c>
      <c r="E12" s="6">
        <f>E8+E9+E10+E11</f>
        <v>15945</v>
      </c>
      <c r="F12" s="6">
        <f t="shared" ref="F12:AE12" si="9">F8+F9+F10</f>
        <v>11149</v>
      </c>
      <c r="G12" s="6">
        <f t="shared" si="9"/>
        <v>13155</v>
      </c>
      <c r="H12" s="6">
        <f t="shared" si="9"/>
        <v>12022</v>
      </c>
      <c r="I12" s="6">
        <f t="shared" si="9"/>
        <v>12378</v>
      </c>
      <c r="J12" s="6">
        <f t="shared" si="9"/>
        <v>13754</v>
      </c>
      <c r="K12" s="6">
        <f t="shared" si="9"/>
        <v>15879</v>
      </c>
      <c r="L12" s="6">
        <f t="shared" si="9"/>
        <v>14200</v>
      </c>
      <c r="M12" s="6">
        <f t="shared" si="9"/>
        <v>13361</v>
      </c>
      <c r="N12" s="6">
        <f t="shared" si="9"/>
        <v>13833</v>
      </c>
      <c r="O12" s="6">
        <f t="shared" si="9"/>
        <v>15177</v>
      </c>
      <c r="P12" s="6">
        <f t="shared" si="9"/>
        <v>14774</v>
      </c>
      <c r="Q12" s="6">
        <f t="shared" si="9"/>
        <v>16292</v>
      </c>
      <c r="R12" s="6">
        <f t="shared" si="9"/>
        <v>16466</v>
      </c>
      <c r="S12" s="6">
        <f t="shared" si="9"/>
        <v>20452</v>
      </c>
      <c r="T12" s="6">
        <f t="shared" si="9"/>
        <v>18321</v>
      </c>
      <c r="U12" s="6">
        <f t="shared" si="9"/>
        <v>20128</v>
      </c>
      <c r="V12" s="6">
        <f t="shared" si="9"/>
        <v>20799</v>
      </c>
      <c r="W12" s="6">
        <f t="shared" si="9"/>
        <v>22543</v>
      </c>
      <c r="X12" s="6">
        <f t="shared" si="9"/>
        <v>21760</v>
      </c>
      <c r="Y12" s="6">
        <f t="shared" si="9"/>
        <v>20650</v>
      </c>
      <c r="Z12" s="6">
        <f t="shared" si="9"/>
        <v>22121</v>
      </c>
      <c r="AA12" s="6">
        <f t="shared" si="9"/>
        <v>25238</v>
      </c>
      <c r="AB12" s="6">
        <f t="shared" si="9"/>
        <v>0</v>
      </c>
      <c r="AC12" s="6">
        <f t="shared" si="9"/>
        <v>0</v>
      </c>
      <c r="AD12" s="6">
        <f t="shared" si="9"/>
        <v>0</v>
      </c>
      <c r="AE12" s="6">
        <f t="shared" si="9"/>
        <v>0</v>
      </c>
      <c r="AF12" s="7"/>
      <c r="AG12" s="7"/>
      <c r="AH12" s="7" t="s">
        <v>84</v>
      </c>
      <c r="AI12" s="6">
        <f>AI9/Main!D17</f>
        <v>164.75712307967348</v>
      </c>
      <c r="AJ12" s="7"/>
      <c r="AK12" s="2"/>
      <c r="AL12" s="6"/>
      <c r="AM12" s="6"/>
      <c r="AN12" s="6"/>
      <c r="AO12" s="6"/>
      <c r="AP12" s="6"/>
      <c r="AQ12" s="6"/>
      <c r="AR12" s="6"/>
      <c r="AS12" s="6"/>
      <c r="AT12" s="6">
        <f t="shared" si="2"/>
        <v>50927</v>
      </c>
      <c r="AU12" s="6">
        <f t="shared" si="3"/>
        <v>54033</v>
      </c>
      <c r="AV12" s="6">
        <f t="shared" si="4"/>
        <v>62709</v>
      </c>
      <c r="AW12" s="6">
        <f t="shared" si="5"/>
        <v>67984</v>
      </c>
      <c r="AX12" s="6">
        <f t="shared" si="6"/>
        <v>81791</v>
      </c>
      <c r="AY12" s="6">
        <f t="shared" si="7"/>
        <v>89769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" x14ac:dyDescent="0.25">
      <c r="C13" s="2" t="s">
        <v>68</v>
      </c>
      <c r="D13" s="6">
        <f t="shared" ref="D13:AE13" si="10">D7-D12</f>
        <v>7001</v>
      </c>
      <c r="E13" s="6">
        <f t="shared" si="10"/>
        <v>2825</v>
      </c>
      <c r="F13" s="6">
        <f t="shared" si="10"/>
        <v>8310</v>
      </c>
      <c r="G13" s="6">
        <f t="shared" si="10"/>
        <v>8207</v>
      </c>
      <c r="H13" s="6">
        <f t="shared" si="10"/>
        <v>8305</v>
      </c>
      <c r="I13" s="6">
        <f t="shared" si="10"/>
        <v>9270</v>
      </c>
      <c r="J13" s="6">
        <f t="shared" si="10"/>
        <v>9177</v>
      </c>
      <c r="K13" s="6">
        <f t="shared" si="10"/>
        <v>9176</v>
      </c>
      <c r="L13" s="6">
        <f t="shared" si="10"/>
        <v>7977</v>
      </c>
      <c r="M13" s="6">
        <f t="shared" si="10"/>
        <v>6383</v>
      </c>
      <c r="N13" s="6">
        <f t="shared" si="10"/>
        <v>11223</v>
      </c>
      <c r="O13" s="6">
        <f t="shared" si="10"/>
        <v>15641</v>
      </c>
      <c r="P13" s="6">
        <f t="shared" si="10"/>
        <v>16437</v>
      </c>
      <c r="Q13" s="6">
        <f t="shared" si="10"/>
        <v>19361</v>
      </c>
      <c r="R13" s="6">
        <f t="shared" si="10"/>
        <v>21031</v>
      </c>
      <c r="S13" s="6">
        <f t="shared" si="10"/>
        <v>21885</v>
      </c>
      <c r="T13" s="6">
        <f t="shared" si="10"/>
        <v>20091</v>
      </c>
      <c r="U13" s="6">
        <f t="shared" si="10"/>
        <v>19453</v>
      </c>
      <c r="V13" s="6">
        <f t="shared" si="10"/>
        <v>17135</v>
      </c>
      <c r="W13" s="6">
        <f t="shared" si="10"/>
        <v>18163</v>
      </c>
      <c r="X13" s="6">
        <f t="shared" si="10"/>
        <v>17415</v>
      </c>
      <c r="Y13" s="6">
        <f t="shared" si="10"/>
        <v>22038</v>
      </c>
      <c r="Z13" s="6">
        <f t="shared" si="10"/>
        <v>21343</v>
      </c>
      <c r="AA13" s="6">
        <f t="shared" si="10"/>
        <v>23497</v>
      </c>
      <c r="AB13" s="6">
        <f t="shared" si="10"/>
        <v>0</v>
      </c>
      <c r="AC13" s="6">
        <f t="shared" si="10"/>
        <v>0</v>
      </c>
      <c r="AD13" s="6">
        <f t="shared" si="10"/>
        <v>0</v>
      </c>
      <c r="AE13" s="6">
        <f t="shared" si="10"/>
        <v>0</v>
      </c>
      <c r="AF13" s="7"/>
      <c r="AG13" s="7"/>
      <c r="AH13" s="7" t="s">
        <v>85</v>
      </c>
      <c r="AI13" s="8">
        <f>AI12/AI11-1</f>
        <v>0.1362560212391275</v>
      </c>
      <c r="AJ13" s="7"/>
      <c r="AK13" s="2"/>
      <c r="AL13" s="6"/>
      <c r="AM13" s="6"/>
      <c r="AN13" s="6"/>
      <c r="AO13" s="6"/>
      <c r="AP13" s="6"/>
      <c r="AQ13" s="6"/>
      <c r="AR13" s="6"/>
      <c r="AS13" s="6"/>
      <c r="AT13" s="6">
        <f t="shared" si="2"/>
        <v>26343</v>
      </c>
      <c r="AU13" s="6">
        <f t="shared" si="3"/>
        <v>35928</v>
      </c>
      <c r="AV13" s="6">
        <f t="shared" si="4"/>
        <v>72470</v>
      </c>
      <c r="AW13" s="6">
        <f t="shared" si="5"/>
        <v>78714</v>
      </c>
      <c r="AX13" s="6">
        <f t="shared" si="6"/>
        <v>74842</v>
      </c>
      <c r="AY13" s="6">
        <f t="shared" si="7"/>
        <v>84293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" x14ac:dyDescent="0.25">
      <c r="C14" s="2" t="s">
        <v>66</v>
      </c>
      <c r="D14" s="6">
        <v>3542</v>
      </c>
      <c r="E14" s="6">
        <f>1408</f>
        <v>1408</v>
      </c>
      <c r="F14" s="6">
        <v>1773</v>
      </c>
      <c r="G14" s="6">
        <f>8952-F14+E14-D14</f>
        <v>5045</v>
      </c>
      <c r="H14" s="6">
        <v>1538</v>
      </c>
      <c r="I14" s="6">
        <v>2967</v>
      </c>
      <c r="J14" s="6">
        <v>-549</v>
      </c>
      <c r="K14" s="6">
        <f>5394+J14-I14-H14</f>
        <v>340</v>
      </c>
      <c r="L14" s="6">
        <v>-220</v>
      </c>
      <c r="M14" s="6">
        <v>1894</v>
      </c>
      <c r="N14" s="6">
        <v>2146</v>
      </c>
      <c r="O14" s="6">
        <f>6858-N14-M14-L14</f>
        <v>3038</v>
      </c>
      <c r="P14" s="6">
        <v>4846</v>
      </c>
      <c r="Q14" s="6">
        <v>2624</v>
      </c>
      <c r="R14" s="6">
        <v>2033</v>
      </c>
      <c r="S14" s="6">
        <f>12020-R14-Q14-P14</f>
        <v>2517</v>
      </c>
      <c r="T14" s="6">
        <v>-1160</v>
      </c>
      <c r="U14" s="6">
        <v>-439</v>
      </c>
      <c r="V14" s="6">
        <v>-902</v>
      </c>
      <c r="W14" s="6">
        <f>-3514+V14+U14+T14</f>
        <v>-6015</v>
      </c>
      <c r="X14" s="6">
        <v>790</v>
      </c>
      <c r="Y14" s="6">
        <v>65</v>
      </c>
      <c r="Z14" s="6">
        <v>-146</v>
      </c>
      <c r="AA14" s="6">
        <f>1424-X14-Y14+Z14</f>
        <v>423</v>
      </c>
      <c r="AB14" s="6"/>
      <c r="AC14" s="7"/>
      <c r="AD14" s="7"/>
      <c r="AE14" s="7"/>
      <c r="AF14" s="7"/>
      <c r="AG14" s="7"/>
      <c r="AH14" s="7"/>
      <c r="AI14" s="7"/>
      <c r="AJ14" s="7"/>
      <c r="AK14" s="2"/>
      <c r="AL14" s="6"/>
      <c r="AM14" s="6"/>
      <c r="AN14" s="6"/>
      <c r="AO14" s="6"/>
      <c r="AP14" s="6"/>
      <c r="AQ14" s="6"/>
      <c r="AR14" s="6"/>
      <c r="AS14" s="6"/>
      <c r="AT14" s="6">
        <f t="shared" si="2"/>
        <v>11768</v>
      </c>
      <c r="AU14" s="6">
        <f t="shared" si="3"/>
        <v>4296</v>
      </c>
      <c r="AV14" s="6">
        <f t="shared" si="4"/>
        <v>12541</v>
      </c>
      <c r="AW14" s="6">
        <f t="shared" si="5"/>
        <v>12020</v>
      </c>
      <c r="AX14" s="6">
        <f t="shared" si="6"/>
        <v>-8516</v>
      </c>
      <c r="AY14" s="6">
        <f t="shared" si="7"/>
        <v>1132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" x14ac:dyDescent="0.25">
      <c r="C15" s="2" t="s">
        <v>69</v>
      </c>
      <c r="D15" s="6">
        <v>1142</v>
      </c>
      <c r="E15" s="6">
        <v>1020</v>
      </c>
      <c r="F15" s="6">
        <v>891</v>
      </c>
      <c r="G15" s="6">
        <f>4177-F15-E15-D15</f>
        <v>1124</v>
      </c>
      <c r="H15" s="6">
        <v>1489</v>
      </c>
      <c r="I15" s="6">
        <v>2200</v>
      </c>
      <c r="J15" s="6">
        <v>1560</v>
      </c>
      <c r="K15" s="6">
        <f>5282-J15-I15-H15</f>
        <v>33</v>
      </c>
      <c r="L15" s="6">
        <v>921</v>
      </c>
      <c r="M15" s="6">
        <v>1318</v>
      </c>
      <c r="N15" s="6">
        <v>2112</v>
      </c>
      <c r="O15" s="6">
        <f>7813-N15-M15-L15</f>
        <v>3462</v>
      </c>
      <c r="P15" s="6">
        <v>3353</v>
      </c>
      <c r="Q15" s="6">
        <v>3460</v>
      </c>
      <c r="R15" s="6">
        <v>4128</v>
      </c>
      <c r="S15" s="6">
        <f>14701-R15-Q15-P15</f>
        <v>3760</v>
      </c>
      <c r="T15" s="6">
        <v>2498</v>
      </c>
      <c r="U15" s="6">
        <v>3012</v>
      </c>
      <c r="V15" s="6">
        <v>2323</v>
      </c>
      <c r="W15" s="6">
        <f>11356-V15-U15-T15</f>
        <v>3523</v>
      </c>
      <c r="X15" s="6">
        <v>3154</v>
      </c>
      <c r="Y15" s="6">
        <v>3535</v>
      </c>
      <c r="Z15" s="6">
        <v>1508</v>
      </c>
      <c r="AA15" s="6">
        <f>11922-X15-Y15-Z15</f>
        <v>3725</v>
      </c>
      <c r="AB15" s="6"/>
      <c r="AC15" s="6"/>
      <c r="AD15" s="6"/>
      <c r="AE15" s="6"/>
      <c r="AF15" s="6"/>
      <c r="AG15" s="6"/>
      <c r="AH15" s="6"/>
      <c r="AI15" s="6"/>
      <c r="AJ15" s="6"/>
      <c r="AK15" s="2"/>
      <c r="AL15" s="6"/>
      <c r="AM15" s="6"/>
      <c r="AN15" s="6"/>
      <c r="AO15" s="6"/>
      <c r="AP15" s="6"/>
      <c r="AQ15" s="6"/>
      <c r="AR15" s="6"/>
      <c r="AS15" s="6"/>
      <c r="AT15" s="6">
        <f t="shared" si="2"/>
        <v>4177</v>
      </c>
      <c r="AU15" s="6">
        <f t="shared" si="3"/>
        <v>5282</v>
      </c>
      <c r="AV15" s="6">
        <f t="shared" si="4"/>
        <v>14403</v>
      </c>
      <c r="AW15" s="6">
        <f t="shared" si="5"/>
        <v>14701</v>
      </c>
      <c r="AX15" s="6">
        <f t="shared" si="6"/>
        <v>11356</v>
      </c>
      <c r="AY15" s="6">
        <f t="shared" si="7"/>
        <v>11922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" x14ac:dyDescent="0.25">
      <c r="C16" s="2" t="s">
        <v>70</v>
      </c>
      <c r="D16" s="6">
        <f>D13+D14-D15</f>
        <v>9401</v>
      </c>
      <c r="E16" s="6">
        <f t="shared" ref="E16:AE16" si="11">E13+E14-E15</f>
        <v>3213</v>
      </c>
      <c r="F16" s="6">
        <f t="shared" si="11"/>
        <v>9192</v>
      </c>
      <c r="G16" s="6">
        <f t="shared" si="11"/>
        <v>12128</v>
      </c>
      <c r="H16" s="6">
        <f t="shared" si="11"/>
        <v>8354</v>
      </c>
      <c r="I16" s="6">
        <f t="shared" si="11"/>
        <v>10037</v>
      </c>
      <c r="J16" s="6">
        <f t="shared" si="11"/>
        <v>7068</v>
      </c>
      <c r="K16" s="6">
        <f t="shared" si="11"/>
        <v>9483</v>
      </c>
      <c r="L16" s="6">
        <f t="shared" si="11"/>
        <v>6836</v>
      </c>
      <c r="M16" s="6">
        <f t="shared" si="11"/>
        <v>6959</v>
      </c>
      <c r="N16" s="6">
        <f t="shared" si="11"/>
        <v>11257</v>
      </c>
      <c r="O16" s="6">
        <f t="shared" si="11"/>
        <v>15217</v>
      </c>
      <c r="P16" s="6">
        <f t="shared" si="11"/>
        <v>17930</v>
      </c>
      <c r="Q16" s="6">
        <f t="shared" si="11"/>
        <v>18525</v>
      </c>
      <c r="R16" s="6">
        <f t="shared" si="11"/>
        <v>18936</v>
      </c>
      <c r="S16" s="6">
        <f t="shared" si="11"/>
        <v>20642</v>
      </c>
      <c r="T16" s="6">
        <f t="shared" si="11"/>
        <v>16433</v>
      </c>
      <c r="U16" s="6">
        <f t="shared" si="11"/>
        <v>16002</v>
      </c>
      <c r="V16" s="6">
        <f t="shared" si="11"/>
        <v>13910</v>
      </c>
      <c r="W16" s="6">
        <f t="shared" si="11"/>
        <v>8625</v>
      </c>
      <c r="X16" s="6">
        <f t="shared" si="11"/>
        <v>15051</v>
      </c>
      <c r="Y16" s="6">
        <f t="shared" si="11"/>
        <v>18568</v>
      </c>
      <c r="Z16" s="6">
        <f t="shared" si="11"/>
        <v>19689</v>
      </c>
      <c r="AA16" s="6">
        <f t="shared" si="11"/>
        <v>20195</v>
      </c>
      <c r="AB16" s="6">
        <f t="shared" si="11"/>
        <v>0</v>
      </c>
      <c r="AC16" s="6">
        <f t="shared" si="11"/>
        <v>0</v>
      </c>
      <c r="AD16" s="6">
        <f t="shared" si="11"/>
        <v>0</v>
      </c>
      <c r="AE16" s="6">
        <f t="shared" si="11"/>
        <v>0</v>
      </c>
      <c r="AF16" s="6"/>
      <c r="AG16" s="6"/>
      <c r="AH16" s="6"/>
      <c r="AI16" s="6"/>
      <c r="AJ16" s="6"/>
      <c r="AK16" s="2"/>
      <c r="AL16" s="6"/>
      <c r="AM16" s="6"/>
      <c r="AN16" s="6"/>
      <c r="AO16" s="6"/>
      <c r="AP16" s="6"/>
      <c r="AQ16" s="6"/>
      <c r="AR16" s="6"/>
      <c r="AS16" s="6"/>
      <c r="AT16" s="6">
        <f t="shared" si="2"/>
        <v>33934</v>
      </c>
      <c r="AU16" s="6">
        <f t="shared" si="3"/>
        <v>34942</v>
      </c>
      <c r="AV16" s="6">
        <f t="shared" si="4"/>
        <v>70608</v>
      </c>
      <c r="AW16" s="6">
        <f t="shared" si="5"/>
        <v>76033</v>
      </c>
      <c r="AX16" s="6">
        <f t="shared" si="6"/>
        <v>54970</v>
      </c>
      <c r="AY16" s="6">
        <f t="shared" si="7"/>
        <v>73503</v>
      </c>
      <c r="AZ16" s="6">
        <f t="shared" ref="AZ16:DK16" si="12">AY16*($AI5+1)</f>
        <v>75708.09</v>
      </c>
      <c r="BA16" s="6">
        <f t="shared" si="12"/>
        <v>77979.332699999999</v>
      </c>
      <c r="BB16" s="6">
        <f t="shared" si="12"/>
        <v>80318.712681000005</v>
      </c>
      <c r="BC16" s="6">
        <f t="shared" si="12"/>
        <v>82728.274061430013</v>
      </c>
      <c r="BD16" s="6">
        <f t="shared" si="12"/>
        <v>85210.122283272911</v>
      </c>
      <c r="BE16" s="6">
        <f t="shared" si="12"/>
        <v>87766.425951771103</v>
      </c>
      <c r="BF16" s="6">
        <f t="shared" si="12"/>
        <v>90399.418730324236</v>
      </c>
      <c r="BG16" s="6">
        <f t="shared" si="12"/>
        <v>93111.401292233961</v>
      </c>
      <c r="BH16" s="6">
        <f t="shared" si="12"/>
        <v>95904.74333100098</v>
      </c>
      <c r="BI16" s="6">
        <f t="shared" si="12"/>
        <v>98781.885630931007</v>
      </c>
      <c r="BJ16" s="6">
        <f t="shared" si="12"/>
        <v>101745.34219985893</v>
      </c>
      <c r="BK16" s="6">
        <f t="shared" si="12"/>
        <v>104797.7024658547</v>
      </c>
      <c r="BL16" s="6">
        <f t="shared" si="12"/>
        <v>107941.63353983035</v>
      </c>
      <c r="BM16" s="6">
        <f t="shared" si="12"/>
        <v>111179.88254602526</v>
      </c>
      <c r="BN16" s="6">
        <f t="shared" si="12"/>
        <v>114515.27902240602</v>
      </c>
      <c r="BO16" s="6">
        <f t="shared" si="12"/>
        <v>117950.73739307821</v>
      </c>
      <c r="BP16" s="6">
        <f t="shared" si="12"/>
        <v>121489.25951487056</v>
      </c>
      <c r="BQ16" s="6">
        <f t="shared" si="12"/>
        <v>125133.93730031668</v>
      </c>
      <c r="BR16" s="6">
        <f t="shared" si="12"/>
        <v>128887.95541932619</v>
      </c>
      <c r="BS16" s="6">
        <f t="shared" si="12"/>
        <v>132754.59408190596</v>
      </c>
      <c r="BT16" s="6">
        <f t="shared" si="12"/>
        <v>136737.23190436314</v>
      </c>
      <c r="BU16" s="6">
        <f t="shared" si="12"/>
        <v>140839.34886149404</v>
      </c>
      <c r="BV16" s="6">
        <f t="shared" si="12"/>
        <v>145064.52932733888</v>
      </c>
      <c r="BW16" s="6">
        <f t="shared" si="12"/>
        <v>149416.46520715905</v>
      </c>
      <c r="BX16" s="6">
        <f t="shared" si="12"/>
        <v>153898.95916337383</v>
      </c>
      <c r="BY16" s="6">
        <f t="shared" si="12"/>
        <v>158515.92793827504</v>
      </c>
      <c r="BZ16" s="6">
        <f t="shared" si="12"/>
        <v>163271.40577642329</v>
      </c>
      <c r="CA16" s="6">
        <f t="shared" si="12"/>
        <v>168169.54794971598</v>
      </c>
      <c r="CB16" s="6">
        <f t="shared" si="12"/>
        <v>173214.63438820746</v>
      </c>
      <c r="CC16" s="6">
        <f t="shared" si="12"/>
        <v>178411.0734198537</v>
      </c>
      <c r="CD16" s="6">
        <f t="shared" si="12"/>
        <v>183763.40562244933</v>
      </c>
      <c r="CE16" s="6">
        <f t="shared" si="12"/>
        <v>189276.30779112282</v>
      </c>
      <c r="CF16" s="6">
        <f t="shared" si="12"/>
        <v>194954.59702485651</v>
      </c>
      <c r="CG16" s="6">
        <f t="shared" si="12"/>
        <v>200803.2349356022</v>
      </c>
      <c r="CH16" s="6">
        <f t="shared" si="12"/>
        <v>206827.33198367027</v>
      </c>
      <c r="CI16" s="6">
        <f t="shared" si="12"/>
        <v>213032.15194318039</v>
      </c>
      <c r="CJ16" s="6">
        <f t="shared" si="12"/>
        <v>219423.1165014758</v>
      </c>
      <c r="CK16" s="6">
        <f t="shared" si="12"/>
        <v>226005.80999652008</v>
      </c>
      <c r="CL16" s="6">
        <f t="shared" si="12"/>
        <v>232785.9842964157</v>
      </c>
      <c r="CM16" s="6">
        <f t="shared" si="12"/>
        <v>239769.56382530817</v>
      </c>
      <c r="CN16" s="6">
        <f t="shared" si="12"/>
        <v>246962.65074006742</v>
      </c>
      <c r="CO16" s="6">
        <f t="shared" si="12"/>
        <v>254371.53026226946</v>
      </c>
      <c r="CP16" s="6">
        <f t="shared" si="12"/>
        <v>262002.67617013754</v>
      </c>
      <c r="CQ16" s="6">
        <f t="shared" si="12"/>
        <v>269862.75645524164</v>
      </c>
      <c r="CR16" s="6">
        <f t="shared" si="12"/>
        <v>277958.63914889889</v>
      </c>
      <c r="CS16" s="6">
        <f t="shared" si="12"/>
        <v>286297.39832336584</v>
      </c>
      <c r="CT16" s="6">
        <f t="shared" si="12"/>
        <v>294886.32027306681</v>
      </c>
      <c r="CU16" s="6">
        <f t="shared" si="12"/>
        <v>303732.90988125885</v>
      </c>
      <c r="CV16" s="6">
        <f t="shared" si="12"/>
        <v>312844.89717769664</v>
      </c>
      <c r="CW16" s="6">
        <f t="shared" si="12"/>
        <v>322230.24409302755</v>
      </c>
      <c r="CX16" s="6">
        <f t="shared" si="12"/>
        <v>331897.15141581837</v>
      </c>
      <c r="CY16" s="6">
        <f t="shared" si="12"/>
        <v>341854.06595829292</v>
      </c>
      <c r="CZ16" s="6">
        <f t="shared" si="12"/>
        <v>352109.68793704174</v>
      </c>
      <c r="DA16" s="6">
        <f t="shared" si="12"/>
        <v>362672.97857515299</v>
      </c>
      <c r="DB16" s="6">
        <f t="shared" si="12"/>
        <v>373553.16793240758</v>
      </c>
      <c r="DC16" s="6">
        <f t="shared" si="12"/>
        <v>384759.76297037984</v>
      </c>
      <c r="DD16" s="6">
        <f t="shared" si="12"/>
        <v>396302.55585949123</v>
      </c>
      <c r="DE16" s="6">
        <f t="shared" si="12"/>
        <v>408191.632535276</v>
      </c>
      <c r="DF16" s="6">
        <f t="shared" si="12"/>
        <v>420437.38151133427</v>
      </c>
      <c r="DG16" s="6">
        <f t="shared" si="12"/>
        <v>433050.50295667432</v>
      </c>
      <c r="DH16" s="6">
        <f t="shared" si="12"/>
        <v>446042.01804537454</v>
      </c>
      <c r="DI16" s="6">
        <f t="shared" si="12"/>
        <v>459423.27858673577</v>
      </c>
      <c r="DJ16" s="6">
        <f t="shared" si="12"/>
        <v>473205.97694433783</v>
      </c>
      <c r="DK16" s="6">
        <f t="shared" si="12"/>
        <v>487402.15625266801</v>
      </c>
      <c r="DL16" s="6">
        <f t="shared" ref="DL16:FG16" si="13">DK16*($AI5+1)</f>
        <v>502024.22094024805</v>
      </c>
      <c r="DM16" s="6">
        <f t="shared" si="13"/>
        <v>517084.94756845548</v>
      </c>
      <c r="DN16" s="6">
        <f t="shared" si="13"/>
        <v>532597.49599550921</v>
      </c>
      <c r="DO16" s="6">
        <f t="shared" si="13"/>
        <v>548575.42087537446</v>
      </c>
      <c r="DP16" s="6">
        <f t="shared" si="13"/>
        <v>565032.68350163568</v>
      </c>
      <c r="DQ16" s="6">
        <f t="shared" si="13"/>
        <v>581983.66400668479</v>
      </c>
      <c r="DR16" s="6">
        <f t="shared" si="13"/>
        <v>599443.17392688536</v>
      </c>
      <c r="DS16" s="6">
        <f t="shared" si="13"/>
        <v>617426.46914469195</v>
      </c>
      <c r="DT16" s="6">
        <f t="shared" si="13"/>
        <v>635949.26321903267</v>
      </c>
      <c r="DU16" s="6">
        <f t="shared" si="13"/>
        <v>655027.74111560371</v>
      </c>
      <c r="DV16" s="6">
        <f t="shared" si="13"/>
        <v>674678.5733490719</v>
      </c>
      <c r="DW16" s="6">
        <f t="shared" si="13"/>
        <v>694918.93054954405</v>
      </c>
      <c r="DX16" s="6">
        <f t="shared" si="13"/>
        <v>715766.49846603035</v>
      </c>
      <c r="DY16" s="6">
        <f t="shared" si="13"/>
        <v>737239.49342001125</v>
      </c>
      <c r="DZ16" s="6">
        <f t="shared" si="13"/>
        <v>759356.67822261155</v>
      </c>
      <c r="EA16" s="6">
        <f t="shared" si="13"/>
        <v>782137.37856928993</v>
      </c>
      <c r="EB16" s="6">
        <f t="shared" si="13"/>
        <v>805601.49992636859</v>
      </c>
      <c r="EC16" s="6">
        <f t="shared" si="13"/>
        <v>829769.54492415965</v>
      </c>
      <c r="ED16" s="6">
        <f t="shared" si="13"/>
        <v>854662.63127188443</v>
      </c>
      <c r="EE16" s="6">
        <f t="shared" si="13"/>
        <v>880302.51021004096</v>
      </c>
      <c r="EF16" s="6">
        <f t="shared" si="13"/>
        <v>906711.58551634219</v>
      </c>
      <c r="EG16" s="6">
        <f t="shared" si="13"/>
        <v>933912.93308183248</v>
      </c>
      <c r="EH16" s="6">
        <f t="shared" si="13"/>
        <v>961930.32107428752</v>
      </c>
      <c r="EI16" s="6">
        <f t="shared" si="13"/>
        <v>990788.23070651619</v>
      </c>
      <c r="EJ16" s="6">
        <f t="shared" si="13"/>
        <v>1020511.8776277117</v>
      </c>
      <c r="EK16" s="6">
        <f t="shared" si="13"/>
        <v>1051127.233956543</v>
      </c>
      <c r="EL16" s="6">
        <f t="shared" si="13"/>
        <v>1082661.0509752394</v>
      </c>
      <c r="EM16" s="6">
        <f t="shared" si="13"/>
        <v>1115140.8825044965</v>
      </c>
      <c r="EN16" s="6">
        <f t="shared" si="13"/>
        <v>1148595.1089796314</v>
      </c>
      <c r="EO16" s="6">
        <f t="shared" si="13"/>
        <v>1183052.9622490203</v>
      </c>
      <c r="EP16" s="6">
        <f t="shared" si="13"/>
        <v>1218544.551116491</v>
      </c>
      <c r="EQ16" s="6">
        <f t="shared" si="13"/>
        <v>1255100.8876499857</v>
      </c>
      <c r="ER16" s="6">
        <f t="shared" si="13"/>
        <v>1292753.9142794854</v>
      </c>
      <c r="ES16" s="6">
        <f t="shared" si="13"/>
        <v>1331536.5317078698</v>
      </c>
      <c r="ET16" s="6">
        <f t="shared" si="13"/>
        <v>1371482.6276591059</v>
      </c>
      <c r="EU16" s="6">
        <f t="shared" si="13"/>
        <v>1412627.1064888791</v>
      </c>
      <c r="EV16" s="6">
        <f t="shared" si="13"/>
        <v>1455005.9196835456</v>
      </c>
      <c r="EW16" s="6">
        <f t="shared" si="13"/>
        <v>1498656.097274052</v>
      </c>
      <c r="EX16" s="6">
        <f t="shared" si="13"/>
        <v>1543615.7801922737</v>
      </c>
      <c r="EY16" s="6">
        <f t="shared" si="13"/>
        <v>1589924.2535980418</v>
      </c>
      <c r="EZ16" s="6">
        <f t="shared" si="13"/>
        <v>1637621.9812059831</v>
      </c>
      <c r="FA16" s="6">
        <f t="shared" si="13"/>
        <v>1686750.6406421626</v>
      </c>
      <c r="FB16" s="6">
        <f t="shared" si="13"/>
        <v>1737353.1598614275</v>
      </c>
      <c r="FC16" s="6">
        <f t="shared" si="13"/>
        <v>1789473.7546572704</v>
      </c>
      <c r="FD16" s="6">
        <f t="shared" si="13"/>
        <v>1843157.9672969885</v>
      </c>
      <c r="FE16" s="6">
        <f t="shared" si="13"/>
        <v>1898452.7063158981</v>
      </c>
      <c r="FF16" s="6">
        <f t="shared" si="13"/>
        <v>1955406.287505375</v>
      </c>
      <c r="FG16" s="6">
        <f t="shared" si="13"/>
        <v>2014068.4761305363</v>
      </c>
    </row>
    <row r="17" spans="3:67" x14ac:dyDescent="0.25">
      <c r="C17" s="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2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3:67" s="8" customFormat="1" x14ac:dyDescent="0.25">
      <c r="C18" s="9" t="s">
        <v>75</v>
      </c>
      <c r="E18" s="8">
        <f>E5/D5-1</f>
        <v>4.8513452770821308E-2</v>
      </c>
      <c r="F18" s="8">
        <f t="shared" ref="F18:Z18" si="14">F5/E5-1</f>
        <v>3.316287472823598E-2</v>
      </c>
      <c r="G18" s="8">
        <f t="shared" si="14"/>
        <v>0.16407824540604632</v>
      </c>
      <c r="H18" s="8">
        <f t="shared" si="14"/>
        <v>-7.4778490681332133E-2</v>
      </c>
      <c r="I18" s="8">
        <f t="shared" si="14"/>
        <v>7.1686067310603008E-2</v>
      </c>
      <c r="J18" s="8">
        <f t="shared" si="14"/>
        <v>3.992912900575174E-2</v>
      </c>
      <c r="K18" s="8">
        <f t="shared" si="14"/>
        <v>0.13768241191140529</v>
      </c>
      <c r="L18" s="8">
        <f t="shared" si="14"/>
        <v>-0.10669560499186115</v>
      </c>
      <c r="M18" s="8">
        <f t="shared" si="14"/>
        <v>-6.9535217084963241E-2</v>
      </c>
      <c r="N18" s="8">
        <f t="shared" si="14"/>
        <v>0.20565579549311952</v>
      </c>
      <c r="O18" s="8">
        <f t="shared" si="14"/>
        <v>0.23227860437918268</v>
      </c>
      <c r="P18" s="8">
        <f t="shared" si="14"/>
        <v>-2.7839291363492613E-2</v>
      </c>
      <c r="Q18" s="8">
        <f t="shared" si="14"/>
        <v>0.11870412553783849</v>
      </c>
      <c r="R18" s="8">
        <f t="shared" si="14"/>
        <v>5.2327084680025893E-2</v>
      </c>
      <c r="S18" s="8">
        <f t="shared" si="14"/>
        <v>0.15674621456432947</v>
      </c>
      <c r="T18" s="8">
        <f t="shared" si="14"/>
        <v>-9.7099236641221331E-2</v>
      </c>
      <c r="U18" s="8">
        <f t="shared" si="14"/>
        <v>2.4613665436473475E-2</v>
      </c>
      <c r="V18" s="8">
        <f t="shared" si="14"/>
        <v>-8.5097223218769669E-3</v>
      </c>
      <c r="W18" s="8">
        <f t="shared" si="14"/>
        <v>0.10067735772593056</v>
      </c>
      <c r="X18" s="8">
        <f t="shared" si="14"/>
        <v>-8.2329581317062916E-2</v>
      </c>
      <c r="Y18" s="8">
        <f t="shared" si="14"/>
        <v>6.9024316849843004E-2</v>
      </c>
      <c r="Z18" s="8">
        <f t="shared" si="14"/>
        <v>2.8001179561417677E-2</v>
      </c>
      <c r="AA18" s="8">
        <f t="shared" ref="AA18" si="15">AA5/Z5-1</f>
        <v>0.12539605961430644</v>
      </c>
      <c r="AK18" s="9"/>
      <c r="AU18" s="8">
        <f>AU5/AT5-1</f>
        <v>0.18300089899794614</v>
      </c>
      <c r="AV18" s="8">
        <f t="shared" ref="AV18:AX18" si="16">AV5/AU5-1</f>
        <v>0.47790951271801663</v>
      </c>
      <c r="AW18" s="8">
        <f t="shared" si="16"/>
        <v>7.7032732745286658E-2</v>
      </c>
      <c r="AX18" s="8">
        <f t="shared" si="16"/>
        <v>9.7808156437157789E-2</v>
      </c>
    </row>
    <row r="19" spans="3:67" s="8" customFormat="1" x14ac:dyDescent="0.25">
      <c r="C19" s="9" t="s">
        <v>76</v>
      </c>
      <c r="D19" s="8">
        <f>D7/D5</f>
        <v>0.56761702947408976</v>
      </c>
      <c r="E19" s="8">
        <f t="shared" ref="E19:Z19" si="17">E7/E5</f>
        <v>0.5747619193434792</v>
      </c>
      <c r="F19" s="8">
        <f t="shared" si="17"/>
        <v>0.57673384706579722</v>
      </c>
      <c r="G19" s="8">
        <f t="shared" si="17"/>
        <v>0.54389449027395864</v>
      </c>
      <c r="H19" s="8">
        <f t="shared" si="17"/>
        <v>0.55937147417375277</v>
      </c>
      <c r="I19" s="8">
        <f t="shared" si="17"/>
        <v>0.55587510271158591</v>
      </c>
      <c r="J19" s="8">
        <f t="shared" si="17"/>
        <v>0.56621151139534309</v>
      </c>
      <c r="K19" s="8">
        <f t="shared" si="17"/>
        <v>0.54378730330982095</v>
      </c>
      <c r="L19" s="8">
        <f t="shared" si="17"/>
        <v>0.53881289632887097</v>
      </c>
      <c r="M19" s="8">
        <f t="shared" si="17"/>
        <v>0.51554952085019712</v>
      </c>
      <c r="N19" s="8">
        <f t="shared" si="17"/>
        <v>0.54265479825872265</v>
      </c>
      <c r="O19" s="8">
        <f t="shared" si="17"/>
        <v>0.54163590987380927</v>
      </c>
      <c r="P19" s="8">
        <f t="shared" si="17"/>
        <v>0.56425136493473627</v>
      </c>
      <c r="Q19" s="8">
        <f t="shared" si="17"/>
        <v>0.57616354234001288</v>
      </c>
      <c r="R19" s="8">
        <f t="shared" si="17"/>
        <v>0.57583156730857832</v>
      </c>
      <c r="S19" s="8">
        <f t="shared" si="17"/>
        <v>0.56205774975107869</v>
      </c>
      <c r="T19" s="8">
        <f t="shared" si="17"/>
        <v>0.5647909896928438</v>
      </c>
      <c r="U19" s="8">
        <f t="shared" si="17"/>
        <v>0.56799885197675248</v>
      </c>
      <c r="V19" s="8">
        <f t="shared" si="17"/>
        <v>0.54903606785156023</v>
      </c>
      <c r="W19" s="8">
        <f t="shared" si="17"/>
        <v>0.53526719966337055</v>
      </c>
      <c r="X19" s="8">
        <f t="shared" si="17"/>
        <v>0.56135096794531936</v>
      </c>
      <c r="Y19" s="8">
        <f t="shared" si="17"/>
        <v>0.5721945204010509</v>
      </c>
      <c r="Z19" s="8">
        <f t="shared" si="17"/>
        <v>0.56672708069836886</v>
      </c>
      <c r="AA19" s="8">
        <f t="shared" ref="AA19" si="18">AA7/AA5</f>
        <v>0.56465067778936395</v>
      </c>
      <c r="AK19" s="9"/>
      <c r="AT19" s="8">
        <f>AT7/AT5</f>
        <v>0.5647607422945643</v>
      </c>
      <c r="AU19" s="8">
        <f t="shared" ref="AU19:AX19" si="19">AU7/AU5</f>
        <v>0.5558054331910266</v>
      </c>
      <c r="AV19" s="8">
        <f t="shared" si="19"/>
        <v>0.56510597383052552</v>
      </c>
      <c r="AW19" s="8">
        <f t="shared" si="19"/>
        <v>0.5693980290098084</v>
      </c>
      <c r="AX19" s="8">
        <f t="shared" si="19"/>
        <v>0.55379442503783116</v>
      </c>
    </row>
    <row r="20" spans="3:67" s="8" customFormat="1" x14ac:dyDescent="0.25">
      <c r="C20" s="9" t="s">
        <v>88</v>
      </c>
      <c r="E20" s="8">
        <f>E19/D19-1</f>
        <v>1.2587518517563456E-2</v>
      </c>
      <c r="F20" s="8">
        <f t="shared" ref="F20:AA20" si="20">F19/E19-1</f>
        <v>3.4308600760650787E-3</v>
      </c>
      <c r="G20" s="8">
        <f t="shared" si="20"/>
        <v>-5.6940228077323241E-2</v>
      </c>
      <c r="H20" s="8">
        <f t="shared" si="20"/>
        <v>2.8455857113019123E-2</v>
      </c>
      <c r="I20" s="8">
        <f t="shared" si="20"/>
        <v>-6.2505358667624966E-3</v>
      </c>
      <c r="J20" s="8">
        <f t="shared" si="20"/>
        <v>1.8594840159841031E-2</v>
      </c>
      <c r="K20" s="8">
        <f t="shared" si="20"/>
        <v>-3.9603942403539372E-2</v>
      </c>
      <c r="L20" s="8">
        <f t="shared" si="20"/>
        <v>-9.1477071102482599E-3</v>
      </c>
      <c r="M20" s="8">
        <f t="shared" si="20"/>
        <v>-4.3175238820703288E-2</v>
      </c>
      <c r="N20" s="8">
        <f t="shared" si="20"/>
        <v>5.2575506934476435E-2</v>
      </c>
      <c r="O20" s="8">
        <f t="shared" si="20"/>
        <v>-1.8775995129551859E-3</v>
      </c>
      <c r="P20" s="8">
        <f t="shared" si="20"/>
        <v>4.1753980208210306E-2</v>
      </c>
      <c r="Q20" s="8">
        <f t="shared" si="20"/>
        <v>2.111147291004678E-2</v>
      </c>
      <c r="R20" s="8">
        <f t="shared" si="20"/>
        <v>-5.7618194668529465E-4</v>
      </c>
      <c r="S20" s="8">
        <f t="shared" si="20"/>
        <v>-2.3919872302031076E-2</v>
      </c>
      <c r="T20" s="8">
        <f t="shared" si="20"/>
        <v>4.8629165650249107E-3</v>
      </c>
      <c r="U20" s="8">
        <f t="shared" si="20"/>
        <v>5.6797334632643359E-3</v>
      </c>
      <c r="V20" s="8">
        <f t="shared" si="20"/>
        <v>-3.3385250796190702E-2</v>
      </c>
      <c r="W20" s="8">
        <f t="shared" si="20"/>
        <v>-2.5078258049728519E-2</v>
      </c>
      <c r="X20" s="8">
        <f t="shared" si="20"/>
        <v>4.8730369240545413E-2</v>
      </c>
      <c r="Y20" s="8">
        <f t="shared" si="20"/>
        <v>1.9316885647176374E-2</v>
      </c>
      <c r="Z20" s="8">
        <f t="shared" si="20"/>
        <v>-9.5552115718443575E-3</v>
      </c>
      <c r="AA20" s="8">
        <f t="shared" si="20"/>
        <v>-3.6638498136460917E-3</v>
      </c>
      <c r="AK20" s="9"/>
      <c r="AU20" s="8">
        <f>AU19/AT19-1</f>
        <v>-1.5856819415516088E-2</v>
      </c>
      <c r="AV20" s="8">
        <f t="shared" ref="AV20:AX20" si="21">AV19/AU19-1</f>
        <v>1.6733446785688999E-2</v>
      </c>
      <c r="AW20" s="8">
        <f t="shared" si="21"/>
        <v>7.5951332635708635E-3</v>
      </c>
      <c r="AX20" s="8">
        <f t="shared" si="21"/>
        <v>-2.7403684552811169E-2</v>
      </c>
    </row>
    <row r="21" spans="3:67" s="8" customFormat="1" x14ac:dyDescent="0.25">
      <c r="C21" s="9" t="s">
        <v>77</v>
      </c>
      <c r="E21" s="8">
        <f>E16/D16-1</f>
        <v>-0.65822784810126578</v>
      </c>
      <c r="F21" s="8">
        <f t="shared" ref="F21:Z21" si="22">F16/E16-1</f>
        <v>1.8608776844070962</v>
      </c>
      <c r="G21" s="8">
        <f t="shared" si="22"/>
        <v>0.31940818102697999</v>
      </c>
      <c r="H21" s="8">
        <f t="shared" si="22"/>
        <v>-0.31118073878627972</v>
      </c>
      <c r="I21" s="8">
        <f t="shared" si="22"/>
        <v>0.20146037826191043</v>
      </c>
      <c r="J21" s="8">
        <f t="shared" si="22"/>
        <v>-0.29580551957756307</v>
      </c>
      <c r="K21" s="8">
        <f t="shared" si="22"/>
        <v>0.34168081494057723</v>
      </c>
      <c r="L21" s="8">
        <f t="shared" si="22"/>
        <v>-0.27913107666350312</v>
      </c>
      <c r="M21" s="8">
        <f t="shared" si="22"/>
        <v>1.7992978349912203E-2</v>
      </c>
      <c r="N21" s="8">
        <f t="shared" si="22"/>
        <v>0.61761747377496756</v>
      </c>
      <c r="O21" s="8">
        <f t="shared" si="22"/>
        <v>0.35178111397352763</v>
      </c>
      <c r="P21" s="8">
        <f t="shared" si="22"/>
        <v>0.17828744167707167</v>
      </c>
      <c r="Q21" s="8">
        <f t="shared" si="22"/>
        <v>3.3184606804238737E-2</v>
      </c>
      <c r="R21" s="8">
        <f t="shared" si="22"/>
        <v>2.2186234817813677E-2</v>
      </c>
      <c r="S21" s="8">
        <f t="shared" si="22"/>
        <v>9.0092944655682405E-2</v>
      </c>
      <c r="T21" s="8">
        <f t="shared" si="22"/>
        <v>-0.20390466040112387</v>
      </c>
      <c r="U21" s="8">
        <f t="shared" si="22"/>
        <v>-2.6227712529665936E-2</v>
      </c>
      <c r="V21" s="8">
        <f t="shared" si="22"/>
        <v>-0.13073365829271344</v>
      </c>
      <c r="W21" s="8">
        <f t="shared" si="22"/>
        <v>-0.37994248741912295</v>
      </c>
      <c r="X21" s="8">
        <f t="shared" si="22"/>
        <v>0.74504347826086947</v>
      </c>
      <c r="Y21" s="8">
        <f t="shared" si="22"/>
        <v>0.23367218125041522</v>
      </c>
      <c r="Z21" s="8">
        <f t="shared" si="22"/>
        <v>6.0372684187850023E-2</v>
      </c>
      <c r="AA21" s="8">
        <f t="shared" ref="AA21" si="23">AA16/Z16-1</f>
        <v>2.5699629234597898E-2</v>
      </c>
      <c r="AK21" s="9"/>
      <c r="AU21" s="8">
        <f>AU16/AT16-1</f>
        <v>2.9704720928861894E-2</v>
      </c>
      <c r="AV21" s="8">
        <f t="shared" ref="AV21:AX21" si="24">AV16/AU16-1</f>
        <v>1.0207200503691833</v>
      </c>
      <c r="AW21" s="8">
        <f t="shared" si="24"/>
        <v>7.6832653523680072E-2</v>
      </c>
      <c r="AX21" s="8">
        <f t="shared" si="24"/>
        <v>-0.27702444990990749</v>
      </c>
    </row>
    <row r="22" spans="3:67" s="8" customFormat="1" x14ac:dyDescent="0.25">
      <c r="C22" s="9" t="s">
        <v>89</v>
      </c>
      <c r="E22" s="8">
        <f>E12/D12-1</f>
        <v>0.49325716426297062</v>
      </c>
      <c r="F22" s="8">
        <f t="shared" ref="F22:Z22" si="25">F12/E12-1</f>
        <v>-0.30078394481028536</v>
      </c>
      <c r="G22" s="8">
        <f t="shared" si="25"/>
        <v>0.17992645080276248</v>
      </c>
      <c r="H22" s="8">
        <f t="shared" si="25"/>
        <v>-8.6126947928544251E-2</v>
      </c>
      <c r="I22" s="8">
        <f t="shared" si="25"/>
        <v>2.9612377308268156E-2</v>
      </c>
      <c r="J22" s="8">
        <f t="shared" si="25"/>
        <v>0.11116497010825666</v>
      </c>
      <c r="K22" s="8">
        <f t="shared" si="25"/>
        <v>0.15450050894285305</v>
      </c>
      <c r="L22" s="8">
        <f t="shared" si="25"/>
        <v>-0.10573713709931354</v>
      </c>
      <c r="M22" s="8">
        <f t="shared" si="25"/>
        <v>-5.9084507042253542E-2</v>
      </c>
      <c r="N22" s="8">
        <f t="shared" si="25"/>
        <v>3.5326697103510218E-2</v>
      </c>
      <c r="O22" s="8">
        <f t="shared" si="25"/>
        <v>9.7158967685968323E-2</v>
      </c>
      <c r="P22" s="8">
        <f t="shared" si="25"/>
        <v>-2.6553337286683742E-2</v>
      </c>
      <c r="Q22" s="8">
        <f t="shared" si="25"/>
        <v>0.10274807093542715</v>
      </c>
      <c r="R22" s="8">
        <f t="shared" si="25"/>
        <v>1.0680088386938458E-2</v>
      </c>
      <c r="S22" s="8">
        <f t="shared" si="25"/>
        <v>0.24207457791813436</v>
      </c>
      <c r="T22" s="8">
        <f t="shared" si="25"/>
        <v>-0.1041951887345981</v>
      </c>
      <c r="U22" s="8">
        <f t="shared" si="25"/>
        <v>9.8629987446100076E-2</v>
      </c>
      <c r="V22" s="8">
        <f t="shared" si="25"/>
        <v>3.3336645468998505E-2</v>
      </c>
      <c r="W22" s="8">
        <f t="shared" si="25"/>
        <v>8.3850185105053043E-2</v>
      </c>
      <c r="X22" s="8">
        <f t="shared" si="25"/>
        <v>-3.4733620192520909E-2</v>
      </c>
      <c r="Y22" s="8">
        <f t="shared" si="25"/>
        <v>-5.1011029411764719E-2</v>
      </c>
      <c r="Z22" s="8">
        <f t="shared" si="25"/>
        <v>7.1234866828087107E-2</v>
      </c>
      <c r="AA22" s="8">
        <f t="shared" ref="AA22" si="26">AA12/Z12-1</f>
        <v>0.14090683061344422</v>
      </c>
      <c r="AK22" s="9"/>
      <c r="AU22" s="8">
        <f>AU12/AT12-1</f>
        <v>6.0989259135625584E-2</v>
      </c>
      <c r="AV22" s="8">
        <f t="shared" ref="AV22:AX22" si="27">AV12/AU12-1</f>
        <v>0.16056854144689359</v>
      </c>
      <c r="AW22" s="8">
        <f t="shared" si="27"/>
        <v>8.411870704364599E-2</v>
      </c>
      <c r="AX22" s="8">
        <f t="shared" si="27"/>
        <v>0.2030919039774064</v>
      </c>
    </row>
    <row r="23" spans="3:67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3:67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3:67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3:67" x14ac:dyDescent="0.2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3:67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3:67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3:67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3:67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3:67" x14ac:dyDescent="0.2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3:67" x14ac:dyDescent="0.2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4:67" x14ac:dyDescent="0.2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4:67" x14ac:dyDescent="0.2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4:67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4:67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4:67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4:67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4:67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4:67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4:67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4:67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4:67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4:67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4:67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4:67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4:67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4:67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4:67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4:67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4:67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4:67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4:67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4:67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4:67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</sheetData>
  <conditionalFormatting sqref="A1:XFD1048576">
    <cfRule type="expression" dxfId="0" priority="3">
      <formula>MOD(ROW(),2)=0</formula>
    </cfRule>
  </conditionalFormatting>
  <hyperlinks>
    <hyperlink ref="A3" location="Main!A1" display="Main" xr:uid="{7BBAE2BD-8164-46E5-9C78-72F017FB23AA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2023-12-08T04:16:46Z</dcterms:created>
  <dcterms:modified xsi:type="dcterms:W3CDTF">2024-02-14T08:13:46Z</dcterms:modified>
</cp:coreProperties>
</file>