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SLA\"/>
    </mc:Choice>
  </mc:AlternateContent>
  <xr:revisionPtr revIDLastSave="0" documentId="8_{38A70CFE-1696-4DE4-8F16-DE11EBC186F5}" xr6:coauthVersionLast="47" xr6:coauthVersionMax="47" xr10:uidLastSave="{00000000-0000-0000-0000-000000000000}"/>
  <bookViews>
    <workbookView xWindow="-120" yWindow="-120" windowWidth="29040" windowHeight="15840" xr2:uid="{202AD4CF-E04B-41A8-9590-EEF3C55E0872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5" i="1" s="1"/>
  <c r="AB4" i="2"/>
  <c r="AC4" i="2"/>
  <c r="AD4" i="2"/>
  <c r="AE4" i="2"/>
  <c r="AF4" i="2"/>
  <c r="C7" i="2"/>
  <c r="C9" i="2" s="1"/>
  <c r="C8" i="2"/>
  <c r="C11" i="2"/>
  <c r="C13" i="2" s="1"/>
  <c r="C12" i="2"/>
  <c r="C15" i="2"/>
  <c r="C16" i="2"/>
  <c r="C18" i="2"/>
  <c r="D7" i="2"/>
  <c r="D8" i="2"/>
  <c r="D11" i="2"/>
  <c r="D12" i="2"/>
  <c r="D15" i="2"/>
  <c r="D16" i="2"/>
  <c r="D18" i="2"/>
  <c r="E7" i="2"/>
  <c r="E8" i="2"/>
  <c r="E9" i="2" s="1"/>
  <c r="E11" i="2"/>
  <c r="E12" i="2"/>
  <c r="E15" i="2"/>
  <c r="E16" i="2"/>
  <c r="E18" i="2"/>
  <c r="F7" i="2"/>
  <c r="F9" i="2" s="1"/>
  <c r="F8" i="2"/>
  <c r="F11" i="2"/>
  <c r="F12" i="2"/>
  <c r="F15" i="2"/>
  <c r="F16" i="2"/>
  <c r="F18" i="2"/>
  <c r="H7" i="2"/>
  <c r="H8" i="2"/>
  <c r="H9" i="2" s="1"/>
  <c r="H11" i="2"/>
  <c r="H12" i="2"/>
  <c r="H13" i="2" s="1"/>
  <c r="H15" i="2"/>
  <c r="H16" i="2"/>
  <c r="H18" i="2"/>
  <c r="I7" i="2"/>
  <c r="I8" i="2"/>
  <c r="I9" i="2"/>
  <c r="I11" i="2"/>
  <c r="I13" i="2" s="1"/>
  <c r="I12" i="2"/>
  <c r="I15" i="2"/>
  <c r="I16" i="2"/>
  <c r="I18" i="2"/>
  <c r="J7" i="2"/>
  <c r="J8" i="2"/>
  <c r="J9" i="2" s="1"/>
  <c r="J11" i="2"/>
  <c r="J12" i="2"/>
  <c r="J15" i="2"/>
  <c r="J16" i="2"/>
  <c r="J18" i="2"/>
  <c r="L7" i="2"/>
  <c r="L9" i="2" s="1"/>
  <c r="L8" i="2"/>
  <c r="L11" i="2"/>
  <c r="L12" i="2"/>
  <c r="L15" i="2"/>
  <c r="L16" i="2"/>
  <c r="L18" i="2"/>
  <c r="M7" i="2"/>
  <c r="M8" i="2"/>
  <c r="M9" i="2" s="1"/>
  <c r="M11" i="2"/>
  <c r="M12" i="2"/>
  <c r="M13" i="2"/>
  <c r="M15" i="2"/>
  <c r="M16" i="2"/>
  <c r="M18" i="2"/>
  <c r="N7" i="2"/>
  <c r="N8" i="2"/>
  <c r="N9" i="2" s="1"/>
  <c r="N11" i="2"/>
  <c r="N12" i="2"/>
  <c r="N15" i="2"/>
  <c r="N16" i="2"/>
  <c r="N18" i="2"/>
  <c r="P7" i="2"/>
  <c r="P8" i="2"/>
  <c r="P11" i="2"/>
  <c r="P12" i="2"/>
  <c r="P15" i="2"/>
  <c r="P16" i="2"/>
  <c r="P18" i="2"/>
  <c r="Q7" i="2"/>
  <c r="Q9" i="2" s="1"/>
  <c r="Q8" i="2"/>
  <c r="Q11" i="2"/>
  <c r="Q12" i="2"/>
  <c r="Q13" i="2"/>
  <c r="Q15" i="2"/>
  <c r="Q16" i="2"/>
  <c r="Q18" i="2"/>
  <c r="R7" i="2"/>
  <c r="R9" i="2" s="1"/>
  <c r="R8" i="2"/>
  <c r="R11" i="2"/>
  <c r="R12" i="2"/>
  <c r="R15" i="2"/>
  <c r="R16" i="2"/>
  <c r="R18" i="2"/>
  <c r="T7" i="2"/>
  <c r="T8" i="2"/>
  <c r="T11" i="2"/>
  <c r="T12" i="2"/>
  <c r="T15" i="2"/>
  <c r="T16" i="2"/>
  <c r="T18" i="2"/>
  <c r="U7" i="2"/>
  <c r="U8" i="2"/>
  <c r="U9" i="2" s="1"/>
  <c r="U11" i="2"/>
  <c r="U13" i="2" s="1"/>
  <c r="U12" i="2"/>
  <c r="U15" i="2"/>
  <c r="U16" i="2"/>
  <c r="U18" i="2"/>
  <c r="C5" i="2"/>
  <c r="Z8" i="2"/>
  <c r="AF33" i="2"/>
  <c r="AE33" i="2"/>
  <c r="AD33" i="2"/>
  <c r="AF32" i="2"/>
  <c r="AE32" i="2"/>
  <c r="AD32" i="2"/>
  <c r="AC33" i="2"/>
  <c r="AC32" i="2"/>
  <c r="AF28" i="2"/>
  <c r="AE28" i="2"/>
  <c r="AD28" i="2"/>
  <c r="AF27" i="2"/>
  <c r="AE27" i="2"/>
  <c r="AD27" i="2"/>
  <c r="AC27" i="2"/>
  <c r="AC28" i="2"/>
  <c r="V33" i="2"/>
  <c r="V32" i="2"/>
  <c r="V27" i="2"/>
  <c r="V28" i="2"/>
  <c r="E29" i="2"/>
  <c r="F29" i="2"/>
  <c r="G29" i="2"/>
  <c r="H29" i="2"/>
  <c r="AD29" i="2" s="1"/>
  <c r="I29" i="2"/>
  <c r="J29" i="2"/>
  <c r="K29" i="2"/>
  <c r="L29" i="2"/>
  <c r="M29" i="2"/>
  <c r="N29" i="2"/>
  <c r="O29" i="2"/>
  <c r="P29" i="2"/>
  <c r="Q29" i="2"/>
  <c r="R29" i="2"/>
  <c r="S29" i="2"/>
  <c r="T29" i="2"/>
  <c r="D29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J33" i="2" l="1"/>
  <c r="P13" i="2"/>
  <c r="N13" i="2"/>
  <c r="E13" i="2"/>
  <c r="T13" i="2"/>
  <c r="D13" i="2"/>
  <c r="R13" i="2"/>
  <c r="T9" i="2"/>
  <c r="L13" i="2"/>
  <c r="D9" i="2"/>
  <c r="AD34" i="2"/>
  <c r="AC34" i="2"/>
  <c r="AJ34" i="2" s="1"/>
  <c r="AF34" i="2"/>
  <c r="AJ32" i="2"/>
  <c r="AE34" i="2"/>
  <c r="AE29" i="2"/>
  <c r="AJ28" i="2"/>
  <c r="J13" i="2"/>
  <c r="AJ27" i="2"/>
  <c r="AF29" i="2"/>
  <c r="P9" i="2"/>
  <c r="F13" i="2"/>
  <c r="AC29" i="2"/>
  <c r="S16" i="2"/>
  <c r="AJ29" i="2"/>
  <c r="V29" i="2"/>
  <c r="V34" i="2"/>
  <c r="AF18" i="2" l="1"/>
  <c r="S18" i="2" s="1"/>
  <c r="AF15" i="2"/>
  <c r="S15" i="2" s="1"/>
  <c r="AB12" i="2"/>
  <c r="AC12" i="2"/>
  <c r="G12" i="2" s="1"/>
  <c r="AD12" i="2"/>
  <c r="K12" i="2" s="1"/>
  <c r="AE12" i="2"/>
  <c r="O12" i="2" s="1"/>
  <c r="AF12" i="2"/>
  <c r="S12" i="2" s="1"/>
  <c r="AF11" i="2"/>
  <c r="S11" i="2" s="1"/>
  <c r="AF8" i="2"/>
  <c r="S8" i="2" s="1"/>
  <c r="AF7" i="2"/>
  <c r="S7" i="2" s="1"/>
  <c r="AF5" i="2"/>
  <c r="AE18" i="2"/>
  <c r="O18" i="2" s="1"/>
  <c r="AE16" i="2"/>
  <c r="O16" i="2" s="1"/>
  <c r="AE15" i="2"/>
  <c r="O15" i="2" s="1"/>
  <c r="AE11" i="2"/>
  <c r="O11" i="2" s="1"/>
  <c r="AE8" i="2"/>
  <c r="O8" i="2" s="1"/>
  <c r="AE7" i="2"/>
  <c r="O7" i="2" s="1"/>
  <c r="AE5" i="2"/>
  <c r="AD18" i="2"/>
  <c r="K18" i="2" s="1"/>
  <c r="AD16" i="2"/>
  <c r="K16" i="2" s="1"/>
  <c r="AD15" i="2"/>
  <c r="K15" i="2" s="1"/>
  <c r="AD11" i="2"/>
  <c r="AD8" i="2"/>
  <c r="K8" i="2" s="1"/>
  <c r="AD7" i="2"/>
  <c r="K7" i="2" s="1"/>
  <c r="AD5" i="2"/>
  <c r="AC18" i="2"/>
  <c r="G18" i="2" s="1"/>
  <c r="AC16" i="2"/>
  <c r="G16" i="2" s="1"/>
  <c r="AC15" i="2"/>
  <c r="G15" i="2" s="1"/>
  <c r="AC11" i="2"/>
  <c r="G11" i="2" s="1"/>
  <c r="AC8" i="2"/>
  <c r="G8" i="2" s="1"/>
  <c r="AC7" i="2"/>
  <c r="G7" i="2" s="1"/>
  <c r="AC5" i="2"/>
  <c r="AB18" i="2"/>
  <c r="AB16" i="2"/>
  <c r="AB15" i="2"/>
  <c r="AB11" i="2"/>
  <c r="AB8" i="2"/>
  <c r="AB7" i="2"/>
  <c r="AB5" i="2"/>
  <c r="D4" i="2"/>
  <c r="U5" i="2"/>
  <c r="U4" i="2"/>
  <c r="T5" i="2"/>
  <c r="T6" i="2" s="1"/>
  <c r="T10" i="2" s="1"/>
  <c r="R5" i="2"/>
  <c r="R4" i="2"/>
  <c r="R6" i="2" s="1"/>
  <c r="R10" i="2" s="1"/>
  <c r="Q5" i="2"/>
  <c r="Q4" i="2"/>
  <c r="Q6" i="2" s="1"/>
  <c r="Q10" i="2" s="1"/>
  <c r="P5" i="2"/>
  <c r="P4" i="2"/>
  <c r="N5" i="2"/>
  <c r="N4" i="2"/>
  <c r="M5" i="2"/>
  <c r="M6" i="2" s="1"/>
  <c r="M10" i="2" s="1"/>
  <c r="L5" i="2"/>
  <c r="L4" i="2"/>
  <c r="J5" i="2"/>
  <c r="J4" i="2"/>
  <c r="I5" i="2"/>
  <c r="I4" i="2"/>
  <c r="H5" i="2"/>
  <c r="H6" i="2" s="1"/>
  <c r="H10" i="2" s="1"/>
  <c r="F4" i="2"/>
  <c r="C4" i="2"/>
  <c r="C6" i="2" s="1"/>
  <c r="C10" i="2" s="1"/>
  <c r="D5" i="2"/>
  <c r="E5" i="2"/>
  <c r="E4" i="2"/>
  <c r="F5" i="2"/>
  <c r="AH3" i="2"/>
  <c r="AI3" i="2" s="1"/>
  <c r="AJ3" i="2" s="1"/>
  <c r="AK3" i="2" s="1"/>
  <c r="AL3" i="2" s="1"/>
  <c r="A2" i="1"/>
  <c r="P6" i="2" l="1"/>
  <c r="P10" i="2" s="1"/>
  <c r="P14" i="2" s="1"/>
  <c r="N21" i="2"/>
  <c r="N6" i="2"/>
  <c r="N10" i="2" s="1"/>
  <c r="H14" i="2"/>
  <c r="H17" i="2"/>
  <c r="H19" i="2" s="1"/>
  <c r="E6" i="2"/>
  <c r="E10" i="2" s="1"/>
  <c r="E21" i="2"/>
  <c r="I21" i="2"/>
  <c r="I6" i="2"/>
  <c r="I10" i="2" s="1"/>
  <c r="M14" i="2"/>
  <c r="M17" i="2"/>
  <c r="M19" i="2" s="1"/>
  <c r="D21" i="2"/>
  <c r="D6" i="2"/>
  <c r="D10" i="2" s="1"/>
  <c r="AD13" i="2"/>
  <c r="K13" i="2" s="1"/>
  <c r="K11" i="2"/>
  <c r="J6" i="2"/>
  <c r="J10" i="2" s="1"/>
  <c r="C14" i="2"/>
  <c r="C17" i="2"/>
  <c r="C19" i="2" s="1"/>
  <c r="T14" i="2"/>
  <c r="T17" i="2"/>
  <c r="T19" i="2" s="1"/>
  <c r="R17" i="2"/>
  <c r="R19" i="2" s="1"/>
  <c r="R14" i="2"/>
  <c r="F6" i="2"/>
  <c r="F10" i="2" s="1"/>
  <c r="L6" i="2"/>
  <c r="L10" i="2" s="1"/>
  <c r="U6" i="2"/>
  <c r="U10" i="2" s="1"/>
  <c r="AB13" i="2"/>
  <c r="Q14" i="2"/>
  <c r="Q17" i="2"/>
  <c r="Q19" i="2" s="1"/>
  <c r="P17" i="2"/>
  <c r="P19" i="2" s="1"/>
  <c r="F21" i="2"/>
  <c r="R21" i="2"/>
  <c r="AD21" i="2"/>
  <c r="AE21" i="2"/>
  <c r="J21" i="2"/>
  <c r="S4" i="2"/>
  <c r="AC21" i="2"/>
  <c r="AF6" i="2"/>
  <c r="S6" i="2" s="1"/>
  <c r="T22" i="2"/>
  <c r="K5" i="2"/>
  <c r="U22" i="2"/>
  <c r="G5" i="2"/>
  <c r="O5" i="2"/>
  <c r="AF21" i="2"/>
  <c r="M21" i="2"/>
  <c r="O4" i="2"/>
  <c r="O21" i="2" s="1"/>
  <c r="AD6" i="2"/>
  <c r="AE9" i="2"/>
  <c r="O9" i="2" s="1"/>
  <c r="Q21" i="2"/>
  <c r="K4" i="2"/>
  <c r="K21" i="2" s="1"/>
  <c r="G4" i="2"/>
  <c r="AD9" i="2"/>
  <c r="K9" i="2" s="1"/>
  <c r="AF13" i="2"/>
  <c r="S13" i="2" s="1"/>
  <c r="U21" i="2"/>
  <c r="AC13" i="2"/>
  <c r="G13" i="2" s="1"/>
  <c r="AE13" i="2"/>
  <c r="O13" i="2" s="1"/>
  <c r="S5" i="2"/>
  <c r="AE6" i="2"/>
  <c r="O6" i="2" s="1"/>
  <c r="AF9" i="2"/>
  <c r="S9" i="2" s="1"/>
  <c r="T23" i="2"/>
  <c r="AB6" i="2"/>
  <c r="M22" i="2"/>
  <c r="AB9" i="2"/>
  <c r="AC9" i="2"/>
  <c r="G9" i="2" s="1"/>
  <c r="AC6" i="2"/>
  <c r="G6" i="2" s="1"/>
  <c r="G22" i="2" s="1"/>
  <c r="N22" i="2"/>
  <c r="K6" i="2" l="1"/>
  <c r="K22" i="2" s="1"/>
  <c r="U14" i="2"/>
  <c r="U17" i="2"/>
  <c r="U19" i="2" s="1"/>
  <c r="D14" i="2"/>
  <c r="D17" i="2"/>
  <c r="D19" i="2" s="1"/>
  <c r="L14" i="2"/>
  <c r="L17" i="2"/>
  <c r="L19" i="2" s="1"/>
  <c r="E14" i="2"/>
  <c r="E17" i="2"/>
  <c r="E19" i="2" s="1"/>
  <c r="F14" i="2"/>
  <c r="F17" i="2"/>
  <c r="F19" i="2" s="1"/>
  <c r="J14" i="2"/>
  <c r="J17" i="2"/>
  <c r="J19" i="2" s="1"/>
  <c r="I14" i="2"/>
  <c r="I17" i="2"/>
  <c r="I19" i="2" s="1"/>
  <c r="N17" i="2"/>
  <c r="N19" i="2" s="1"/>
  <c r="N14" i="2"/>
  <c r="AF22" i="2"/>
  <c r="AD10" i="2"/>
  <c r="R23" i="2"/>
  <c r="AJ21" i="2"/>
  <c r="S21" i="2"/>
  <c r="T21" i="2"/>
  <c r="Q22" i="2"/>
  <c r="AE22" i="2"/>
  <c r="P21" i="2"/>
  <c r="D22" i="2"/>
  <c r="G21" i="2"/>
  <c r="H21" i="2"/>
  <c r="L21" i="2"/>
  <c r="AF10" i="2"/>
  <c r="I23" i="2"/>
  <c r="AE10" i="2"/>
  <c r="AD22" i="2"/>
  <c r="S22" i="2"/>
  <c r="AB10" i="2"/>
  <c r="E22" i="2"/>
  <c r="H22" i="2"/>
  <c r="AC22" i="2"/>
  <c r="L22" i="2"/>
  <c r="H23" i="2"/>
  <c r="R22" i="2"/>
  <c r="I22" i="2"/>
  <c r="J23" i="2"/>
  <c r="P22" i="2"/>
  <c r="AC10" i="2"/>
  <c r="G10" i="2" s="1"/>
  <c r="J22" i="2"/>
  <c r="M23" i="2"/>
  <c r="E23" i="2"/>
  <c r="F23" i="2"/>
  <c r="F22" i="2"/>
  <c r="W21" i="2" l="1"/>
  <c r="AE23" i="2"/>
  <c r="O10" i="2"/>
  <c r="AD17" i="2"/>
  <c r="K10" i="2"/>
  <c r="AF14" i="2"/>
  <c r="S14" i="2" s="1"/>
  <c r="S10" i="2"/>
  <c r="S23" i="2" s="1"/>
  <c r="AD14" i="2"/>
  <c r="K14" i="2" s="1"/>
  <c r="AD23" i="2"/>
  <c r="P23" i="2"/>
  <c r="U23" i="2"/>
  <c r="AJ22" i="2"/>
  <c r="AF23" i="2"/>
  <c r="AE17" i="2"/>
  <c r="AC17" i="2"/>
  <c r="G17" i="2" s="1"/>
  <c r="G23" i="2"/>
  <c r="K23" i="2"/>
  <c r="AB17" i="2"/>
  <c r="AB19" i="2" s="1"/>
  <c r="AB14" i="2"/>
  <c r="O22" i="2"/>
  <c r="W22" i="2" s="1"/>
  <c r="O23" i="2"/>
  <c r="AF17" i="2"/>
  <c r="S17" i="2" s="1"/>
  <c r="AE14" i="2"/>
  <c r="O14" i="2" s="1"/>
  <c r="L23" i="2"/>
  <c r="AB23" i="2"/>
  <c r="C23" i="2"/>
  <c r="AC23" i="2"/>
  <c r="AC14" i="2"/>
  <c r="G14" i="2" s="1"/>
  <c r="Q23" i="2"/>
  <c r="N23" i="2"/>
  <c r="D23" i="2"/>
  <c r="K17" i="2" l="1"/>
  <c r="AD19" i="2"/>
  <c r="K19" i="2" s="1"/>
  <c r="AE19" i="2"/>
  <c r="O19" i="2" s="1"/>
  <c r="O17" i="2"/>
  <c r="W23" i="2"/>
  <c r="AJ23" i="2"/>
  <c r="AF19" i="2"/>
  <c r="S19" i="2" s="1"/>
  <c r="AC19" i="2"/>
  <c r="G19" i="2" s="1"/>
</calcChain>
</file>

<file path=xl/sharedStrings.xml><?xml version="1.0" encoding="utf-8"?>
<sst xmlns="http://schemas.openxmlformats.org/spreadsheetml/2006/main" count="118" uniqueCount="108">
  <si>
    <t>All $ are in USD</t>
  </si>
  <si>
    <t>Company Name:</t>
  </si>
  <si>
    <t>Tesla</t>
  </si>
  <si>
    <t>Description:</t>
  </si>
  <si>
    <t>Tesla was founded in 2003 and was the first in the indusrty to make serioud strides in the eletric car industry. At the time the industry was seen as a waste of time and money.</t>
  </si>
  <si>
    <t>Ticker:</t>
  </si>
  <si>
    <t>TSLA</t>
  </si>
  <si>
    <t>Since then the company has become the leader in the industry as well as the automotive industry as a whole. It is one of the largest companies in the world and has ventured into</t>
  </si>
  <si>
    <t xml:space="preserve">CEO: </t>
  </si>
  <si>
    <t>Elon Musk</t>
  </si>
  <si>
    <t>multiple new services and sectors along its way. Tesla currently sells 4 veicles (5th being the cybertruck coming this year and 6th in the near future that is the roadster) from a range of</t>
  </si>
  <si>
    <t xml:space="preserve">Industry: </t>
  </si>
  <si>
    <t>Automotive, AI, Energy</t>
  </si>
  <si>
    <t>more luxury veicles to cars as cheap as around $35,000 (Model 3). Their most expensive car is the Tesla Model X starting from around $80,000. Tesla also sells other energy and charging</t>
  </si>
  <si>
    <t>Location:</t>
  </si>
  <si>
    <t>Austin, TX, USA</t>
  </si>
  <si>
    <t>related products. Such as solar panels, solar roof, power wall, megapack, and other basic chargers. In the future Tesla also plans to release the Tesla semi-truck which will revolutionize the trucking industry upon completion.</t>
  </si>
  <si>
    <t>Website:</t>
  </si>
  <si>
    <t>tesla.com</t>
  </si>
  <si>
    <t>Basic Info:</t>
  </si>
  <si>
    <t>Products:</t>
  </si>
  <si>
    <t>Tax Credits etc:</t>
  </si>
  <si>
    <t>P</t>
  </si>
  <si>
    <t>Cars:</t>
  </si>
  <si>
    <t>Price:</t>
  </si>
  <si>
    <t>Energy:</t>
  </si>
  <si>
    <t>As Tesla is a renewable energy and electric car company they receive a decent amount of government support and tax credits etc.</t>
  </si>
  <si>
    <t>S/O</t>
  </si>
  <si>
    <t>Model S</t>
  </si>
  <si>
    <t>Solar Panel</t>
  </si>
  <si>
    <t>Depending on your country or state, You may be able to receive Federal Tax Credits for up to $7500 In USA and Canada.</t>
  </si>
  <si>
    <t>MC</t>
  </si>
  <si>
    <t>Model 3</t>
  </si>
  <si>
    <t>Solar Roof</t>
  </si>
  <si>
    <t>C</t>
  </si>
  <si>
    <t>Model X</t>
  </si>
  <si>
    <t>Power Wall</t>
  </si>
  <si>
    <t>D</t>
  </si>
  <si>
    <t>Model Y</t>
  </si>
  <si>
    <t>Megapack</t>
  </si>
  <si>
    <t>EV</t>
  </si>
  <si>
    <t>Future Products:</t>
  </si>
  <si>
    <t>Cyber Truck</t>
  </si>
  <si>
    <t xml:space="preserve">        ~$40,000</t>
  </si>
  <si>
    <t>Charging:</t>
  </si>
  <si>
    <t>Semi Truck</t>
  </si>
  <si>
    <t xml:space="preserve">      ~$180,000</t>
  </si>
  <si>
    <t xml:space="preserve">Home Charging </t>
  </si>
  <si>
    <t>Optimus</t>
  </si>
  <si>
    <t xml:space="preserve">        ~$20,000</t>
  </si>
  <si>
    <t>ALL $ IN USD MILLIONS</t>
  </si>
  <si>
    <t>Quarterly Reports:</t>
  </si>
  <si>
    <t>Annual Reports:</t>
  </si>
  <si>
    <t>Q3 - 2018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</si>
  <si>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</si>
  <si>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</si>
  <si>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</si>
  <si>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</si>
  <si>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</si>
  <si>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</si>
  <si>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</si>
  <si>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</si>
  <si>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</si>
  <si>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</si>
  <si>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</si>
  <si>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</si>
  <si>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</si>
  <si>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</si>
  <si>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</si>
  <si>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</si>
  <si>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</si>
  <si>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</si>
  <si>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</si>
  <si>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</si>
  <si>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Total Auto Revenue</t>
  </si>
  <si>
    <t>Maturity</t>
  </si>
  <si>
    <t>Energy, Storage Revenue</t>
  </si>
  <si>
    <t>Discount</t>
  </si>
  <si>
    <t>Total Revenue</t>
  </si>
  <si>
    <t>NPV</t>
  </si>
  <si>
    <t>Automotive COGS</t>
  </si>
  <si>
    <t>ROIC</t>
  </si>
  <si>
    <t>Energy, Storage COGS</t>
  </si>
  <si>
    <t>SHARE</t>
  </si>
  <si>
    <t>Total COGS</t>
  </si>
  <si>
    <t>Gross Profit</t>
  </si>
  <si>
    <t>R&amp;D</t>
  </si>
  <si>
    <t>SG&amp;A</t>
  </si>
  <si>
    <t>Total Operating Expenses</t>
  </si>
  <si>
    <t>Total (loss) from Operations</t>
  </si>
  <si>
    <t>Interest Income</t>
  </si>
  <si>
    <t>Interest Expense</t>
  </si>
  <si>
    <t>Pretax Income</t>
  </si>
  <si>
    <t>Taxes</t>
  </si>
  <si>
    <t>Net Income</t>
  </si>
  <si>
    <t xml:space="preserve"> </t>
  </si>
  <si>
    <t>Averages:</t>
  </si>
  <si>
    <t>Automotive Growth</t>
  </si>
  <si>
    <t>n/a</t>
  </si>
  <si>
    <t>Revenue Growth</t>
  </si>
  <si>
    <t>Gross Margin</t>
  </si>
  <si>
    <t>Manufacturing/Production:</t>
  </si>
  <si>
    <t>Model S/X</t>
  </si>
  <si>
    <t>Model 3/Y</t>
  </si>
  <si>
    <t>Total</t>
  </si>
  <si>
    <t>Deliveries:</t>
  </si>
  <si>
    <t>Model</t>
  </si>
  <si>
    <t>|- Ethan Cratchley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</si>
</sst>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0,,"/>
    <numFmt numFmtId="165" formatCode="0,,\ &quot;M&quot;"/>
    <numFmt numFmtId="166" formatCode="0,\ &quot;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6" fontId="0" fillId="0" borderId="0" xfId="0" applyNumberFormat="1"/>
    <xf numFmtId="0" fontId="3" fillId="0" borderId="0" xfId="0" applyFont="1"/>
    <xf numFmtId="9" fontId="2" fillId="0" borderId="0" xfId="1" applyFont="1"/>
    <xf numFmtId="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right"/>
    </xf>
    <xf numFmtId="0" fontId="5" fillId="0" borderId="0" xfId="2"/>
  </cellXfs>
  <cellStyles count="3">
    <cellStyle name="Hyperlink" xfId="2" builtinId="8"/>
    <cellStyle name="Normal" xfId="0" builtinId="0"/>
    <cellStyle name="Per cent" xfId="1" builtinId="5"/>
  </cellStyles>
  <dxfs count="2"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4D35-5B65-4B08-8EA1-E7712C936D63}">
  <dimension ref="A1:P31"/>
  <sheetViews>
    <sheetView tabSelected="1" zoomScaleNormal="100" workbookViewId="0">
      <selection activeCell="A6" sqref="A6"/>
    </sheetView>
  </sheetViews>
  <sheetFormatPr defaultRowHeight="15" x14ac:dyDescent="0.25"/>
  <cols>
    <col min="1" max="1" width="17" bestFit="1" customWidth="1"/>
    <col min="2" max="2" width="14.5703125" customWidth="1"/>
    <col min="3" max="3" width="15.42578125" customWidth="1"/>
    <col min="4" max="4" width="14.7109375" customWidth="1"/>
    <col min="6" max="6" width="15.7109375" bestFit="1" customWidth="1"/>
    <col min="7" max="7" width="12" bestFit="1" customWidth="1"/>
    <col min="9" max="9" width="15" bestFit="1" customWidth="1"/>
    <col min="10" max="10" width="15" customWidth="1"/>
  </cols>
  <sheetData>
    <row r="1" spans="1:16" x14ac:dyDescent="0.25">
      <c r="A1" s="7" t="s">
        <v>0</v>
      </c>
      <c r="B1" s="7"/>
      <c r="D1" s="1"/>
    </row>
    <row r="2" spans="1:16" x14ac:dyDescent="0.25">
      <c r="A2" s="1">
        <f ca="1">TODAY()</f>
        <v>45242</v>
      </c>
      <c r="B2" s="1"/>
      <c r="C2" s="5" t="s">
        <v>1</v>
      </c>
      <c r="D2" t="s">
        <v>2</v>
      </c>
      <c r="F2" s="5" t="s">
        <v>3</v>
      </c>
      <c r="G2" t="s">
        <v>4</v>
      </c>
    </row>
    <row r="3" spans="1:16" x14ac:dyDescent="0.25">
      <c r="A3" s="18"/>
      <c r="B3" s="18"/>
      <c r="C3" s="5" t="s">
        <v>5</v>
      </c>
      <c r="D3" t="s">
        <v>6</v>
      </c>
      <c r="G3" t="s">
        <v>7</v>
      </c>
    </row>
    <row r="4" spans="1:16" x14ac:dyDescent="0.25">
      <c r="A4" s="18" t="s">
        <v>106</v>
      </c>
      <c r="C4" s="5" t="s">
        <v>8</v>
      </c>
      <c r="D4" t="s">
        <v>9</v>
      </c>
      <c r="G4" t="s">
        <v>10</v>
      </c>
    </row>
    <row r="5" spans="1:16" x14ac:dyDescent="0.25">
      <c r="C5" s="5" t="s">
        <v>11</v>
      </c>
      <c r="D5" t="s">
        <v>12</v>
      </c>
      <c r="G5" t="s">
        <v>13</v>
      </c>
    </row>
    <row r="6" spans="1:16" x14ac:dyDescent="0.25">
      <c r="A6" t="s">
        <v>107</v>
      </c>
      <c r="C6" s="5" t="s">
        <v>14</v>
      </c>
      <c r="D6" t="s">
        <v>15</v>
      </c>
      <c r="G6" t="s">
        <v>16</v>
      </c>
    </row>
    <row r="7" spans="1:16" x14ac:dyDescent="0.25">
      <c r="C7" s="5" t="s">
        <v>17</v>
      </c>
      <c r="D7" t="s">
        <v>18</v>
      </c>
    </row>
    <row r="9" spans="1:16" x14ac:dyDescent="0.25">
      <c r="C9" s="5" t="s">
        <v>19</v>
      </c>
      <c r="F9" s="5" t="s">
        <v>20</v>
      </c>
      <c r="I9" s="5"/>
      <c r="J9" s="5"/>
      <c r="K9" s="5" t="s">
        <v>21</v>
      </c>
      <c r="M9" s="5"/>
      <c r="P9" s="5"/>
    </row>
    <row r="10" spans="1:16" x14ac:dyDescent="0.25">
      <c r="C10" t="s">
        <v>22</v>
      </c>
      <c r="D10">
        <v>221</v>
      </c>
      <c r="F10" s="5" t="s">
        <v>23</v>
      </c>
      <c r="G10" s="5" t="s">
        <v>24</v>
      </c>
      <c r="I10" s="5" t="s">
        <v>25</v>
      </c>
      <c r="J10" s="5"/>
      <c r="K10" t="s">
        <v>26</v>
      </c>
      <c r="M10" s="5"/>
    </row>
    <row r="11" spans="1:16" ht="15" customHeight="1" x14ac:dyDescent="0.25">
      <c r="C11" t="s">
        <v>27</v>
      </c>
      <c r="D11" s="4">
        <v>3173994467</v>
      </c>
      <c r="F11" t="s">
        <v>28</v>
      </c>
      <c r="G11" s="6">
        <v>74000</v>
      </c>
      <c r="I11" t="s">
        <v>29</v>
      </c>
      <c r="K11" t="s">
        <v>30</v>
      </c>
    </row>
    <row r="12" spans="1:16" x14ac:dyDescent="0.25">
      <c r="C12" t="s">
        <v>31</v>
      </c>
      <c r="D12" s="4">
        <f>D10*D11</f>
        <v>701452777207</v>
      </c>
      <c r="F12" t="s">
        <v>32</v>
      </c>
      <c r="G12" s="6">
        <v>38000</v>
      </c>
      <c r="I12" t="s">
        <v>33</v>
      </c>
    </row>
    <row r="13" spans="1:16" x14ac:dyDescent="0.25">
      <c r="C13" t="s">
        <v>34</v>
      </c>
      <c r="D13" s="4">
        <v>23000000000</v>
      </c>
      <c r="F13" t="s">
        <v>35</v>
      </c>
      <c r="G13" s="6">
        <v>80000</v>
      </c>
      <c r="I13" t="s">
        <v>36</v>
      </c>
    </row>
    <row r="14" spans="1:16" x14ac:dyDescent="0.25">
      <c r="C14" t="s">
        <v>37</v>
      </c>
      <c r="D14" s="4">
        <v>5810000000</v>
      </c>
      <c r="F14" t="s">
        <v>38</v>
      </c>
      <c r="G14" s="6">
        <v>44000</v>
      </c>
      <c r="I14" t="s">
        <v>39</v>
      </c>
    </row>
    <row r="15" spans="1:16" x14ac:dyDescent="0.25">
      <c r="C15" t="s">
        <v>40</v>
      </c>
      <c r="D15" s="4">
        <f>D12+D13-D14</f>
        <v>718642777207</v>
      </c>
    </row>
    <row r="16" spans="1:16" x14ac:dyDescent="0.25">
      <c r="C16" s="5"/>
      <c r="F16" s="8" t="s">
        <v>41</v>
      </c>
      <c r="M16" s="5"/>
      <c r="P16" s="5"/>
    </row>
    <row r="17" spans="3:10" x14ac:dyDescent="0.25">
      <c r="F17" t="s">
        <v>42</v>
      </c>
      <c r="G17" s="9" t="s">
        <v>43</v>
      </c>
      <c r="I17" s="5" t="s">
        <v>44</v>
      </c>
      <c r="J17" s="5"/>
    </row>
    <row r="18" spans="3:10" x14ac:dyDescent="0.25">
      <c r="F18" t="s">
        <v>45</v>
      </c>
      <c r="G18" s="10" t="s">
        <v>46</v>
      </c>
      <c r="I18" t="s">
        <v>47</v>
      </c>
    </row>
    <row r="19" spans="3:10" x14ac:dyDescent="0.25">
      <c r="F19" t="s">
        <v>48</v>
      </c>
      <c r="G19" s="10" t="s">
        <v>49</v>
      </c>
    </row>
    <row r="20" spans="3:10" x14ac:dyDescent="0.25">
      <c r="C20" s="5"/>
    </row>
    <row r="25" spans="3:10" x14ac:dyDescent="0.25">
      <c r="C25" s="5"/>
    </row>
    <row r="26" spans="3:10" x14ac:dyDescent="0.25">
      <c r="G26" s="5"/>
    </row>
    <row r="27" spans="3:10" x14ac:dyDescent="0.25">
      <c r="D27" s="4"/>
    </row>
    <row r="28" spans="3:10" x14ac:dyDescent="0.25">
      <c r="D28" s="4"/>
    </row>
    <row r="29" spans="3:10" x14ac:dyDescent="0.25">
      <c r="D29" s="4"/>
    </row>
    <row r="30" spans="3:10" x14ac:dyDescent="0.25">
      <c r="D30" s="4"/>
    </row>
    <row r="31" spans="3:10" x14ac:dyDescent="0.25">
      <c r="D31" s="4"/>
    </row>
  </sheetData>
  <conditionalFormatting sqref="A1:XFD1048576">
    <cfRule type="expression" dxfId="1" priority="1">
      <formula>MOD(ROW(),2)=0</formula>
    </cfRule>
  </conditionalFormatting>
  <hyperlinks>
    <hyperlink ref="A4" location="Model!A1" display="Model" xr:uid="{1A869BA3-A48C-4833-AD4C-E0EF04AE3EA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3F0D-EB14-4C57-869F-DB6E8AF4428C}">
  <dimension ref="A1:AO49"/>
  <sheetViews>
    <sheetView zoomScaleNormal="100" workbookViewId="0">
      <selection activeCell="Y4" sqref="Y4:Y8"/>
    </sheetView>
  </sheetViews>
  <sheetFormatPr defaultRowHeight="15" x14ac:dyDescent="0.25"/>
  <cols>
    <col min="2" max="2" width="26.28515625" bestFit="1" customWidth="1"/>
    <col min="3" max="3" width="9.140625" bestFit="1" customWidth="1"/>
    <col min="8" max="8" width="9" bestFit="1" customWidth="1"/>
    <col min="9" max="9" width="8.5703125" bestFit="1" customWidth="1"/>
    <col min="10" max="10" width="9" bestFit="1" customWidth="1"/>
    <col min="11" max="12" width="8.5703125" bestFit="1" customWidth="1"/>
    <col min="13" max="21" width="9" bestFit="1" customWidth="1"/>
    <col min="22" max="22" width="8.5703125" bestFit="1" customWidth="1"/>
    <col min="23" max="23" width="9" bestFit="1" customWidth="1"/>
    <col min="24" max="24" width="9" customWidth="1"/>
    <col min="25" max="25" width="9.7109375" bestFit="1" customWidth="1"/>
    <col min="26" max="26" width="9.7109375" customWidth="1"/>
    <col min="27" max="27" width="15.28515625" bestFit="1" customWidth="1"/>
    <col min="28" max="28" width="7.28515625" bestFit="1" customWidth="1"/>
    <col min="29" max="31" width="7.5703125" bestFit="1" customWidth="1"/>
    <col min="32" max="32" width="9.140625" bestFit="1" customWidth="1"/>
    <col min="33" max="35" width="5" bestFit="1" customWidth="1"/>
    <col min="36" max="36" width="9.7109375" bestFit="1" customWidth="1"/>
    <col min="37" max="40" width="5" bestFit="1" customWidth="1"/>
  </cols>
  <sheetData>
    <row r="1" spans="1:41" x14ac:dyDescent="0.25">
      <c r="A1" s="7" t="s">
        <v>50</v>
      </c>
    </row>
    <row r="2" spans="1:41" x14ac:dyDescent="0.25">
      <c r="B2" s="5" t="s">
        <v>51</v>
      </c>
      <c r="AA2" s="5" t="s">
        <v>52</v>
      </c>
      <c r="AB2" s="5"/>
    </row>
    <row r="3" spans="1:41" x14ac:dyDescent="0.25">
      <c r="C3" s="17" t="s">
        <v>53</v>
      </c>
      <c r="D3" s="17" t="s">
        <v>54</v>
      </c>
      <c r="E3" s="17" t="s">
        <v>55</v>
      </c>
      <c r="F3" s="17" t="s">
        <v>56</v>
      </c>
      <c r="G3" s="17" t="s">
        <v>57</v>
      </c>
      <c r="H3" s="17" t="s">
        <v>58</v>
      </c>
      <c r="I3" s="17" t="s">
        <v>59</v>
      </c>
      <c r="J3" s="17" t="s">
        <v>60</v>
      </c>
      <c r="K3" s="17" t="s">
        <v>61</v>
      </c>
      <c r="L3" s="17" t="s">
        <v>62</v>
      </c>
      <c r="M3" s="17" t="s">
        <v>63</v>
      </c>
      <c r="N3" s="17" t="s">
        <v>64</v>
      </c>
      <c r="O3" s="17" t="s">
        <v>65</v>
      </c>
      <c r="P3" s="17" t="s">
        <v>66</v>
      </c>
      <c r="Q3" s="17" t="s">
        <v>67</v>
      </c>
      <c r="R3" s="17" t="s">
        <v>68</v>
      </c>
      <c r="S3" s="17" t="s">
        <v>69</v>
      </c>
      <c r="T3" s="17" t="s">
        <v>70</v>
      </c>
      <c r="U3" s="17" t="s">
        <v>71</v>
      </c>
      <c r="V3" s="17" t="s">
        <v>72</v>
      </c>
      <c r="W3" s="17" t="s">
        <v>73</v>
      </c>
      <c r="X3" s="10"/>
      <c r="Y3" s="10"/>
      <c r="Z3" s="10"/>
      <c r="AA3" s="10"/>
      <c r="AB3" s="17">
        <v>2018</v>
      </c>
      <c r="AC3" s="17">
        <v>2019</v>
      </c>
      <c r="AD3" s="17">
        <v>2020</v>
      </c>
      <c r="AE3" s="17">
        <v>2021</v>
      </c>
      <c r="AF3" s="17">
        <v>2022</v>
      </c>
      <c r="AG3" s="17">
        <v>2023</v>
      </c>
      <c r="AH3" s="17">
        <f>AG3+1</f>
        <v>2024</v>
      </c>
      <c r="AI3" s="17">
        <f t="shared" ref="AI3:AL3" si="0">AH3+1</f>
        <v>2025</v>
      </c>
      <c r="AJ3" s="17">
        <f t="shared" si="0"/>
        <v>2026</v>
      </c>
      <c r="AK3" s="17">
        <f t="shared" si="0"/>
        <v>2027</v>
      </c>
      <c r="AL3" s="17">
        <f t="shared" si="0"/>
        <v>2028</v>
      </c>
      <c r="AM3" s="5">
        <v>2029</v>
      </c>
      <c r="AN3" s="5">
        <v>2030</v>
      </c>
    </row>
    <row r="4" spans="1:41" x14ac:dyDescent="0.25">
      <c r="B4" t="s">
        <v>74</v>
      </c>
      <c r="C4" s="2">
        <f>6098766*0.001</f>
        <v>6098.7660000000005</v>
      </c>
      <c r="D4" s="2">
        <f>3723861*0.001</f>
        <v>3723.8609999999999</v>
      </c>
      <c r="E4" s="2">
        <f>5376389*0.001</f>
        <v>5376.3890000000001</v>
      </c>
      <c r="F4" s="2">
        <f>5353</f>
        <v>5353</v>
      </c>
      <c r="G4" s="2">
        <f t="shared" ref="G4:G19" si="1">AC4-(F4+E4+D4)</f>
        <v>6367.75</v>
      </c>
      <c r="H4" s="2">
        <v>5132</v>
      </c>
      <c r="I4" s="2">
        <f>5179</f>
        <v>5179</v>
      </c>
      <c r="J4" s="2">
        <f>7611</f>
        <v>7611</v>
      </c>
      <c r="K4" s="2">
        <f t="shared" ref="K4:K19" si="2">AD4-(J4+I4+H4)</f>
        <v>9314</v>
      </c>
      <c r="L4" s="2">
        <f>9002</f>
        <v>9002</v>
      </c>
      <c r="M4" s="2">
        <v>10206</v>
      </c>
      <c r="N4" s="2">
        <f>12057</f>
        <v>12057</v>
      </c>
      <c r="O4" s="2">
        <f t="shared" ref="O4:O19" si="3">AE4-(N4+M4+L4)</f>
        <v>15967</v>
      </c>
      <c r="P4" s="2">
        <f>16861</f>
        <v>16861</v>
      </c>
      <c r="Q4" s="2">
        <f>14602</f>
        <v>14602</v>
      </c>
      <c r="R4" s="2">
        <f>18692</f>
        <v>18692</v>
      </c>
      <c r="S4" s="2">
        <f t="shared" ref="S4:S19" si="4">AF4-(R4+Q4+P4)</f>
        <v>21307</v>
      </c>
      <c r="T4" s="2">
        <v>19963</v>
      </c>
      <c r="U4" s="2">
        <f>21268</f>
        <v>21268</v>
      </c>
      <c r="Y4" s="5" t="s">
        <v>75</v>
      </c>
      <c r="Z4" s="16">
        <v>-0.01</v>
      </c>
      <c r="AB4" s="2">
        <f>18514983*0.001</f>
        <v>18514.983</v>
      </c>
      <c r="AC4" s="2">
        <f>20821</f>
        <v>20821</v>
      </c>
      <c r="AD4" s="2">
        <f>27236</f>
        <v>27236</v>
      </c>
      <c r="AE4" s="2">
        <f>47232</f>
        <v>47232</v>
      </c>
      <c r="AF4" s="2">
        <f>71462</f>
        <v>71462</v>
      </c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5">
      <c r="B5" t="s">
        <v>76</v>
      </c>
      <c r="C5" s="2">
        <f>(399317+326330)*0.001</f>
        <v>725.64700000000005</v>
      </c>
      <c r="D5" s="2">
        <f>(324661+492942)*0.001</f>
        <v>817.60300000000007</v>
      </c>
      <c r="E5" s="2">
        <f>(368208+605079)*0.001</f>
        <v>973.28700000000003</v>
      </c>
      <c r="F5" s="2">
        <f>402+548</f>
        <v>950</v>
      </c>
      <c r="G5" s="2">
        <f t="shared" si="1"/>
        <v>1016.1099999999997</v>
      </c>
      <c r="H5" s="2">
        <f>293+560</f>
        <v>853</v>
      </c>
      <c r="I5" s="2">
        <f>370+487</f>
        <v>857</v>
      </c>
      <c r="J5" s="2">
        <f>579+581</f>
        <v>1160</v>
      </c>
      <c r="K5" s="2">
        <f t="shared" si="2"/>
        <v>1430</v>
      </c>
      <c r="L5" s="2">
        <f>494+893</f>
        <v>1387</v>
      </c>
      <c r="M5" s="2">
        <f>801+951</f>
        <v>1752</v>
      </c>
      <c r="N5" s="2">
        <f>806+894</f>
        <v>1700</v>
      </c>
      <c r="O5" s="2">
        <f t="shared" si="3"/>
        <v>1752</v>
      </c>
      <c r="P5" s="2">
        <f>616+1279</f>
        <v>1895</v>
      </c>
      <c r="Q5" s="2">
        <f>866+1466</f>
        <v>2332</v>
      </c>
      <c r="R5" s="2">
        <f>1117+1645</f>
        <v>2762</v>
      </c>
      <c r="S5" s="2">
        <f t="shared" si="4"/>
        <v>3011</v>
      </c>
      <c r="T5" s="2">
        <f>1529+1837</f>
        <v>3366</v>
      </c>
      <c r="U5" s="2">
        <f>1509+2150</f>
        <v>3659</v>
      </c>
      <c r="Y5" s="5" t="s">
        <v>77</v>
      </c>
      <c r="Z5" s="16">
        <v>0.08</v>
      </c>
      <c r="AB5" s="2">
        <f>(1555244+1391041)*0.001</f>
        <v>2946.2849999999999</v>
      </c>
      <c r="AC5" s="2">
        <f>1531+2226</f>
        <v>3757</v>
      </c>
      <c r="AD5" s="2">
        <f>1994+2306</f>
        <v>4300</v>
      </c>
      <c r="AE5" s="2">
        <f>2789+3802</f>
        <v>6591</v>
      </c>
      <c r="AF5" s="2">
        <f>3909+6091</f>
        <v>10000</v>
      </c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5">
      <c r="B6" s="5" t="s">
        <v>78</v>
      </c>
      <c r="C6" s="2">
        <f>C4+C5</f>
        <v>6824.4130000000005</v>
      </c>
      <c r="D6" s="2">
        <f>D4+D5</f>
        <v>4541.4639999999999</v>
      </c>
      <c r="E6" s="2">
        <f t="shared" ref="E6" si="5">E4+E5</f>
        <v>6349.6760000000004</v>
      </c>
      <c r="F6" s="2">
        <f>F4+F5</f>
        <v>6303</v>
      </c>
      <c r="G6" s="2">
        <f t="shared" si="1"/>
        <v>7383.8600000000006</v>
      </c>
      <c r="H6" s="2">
        <f t="shared" ref="H6:U6" si="6">H4+H5</f>
        <v>5985</v>
      </c>
      <c r="I6" s="2">
        <f t="shared" si="6"/>
        <v>6036</v>
      </c>
      <c r="J6" s="2">
        <f t="shared" si="6"/>
        <v>8771</v>
      </c>
      <c r="K6" s="2">
        <f t="shared" si="2"/>
        <v>10744</v>
      </c>
      <c r="L6" s="2">
        <f t="shared" si="6"/>
        <v>10389</v>
      </c>
      <c r="M6" s="2">
        <f t="shared" si="6"/>
        <v>11958</v>
      </c>
      <c r="N6" s="2">
        <f t="shared" si="6"/>
        <v>13757</v>
      </c>
      <c r="O6" s="2">
        <f t="shared" si="3"/>
        <v>17719</v>
      </c>
      <c r="P6" s="2">
        <f t="shared" si="6"/>
        <v>18756</v>
      </c>
      <c r="Q6" s="2">
        <f t="shared" si="6"/>
        <v>16934</v>
      </c>
      <c r="R6" s="2">
        <f t="shared" si="6"/>
        <v>21454</v>
      </c>
      <c r="S6" s="2">
        <f t="shared" si="4"/>
        <v>24318</v>
      </c>
      <c r="T6" s="2">
        <f t="shared" si="6"/>
        <v>23329</v>
      </c>
      <c r="U6" s="2">
        <f t="shared" si="6"/>
        <v>24927</v>
      </c>
      <c r="Y6" s="5" t="s">
        <v>79</v>
      </c>
      <c r="AB6" s="2">
        <f>AB4+AB5</f>
        <v>21461.268</v>
      </c>
      <c r="AC6" s="2">
        <f>AC4+AC5</f>
        <v>24578</v>
      </c>
      <c r="AD6" s="2">
        <f>AD4+AD5</f>
        <v>31536</v>
      </c>
      <c r="AE6" s="2">
        <f>AE4+AE5</f>
        <v>53823</v>
      </c>
      <c r="AF6" s="2">
        <f>AF4+AF5</f>
        <v>81462</v>
      </c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B7" t="s">
        <v>80</v>
      </c>
      <c r="C7" s="2">
        <f>4525202*0.001</f>
        <v>4525.2020000000002</v>
      </c>
      <c r="D7" s="2">
        <f>2973301*0.001</f>
        <v>2973.3009999999999</v>
      </c>
      <c r="E7" s="2">
        <f>4253763*0.001</f>
        <v>4253.7629999999999</v>
      </c>
      <c r="F7" s="2">
        <f>4131</f>
        <v>4131</v>
      </c>
      <c r="G7" s="2">
        <f t="shared" si="1"/>
        <v>5039.9360000000015</v>
      </c>
      <c r="H7" s="2">
        <f>3821</f>
        <v>3821</v>
      </c>
      <c r="I7" s="2">
        <f>3862</f>
        <v>3862</v>
      </c>
      <c r="J7" s="2">
        <f>5506</f>
        <v>5506</v>
      </c>
      <c r="K7" s="2">
        <f t="shared" si="2"/>
        <v>7070</v>
      </c>
      <c r="L7" s="2">
        <f>6617</f>
        <v>6617</v>
      </c>
      <c r="M7" s="2">
        <f>7307</f>
        <v>7307</v>
      </c>
      <c r="N7" s="2">
        <f>8384</f>
        <v>8384</v>
      </c>
      <c r="O7" s="2">
        <f t="shared" si="3"/>
        <v>11085</v>
      </c>
      <c r="P7" s="2">
        <f>11322</f>
        <v>11322</v>
      </c>
      <c r="Q7" s="2">
        <f>10521</f>
        <v>10521</v>
      </c>
      <c r="R7" s="2">
        <f>13480</f>
        <v>13480</v>
      </c>
      <c r="S7" s="2">
        <f t="shared" si="4"/>
        <v>15785</v>
      </c>
      <c r="T7" s="2">
        <f>15755</f>
        <v>15755</v>
      </c>
      <c r="U7" s="2">
        <f>17179</f>
        <v>17179</v>
      </c>
      <c r="Y7" s="5" t="s">
        <v>81</v>
      </c>
      <c r="Z7" s="16">
        <v>0.03</v>
      </c>
      <c r="AB7" s="2">
        <f>14173997*0.001</f>
        <v>14173.996999999999</v>
      </c>
      <c r="AC7" s="2">
        <f>16398</f>
        <v>16398</v>
      </c>
      <c r="AD7" s="2">
        <f>20259</f>
        <v>20259</v>
      </c>
      <c r="AE7" s="2">
        <f>33393</f>
        <v>33393</v>
      </c>
      <c r="AF7" s="2">
        <f>51108</f>
        <v>51108</v>
      </c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B8" t="s">
        <v>82</v>
      </c>
      <c r="C8" s="2">
        <f>(330554+444992)*0.001</f>
        <v>775.54600000000005</v>
      </c>
      <c r="D8" s="2">
        <f>(316887+685533)*0.001</f>
        <v>1002.4200000000001</v>
      </c>
      <c r="E8" s="2">
        <f>(325523+743022)*0.001</f>
        <v>1068.5450000000001</v>
      </c>
      <c r="F8" s="2">
        <f>314+667</f>
        <v>981</v>
      </c>
      <c r="G8" s="2">
        <f t="shared" si="1"/>
        <v>1059.0349999999999</v>
      </c>
      <c r="H8" s="2">
        <f>282+648</f>
        <v>930</v>
      </c>
      <c r="I8" s="2">
        <f>349+558</f>
        <v>907</v>
      </c>
      <c r="J8" s="2">
        <f>558+644</f>
        <v>1202</v>
      </c>
      <c r="K8" s="2">
        <f t="shared" si="2"/>
        <v>1608</v>
      </c>
      <c r="L8" s="2">
        <f>595+962</f>
        <v>1557</v>
      </c>
      <c r="M8" s="2">
        <f>781+986</f>
        <v>1767</v>
      </c>
      <c r="N8" s="2">
        <f>803+910</f>
        <v>1713</v>
      </c>
      <c r="O8" s="2">
        <f t="shared" si="3"/>
        <v>1787</v>
      </c>
      <c r="P8" s="2">
        <f>688+1286</f>
        <v>1974</v>
      </c>
      <c r="Q8" s="2">
        <f>769+1410</f>
        <v>2179</v>
      </c>
      <c r="R8" s="2">
        <f>1013+1579</f>
        <v>2592</v>
      </c>
      <c r="S8" s="2">
        <f t="shared" si="4"/>
        <v>2756</v>
      </c>
      <c r="T8" s="2">
        <f>1361+1702</f>
        <v>3063</v>
      </c>
      <c r="U8" s="2">
        <f>1231+1984</f>
        <v>3215</v>
      </c>
      <c r="Y8" s="5" t="s">
        <v>83</v>
      </c>
      <c r="Z8">
        <f>Z6/Main!D10</f>
        <v>0</v>
      </c>
      <c r="AB8" s="2">
        <f>(1364896+1880354)*0.001</f>
        <v>3245.25</v>
      </c>
      <c r="AC8" s="2">
        <f>1341+2770</f>
        <v>4111</v>
      </c>
      <c r="AD8" s="2">
        <f>1976+2671</f>
        <v>4647</v>
      </c>
      <c r="AE8" s="2">
        <f>2918+3906</f>
        <v>6824</v>
      </c>
      <c r="AF8" s="2">
        <f>3621+5880</f>
        <v>9501</v>
      </c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B9" s="5" t="s">
        <v>84</v>
      </c>
      <c r="C9" s="2">
        <f>C7+C8</f>
        <v>5300.7480000000005</v>
      </c>
      <c r="D9" s="2">
        <f>D7+D8</f>
        <v>3975.721</v>
      </c>
      <c r="E9" s="2">
        <f t="shared" ref="E9:F9" si="7">E7+E8</f>
        <v>5322.308</v>
      </c>
      <c r="F9" s="2">
        <f t="shared" si="7"/>
        <v>5112</v>
      </c>
      <c r="G9" s="2">
        <f t="shared" si="1"/>
        <v>6098.9709999999995</v>
      </c>
      <c r="H9" s="2">
        <f t="shared" ref="H9" si="8">H7+H8</f>
        <v>4751</v>
      </c>
      <c r="I9" s="2">
        <f t="shared" ref="I9" si="9">I7+I8</f>
        <v>4769</v>
      </c>
      <c r="J9" s="2">
        <f t="shared" ref="J9" si="10">J7+J8</f>
        <v>6708</v>
      </c>
      <c r="K9" s="2">
        <f t="shared" si="2"/>
        <v>8678</v>
      </c>
      <c r="L9" s="2">
        <f t="shared" ref="L9" si="11">L7+L8</f>
        <v>8174</v>
      </c>
      <c r="M9" s="2">
        <f t="shared" ref="M9" si="12">M7+M8</f>
        <v>9074</v>
      </c>
      <c r="N9" s="2">
        <f t="shared" ref="N9" si="13">N7+N8</f>
        <v>10097</v>
      </c>
      <c r="O9" s="2">
        <f t="shared" si="3"/>
        <v>12872</v>
      </c>
      <c r="P9" s="2">
        <f t="shared" ref="P9" si="14">P7+P8</f>
        <v>13296</v>
      </c>
      <c r="Q9" s="2">
        <f t="shared" ref="Q9" si="15">Q7+Q8</f>
        <v>12700</v>
      </c>
      <c r="R9" s="2">
        <f t="shared" ref="R9" si="16">R7+R8</f>
        <v>16072</v>
      </c>
      <c r="S9" s="2">
        <f t="shared" si="4"/>
        <v>18541</v>
      </c>
      <c r="T9" s="2">
        <f t="shared" ref="T9" si="17">T7+T8</f>
        <v>18818</v>
      </c>
      <c r="U9" s="2">
        <f t="shared" ref="U9" si="18">U7+U8</f>
        <v>20394</v>
      </c>
      <c r="AB9" s="2">
        <f>AB7+AB8</f>
        <v>17419.246999999999</v>
      </c>
      <c r="AC9" s="2">
        <f>AC7+AC8</f>
        <v>20509</v>
      </c>
      <c r="AD9" s="2">
        <f>AD7+AD8</f>
        <v>24906</v>
      </c>
      <c r="AE9" s="2">
        <f>AE7+AE8</f>
        <v>40217</v>
      </c>
      <c r="AF9" s="2">
        <f>AF7+AF8</f>
        <v>60609</v>
      </c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5">
      <c r="B10" s="5" t="s">
        <v>85</v>
      </c>
      <c r="C10" s="2">
        <f>C6-C9</f>
        <v>1523.665</v>
      </c>
      <c r="D10" s="2">
        <f>D6-D9</f>
        <v>565.74299999999994</v>
      </c>
      <c r="E10" s="2">
        <f>E6-E9</f>
        <v>1027.3680000000004</v>
      </c>
      <c r="F10" s="2">
        <f t="shared" ref="F10" si="19">F6-F9</f>
        <v>1191</v>
      </c>
      <c r="G10" s="2">
        <f t="shared" si="1"/>
        <v>1284.8889999999997</v>
      </c>
      <c r="H10" s="2">
        <f t="shared" ref="H10" si="20">H6-H9</f>
        <v>1234</v>
      </c>
      <c r="I10" s="2">
        <f t="shared" ref="I10" si="21">I6-I9</f>
        <v>1267</v>
      </c>
      <c r="J10" s="2">
        <f t="shared" ref="J10" si="22">J6-J9</f>
        <v>2063</v>
      </c>
      <c r="K10" s="2">
        <f t="shared" si="2"/>
        <v>2066</v>
      </c>
      <c r="L10" s="2">
        <f t="shared" ref="L10" si="23">L6-L9</f>
        <v>2215</v>
      </c>
      <c r="M10" s="2">
        <f t="shared" ref="M10" si="24">M6-M9</f>
        <v>2884</v>
      </c>
      <c r="N10" s="2">
        <f t="shared" ref="N10" si="25">N6-N9</f>
        <v>3660</v>
      </c>
      <c r="O10" s="2">
        <f t="shared" si="3"/>
        <v>4847</v>
      </c>
      <c r="P10" s="2">
        <f t="shared" ref="P10" si="26">P6-P9</f>
        <v>5460</v>
      </c>
      <c r="Q10" s="2">
        <f t="shared" ref="Q10" si="27">Q6-Q9</f>
        <v>4234</v>
      </c>
      <c r="R10" s="2">
        <f t="shared" ref="R10" si="28">R6-R9</f>
        <v>5382</v>
      </c>
      <c r="S10" s="2">
        <f t="shared" si="4"/>
        <v>5777</v>
      </c>
      <c r="T10" s="2">
        <f t="shared" ref="T10" si="29">T6-T9</f>
        <v>4511</v>
      </c>
      <c r="U10" s="2">
        <f t="shared" ref="U10" si="30">U6-U9</f>
        <v>4533</v>
      </c>
      <c r="AB10" s="2">
        <f>AB6-AB9</f>
        <v>4042.0210000000006</v>
      </c>
      <c r="AC10" s="2">
        <f>AC6-AC9</f>
        <v>4069</v>
      </c>
      <c r="AD10" s="2">
        <f>AD6-AD9</f>
        <v>6630</v>
      </c>
      <c r="AE10" s="2">
        <f>AE6-AE9</f>
        <v>13606</v>
      </c>
      <c r="AF10" s="2">
        <f>AF6-AF9</f>
        <v>20853</v>
      </c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B11" t="s">
        <v>86</v>
      </c>
      <c r="C11" s="2">
        <f>350848*0.001</f>
        <v>350.84800000000001</v>
      </c>
      <c r="D11" s="2">
        <f>340174*0.001</f>
        <v>340.17400000000004</v>
      </c>
      <c r="E11" s="2">
        <f>323898*0.001</f>
        <v>323.89800000000002</v>
      </c>
      <c r="F11" s="2">
        <f>334</f>
        <v>334</v>
      </c>
      <c r="G11" s="2">
        <f t="shared" si="1"/>
        <v>344.92799999999988</v>
      </c>
      <c r="H11" s="2">
        <f>324</f>
        <v>324</v>
      </c>
      <c r="I11" s="2">
        <f>334</f>
        <v>334</v>
      </c>
      <c r="J11" s="2">
        <f>366</f>
        <v>366</v>
      </c>
      <c r="K11" s="2">
        <f t="shared" si="2"/>
        <v>467</v>
      </c>
      <c r="L11" s="2">
        <f>666</f>
        <v>666</v>
      </c>
      <c r="M11" s="2">
        <f>576</f>
        <v>576</v>
      </c>
      <c r="N11" s="2">
        <f>611</f>
        <v>611</v>
      </c>
      <c r="O11" s="2">
        <f t="shared" si="3"/>
        <v>740</v>
      </c>
      <c r="P11" s="2">
        <f>865</f>
        <v>865</v>
      </c>
      <c r="Q11" s="2">
        <f>667</f>
        <v>667</v>
      </c>
      <c r="R11" s="2">
        <f>733</f>
        <v>733</v>
      </c>
      <c r="S11" s="2">
        <f t="shared" si="4"/>
        <v>810</v>
      </c>
      <c r="T11" s="2">
        <f>771</f>
        <v>771</v>
      </c>
      <c r="U11" s="2">
        <f>943</f>
        <v>943</v>
      </c>
      <c r="AB11" s="2">
        <f>1460370*0.001</f>
        <v>1460.3700000000001</v>
      </c>
      <c r="AC11" s="2">
        <f>1343</f>
        <v>1343</v>
      </c>
      <c r="AD11" s="2">
        <f>1491</f>
        <v>1491</v>
      </c>
      <c r="AE11" s="2">
        <f>2593</f>
        <v>2593</v>
      </c>
      <c r="AF11" s="2">
        <f>3075</f>
        <v>3075</v>
      </c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B12" t="s">
        <v>87</v>
      </c>
      <c r="C12" s="2">
        <f>729876*0.001</f>
        <v>729.87599999999998</v>
      </c>
      <c r="D12" s="2">
        <f>703929*0.001</f>
        <v>703.92899999999997</v>
      </c>
      <c r="E12" s="2">
        <f>647261*0.001</f>
        <v>647.26099999999997</v>
      </c>
      <c r="F12" s="2">
        <f>596</f>
        <v>596</v>
      </c>
      <c r="G12" s="2">
        <f t="shared" si="1"/>
        <v>698.81</v>
      </c>
      <c r="H12" s="2">
        <f>627</f>
        <v>627</v>
      </c>
      <c r="I12" s="2">
        <f>596</f>
        <v>596</v>
      </c>
      <c r="J12" s="2">
        <f>888</f>
        <v>888</v>
      </c>
      <c r="K12" s="2">
        <f t="shared" si="2"/>
        <v>1034</v>
      </c>
      <c r="L12" s="2">
        <f>1056</f>
        <v>1056</v>
      </c>
      <c r="M12" s="2">
        <f>973</f>
        <v>973</v>
      </c>
      <c r="N12" s="2">
        <f>994</f>
        <v>994</v>
      </c>
      <c r="O12" s="2">
        <f t="shared" si="3"/>
        <v>1494</v>
      </c>
      <c r="P12" s="2">
        <f>992</f>
        <v>992</v>
      </c>
      <c r="Q12" s="2">
        <f>961+142</f>
        <v>1103</v>
      </c>
      <c r="R12" s="2">
        <f>961</f>
        <v>961</v>
      </c>
      <c r="S12" s="2">
        <f t="shared" si="4"/>
        <v>890</v>
      </c>
      <c r="T12" s="2">
        <f>1076</f>
        <v>1076</v>
      </c>
      <c r="U12" s="2">
        <f>1191</f>
        <v>1191</v>
      </c>
      <c r="AB12" s="2">
        <f>2834491*0.01</f>
        <v>28344.91</v>
      </c>
      <c r="AC12" s="2">
        <f>2646</f>
        <v>2646</v>
      </c>
      <c r="AD12" s="2">
        <f>3145</f>
        <v>3145</v>
      </c>
      <c r="AE12" s="2">
        <f>4517</f>
        <v>4517</v>
      </c>
      <c r="AF12" s="2">
        <f>3946</f>
        <v>3946</v>
      </c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B13" s="5" t="s">
        <v>88</v>
      </c>
      <c r="C13" s="2">
        <f>C11+C12</f>
        <v>1080.7239999999999</v>
      </c>
      <c r="D13" s="2">
        <f>D11+D12</f>
        <v>1044.1030000000001</v>
      </c>
      <c r="E13" s="2">
        <f>E11+E12</f>
        <v>971.15899999999999</v>
      </c>
      <c r="F13" s="2">
        <f t="shared" ref="F13" si="31">F11+F12</f>
        <v>930</v>
      </c>
      <c r="G13" s="2">
        <f t="shared" si="1"/>
        <v>1043.7379999999998</v>
      </c>
      <c r="H13" s="2">
        <f t="shared" ref="H13" si="32">H11+H12</f>
        <v>951</v>
      </c>
      <c r="I13" s="2">
        <f t="shared" ref="I13" si="33">I11+I12</f>
        <v>930</v>
      </c>
      <c r="J13" s="2">
        <f>J11+J12</f>
        <v>1254</v>
      </c>
      <c r="K13" s="2">
        <f t="shared" si="2"/>
        <v>1501</v>
      </c>
      <c r="L13" s="2">
        <f t="shared" ref="L13" si="34">L11+L12</f>
        <v>1722</v>
      </c>
      <c r="M13" s="2">
        <f t="shared" ref="M13" si="35">M11+M12</f>
        <v>1549</v>
      </c>
      <c r="N13" s="2">
        <f t="shared" ref="N13" si="36">N11+N12</f>
        <v>1605</v>
      </c>
      <c r="O13" s="2">
        <f t="shared" si="3"/>
        <v>2234</v>
      </c>
      <c r="P13" s="2">
        <f t="shared" ref="P13" si="37">P11+P12</f>
        <v>1857</v>
      </c>
      <c r="Q13" s="2">
        <f t="shared" ref="Q13" si="38">Q11+Q12</f>
        <v>1770</v>
      </c>
      <c r="R13" s="2">
        <f t="shared" ref="R13" si="39">R11+R12</f>
        <v>1694</v>
      </c>
      <c r="S13" s="2">
        <f t="shared" si="4"/>
        <v>1700</v>
      </c>
      <c r="T13" s="2">
        <f t="shared" ref="T13" si="40">T11+T12</f>
        <v>1847</v>
      </c>
      <c r="U13" s="2">
        <f t="shared" ref="U13" si="41">U11+U12</f>
        <v>2134</v>
      </c>
      <c r="AB13" s="2">
        <f>AB11+AB12</f>
        <v>29805.279999999999</v>
      </c>
      <c r="AC13" s="2">
        <f>AC11+AC12</f>
        <v>3989</v>
      </c>
      <c r="AD13" s="2">
        <f>AD11+AD12</f>
        <v>4636</v>
      </c>
      <c r="AE13" s="2">
        <f>AE11+AE12</f>
        <v>7110</v>
      </c>
      <c r="AF13" s="2">
        <f>AF11+AF12</f>
        <v>7021</v>
      </c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B14" s="5" t="s">
        <v>89</v>
      </c>
      <c r="C14" s="2">
        <f>C10-C13</f>
        <v>442.94100000000003</v>
      </c>
      <c r="D14" s="2">
        <f>D10-D13</f>
        <v>-478.36000000000013</v>
      </c>
      <c r="E14" s="2">
        <f>E10-E13</f>
        <v>56.209000000000401</v>
      </c>
      <c r="F14" s="2">
        <f t="shared" ref="F14" si="42">F10-F13</f>
        <v>261</v>
      </c>
      <c r="G14" s="2">
        <f t="shared" si="1"/>
        <v>241.15099999999973</v>
      </c>
      <c r="H14" s="2">
        <f>H10-H13</f>
        <v>283</v>
      </c>
      <c r="I14" s="2">
        <f>I10-I13</f>
        <v>337</v>
      </c>
      <c r="J14" s="2">
        <f>J10-J13</f>
        <v>809</v>
      </c>
      <c r="K14" s="2">
        <f t="shared" si="2"/>
        <v>565</v>
      </c>
      <c r="L14" s="2">
        <f>L10-L13</f>
        <v>493</v>
      </c>
      <c r="M14" s="2">
        <f t="shared" ref="M14" si="43">M10-M13</f>
        <v>1335</v>
      </c>
      <c r="N14" s="2">
        <f t="shared" ref="N14" si="44">N10-N13</f>
        <v>2055</v>
      </c>
      <c r="O14" s="2">
        <f t="shared" si="3"/>
        <v>2613</v>
      </c>
      <c r="P14" s="2">
        <f t="shared" ref="P14" si="45">P10-P13</f>
        <v>3603</v>
      </c>
      <c r="Q14" s="2">
        <f t="shared" ref="Q14" si="46">Q10-Q13</f>
        <v>2464</v>
      </c>
      <c r="R14" s="2">
        <f t="shared" ref="R14" si="47">R10-R13</f>
        <v>3688</v>
      </c>
      <c r="S14" s="2">
        <f t="shared" si="4"/>
        <v>4077</v>
      </c>
      <c r="T14" s="2">
        <f t="shared" ref="T14" si="48">T10-T13</f>
        <v>2664</v>
      </c>
      <c r="U14" s="2">
        <f>U10-U13</f>
        <v>2399</v>
      </c>
      <c r="AB14" s="2">
        <f>AB10-AB13</f>
        <v>-25763.258999999998</v>
      </c>
      <c r="AC14" s="2">
        <f>AC10-AC13</f>
        <v>80</v>
      </c>
      <c r="AD14" s="2">
        <f>AD10-AD13</f>
        <v>1994</v>
      </c>
      <c r="AE14" s="2">
        <f>AE10-AE13</f>
        <v>6496</v>
      </c>
      <c r="AF14" s="2">
        <f>AF10-AF13</f>
        <v>13832</v>
      </c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B15" t="s">
        <v>90</v>
      </c>
      <c r="C15" s="2">
        <f>416757*0.001</f>
        <v>416.75700000000001</v>
      </c>
      <c r="D15" s="2">
        <f>8762*0.001</f>
        <v>8.7620000000000005</v>
      </c>
      <c r="E15" s="2">
        <f>10362*0.001</f>
        <v>10.362</v>
      </c>
      <c r="F15" s="2">
        <f>15</f>
        <v>15</v>
      </c>
      <c r="G15" s="2">
        <f t="shared" si="1"/>
        <v>9.8759999999999977</v>
      </c>
      <c r="H15" s="2">
        <f>10</f>
        <v>10</v>
      </c>
      <c r="I15" s="2">
        <f>8</f>
        <v>8</v>
      </c>
      <c r="J15" s="2">
        <f>6</f>
        <v>6</v>
      </c>
      <c r="K15" s="2">
        <f t="shared" si="2"/>
        <v>6</v>
      </c>
      <c r="L15" s="2">
        <f>10</f>
        <v>10</v>
      </c>
      <c r="M15" s="2">
        <f>11</f>
        <v>11</v>
      </c>
      <c r="N15" s="2">
        <f>10</f>
        <v>10</v>
      </c>
      <c r="O15" s="2">
        <f t="shared" si="3"/>
        <v>25</v>
      </c>
      <c r="P15" s="2">
        <f>28</f>
        <v>28</v>
      </c>
      <c r="Q15" s="2">
        <f>26</f>
        <v>26</v>
      </c>
      <c r="R15" s="2">
        <f>86</f>
        <v>86</v>
      </c>
      <c r="S15" s="2">
        <f t="shared" si="4"/>
        <v>157</v>
      </c>
      <c r="T15" s="2">
        <f>213</f>
        <v>213</v>
      </c>
      <c r="U15" s="2">
        <f>238</f>
        <v>238</v>
      </c>
      <c r="AB15" s="2">
        <f>24533*0.001</f>
        <v>24.533000000000001</v>
      </c>
      <c r="AC15" s="2">
        <f>44</f>
        <v>44</v>
      </c>
      <c r="AD15" s="2">
        <f>30</f>
        <v>30</v>
      </c>
      <c r="AE15" s="2">
        <f>56</f>
        <v>56</v>
      </c>
      <c r="AF15" s="2">
        <f>297</f>
        <v>297</v>
      </c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B16" t="s">
        <v>91</v>
      </c>
      <c r="C16" s="2">
        <f>175220*0.001</f>
        <v>175.22</v>
      </c>
      <c r="D16" s="2">
        <f>157453*0.001</f>
        <v>157.453</v>
      </c>
      <c r="E16" s="2">
        <f>171979*0.001</f>
        <v>171.97900000000001</v>
      </c>
      <c r="F16" s="2">
        <f>185</f>
        <v>185</v>
      </c>
      <c r="G16" s="2">
        <f t="shared" si="1"/>
        <v>170.56799999999998</v>
      </c>
      <c r="H16" s="2">
        <f>169</f>
        <v>169</v>
      </c>
      <c r="I16" s="2">
        <f>170</f>
        <v>170</v>
      </c>
      <c r="J16" s="2">
        <f>163</f>
        <v>163</v>
      </c>
      <c r="K16" s="2">
        <f t="shared" si="2"/>
        <v>246</v>
      </c>
      <c r="L16" s="2">
        <f>99</f>
        <v>99</v>
      </c>
      <c r="M16" s="2">
        <f>75</f>
        <v>75</v>
      </c>
      <c r="N16" s="2">
        <f>126</f>
        <v>126</v>
      </c>
      <c r="O16" s="2">
        <f t="shared" si="3"/>
        <v>71</v>
      </c>
      <c r="P16" s="2">
        <f>61</f>
        <v>61</v>
      </c>
      <c r="Q16" s="2">
        <f>44</f>
        <v>44</v>
      </c>
      <c r="R16" s="2">
        <f>53</f>
        <v>53</v>
      </c>
      <c r="S16" s="2">
        <f t="shared" si="4"/>
        <v>-349</v>
      </c>
      <c r="T16" s="2">
        <f>29</f>
        <v>29</v>
      </c>
      <c r="U16" s="2">
        <f>28</f>
        <v>28</v>
      </c>
      <c r="AB16" s="2">
        <f>663071*0.001</f>
        <v>663.07100000000003</v>
      </c>
      <c r="AC16" s="2">
        <f>685</f>
        <v>685</v>
      </c>
      <c r="AD16" s="2">
        <f>748</f>
        <v>748</v>
      </c>
      <c r="AE16" s="2">
        <f>371</f>
        <v>371</v>
      </c>
      <c r="AF16" s="2">
        <v>-191</v>
      </c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5">
      <c r="B17" s="5" t="s">
        <v>92</v>
      </c>
      <c r="C17" s="2">
        <f>C13-C16+C10</f>
        <v>2429.1689999999999</v>
      </c>
      <c r="D17" s="2">
        <f>D13-D16+D10</f>
        <v>1452.393</v>
      </c>
      <c r="E17" s="2">
        <f>E13-E16+E10</f>
        <v>1826.5480000000002</v>
      </c>
      <c r="F17" s="2">
        <f t="shared" ref="F17" si="49">F13-F16+F10</f>
        <v>1936</v>
      </c>
      <c r="G17" s="2">
        <f t="shared" si="1"/>
        <v>2158.0589999999993</v>
      </c>
      <c r="H17" s="2">
        <f>H13-H16+H10</f>
        <v>2016</v>
      </c>
      <c r="I17" s="2">
        <f t="shared" ref="I17" si="50">I13-I16+I10</f>
        <v>2027</v>
      </c>
      <c r="J17" s="2">
        <f t="shared" ref="J17" si="51">J13-J16+J10</f>
        <v>3154</v>
      </c>
      <c r="K17" s="2">
        <f t="shared" si="2"/>
        <v>3321</v>
      </c>
      <c r="L17" s="2">
        <f t="shared" ref="L17" si="52">L13-L16+L10</f>
        <v>3838</v>
      </c>
      <c r="M17" s="2">
        <f t="shared" ref="M17" si="53">M13-M16+M10</f>
        <v>4358</v>
      </c>
      <c r="N17" s="2">
        <f t="shared" ref="N17" si="54">N13-N16+N10</f>
        <v>5139</v>
      </c>
      <c r="O17" s="2">
        <f t="shared" si="3"/>
        <v>7010</v>
      </c>
      <c r="P17" s="2">
        <f t="shared" ref="P17" si="55">P13-P16+P10</f>
        <v>7256</v>
      </c>
      <c r="Q17" s="2">
        <f t="shared" ref="Q17" si="56">Q13-Q16+Q10</f>
        <v>5960</v>
      </c>
      <c r="R17" s="2">
        <f t="shared" ref="R17" si="57">R13-R16+R10</f>
        <v>7023</v>
      </c>
      <c r="S17" s="2">
        <f t="shared" si="4"/>
        <v>7826</v>
      </c>
      <c r="T17" s="2">
        <f>T13-T16+T10</f>
        <v>6329</v>
      </c>
      <c r="U17" s="2">
        <f t="shared" ref="U17" si="58">U13-U16+U10</f>
        <v>6639</v>
      </c>
      <c r="AB17" s="2">
        <f>AB13-AB16+AB10</f>
        <v>33184.229999999996</v>
      </c>
      <c r="AC17" s="2">
        <f>AC13-AC16+AC10</f>
        <v>7373</v>
      </c>
      <c r="AD17" s="2">
        <f>AD13-AD16+AD10</f>
        <v>10518</v>
      </c>
      <c r="AE17" s="2">
        <f>AE13-AE16+AE10</f>
        <v>20345</v>
      </c>
      <c r="AF17" s="2">
        <f>AF13-AF16+AF10</f>
        <v>28065</v>
      </c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B18" t="s">
        <v>93</v>
      </c>
      <c r="C18" s="2">
        <f>16647*0.001</f>
        <v>16.647000000000002</v>
      </c>
      <c r="D18" s="2">
        <f>22873*0.001</f>
        <v>22.873000000000001</v>
      </c>
      <c r="E18" s="2">
        <f>19431*0.001</f>
        <v>19.431000000000001</v>
      </c>
      <c r="F18" s="2">
        <f>26</f>
        <v>26</v>
      </c>
      <c r="G18" s="2">
        <f t="shared" si="1"/>
        <v>41.695999999999998</v>
      </c>
      <c r="H18" s="2">
        <f>2</f>
        <v>2</v>
      </c>
      <c r="I18" s="2">
        <f>21</f>
        <v>21</v>
      </c>
      <c r="J18" s="2">
        <f>186</f>
        <v>186</v>
      </c>
      <c r="K18" s="2">
        <f t="shared" si="2"/>
        <v>83</v>
      </c>
      <c r="L18" s="2">
        <f>69</f>
        <v>69</v>
      </c>
      <c r="M18" s="2">
        <f>115</f>
        <v>115</v>
      </c>
      <c r="N18" s="2">
        <f>223</f>
        <v>223</v>
      </c>
      <c r="O18" s="2">
        <f t="shared" si="3"/>
        <v>292</v>
      </c>
      <c r="P18" s="2">
        <f>346</f>
        <v>346</v>
      </c>
      <c r="Q18" s="2">
        <f>205</f>
        <v>205</v>
      </c>
      <c r="R18" s="2">
        <f>305</f>
        <v>305</v>
      </c>
      <c r="S18" s="2">
        <f t="shared" si="4"/>
        <v>276</v>
      </c>
      <c r="T18" s="2">
        <f>261</f>
        <v>261</v>
      </c>
      <c r="U18" s="2">
        <f>323</f>
        <v>323</v>
      </c>
      <c r="AB18" s="2">
        <f>57837*0.001</f>
        <v>57.837000000000003</v>
      </c>
      <c r="AC18" s="2">
        <f>110</f>
        <v>110</v>
      </c>
      <c r="AD18" s="2">
        <f>292</f>
        <v>292</v>
      </c>
      <c r="AE18" s="2">
        <f>699</f>
        <v>699</v>
      </c>
      <c r="AF18" s="2">
        <f>1132</f>
        <v>1132</v>
      </c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5">
      <c r="B19" s="5" t="s">
        <v>94</v>
      </c>
      <c r="C19" s="2">
        <f>C17-C18</f>
        <v>2412.5219999999999</v>
      </c>
      <c r="D19" s="2">
        <f>D17-D18</f>
        <v>1429.52</v>
      </c>
      <c r="E19" s="2">
        <f t="shared" ref="E19:U19" si="59">E17-E18</f>
        <v>1807.1170000000002</v>
      </c>
      <c r="F19" s="2">
        <f t="shared" si="59"/>
        <v>1910</v>
      </c>
      <c r="G19" s="2">
        <f t="shared" si="1"/>
        <v>2116.3629999999994</v>
      </c>
      <c r="H19" s="2">
        <f t="shared" si="59"/>
        <v>2014</v>
      </c>
      <c r="I19" s="2">
        <f t="shared" si="59"/>
        <v>2006</v>
      </c>
      <c r="J19" s="2">
        <f t="shared" si="59"/>
        <v>2968</v>
      </c>
      <c r="K19" s="2">
        <f t="shared" si="2"/>
        <v>3238</v>
      </c>
      <c r="L19" s="2">
        <f t="shared" si="59"/>
        <v>3769</v>
      </c>
      <c r="M19" s="2">
        <f t="shared" si="59"/>
        <v>4243</v>
      </c>
      <c r="N19" s="2">
        <f t="shared" si="59"/>
        <v>4916</v>
      </c>
      <c r="O19" s="2">
        <f t="shared" si="3"/>
        <v>6718</v>
      </c>
      <c r="P19" s="2">
        <f t="shared" si="59"/>
        <v>6910</v>
      </c>
      <c r="Q19" s="2">
        <f t="shared" si="59"/>
        <v>5755</v>
      </c>
      <c r="R19" s="2">
        <f t="shared" si="59"/>
        <v>6718</v>
      </c>
      <c r="S19" s="2">
        <f t="shared" si="4"/>
        <v>7550</v>
      </c>
      <c r="T19" s="2">
        <f t="shared" si="59"/>
        <v>6068</v>
      </c>
      <c r="U19" s="2">
        <f t="shared" si="59"/>
        <v>6316</v>
      </c>
      <c r="V19" s="2"/>
      <c r="X19" t="s">
        <v>95</v>
      </c>
      <c r="AB19" s="2">
        <f>AB17-AB18</f>
        <v>33126.392999999996</v>
      </c>
      <c r="AC19" s="2">
        <f>AC17-AC18</f>
        <v>7263</v>
      </c>
      <c r="AD19" s="2">
        <f>AD17-AD18</f>
        <v>10226</v>
      </c>
      <c r="AE19" s="2">
        <f>AE17-AE18</f>
        <v>19646</v>
      </c>
      <c r="AF19" s="2">
        <f>AF17-AF18</f>
        <v>26933</v>
      </c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W20" s="5" t="s">
        <v>96</v>
      </c>
      <c r="X20" t="s">
        <v>95</v>
      </c>
      <c r="Y20" s="5"/>
      <c r="Z20" s="5"/>
      <c r="AB20" s="2"/>
      <c r="AC20" s="2"/>
      <c r="AD20" s="2"/>
      <c r="AE20" s="2"/>
      <c r="AF20" s="2"/>
      <c r="AG20" s="2"/>
      <c r="AH20" s="2"/>
      <c r="AI20" s="2"/>
      <c r="AJ20" s="5" t="s">
        <v>96</v>
      </c>
      <c r="AK20" s="2"/>
      <c r="AL20" s="2"/>
      <c r="AM20" s="2"/>
      <c r="AN20" s="2"/>
    </row>
    <row r="21" spans="1:41" x14ac:dyDescent="0.25">
      <c r="B21" s="5" t="s">
        <v>97</v>
      </c>
      <c r="C21" s="10" t="s">
        <v>98</v>
      </c>
      <c r="D21" s="12">
        <f>D4/C4-1</f>
        <v>-0.38940746373938606</v>
      </c>
      <c r="E21" s="12">
        <f>E4/D4-1</f>
        <v>0.44376736940503436</v>
      </c>
      <c r="F21" s="12">
        <f t="shared" ref="F21:U21" si="60">F4/E4-1</f>
        <v>-4.350317657446312E-3</v>
      </c>
      <c r="G21" s="12">
        <f t="shared" si="60"/>
        <v>0.18956659816925092</v>
      </c>
      <c r="H21" s="12">
        <f t="shared" si="60"/>
        <v>-0.19406383730517063</v>
      </c>
      <c r="I21" s="12">
        <f t="shared" si="60"/>
        <v>9.1582229150428685E-3</v>
      </c>
      <c r="J21" s="12">
        <f t="shared" si="60"/>
        <v>0.46958872369183235</v>
      </c>
      <c r="K21" s="12">
        <f t="shared" si="60"/>
        <v>0.22375509131520177</v>
      </c>
      <c r="L21" s="12">
        <f t="shared" si="60"/>
        <v>-3.349796006012451E-2</v>
      </c>
      <c r="M21" s="12">
        <f t="shared" si="60"/>
        <v>0.13374805598755835</v>
      </c>
      <c r="N21" s="12">
        <f t="shared" si="60"/>
        <v>0.18136390358612586</v>
      </c>
      <c r="O21" s="12">
        <f t="shared" si="60"/>
        <v>0.32429294185950064</v>
      </c>
      <c r="P21" s="12">
        <f t="shared" si="60"/>
        <v>5.5990480365754269E-2</v>
      </c>
      <c r="Q21" s="12">
        <f t="shared" si="60"/>
        <v>-0.13397781863471914</v>
      </c>
      <c r="R21" s="12">
        <f t="shared" si="60"/>
        <v>0.28009861662785918</v>
      </c>
      <c r="S21" s="12">
        <f t="shared" si="60"/>
        <v>0.13989942221271123</v>
      </c>
      <c r="T21" s="12">
        <f t="shared" si="60"/>
        <v>-6.3077861735579832E-2</v>
      </c>
      <c r="U21" s="12">
        <f t="shared" si="60"/>
        <v>6.5370936232029164E-2</v>
      </c>
      <c r="V21" s="12"/>
      <c r="W21" s="12">
        <f>AVERAGE(B21:S21)</f>
        <v>0.10599575179618907</v>
      </c>
      <c r="X21" s="12"/>
      <c r="Y21" s="12"/>
      <c r="Z21" s="12"/>
      <c r="AA21" s="12"/>
      <c r="AB21" s="13" t="s">
        <v>98</v>
      </c>
      <c r="AC21" s="12">
        <f>AC4/AB4-1</f>
        <v>0.12454869658805512</v>
      </c>
      <c r="AD21" s="12">
        <f>AD4/AC4-1</f>
        <v>0.30810239661879835</v>
      </c>
      <c r="AE21" s="12">
        <f>AE4/AD4-1</f>
        <v>0.73417535614627694</v>
      </c>
      <c r="AF21" s="12">
        <f>AF4/AE4-1</f>
        <v>0.51299966124661256</v>
      </c>
      <c r="AG21" s="2"/>
      <c r="AH21" s="2"/>
      <c r="AI21" s="2"/>
      <c r="AJ21" s="12">
        <f>AVERAGE(AC21:AF21)</f>
        <v>0.41995652764993574</v>
      </c>
      <c r="AK21" s="2"/>
      <c r="AL21" s="2"/>
      <c r="AM21" s="2"/>
      <c r="AN21" s="2"/>
      <c r="AO21" s="2"/>
    </row>
    <row r="22" spans="1:41" x14ac:dyDescent="0.25">
      <c r="B22" s="5" t="s">
        <v>99</v>
      </c>
      <c r="C22" s="13" t="s">
        <v>98</v>
      </c>
      <c r="D22" s="12">
        <f>D6/C6-1</f>
        <v>-0.33452679373302885</v>
      </c>
      <c r="E22" s="12">
        <f>E6/D6-1</f>
        <v>0.39815618928169427</v>
      </c>
      <c r="F22" s="12">
        <f>F6/E6-1</f>
        <v>-7.3509262519851903E-3</v>
      </c>
      <c r="G22" s="12">
        <f>G6/F6-1</f>
        <v>0.17148342059336841</v>
      </c>
      <c r="H22" s="12">
        <f>H6/F6-1</f>
        <v>-5.0452165635411661E-2</v>
      </c>
      <c r="I22" s="12">
        <f>I6/H6-1</f>
        <v>8.521303258145263E-3</v>
      </c>
      <c r="J22" s="12">
        <f>J6/I6-1</f>
        <v>0.4531146454605699</v>
      </c>
      <c r="K22" s="12">
        <f>K6/J6-1</f>
        <v>0.2249458442594916</v>
      </c>
      <c r="L22" s="12">
        <f>L6/J6-1</f>
        <v>0.18447155398472237</v>
      </c>
      <c r="M22" s="12">
        <f>M6/L6-1</f>
        <v>0.15102512272596025</v>
      </c>
      <c r="N22" s="12">
        <f>N6/M6-1</f>
        <v>0.15044321792941973</v>
      </c>
      <c r="O22" s="12">
        <f>O6/N6-1</f>
        <v>0.28799883695573159</v>
      </c>
      <c r="P22" s="12">
        <f>P6/N6-1</f>
        <v>0.36337864359962202</v>
      </c>
      <c r="Q22" s="12">
        <f>Q6/P6-1</f>
        <v>-9.7142247814032801E-2</v>
      </c>
      <c r="R22" s="12">
        <f>R6/Q6-1</f>
        <v>0.26691862525097432</v>
      </c>
      <c r="S22" s="12">
        <f>S6/R6-1</f>
        <v>0.13349491936235669</v>
      </c>
      <c r="T22" s="12">
        <f>T6/R6-1</f>
        <v>8.7396289736179744E-2</v>
      </c>
      <c r="U22" s="12">
        <f>U6/T6-1</f>
        <v>6.8498435423721471E-2</v>
      </c>
      <c r="W22" s="12">
        <f>AVERAGE(B22:S22)</f>
        <v>0.14403001182672487</v>
      </c>
      <c r="Y22" s="12"/>
      <c r="Z22" s="12"/>
      <c r="AB22" s="13" t="s">
        <v>98</v>
      </c>
      <c r="AC22" s="13">
        <f>AC6/AB6-1</f>
        <v>0.14522590184326489</v>
      </c>
      <c r="AD22" s="13">
        <f>AD6/AC6-1</f>
        <v>0.28309870615998056</v>
      </c>
      <c r="AE22" s="13">
        <f>AE6/AD6-1</f>
        <v>0.70671613394216126</v>
      </c>
      <c r="AF22" s="13">
        <f>AF6/AE6-1</f>
        <v>0.51351652639206291</v>
      </c>
      <c r="AG22" s="2"/>
      <c r="AH22" s="2"/>
      <c r="AI22" s="2"/>
      <c r="AJ22" s="12">
        <f t="shared" ref="AJ22" si="61">AVERAGE(AC22:AF22)</f>
        <v>0.41213931708436741</v>
      </c>
      <c r="AK22" s="2"/>
      <c r="AL22" s="2"/>
      <c r="AM22" s="2"/>
      <c r="AN22" s="2"/>
      <c r="AO22" s="2"/>
    </row>
    <row r="23" spans="1:41" x14ac:dyDescent="0.25">
      <c r="B23" s="5" t="s">
        <v>100</v>
      </c>
      <c r="C23" s="12">
        <f t="shared" ref="C23:U23" si="62">C10/C6</f>
        <v>0.22326682162993358</v>
      </c>
      <c r="D23" s="12">
        <f t="shared" si="62"/>
        <v>0.1245728249745016</v>
      </c>
      <c r="E23" s="12">
        <f t="shared" si="62"/>
        <v>0.16179849176556416</v>
      </c>
      <c r="F23" s="12">
        <f t="shared" si="62"/>
        <v>0.18895763921941933</v>
      </c>
      <c r="G23" s="12">
        <f t="shared" si="62"/>
        <v>0.17401318551543496</v>
      </c>
      <c r="H23" s="12">
        <f t="shared" si="62"/>
        <v>0.20618212197159566</v>
      </c>
      <c r="I23" s="12">
        <f t="shared" si="62"/>
        <v>0.20990722332670642</v>
      </c>
      <c r="J23" s="12">
        <f t="shared" si="62"/>
        <v>0.23520693193478509</v>
      </c>
      <c r="K23" s="12">
        <f t="shared" si="62"/>
        <v>0.19229337304542071</v>
      </c>
      <c r="L23" s="12">
        <f t="shared" si="62"/>
        <v>0.21320627586870727</v>
      </c>
      <c r="M23" s="12">
        <f t="shared" si="62"/>
        <v>0.24117745442381669</v>
      </c>
      <c r="N23" s="12">
        <f t="shared" si="62"/>
        <v>0.26604637639020134</v>
      </c>
      <c r="O23" s="12">
        <f t="shared" si="62"/>
        <v>0.27354816863254133</v>
      </c>
      <c r="P23" s="12">
        <f t="shared" si="62"/>
        <v>0.29110684580934099</v>
      </c>
      <c r="Q23" s="12">
        <f t="shared" si="62"/>
        <v>0.25002952639659853</v>
      </c>
      <c r="R23" s="12">
        <f t="shared" si="62"/>
        <v>0.25086231005873033</v>
      </c>
      <c r="S23" s="12">
        <f t="shared" si="62"/>
        <v>0.23756065465910026</v>
      </c>
      <c r="T23" s="12">
        <f t="shared" si="62"/>
        <v>0.19336448197522396</v>
      </c>
      <c r="U23" s="12">
        <f t="shared" si="62"/>
        <v>0.18185100493440848</v>
      </c>
      <c r="W23" s="12">
        <f>AVERAGE(A23:S23)</f>
        <v>0.21998448386014105</v>
      </c>
      <c r="Y23" s="12"/>
      <c r="Z23" s="12"/>
      <c r="AB23" s="12">
        <f>AB10/AB6</f>
        <v>0.18834026954977687</v>
      </c>
      <c r="AC23" s="12">
        <f>AC10/AC6</f>
        <v>0.1655545609895028</v>
      </c>
      <c r="AD23" s="12">
        <f>AD10/AD6</f>
        <v>0.2102359208523592</v>
      </c>
      <c r="AE23" s="12">
        <f>AE10/AE6</f>
        <v>0.25279155751258753</v>
      </c>
      <c r="AF23" s="12">
        <f>AF10/AF6</f>
        <v>0.25598438535759005</v>
      </c>
      <c r="AG23" s="2"/>
      <c r="AH23" s="2"/>
      <c r="AI23" s="2"/>
      <c r="AJ23" s="12">
        <f>AVERAGE(AB23:AF23)</f>
        <v>0.21458133885236333</v>
      </c>
      <c r="AK23" s="2"/>
      <c r="AL23" s="2"/>
      <c r="AM23" s="2"/>
      <c r="AN23" s="2"/>
      <c r="AO23" s="2"/>
    </row>
    <row r="24" spans="1:41" x14ac:dyDescent="0.25">
      <c r="B24" s="5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Y24" s="12"/>
      <c r="Z24" s="12"/>
      <c r="AB24" s="12"/>
      <c r="AC24" s="12"/>
      <c r="AD24" s="12"/>
      <c r="AE24" s="12"/>
      <c r="AF24" s="12"/>
      <c r="AG24" s="2"/>
      <c r="AH24" s="2"/>
      <c r="AI24" s="2"/>
      <c r="AJ24" s="12"/>
      <c r="AK24" s="2"/>
      <c r="AL24" s="2"/>
      <c r="AM24" s="2"/>
      <c r="AN24" s="2"/>
      <c r="AO24" s="2"/>
    </row>
    <row r="25" spans="1:41" x14ac:dyDescent="0.25">
      <c r="A25" s="7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5">
      <c r="B26" s="5" t="s">
        <v>101</v>
      </c>
      <c r="V26" s="5" t="s">
        <v>96</v>
      </c>
      <c r="AA26" s="5"/>
      <c r="AB26" s="2"/>
      <c r="AC26" s="2"/>
      <c r="AD26" s="2"/>
      <c r="AE26" s="2"/>
      <c r="AF26" s="2"/>
      <c r="AG26" s="2"/>
      <c r="AH26" s="2"/>
      <c r="AI26" s="2"/>
      <c r="AJ26" s="5" t="s">
        <v>96</v>
      </c>
      <c r="AK26" s="2"/>
      <c r="AL26" s="2"/>
      <c r="AM26" s="2"/>
      <c r="AN26" s="2"/>
      <c r="AO26" s="2"/>
    </row>
    <row r="27" spans="1:41" x14ac:dyDescent="0.25">
      <c r="B27" t="s">
        <v>102</v>
      </c>
      <c r="D27" s="14">
        <v>14163</v>
      </c>
      <c r="E27" s="14">
        <v>14517</v>
      </c>
      <c r="F27" s="14">
        <v>16318</v>
      </c>
      <c r="G27" s="14">
        <v>17933</v>
      </c>
      <c r="H27" s="14">
        <v>15390</v>
      </c>
      <c r="I27" s="14">
        <v>6326</v>
      </c>
      <c r="J27" s="14">
        <v>16992</v>
      </c>
      <c r="K27" s="14">
        <v>16097</v>
      </c>
      <c r="L27" s="14">
        <v>0</v>
      </c>
      <c r="M27" s="14">
        <v>2340</v>
      </c>
      <c r="N27" s="14">
        <v>8941</v>
      </c>
      <c r="O27" s="14">
        <v>13109</v>
      </c>
      <c r="P27" s="14">
        <v>14218</v>
      </c>
      <c r="Q27" s="14">
        <v>16411</v>
      </c>
      <c r="R27" s="14">
        <v>19935</v>
      </c>
      <c r="S27" s="14">
        <v>20613</v>
      </c>
      <c r="T27" s="14">
        <v>19437</v>
      </c>
      <c r="V27" s="2">
        <f>AVERAGE(D27:T27)</f>
        <v>13690.588235294117</v>
      </c>
      <c r="AA27" s="5"/>
      <c r="AB27" s="2"/>
      <c r="AC27" s="2">
        <f>SUM(D27:G27)</f>
        <v>62931</v>
      </c>
      <c r="AD27" s="2">
        <f>SUM(H27:K27)</f>
        <v>54805</v>
      </c>
      <c r="AE27" s="2">
        <f>SUM(L27:O27)</f>
        <v>24390</v>
      </c>
      <c r="AF27" s="2">
        <f>SUM(P27:S27)</f>
        <v>71177</v>
      </c>
      <c r="AG27" s="2"/>
      <c r="AH27" s="2"/>
      <c r="AI27" s="2"/>
      <c r="AJ27" s="2">
        <f>AVERAGE(AC27:AF27)</f>
        <v>53325.75</v>
      </c>
      <c r="AK27" s="2"/>
      <c r="AL27" s="2"/>
      <c r="AM27" s="2"/>
      <c r="AN27" s="2"/>
      <c r="AO27" s="2"/>
    </row>
    <row r="28" spans="1:41" x14ac:dyDescent="0.25">
      <c r="B28" t="s">
        <v>103</v>
      </c>
      <c r="D28" s="14">
        <v>62975</v>
      </c>
      <c r="E28" s="14">
        <v>72531</v>
      </c>
      <c r="F28" s="14">
        <v>79837</v>
      </c>
      <c r="G28" s="14">
        <v>86958</v>
      </c>
      <c r="H28" s="14">
        <v>87282</v>
      </c>
      <c r="I28" s="14">
        <v>75946</v>
      </c>
      <c r="J28" s="14">
        <v>128044</v>
      </c>
      <c r="K28" s="14">
        <v>163660</v>
      </c>
      <c r="L28" s="14">
        <v>180338</v>
      </c>
      <c r="M28" s="14">
        <v>204081</v>
      </c>
      <c r="N28" s="14">
        <v>228882</v>
      </c>
      <c r="O28" s="14">
        <v>292731</v>
      </c>
      <c r="P28" s="14">
        <v>291189</v>
      </c>
      <c r="Q28" s="14">
        <v>242169</v>
      </c>
      <c r="R28" s="14">
        <v>345988</v>
      </c>
      <c r="S28" s="14">
        <v>419088</v>
      </c>
      <c r="T28" s="14">
        <v>421371</v>
      </c>
      <c r="V28" s="2">
        <f>AVERAGE(D28:T28)</f>
        <v>199004.11764705883</v>
      </c>
      <c r="AA28" s="5"/>
      <c r="AB28" s="2"/>
      <c r="AC28" s="2">
        <f>SUM(D28:G28)</f>
        <v>302301</v>
      </c>
      <c r="AD28" s="2">
        <f>SUM(H28:K28)</f>
        <v>454932</v>
      </c>
      <c r="AE28" s="2">
        <f>SUM(L28:O28)</f>
        <v>906032</v>
      </c>
      <c r="AF28" s="2">
        <f>SUM(P28:S28)</f>
        <v>1298434</v>
      </c>
      <c r="AG28" s="2"/>
      <c r="AH28" s="2"/>
      <c r="AI28" s="2"/>
      <c r="AJ28" s="2">
        <f t="shared" ref="AJ28:AJ29" si="63">AVERAGE(AC28:AF28)</f>
        <v>740424.75</v>
      </c>
      <c r="AK28" s="2"/>
      <c r="AL28" s="2"/>
      <c r="AM28" s="2"/>
      <c r="AN28" s="2"/>
      <c r="AO28" s="2"/>
    </row>
    <row r="29" spans="1:41" x14ac:dyDescent="0.25">
      <c r="B29" s="5" t="s">
        <v>104</v>
      </c>
      <c r="C29" s="5"/>
      <c r="D29" s="15">
        <f>D27+D28</f>
        <v>77138</v>
      </c>
      <c r="E29" s="15">
        <f t="shared" ref="E29:T29" si="64">E27+E28</f>
        <v>87048</v>
      </c>
      <c r="F29" s="15">
        <f t="shared" si="64"/>
        <v>96155</v>
      </c>
      <c r="G29" s="15">
        <f t="shared" si="64"/>
        <v>104891</v>
      </c>
      <c r="H29" s="15">
        <f t="shared" si="64"/>
        <v>102672</v>
      </c>
      <c r="I29" s="15">
        <f t="shared" si="64"/>
        <v>82272</v>
      </c>
      <c r="J29" s="15">
        <f t="shared" si="64"/>
        <v>145036</v>
      </c>
      <c r="K29" s="15">
        <f t="shared" si="64"/>
        <v>179757</v>
      </c>
      <c r="L29" s="15">
        <f t="shared" si="64"/>
        <v>180338</v>
      </c>
      <c r="M29" s="15">
        <f t="shared" si="64"/>
        <v>206421</v>
      </c>
      <c r="N29" s="15">
        <f t="shared" si="64"/>
        <v>237823</v>
      </c>
      <c r="O29" s="15">
        <f t="shared" si="64"/>
        <v>305840</v>
      </c>
      <c r="P29" s="15">
        <f t="shared" si="64"/>
        <v>305407</v>
      </c>
      <c r="Q29" s="15">
        <f t="shared" si="64"/>
        <v>258580</v>
      </c>
      <c r="R29" s="15">
        <f t="shared" si="64"/>
        <v>365923</v>
      </c>
      <c r="S29" s="15">
        <f t="shared" si="64"/>
        <v>439701</v>
      </c>
      <c r="T29" s="15">
        <f t="shared" si="64"/>
        <v>440808</v>
      </c>
      <c r="U29" s="5"/>
      <c r="V29" s="2">
        <f>AVERAGE(D29:T29)</f>
        <v>212694.70588235295</v>
      </c>
      <c r="AB29" s="2"/>
      <c r="AC29" s="2">
        <f t="shared" ref="AC29" si="65">SUM(D29:G29)</f>
        <v>365232</v>
      </c>
      <c r="AD29" s="2">
        <f t="shared" ref="AD29" si="66">SUM(H29:K29)</f>
        <v>509737</v>
      </c>
      <c r="AE29" s="2">
        <f>SUM(L29:O29)</f>
        <v>930422</v>
      </c>
      <c r="AF29" s="2">
        <f t="shared" ref="AF29" si="67">SUM(P29:S29)</f>
        <v>1369611</v>
      </c>
      <c r="AG29" s="2"/>
      <c r="AH29" s="2"/>
      <c r="AI29" s="2"/>
      <c r="AJ29" s="2">
        <f t="shared" si="63"/>
        <v>793750.5</v>
      </c>
      <c r="AK29" s="2"/>
      <c r="AL29" s="2"/>
      <c r="AM29" s="2"/>
      <c r="AN29" s="2"/>
      <c r="AO29" s="2"/>
    </row>
    <row r="30" spans="1:41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U30" s="11"/>
      <c r="AB30" s="2"/>
      <c r="AC30" s="2"/>
      <c r="AD30" s="2"/>
      <c r="AE30" s="2"/>
      <c r="AF30" s="2"/>
      <c r="AG30" s="2"/>
      <c r="AH30" s="2"/>
      <c r="AI30" s="2"/>
      <c r="AK30" s="2"/>
      <c r="AL30" s="2"/>
      <c r="AM30" s="2"/>
      <c r="AN30" s="2"/>
      <c r="AO30" s="2"/>
    </row>
    <row r="31" spans="1:41" x14ac:dyDescent="0.25">
      <c r="B31" s="5" t="s">
        <v>105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2"/>
      <c r="AC31" s="2"/>
      <c r="AD31" s="2"/>
      <c r="AE31" s="2"/>
      <c r="AF31" s="2"/>
      <c r="AG31" s="2"/>
      <c r="AH31" s="2"/>
      <c r="AI31" s="2"/>
      <c r="AJ31" s="11"/>
      <c r="AK31" s="2"/>
      <c r="AL31" s="2"/>
      <c r="AM31" s="2"/>
      <c r="AN31" s="2"/>
      <c r="AO31" s="2"/>
    </row>
    <row r="32" spans="1:41" x14ac:dyDescent="0.25">
      <c r="B32" t="s">
        <v>102</v>
      </c>
      <c r="C32" s="11"/>
      <c r="D32" s="14">
        <v>12091</v>
      </c>
      <c r="E32" s="14">
        <v>17722</v>
      </c>
      <c r="F32" s="14">
        <v>17483</v>
      </c>
      <c r="G32" s="14">
        <v>19475</v>
      </c>
      <c r="H32" s="14">
        <v>12230</v>
      </c>
      <c r="I32" s="14">
        <v>10600</v>
      </c>
      <c r="J32" s="14">
        <v>15200</v>
      </c>
      <c r="K32" s="14">
        <v>18920</v>
      </c>
      <c r="L32" s="14">
        <v>2020</v>
      </c>
      <c r="M32" s="14">
        <v>1890</v>
      </c>
      <c r="N32" s="14">
        <v>9275</v>
      </c>
      <c r="O32" s="14">
        <v>11750</v>
      </c>
      <c r="P32" s="14">
        <v>14724</v>
      </c>
      <c r="Q32" s="14">
        <v>16162</v>
      </c>
      <c r="R32" s="14">
        <v>18672</v>
      </c>
      <c r="S32" s="14">
        <v>17147</v>
      </c>
      <c r="T32" s="14">
        <v>10695</v>
      </c>
      <c r="U32" s="14"/>
      <c r="V32" s="2">
        <f>AVERAGE(D32:T32)</f>
        <v>13297.411764705883</v>
      </c>
      <c r="W32" s="11"/>
      <c r="X32" s="11"/>
      <c r="Y32" s="11"/>
      <c r="Z32" s="11"/>
      <c r="AA32" s="11"/>
      <c r="AB32" s="2"/>
      <c r="AC32" s="2">
        <f>SUM(D32:G32)</f>
        <v>66771</v>
      </c>
      <c r="AD32" s="2">
        <f>SUM(H32:K32)</f>
        <v>56950</v>
      </c>
      <c r="AE32" s="2">
        <f>SUM(L32:O32)</f>
        <v>24935</v>
      </c>
      <c r="AF32" s="2">
        <f>SUM(P32:S32)</f>
        <v>66705</v>
      </c>
      <c r="AG32" s="2"/>
      <c r="AH32" s="2"/>
      <c r="AI32" s="2"/>
      <c r="AJ32" s="2">
        <f>AVERAGE(AC32:AF32)</f>
        <v>53840.25</v>
      </c>
      <c r="AK32" s="2"/>
      <c r="AL32" s="2"/>
      <c r="AM32" s="2"/>
      <c r="AN32" s="2"/>
      <c r="AO32" s="2"/>
    </row>
    <row r="33" spans="2:41" x14ac:dyDescent="0.25">
      <c r="B33" t="s">
        <v>103</v>
      </c>
      <c r="C33" s="11"/>
      <c r="D33" s="14">
        <v>50928</v>
      </c>
      <c r="E33" s="14">
        <v>77634</v>
      </c>
      <c r="F33" s="14">
        <v>79703</v>
      </c>
      <c r="G33" s="14">
        <v>92620</v>
      </c>
      <c r="H33" s="14">
        <v>76266</v>
      </c>
      <c r="I33" s="14">
        <v>80050</v>
      </c>
      <c r="J33" s="14">
        <v>124100</v>
      </c>
      <c r="K33" s="14">
        <v>161650</v>
      </c>
      <c r="L33" s="14">
        <v>182780</v>
      </c>
      <c r="M33" s="14">
        <v>199360</v>
      </c>
      <c r="N33" s="14">
        <v>232025</v>
      </c>
      <c r="O33" s="14">
        <v>296850</v>
      </c>
      <c r="P33" s="14">
        <v>295324</v>
      </c>
      <c r="Q33" s="14">
        <v>238533</v>
      </c>
      <c r="R33" s="14">
        <v>325158</v>
      </c>
      <c r="S33" s="14">
        <v>388131</v>
      </c>
      <c r="T33" s="14">
        <v>412180</v>
      </c>
      <c r="U33" s="14"/>
      <c r="V33" s="2">
        <f>AVERAGE(D33:T33)</f>
        <v>194899.5294117647</v>
      </c>
      <c r="W33" s="11"/>
      <c r="X33" s="11"/>
      <c r="Y33" s="11"/>
      <c r="Z33" s="11"/>
      <c r="AA33" s="11"/>
      <c r="AB33" s="2"/>
      <c r="AC33" s="2">
        <f>SUM(D33:G33)</f>
        <v>300885</v>
      </c>
      <c r="AD33" s="2">
        <f>SUM(H33:K33)</f>
        <v>442066</v>
      </c>
      <c r="AE33" s="2">
        <f>SUM(L33:O33)</f>
        <v>911015</v>
      </c>
      <c r="AF33" s="2">
        <f>SUM(P33:S33)</f>
        <v>1247146</v>
      </c>
      <c r="AG33" s="2"/>
      <c r="AH33" s="2"/>
      <c r="AI33" s="2"/>
      <c r="AJ33" s="2">
        <f t="shared" ref="AJ33:AJ34" si="68">AVERAGE(AC33:AF33)</f>
        <v>725278</v>
      </c>
      <c r="AK33" s="2"/>
      <c r="AL33" s="2"/>
      <c r="AM33" s="2"/>
      <c r="AN33" s="2"/>
      <c r="AO33" s="2"/>
    </row>
    <row r="34" spans="2:41" x14ac:dyDescent="0.25">
      <c r="B34" s="5" t="s">
        <v>104</v>
      </c>
      <c r="C34" s="11"/>
      <c r="D34" s="15">
        <f>D32+D33</f>
        <v>63019</v>
      </c>
      <c r="E34" s="15">
        <f t="shared" ref="E34" si="69">E32+E33</f>
        <v>95356</v>
      </c>
      <c r="F34" s="15">
        <f t="shared" ref="F34" si="70">F32+F33</f>
        <v>97186</v>
      </c>
      <c r="G34" s="15">
        <f t="shared" ref="G34" si="71">G32+G33</f>
        <v>112095</v>
      </c>
      <c r="H34" s="15">
        <f t="shared" ref="H34" si="72">H32+H33</f>
        <v>88496</v>
      </c>
      <c r="I34" s="15">
        <f t="shared" ref="I34" si="73">I32+I33</f>
        <v>90650</v>
      </c>
      <c r="J34" s="15">
        <f t="shared" ref="J34" si="74">J32+J33</f>
        <v>139300</v>
      </c>
      <c r="K34" s="15">
        <f t="shared" ref="K34" si="75">K32+K33</f>
        <v>180570</v>
      </c>
      <c r="L34" s="15">
        <f t="shared" ref="L34" si="76">L32+L33</f>
        <v>184800</v>
      </c>
      <c r="M34" s="15">
        <f t="shared" ref="M34" si="77">M32+M33</f>
        <v>201250</v>
      </c>
      <c r="N34" s="15">
        <f t="shared" ref="N34" si="78">N32+N33</f>
        <v>241300</v>
      </c>
      <c r="O34" s="15">
        <f t="shared" ref="O34" si="79">O32+O33</f>
        <v>308600</v>
      </c>
      <c r="P34" s="15">
        <f t="shared" ref="P34" si="80">P32+P33</f>
        <v>310048</v>
      </c>
      <c r="Q34" s="15">
        <f t="shared" ref="Q34" si="81">Q32+Q33</f>
        <v>254695</v>
      </c>
      <c r="R34" s="15">
        <f t="shared" ref="R34" si="82">R32+R33</f>
        <v>343830</v>
      </c>
      <c r="S34" s="15">
        <f t="shared" ref="S34" si="83">S32+S33</f>
        <v>405278</v>
      </c>
      <c r="T34" s="15">
        <f t="shared" ref="T34" si="84">T32+T33</f>
        <v>422875</v>
      </c>
      <c r="U34" s="11"/>
      <c r="V34" s="2">
        <f>AVERAGE(D34:T34)</f>
        <v>208196.9411764706</v>
      </c>
      <c r="W34" s="11"/>
      <c r="X34" s="11"/>
      <c r="Y34" s="11"/>
      <c r="Z34" s="11"/>
      <c r="AA34" s="11"/>
      <c r="AB34" s="2"/>
      <c r="AC34" s="2">
        <f t="shared" ref="AC34" si="85">SUM(D34:G34)</f>
        <v>367656</v>
      </c>
      <c r="AD34" s="2">
        <f t="shared" ref="AD34" si="86">SUM(H34:K34)</f>
        <v>499016</v>
      </c>
      <c r="AE34" s="2">
        <f>SUM(L34:O34)</f>
        <v>935950</v>
      </c>
      <c r="AF34" s="2">
        <f t="shared" ref="AF34" si="87">SUM(P34:S34)</f>
        <v>1313851</v>
      </c>
      <c r="AG34" s="2"/>
      <c r="AH34" s="2"/>
      <c r="AI34" s="2"/>
      <c r="AJ34" s="2">
        <f t="shared" si="68"/>
        <v>779118.25</v>
      </c>
      <c r="AK34" s="2"/>
      <c r="AL34" s="2"/>
      <c r="AM34" s="2"/>
      <c r="AN34" s="2"/>
      <c r="AO34" s="2"/>
    </row>
    <row r="35" spans="2:41" x14ac:dyDescent="0.25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2:41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1"/>
      <c r="W36" s="11"/>
      <c r="X36" s="11"/>
      <c r="Y36" s="11"/>
      <c r="Z36" s="11"/>
      <c r="AA36" s="11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2:41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1"/>
      <c r="W37" s="11"/>
      <c r="X37" s="11"/>
      <c r="Y37" s="11"/>
      <c r="Z37" s="11"/>
      <c r="AA37" s="11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2:41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1"/>
      <c r="W38" s="11"/>
      <c r="X38" s="11"/>
      <c r="Y38" s="11"/>
      <c r="Z38" s="11"/>
      <c r="AA38" s="11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2:4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</row>
    <row r="40" spans="2:4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2:4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2:4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2:4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2:4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2:4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2:4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2:4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2:4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3:21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</sheetData>
  <conditionalFormatting sqref="A1:XFD1048576">
    <cfRule type="expression" dxfId="0" priority="59">
      <formula>MOD(ROW(),2)=0</formula>
    </cfRule>
  </conditionalFormatting>
  <conditionalFormatting sqref="C4:U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U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U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U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U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U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U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U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U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U1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U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U1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U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U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U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U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U2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U2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U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T2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T2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T2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T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T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T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F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F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:AF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:AF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F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F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F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F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F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4:AF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F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:AF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F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F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9:AF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:AF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:AF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F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7:AF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8:AF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9:AF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F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3:AF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4:AF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N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:AO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Cratchley</dc:creator>
  <cp:keywords/>
  <dc:description/>
  <cp:lastModifiedBy>Ethan Cratchley</cp:lastModifiedBy>
  <cp:revision/>
  <dcterms:created xsi:type="dcterms:W3CDTF">2023-10-09T05:39:05Z</dcterms:created>
  <dcterms:modified xsi:type="dcterms:W3CDTF">2023-11-13T07:40:14Z</dcterms:modified>
  <cp:category/>
  <cp:contentStatus/>
</cp:coreProperties>
</file>