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zz5\OneDrive\Desktop\FModels\ATZ\"/>
    </mc:Choice>
  </mc:AlternateContent>
  <xr:revisionPtr revIDLastSave="0" documentId="8_{2DC0C92F-012E-47FE-9D9F-A4C7B1243D72}" xr6:coauthVersionLast="47" xr6:coauthVersionMax="47" xr10:uidLastSave="{00000000-0000-0000-0000-000000000000}"/>
  <bookViews>
    <workbookView xWindow="-120" yWindow="-120" windowWidth="29040" windowHeight="15840" xr2:uid="{645EE65A-A10C-4E22-88FB-D323E444812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7" i="2" l="1"/>
  <c r="AD17" i="2"/>
  <c r="AE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AC8" i="2"/>
  <c r="AB8" i="2"/>
  <c r="AC18" i="2" s="1"/>
  <c r="AE18" i="2"/>
  <c r="AD18" i="2"/>
  <c r="AC17" i="2"/>
  <c r="AB17" i="2"/>
  <c r="AE14" i="2"/>
  <c r="AE12" i="2"/>
  <c r="AE9" i="2"/>
  <c r="AB9" i="2"/>
  <c r="AB12" i="2" s="1"/>
  <c r="AB14" i="2" s="1"/>
  <c r="AE7" i="2"/>
  <c r="AC7" i="2"/>
  <c r="AC9" i="2" s="1"/>
  <c r="AC12" i="2" s="1"/>
  <c r="AC14" i="2" s="1"/>
  <c r="AB7" i="2"/>
  <c r="AE16" i="2" l="1"/>
  <c r="AE17" i="2"/>
  <c r="AB16" i="2"/>
  <c r="AC16" i="2"/>
  <c r="AB18" i="2"/>
  <c r="AH11" i="2"/>
  <c r="AT14" i="2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X14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DO14" i="2" s="1"/>
  <c r="DP14" i="2" s="1"/>
  <c r="DQ14" i="2" s="1"/>
  <c r="DR14" i="2" s="1"/>
  <c r="DS14" i="2" s="1"/>
  <c r="DT14" i="2" s="1"/>
  <c r="DU14" i="2" s="1"/>
  <c r="DV14" i="2" s="1"/>
  <c r="DW14" i="2" s="1"/>
  <c r="DX14" i="2" s="1"/>
  <c r="DY14" i="2" s="1"/>
  <c r="DZ14" i="2" s="1"/>
  <c r="EA14" i="2" s="1"/>
  <c r="EB14" i="2" s="1"/>
  <c r="EC14" i="2" s="1"/>
  <c r="ED14" i="2" s="1"/>
  <c r="EE14" i="2" s="1"/>
  <c r="EF14" i="2" s="1"/>
  <c r="EG14" i="2" s="1"/>
  <c r="EH14" i="2" s="1"/>
  <c r="EI14" i="2" s="1"/>
  <c r="EJ14" i="2" s="1"/>
  <c r="EK14" i="2" s="1"/>
  <c r="EL14" i="2" s="1"/>
  <c r="EM14" i="2" s="1"/>
  <c r="EN14" i="2" s="1"/>
  <c r="EO14" i="2" s="1"/>
  <c r="EP14" i="2" s="1"/>
  <c r="EQ14" i="2" s="1"/>
  <c r="ER14" i="2" s="1"/>
  <c r="ES14" i="2" s="1"/>
  <c r="ET14" i="2" s="1"/>
  <c r="EU14" i="2" s="1"/>
  <c r="EV14" i="2" s="1"/>
  <c r="EW14" i="2" s="1"/>
  <c r="EX14" i="2" s="1"/>
  <c r="EY14" i="2" s="1"/>
  <c r="EZ14" i="2" s="1"/>
  <c r="FA14" i="2" s="1"/>
  <c r="FB14" i="2" s="1"/>
  <c r="FC14" i="2" s="1"/>
  <c r="FD14" i="2" s="1"/>
  <c r="FE14" i="2" s="1"/>
  <c r="FF14" i="2" s="1"/>
  <c r="FG14" i="2" s="1"/>
  <c r="FH14" i="2" s="1"/>
  <c r="FI14" i="2" s="1"/>
  <c r="FJ14" i="2" s="1"/>
  <c r="FK14" i="2" s="1"/>
  <c r="FL14" i="2" s="1"/>
  <c r="FM14" i="2" s="1"/>
  <c r="FN14" i="2" s="1"/>
  <c r="FO14" i="2" s="1"/>
  <c r="FP14" i="2" s="1"/>
  <c r="FQ14" i="2" s="1"/>
  <c r="FR14" i="2" s="1"/>
  <c r="FS14" i="2" s="1"/>
  <c r="FT14" i="2" s="1"/>
  <c r="FU14" i="2" s="1"/>
  <c r="FV14" i="2" s="1"/>
  <c r="FW14" i="2" s="1"/>
  <c r="FX14" i="2" s="1"/>
  <c r="FY14" i="2" s="1"/>
  <c r="FZ14" i="2" s="1"/>
  <c r="GA14" i="2" s="1"/>
  <c r="GB14" i="2" s="1"/>
  <c r="GC14" i="2" s="1"/>
  <c r="GD14" i="2" s="1"/>
  <c r="GE14" i="2" s="1"/>
  <c r="GF14" i="2" s="1"/>
  <c r="AS14" i="2"/>
  <c r="AH8" i="2"/>
  <c r="AL14" i="2"/>
  <c r="AM16" i="2" s="1"/>
  <c r="AL12" i="2"/>
  <c r="AL9" i="2"/>
  <c r="AL7" i="2"/>
  <c r="AL8" i="2"/>
  <c r="AR18" i="2"/>
  <c r="AQ18" i="2"/>
  <c r="AP18" i="2"/>
  <c r="AO18" i="2"/>
  <c r="AN18" i="2"/>
  <c r="AR17" i="2"/>
  <c r="AQ17" i="2"/>
  <c r="AP17" i="2"/>
  <c r="AO17" i="2"/>
  <c r="AN17" i="2"/>
  <c r="AR16" i="2"/>
  <c r="AQ16" i="2"/>
  <c r="AP16" i="2"/>
  <c r="AO16" i="2"/>
  <c r="AN16" i="2"/>
  <c r="AM18" i="2"/>
  <c r="AM17" i="2"/>
  <c r="AR14" i="2"/>
  <c r="AR13" i="2"/>
  <c r="AR12" i="2"/>
  <c r="AR11" i="2"/>
  <c r="AR10" i="2"/>
  <c r="AR9" i="2"/>
  <c r="AR8" i="2"/>
  <c r="AR7" i="2"/>
  <c r="AR6" i="2"/>
  <c r="AR5" i="2"/>
  <c r="AQ14" i="2"/>
  <c r="AQ13" i="2"/>
  <c r="AQ12" i="2"/>
  <c r="AQ11" i="2"/>
  <c r="AQ10" i="2"/>
  <c r="AQ9" i="2"/>
  <c r="AQ8" i="2"/>
  <c r="AQ7" i="2"/>
  <c r="AQ6" i="2"/>
  <c r="AQ5" i="2"/>
  <c r="AO6" i="2"/>
  <c r="AO7" i="2"/>
  <c r="AO8" i="2"/>
  <c r="AO9" i="2"/>
  <c r="AO10" i="2"/>
  <c r="AO11" i="2"/>
  <c r="AO12" i="2"/>
  <c r="AO13" i="2"/>
  <c r="AO14" i="2"/>
  <c r="AO5" i="2"/>
  <c r="AP6" i="2"/>
  <c r="AP7" i="2"/>
  <c r="AP8" i="2"/>
  <c r="AP9" i="2"/>
  <c r="AP10" i="2"/>
  <c r="AP11" i="2"/>
  <c r="AP12" i="2"/>
  <c r="AP13" i="2"/>
  <c r="AP14" i="2"/>
  <c r="AP5" i="2"/>
  <c r="AN14" i="2"/>
  <c r="AN13" i="2"/>
  <c r="AN12" i="2"/>
  <c r="AN11" i="2"/>
  <c r="AN10" i="2"/>
  <c r="AN9" i="2"/>
  <c r="AN8" i="2"/>
  <c r="AN7" i="2"/>
  <c r="AN6" i="2"/>
  <c r="AN5" i="2"/>
  <c r="AM14" i="2"/>
  <c r="AM13" i="2"/>
  <c r="AM12" i="2"/>
  <c r="AM11" i="2"/>
  <c r="AM10" i="2"/>
  <c r="AM9" i="2"/>
  <c r="AM8" i="2"/>
  <c r="AM7" i="2"/>
  <c r="AM6" i="2"/>
  <c r="AM5" i="2"/>
  <c r="AA13" i="2"/>
  <c r="AA11" i="2"/>
  <c r="AA10" i="2"/>
  <c r="AA8" i="2"/>
  <c r="AA18" i="2" s="1"/>
  <c r="AA6" i="2"/>
  <c r="AA7" i="2" s="1"/>
  <c r="AA5" i="2"/>
  <c r="AA17" i="2" s="1"/>
  <c r="Z18" i="2"/>
  <c r="V18" i="2"/>
  <c r="J18" i="2"/>
  <c r="E18" i="2"/>
  <c r="Z17" i="2"/>
  <c r="Y17" i="2"/>
  <c r="V17" i="2"/>
  <c r="U17" i="2"/>
  <c r="T17" i="2"/>
  <c r="R17" i="2"/>
  <c r="Q17" i="2"/>
  <c r="P17" i="2"/>
  <c r="O17" i="2"/>
  <c r="N17" i="2"/>
  <c r="M17" i="2"/>
  <c r="J17" i="2"/>
  <c r="I17" i="2"/>
  <c r="H17" i="2"/>
  <c r="F17" i="2"/>
  <c r="E17" i="2"/>
  <c r="X8" i="2"/>
  <c r="Y18" i="2" s="1"/>
  <c r="W13" i="2"/>
  <c r="W11" i="2"/>
  <c r="W10" i="2"/>
  <c r="W6" i="2"/>
  <c r="W5" i="2"/>
  <c r="X17" i="2" s="1"/>
  <c r="V8" i="2"/>
  <c r="W8" i="2" s="1"/>
  <c r="W18" i="2" s="1"/>
  <c r="U8" i="2"/>
  <c r="U18" i="2" s="1"/>
  <c r="T8" i="2"/>
  <c r="S13" i="2"/>
  <c r="S11" i="2"/>
  <c r="S6" i="2"/>
  <c r="S7" i="2" s="1"/>
  <c r="S5" i="2"/>
  <c r="S17" i="2" s="1"/>
  <c r="R8" i="2"/>
  <c r="R18" i="2" s="1"/>
  <c r="Q10" i="2"/>
  <c r="S10" i="2" s="1"/>
  <c r="Q8" i="2"/>
  <c r="Q18" i="2" s="1"/>
  <c r="P8" i="2"/>
  <c r="O13" i="2"/>
  <c r="O11" i="2"/>
  <c r="O10" i="2"/>
  <c r="O8" i="2"/>
  <c r="O18" i="2" s="1"/>
  <c r="O6" i="2"/>
  <c r="O5" i="2"/>
  <c r="O7" i="2" s="1"/>
  <c r="N8" i="2"/>
  <c r="N18" i="2" s="1"/>
  <c r="M8" i="2"/>
  <c r="M18" i="2" s="1"/>
  <c r="L8" i="2"/>
  <c r="L18" i="2" s="1"/>
  <c r="K11" i="2"/>
  <c r="K13" i="2"/>
  <c r="K10" i="2"/>
  <c r="K6" i="2"/>
  <c r="K5" i="2"/>
  <c r="K7" i="2" s="1"/>
  <c r="G13" i="2"/>
  <c r="G11" i="2"/>
  <c r="G10" i="2"/>
  <c r="G6" i="2"/>
  <c r="G5" i="2"/>
  <c r="G17" i="2" s="1"/>
  <c r="G7" i="2"/>
  <c r="J8" i="2"/>
  <c r="I8" i="2"/>
  <c r="I18" i="2" s="1"/>
  <c r="H8" i="2"/>
  <c r="K8" i="2" s="1"/>
  <c r="K18" i="2" s="1"/>
  <c r="F8" i="2"/>
  <c r="F18" i="2" s="1"/>
  <c r="E8" i="2"/>
  <c r="Z7" i="2"/>
  <c r="Z9" i="2" s="1"/>
  <c r="Z12" i="2" s="1"/>
  <c r="Z14" i="2" s="1"/>
  <c r="Y7" i="2"/>
  <c r="Y9" i="2" s="1"/>
  <c r="Y12" i="2" s="1"/>
  <c r="Y14" i="2" s="1"/>
  <c r="X7" i="2"/>
  <c r="X9" i="2" s="1"/>
  <c r="X12" i="2" s="1"/>
  <c r="X14" i="2" s="1"/>
  <c r="V7" i="2"/>
  <c r="U7" i="2"/>
  <c r="T7" i="2"/>
  <c r="T9" i="2" s="1"/>
  <c r="T12" i="2" s="1"/>
  <c r="T14" i="2" s="1"/>
  <c r="R7" i="2"/>
  <c r="Q7" i="2"/>
  <c r="P7" i="2"/>
  <c r="N7" i="2"/>
  <c r="N9" i="2" s="1"/>
  <c r="N12" i="2" s="1"/>
  <c r="N14" i="2" s="1"/>
  <c r="M7" i="2"/>
  <c r="L7" i="2"/>
  <c r="J7" i="2"/>
  <c r="I7" i="2"/>
  <c r="H7" i="2"/>
  <c r="H9" i="2" s="1"/>
  <c r="H12" i="2" s="1"/>
  <c r="H14" i="2" s="1"/>
  <c r="F7" i="2"/>
  <c r="E7" i="2"/>
  <c r="E9" i="2" s="1"/>
  <c r="E12" i="2" s="1"/>
  <c r="E14" i="2" s="1"/>
  <c r="D8" i="2"/>
  <c r="G8" i="2" s="1"/>
  <c r="G18" i="2" s="1"/>
  <c r="D7" i="2"/>
  <c r="D9" i="2" s="1"/>
  <c r="D12" i="2" s="1"/>
  <c r="D14" i="2" s="1"/>
  <c r="E16" i="2" s="1"/>
  <c r="D20" i="1"/>
  <c r="D19" i="1"/>
  <c r="D18" i="1"/>
  <c r="AN4" i="2"/>
  <c r="AO4" i="2" s="1"/>
  <c r="AP4" i="2" s="1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AL4" i="2"/>
  <c r="AD16" i="2" l="1"/>
  <c r="AH7" i="2"/>
  <c r="AH9" i="2" s="1"/>
  <c r="AH12" i="2" s="1"/>
  <c r="AH13" i="2" s="1"/>
  <c r="N16" i="2"/>
  <c r="P18" i="2"/>
  <c r="S8" i="2"/>
  <c r="Q9" i="2"/>
  <c r="Q12" i="2" s="1"/>
  <c r="Q14" i="2" s="1"/>
  <c r="Q16" i="2" s="1"/>
  <c r="X18" i="2"/>
  <c r="R9" i="2"/>
  <c r="R12" i="2" s="1"/>
  <c r="R14" i="2" s="1"/>
  <c r="K17" i="2"/>
  <c r="W17" i="2"/>
  <c r="O9" i="2"/>
  <c r="O12" i="2" s="1"/>
  <c r="L17" i="2"/>
  <c r="H18" i="2"/>
  <c r="M9" i="2"/>
  <c r="M12" i="2" s="1"/>
  <c r="M14" i="2" s="1"/>
  <c r="AA9" i="2"/>
  <c r="AA12" i="2" s="1"/>
  <c r="AA14" i="2" s="1"/>
  <c r="AA16" i="2" s="1"/>
  <c r="Z16" i="2"/>
  <c r="Y16" i="2"/>
  <c r="W7" i="2"/>
  <c r="W9" i="2" s="1"/>
  <c r="W12" i="2" s="1"/>
  <c r="W14" i="2" s="1"/>
  <c r="X16" i="2" s="1"/>
  <c r="V9" i="2"/>
  <c r="V12" i="2" s="1"/>
  <c r="V14" i="2" s="1"/>
  <c r="U9" i="2"/>
  <c r="U12" i="2" s="1"/>
  <c r="U14" i="2" s="1"/>
  <c r="P9" i="2"/>
  <c r="P12" i="2" s="1"/>
  <c r="P14" i="2" s="1"/>
  <c r="O14" i="2"/>
  <c r="O16" i="2" s="1"/>
  <c r="L9" i="2"/>
  <c r="L12" i="2" s="1"/>
  <c r="L14" i="2" s="1"/>
  <c r="L16" i="2" s="1"/>
  <c r="K9" i="2"/>
  <c r="K12" i="2" s="1"/>
  <c r="K14" i="2" s="1"/>
  <c r="G9" i="2"/>
  <c r="G12" i="2" s="1"/>
  <c r="G14" i="2" s="1"/>
  <c r="J9" i="2"/>
  <c r="J12" i="2" s="1"/>
  <c r="J14" i="2" s="1"/>
  <c r="I9" i="2"/>
  <c r="I12" i="2" s="1"/>
  <c r="I14" i="2" s="1"/>
  <c r="I16" i="2" s="1"/>
  <c r="F9" i="2"/>
  <c r="D21" i="1"/>
  <c r="F12" i="2" l="1"/>
  <c r="F14" i="2" s="1"/>
  <c r="P16" i="2"/>
  <c r="T18" i="2"/>
  <c r="S18" i="2"/>
  <c r="J16" i="2"/>
  <c r="H16" i="2"/>
  <c r="S9" i="2"/>
  <c r="S12" i="2" s="1"/>
  <c r="S14" i="2" s="1"/>
  <c r="S16" i="2" s="1"/>
  <c r="K16" i="2"/>
  <c r="M16" i="2"/>
  <c r="R16" i="2"/>
  <c r="W16" i="2"/>
  <c r="V16" i="2"/>
  <c r="U16" i="2"/>
  <c r="T16" i="2"/>
  <c r="F16" i="2" l="1"/>
  <c r="G16" i="2"/>
</calcChain>
</file>

<file path=xl/sharedStrings.xml><?xml version="1.0" encoding="utf-8"?>
<sst xmlns="http://schemas.openxmlformats.org/spreadsheetml/2006/main" count="124" uniqueCount="87">
  <si>
    <t>Company Name:</t>
  </si>
  <si>
    <t>Description:</t>
  </si>
  <si>
    <t>Ticker:</t>
  </si>
  <si>
    <t>| - Ethan Cratchley</t>
  </si>
  <si>
    <t>Founder:</t>
  </si>
  <si>
    <t xml:space="preserve">Industry: </t>
  </si>
  <si>
    <t>Model</t>
  </si>
  <si>
    <t>Location:</t>
  </si>
  <si>
    <t>Website:</t>
  </si>
  <si>
    <t>Founded:</t>
  </si>
  <si>
    <t>Employees:</t>
  </si>
  <si>
    <t>CEO:</t>
  </si>
  <si>
    <t>CFO:</t>
  </si>
  <si>
    <t>Basic Info:</t>
  </si>
  <si>
    <t>P</t>
  </si>
  <si>
    <t>S/O</t>
  </si>
  <si>
    <t>MC</t>
  </si>
  <si>
    <t>C</t>
  </si>
  <si>
    <t>D</t>
  </si>
  <si>
    <t>EV</t>
  </si>
  <si>
    <t>12/02/2023</t>
  </si>
  <si>
    <t>ATZ</t>
  </si>
  <si>
    <t>ALL IN $ CAD</t>
  </si>
  <si>
    <t>Main</t>
  </si>
  <si>
    <t>Quarterly Reports:</t>
  </si>
  <si>
    <t>Annual Reports:</t>
  </si>
  <si>
    <t>Q1 -2018</t>
  </si>
  <si>
    <t>Q2 - 2018</t>
  </si>
  <si>
    <t>Q3 -2018</t>
  </si>
  <si>
    <t>Q4 - 2018</t>
  </si>
  <si>
    <t>Q1 - 2019</t>
  </si>
  <si>
    <t>Q2 - 2019</t>
  </si>
  <si>
    <t>Q3 -2019</t>
  </si>
  <si>
    <t>Q4 -2019</t>
  </si>
  <si>
    <t>Q1 - 2020</t>
  </si>
  <si>
    <t>Q2 -2020</t>
  </si>
  <si>
    <t>Q3 - 2020</t>
  </si>
  <si>
    <t>Q4 -2020</t>
  </si>
  <si>
    <t>Q1 -2021</t>
  </si>
  <si>
    <t>Q2 - 2021</t>
  </si>
  <si>
    <t>Q3 - 2021</t>
  </si>
  <si>
    <t>Q4 - 2021</t>
  </si>
  <si>
    <t>Q1 - 2022</t>
  </si>
  <si>
    <t>Q2 - 2022</t>
  </si>
  <si>
    <t>Q3 - 2022</t>
  </si>
  <si>
    <t>Q4 - 2022</t>
  </si>
  <si>
    <t>Q1 - 2023</t>
  </si>
  <si>
    <t>Q2 - 2023</t>
  </si>
  <si>
    <t>Q3- 2023</t>
  </si>
  <si>
    <t>Q4 - 2023</t>
  </si>
  <si>
    <t>Jennifer Wong</t>
  </si>
  <si>
    <t>aritzia.com</t>
  </si>
  <si>
    <t>Vancouver, BC, Canada</t>
  </si>
  <si>
    <t>Clothing, Retail</t>
  </si>
  <si>
    <t>Brian Hill</t>
  </si>
  <si>
    <t>Todd Ingledew</t>
  </si>
  <si>
    <t>ALL $ IN CAD THOUSANDS</t>
  </si>
  <si>
    <t>Revenue</t>
  </si>
  <si>
    <t>COGS</t>
  </si>
  <si>
    <t>Gross Profit</t>
  </si>
  <si>
    <t>Operating Expenses</t>
  </si>
  <si>
    <t>Finance Expense</t>
  </si>
  <si>
    <t>Other Expense</t>
  </si>
  <si>
    <t>Tax</t>
  </si>
  <si>
    <t>Net Income</t>
  </si>
  <si>
    <t>Income Before Tax</t>
  </si>
  <si>
    <t>Net Profit</t>
  </si>
  <si>
    <t>Net Income Growth</t>
  </si>
  <si>
    <t>Revenue Growth</t>
  </si>
  <si>
    <t>Expenses Growth</t>
  </si>
  <si>
    <t>Q1-2024</t>
  </si>
  <si>
    <t>Q2-2024</t>
  </si>
  <si>
    <t>Q3-2024</t>
  </si>
  <si>
    <t>Q4-2024</t>
  </si>
  <si>
    <t>Information:</t>
  </si>
  <si>
    <t>Maturity</t>
  </si>
  <si>
    <t>Discount Rate</t>
  </si>
  <si>
    <t>C-D</t>
  </si>
  <si>
    <t>NPV</t>
  </si>
  <si>
    <t>Net NPV</t>
  </si>
  <si>
    <t>Current</t>
  </si>
  <si>
    <t>Share</t>
  </si>
  <si>
    <t>Difference</t>
  </si>
  <si>
    <t>Share Price</t>
  </si>
  <si>
    <t>Miss</t>
  </si>
  <si>
    <t>Beat</t>
  </si>
  <si>
    <t>Notes: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</si>
</sst>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14" fontId="0" fillId="0" borderId="0" xfId="0" applyNumberFormat="1"/>
    <xf numFmtId="0" fontId="1" fillId="0" borderId="0" xfId="0" applyFont="1"/>
    <xf numFmtId="0" fontId="2" fillId="0" borderId="0" xfId="1" applyNumberFormat="1"/>
    <xf numFmtId="3" fontId="0" fillId="0" borderId="0" xfId="0" applyNumberFormat="1"/>
    <xf numFmtId="0" fontId="2" fillId="0" borderId="0" xfId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9" fontId="0" fillId="0" borderId="0" xfId="0" applyNumberFormat="1"/>
    <xf numFmtId="10" fontId="0" fillId="0" borderId="0" xfId="0" applyNumberFormat="1"/>
    <xf numFmtId="10" fontId="1" fillId="0" borderId="0" xfId="0" applyNumberFormat="1" applyFont="1"/>
    <xf numFmtId="0" fontId="0" fillId="0" borderId="0" xfId="0" applyAlignment="1">
      <alignment horizontal="right" vertical="top"/>
    </xf>
    <xf numFmtId="3" fontId="1" fillId="0" borderId="0" xfId="0" applyNumberFormat="1" applyFont="1"/>
    <xf numFmtId="10" fontId="0" fillId="0" borderId="0" xfId="0" applyNumberFormat="1" applyFont="1"/>
    <xf numFmtId="0" fontId="0" fillId="0" borderId="0" xfId="0" applyNumberFormat="1"/>
    <xf numFmtId="3" fontId="0" fillId="0" borderId="0" xfId="0" applyNumberFormat="1" applyAlignment="1">
      <alignment horizontal="right"/>
    </xf>
    <xf numFmtId="3" fontId="0" fillId="0" borderId="0" xfId="0" applyNumberFormat="1" applyFont="1"/>
  </cellXfs>
  <cellStyles count="2">
    <cellStyle name="Hyperlink" xfId="1" builtinId="8"/>
    <cellStyle name="Normal" xfId="0" builtinId="0"/>
  </cellStyles>
  <dxfs count="4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numFmt numFmtId="0" formatCode="General"/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70502-B4DC-46B0-8B7D-A5FD062945B7}">
  <dimension ref="A1:F23"/>
  <sheetViews>
    <sheetView tabSelected="1" workbookViewId="0">
      <selection activeCell="C25" sqref="C25"/>
    </sheetView>
  </sheetViews>
  <sheetFormatPr defaultRowHeight="15" x14ac:dyDescent="0.25"/>
  <cols>
    <col min="3" max="3" width="15.7109375" bestFit="1" customWidth="1"/>
    <col min="4" max="4" width="21.5703125" bestFit="1" customWidth="1"/>
    <col min="6" max="6" width="11.7109375" bestFit="1" customWidth="1"/>
  </cols>
  <sheetData>
    <row r="1" spans="1:6" x14ac:dyDescent="0.25">
      <c r="A1" s="1" t="s">
        <v>22</v>
      </c>
    </row>
    <row r="2" spans="1:6" x14ac:dyDescent="0.25">
      <c r="A2" s="2" t="s">
        <v>20</v>
      </c>
      <c r="C2" s="3" t="s">
        <v>0</v>
      </c>
      <c r="F2" s="3" t="s">
        <v>1</v>
      </c>
    </row>
    <row r="3" spans="1:6" x14ac:dyDescent="0.25">
      <c r="C3" s="3" t="s">
        <v>2</v>
      </c>
      <c r="D3" t="s">
        <v>21</v>
      </c>
    </row>
    <row r="4" spans="1:6" x14ac:dyDescent="0.25">
      <c r="A4" t="s">
        <v>3</v>
      </c>
      <c r="C4" s="3" t="s">
        <v>4</v>
      </c>
      <c r="D4" t="s">
        <v>54</v>
      </c>
    </row>
    <row r="5" spans="1:6" x14ac:dyDescent="0.25">
      <c r="C5" s="3" t="s">
        <v>5</v>
      </c>
      <c r="D5" t="s">
        <v>53</v>
      </c>
    </row>
    <row r="6" spans="1:6" x14ac:dyDescent="0.25">
      <c r="A6" s="4"/>
      <c r="C6" s="3" t="s">
        <v>7</v>
      </c>
      <c r="D6" t="s">
        <v>52</v>
      </c>
    </row>
    <row r="7" spans="1:6" x14ac:dyDescent="0.25">
      <c r="A7" s="6" t="s">
        <v>6</v>
      </c>
      <c r="C7" s="3" t="s">
        <v>8</v>
      </c>
      <c r="D7" t="s">
        <v>51</v>
      </c>
    </row>
    <row r="8" spans="1:6" x14ac:dyDescent="0.25">
      <c r="C8" s="3" t="s">
        <v>9</v>
      </c>
      <c r="D8">
        <v>1984</v>
      </c>
    </row>
    <row r="9" spans="1:6" x14ac:dyDescent="0.25">
      <c r="C9" s="3" t="s">
        <v>10</v>
      </c>
      <c r="D9" s="5">
        <v>8300</v>
      </c>
    </row>
    <row r="11" spans="1:6" x14ac:dyDescent="0.25">
      <c r="C11" s="3" t="s">
        <v>11</v>
      </c>
      <c r="D11" t="s">
        <v>50</v>
      </c>
    </row>
    <row r="12" spans="1:6" x14ac:dyDescent="0.25">
      <c r="C12" s="3" t="s">
        <v>12</v>
      </c>
      <c r="D12" t="s">
        <v>55</v>
      </c>
    </row>
    <row r="15" spans="1:6" x14ac:dyDescent="0.25">
      <c r="C15" s="3" t="s">
        <v>13</v>
      </c>
    </row>
    <row r="16" spans="1:6" x14ac:dyDescent="0.25">
      <c r="C16" t="s">
        <v>14</v>
      </c>
      <c r="D16" s="5">
        <v>24</v>
      </c>
    </row>
    <row r="17" spans="3:6" x14ac:dyDescent="0.25">
      <c r="C17" t="s">
        <v>15</v>
      </c>
      <c r="D17" s="5">
        <v>110820</v>
      </c>
    </row>
    <row r="18" spans="3:6" x14ac:dyDescent="0.25">
      <c r="C18" t="s">
        <v>16</v>
      </c>
      <c r="D18" s="5">
        <f>D16*D17</f>
        <v>2659680</v>
      </c>
      <c r="F18" s="5"/>
    </row>
    <row r="19" spans="3:6" x14ac:dyDescent="0.25">
      <c r="C19" t="s">
        <v>17</v>
      </c>
      <c r="D19" s="5">
        <f>46763+8651+3310+1818</f>
        <v>60542</v>
      </c>
    </row>
    <row r="20" spans="3:6" x14ac:dyDescent="0.25">
      <c r="C20" t="s">
        <v>18</v>
      </c>
      <c r="D20" s="5">
        <f>14942+662</f>
        <v>15604</v>
      </c>
    </row>
    <row r="21" spans="3:6" x14ac:dyDescent="0.25">
      <c r="C21" t="s">
        <v>19</v>
      </c>
      <c r="D21" s="5">
        <f>D18+D19-D20</f>
        <v>2704618</v>
      </c>
    </row>
    <row r="23" spans="3:6" x14ac:dyDescent="0.25">
      <c r="C23" s="3" t="s">
        <v>86</v>
      </c>
    </row>
  </sheetData>
  <conditionalFormatting sqref="A22:XFD1048576 G1:XFD21 A9:F21">
    <cfRule type="expression" dxfId="3" priority="3">
      <formula>MOD(ROW(),2)=0</formula>
    </cfRule>
  </conditionalFormatting>
  <conditionalFormatting sqref="A1:F1 A2:B8 D2:F8">
    <cfRule type="expression" dxfId="2" priority="2">
      <formula>MOD(ROW(),2)=0</formula>
    </cfRule>
  </conditionalFormatting>
  <conditionalFormatting sqref="C2:C8">
    <cfRule type="expression" dxfId="1" priority="1">
      <formula>MOD(ROW(),2)=0</formula>
    </cfRule>
  </conditionalFormatting>
  <hyperlinks>
    <hyperlink ref="A7" location="Model!A1" display="Model" xr:uid="{B555C193-34C3-4248-84F1-B958259B3F45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E592D-D6B3-4845-B6A2-9CC455703B0D}">
  <dimension ref="A1:GF61"/>
  <sheetViews>
    <sheetView topLeftCell="AG1" workbookViewId="0">
      <selection activeCell="L22" sqref="L21:M22"/>
    </sheetView>
  </sheetViews>
  <sheetFormatPr defaultRowHeight="15" x14ac:dyDescent="0.25"/>
  <cols>
    <col min="3" max="3" width="18.85546875" bestFit="1" customWidth="1"/>
    <col min="17" max="18" width="9.85546875" bestFit="1" customWidth="1"/>
    <col min="28" max="30" width="8.140625" bestFit="1" customWidth="1"/>
    <col min="31" max="31" width="8.42578125" bestFit="1" customWidth="1"/>
    <col min="33" max="33" width="13.28515625" bestFit="1" customWidth="1"/>
    <col min="37" max="37" width="18.85546875" bestFit="1" customWidth="1"/>
  </cols>
  <sheetData>
    <row r="1" spans="1:188" x14ac:dyDescent="0.25">
      <c r="A1" s="1" t="s">
        <v>56</v>
      </c>
    </row>
    <row r="2" spans="1:188" x14ac:dyDescent="0.25">
      <c r="A2" s="6"/>
    </row>
    <row r="3" spans="1:188" x14ac:dyDescent="0.25">
      <c r="A3" s="6"/>
      <c r="C3" s="3" t="s">
        <v>24</v>
      </c>
      <c r="D3" s="3"/>
      <c r="E3" s="3"/>
      <c r="F3" s="3"/>
      <c r="G3" s="5"/>
      <c r="AK3" s="3" t="s">
        <v>25</v>
      </c>
      <c r="AL3" s="3"/>
    </row>
    <row r="4" spans="1:188" x14ac:dyDescent="0.25">
      <c r="A4" s="6" t="s">
        <v>23</v>
      </c>
      <c r="D4" t="s">
        <v>26</v>
      </c>
      <c r="E4" t="s">
        <v>27</v>
      </c>
      <c r="F4" t="s">
        <v>28</v>
      </c>
      <c r="G4" s="7" t="s">
        <v>29</v>
      </c>
      <c r="H4" s="8" t="s">
        <v>30</v>
      </c>
      <c r="I4" s="8" t="s">
        <v>31</v>
      </c>
      <c r="J4" s="8" t="s">
        <v>32</v>
      </c>
      <c r="K4" s="7" t="s">
        <v>33</v>
      </c>
      <c r="L4" s="8" t="s">
        <v>34</v>
      </c>
      <c r="M4" s="8" t="s">
        <v>35</v>
      </c>
      <c r="N4" s="8" t="s">
        <v>36</v>
      </c>
      <c r="O4" s="7" t="s">
        <v>37</v>
      </c>
      <c r="P4" s="8" t="s">
        <v>38</v>
      </c>
      <c r="Q4" s="8" t="s">
        <v>39</v>
      </c>
      <c r="R4" s="8" t="s">
        <v>40</v>
      </c>
      <c r="S4" s="7" t="s">
        <v>41</v>
      </c>
      <c r="T4" s="8" t="s">
        <v>42</v>
      </c>
      <c r="U4" s="8" t="s">
        <v>43</v>
      </c>
      <c r="V4" s="8" t="s">
        <v>44</v>
      </c>
      <c r="W4" s="7" t="s">
        <v>45</v>
      </c>
      <c r="X4" s="8" t="s">
        <v>46</v>
      </c>
      <c r="Y4" s="8" t="s">
        <v>47</v>
      </c>
      <c r="Z4" s="8" t="s">
        <v>48</v>
      </c>
      <c r="AA4" s="7" t="s">
        <v>49</v>
      </c>
      <c r="AB4" s="8" t="s">
        <v>70</v>
      </c>
      <c r="AC4" s="12" t="s">
        <v>71</v>
      </c>
      <c r="AD4" s="8" t="s">
        <v>72</v>
      </c>
      <c r="AE4" s="7" t="s">
        <v>73</v>
      </c>
      <c r="AG4" s="3" t="s">
        <v>74</v>
      </c>
      <c r="AL4" s="3">
        <f>AM4-1</f>
        <v>2017</v>
      </c>
      <c r="AM4" s="3">
        <v>2018</v>
      </c>
      <c r="AN4" s="3">
        <f>AM4+1</f>
        <v>2019</v>
      </c>
      <c r="AO4" s="3">
        <f t="shared" ref="AO4:BI4" si="0">AN4+1</f>
        <v>2020</v>
      </c>
      <c r="AP4" s="3">
        <f t="shared" si="0"/>
        <v>2021</v>
      </c>
      <c r="AQ4" s="3">
        <f t="shared" si="0"/>
        <v>2022</v>
      </c>
      <c r="AR4" s="3">
        <f t="shared" si="0"/>
        <v>2023</v>
      </c>
      <c r="AS4" s="3">
        <f t="shared" si="0"/>
        <v>2024</v>
      </c>
      <c r="AT4" s="3">
        <f t="shared" si="0"/>
        <v>2025</v>
      </c>
      <c r="AU4" s="3">
        <f t="shared" si="0"/>
        <v>2026</v>
      </c>
      <c r="AV4" s="3">
        <f t="shared" si="0"/>
        <v>2027</v>
      </c>
      <c r="AW4" s="3">
        <f t="shared" si="0"/>
        <v>2028</v>
      </c>
      <c r="AX4" s="3">
        <f t="shared" si="0"/>
        <v>2029</v>
      </c>
      <c r="AY4" s="3">
        <f t="shared" si="0"/>
        <v>2030</v>
      </c>
      <c r="AZ4" s="3">
        <f t="shared" si="0"/>
        <v>2031</v>
      </c>
      <c r="BA4" s="3">
        <f t="shared" si="0"/>
        <v>2032</v>
      </c>
      <c r="BB4" s="3">
        <f t="shared" si="0"/>
        <v>2033</v>
      </c>
      <c r="BC4" s="3">
        <f t="shared" si="0"/>
        <v>2034</v>
      </c>
      <c r="BD4" s="3">
        <f t="shared" si="0"/>
        <v>2035</v>
      </c>
      <c r="BE4" s="3">
        <f t="shared" si="0"/>
        <v>2036</v>
      </c>
      <c r="BF4" s="3">
        <f t="shared" si="0"/>
        <v>2037</v>
      </c>
      <c r="BG4" s="3">
        <f t="shared" si="0"/>
        <v>2038</v>
      </c>
      <c r="BH4" s="3">
        <f t="shared" si="0"/>
        <v>2039</v>
      </c>
      <c r="BI4" s="3">
        <f t="shared" si="0"/>
        <v>2040</v>
      </c>
    </row>
    <row r="5" spans="1:188" x14ac:dyDescent="0.25">
      <c r="C5" s="3" t="s">
        <v>57</v>
      </c>
      <c r="D5" s="5">
        <v>145046</v>
      </c>
      <c r="E5" s="5">
        <v>173968</v>
      </c>
      <c r="F5" s="5">
        <v>204449</v>
      </c>
      <c r="G5" s="13">
        <f>-D5-E5-F5+743267</f>
        <v>219804</v>
      </c>
      <c r="H5" s="5">
        <v>167011</v>
      </c>
      <c r="I5" s="5">
        <v>205359</v>
      </c>
      <c r="J5" s="5">
        <v>242876</v>
      </c>
      <c r="K5" s="13">
        <f>874296-J5-I5-H5</f>
        <v>259050</v>
      </c>
      <c r="L5" s="5">
        <v>196699</v>
      </c>
      <c r="M5" s="5">
        <v>241178</v>
      </c>
      <c r="N5" s="5">
        <v>267282</v>
      </c>
      <c r="O5" s="13">
        <f>980589-N5-M5-L5</f>
        <v>275430</v>
      </c>
      <c r="P5" s="5">
        <v>111389</v>
      </c>
      <c r="Q5" s="5">
        <v>200155</v>
      </c>
      <c r="R5" s="13">
        <v>278254</v>
      </c>
      <c r="S5" s="5">
        <f>857323-R5-Q5-P5</f>
        <v>267525</v>
      </c>
      <c r="T5" s="5">
        <v>246916</v>
      </c>
      <c r="U5" s="5">
        <v>350069</v>
      </c>
      <c r="V5" s="13">
        <v>453323</v>
      </c>
      <c r="W5" s="5">
        <f>1494630-V5-U5-T5</f>
        <v>444322</v>
      </c>
      <c r="X5" s="5">
        <v>407910</v>
      </c>
      <c r="Y5" s="5">
        <v>525523</v>
      </c>
      <c r="Z5" s="17">
        <v>624615</v>
      </c>
      <c r="AA5" s="13">
        <f>2195630-Z5-Y5-X5</f>
        <v>637582</v>
      </c>
      <c r="AB5" s="5">
        <v>462665</v>
      </c>
      <c r="AC5" s="5">
        <v>534191</v>
      </c>
      <c r="AD5" s="5"/>
      <c r="AE5" s="5"/>
      <c r="AF5" s="5"/>
      <c r="AG5" s="5" t="s">
        <v>75</v>
      </c>
      <c r="AH5" s="10">
        <v>0.01</v>
      </c>
      <c r="AI5" s="5"/>
      <c r="AJ5" s="5"/>
      <c r="AK5" s="3" t="s">
        <v>57</v>
      </c>
      <c r="AL5" s="5">
        <v>667181</v>
      </c>
      <c r="AM5" s="5">
        <f>SUM(D5:G5)</f>
        <v>743267</v>
      </c>
      <c r="AN5" s="5">
        <f>SUM(H5:K5)</f>
        <v>874296</v>
      </c>
      <c r="AO5" s="5">
        <f>SUM(L5:O5)</f>
        <v>980589</v>
      </c>
      <c r="AP5" s="5">
        <f>SUM(P5:S5)</f>
        <v>857323</v>
      </c>
      <c r="AQ5" s="5">
        <f>SUM(T5:W5)</f>
        <v>1494630</v>
      </c>
      <c r="AR5" s="5">
        <f>SUM(X5:AA5)</f>
        <v>2195630</v>
      </c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</row>
    <row r="6" spans="1:188" x14ac:dyDescent="0.25">
      <c r="A6" s="4"/>
      <c r="C6" s="3" t="s">
        <v>58</v>
      </c>
      <c r="D6" s="5">
        <v>87508</v>
      </c>
      <c r="E6" s="5">
        <v>110838</v>
      </c>
      <c r="F6" s="5">
        <v>112911</v>
      </c>
      <c r="G6" s="5">
        <f>-D6-E6-F6+447776</f>
        <v>136519</v>
      </c>
      <c r="H6" s="5">
        <v>99468</v>
      </c>
      <c r="I6" s="5">
        <v>128625</v>
      </c>
      <c r="J6" s="5">
        <v>138087</v>
      </c>
      <c r="K6" s="5">
        <f>531383-H6-I6-J6</f>
        <v>165203</v>
      </c>
      <c r="L6" s="5">
        <v>111138</v>
      </c>
      <c r="M6" s="5">
        <v>145751</v>
      </c>
      <c r="N6" s="5">
        <v>147687</v>
      </c>
      <c r="O6" s="5">
        <f>577165-N6-M6-L6</f>
        <v>172589</v>
      </c>
      <c r="P6" s="5">
        <v>98328</v>
      </c>
      <c r="Q6" s="5">
        <v>129719</v>
      </c>
      <c r="R6" s="5">
        <v>152171</v>
      </c>
      <c r="S6" s="5">
        <f>544818-R6-Q6-P6</f>
        <v>164600</v>
      </c>
      <c r="T6" s="5">
        <v>137808</v>
      </c>
      <c r="U6" s="5">
        <v>193873</v>
      </c>
      <c r="V6" s="5">
        <v>243181</v>
      </c>
      <c r="W6" s="5">
        <f>839678-V6-U6-T6</f>
        <v>264816</v>
      </c>
      <c r="X6" s="5">
        <v>227014</v>
      </c>
      <c r="Y6" s="5">
        <v>305250</v>
      </c>
      <c r="Z6" s="5">
        <v>353952</v>
      </c>
      <c r="AA6" s="5">
        <f>1281638-Z6-Y6-X6</f>
        <v>395422</v>
      </c>
      <c r="AB6" s="5">
        <v>282714</v>
      </c>
      <c r="AC6" s="5">
        <v>347345</v>
      </c>
      <c r="AD6" s="5"/>
      <c r="AE6" s="5"/>
      <c r="AF6" s="5"/>
      <c r="AG6" s="5" t="s">
        <v>76</v>
      </c>
      <c r="AH6" s="14">
        <v>0.06</v>
      </c>
      <c r="AI6" s="5"/>
      <c r="AJ6" s="5"/>
      <c r="AK6" s="3" t="s">
        <v>58</v>
      </c>
      <c r="AL6" s="5">
        <v>401658</v>
      </c>
      <c r="AM6" s="5">
        <f t="shared" ref="AL6:AM14" si="1">SUM(D6:G6)</f>
        <v>447776</v>
      </c>
      <c r="AN6" s="5">
        <f t="shared" ref="AN6:AN14" si="2">SUM(H6:K6)</f>
        <v>531383</v>
      </c>
      <c r="AO6" s="5">
        <f t="shared" ref="AO6:AO14" si="3">SUM(L6:O6)</f>
        <v>577165</v>
      </c>
      <c r="AP6" s="5">
        <f t="shared" ref="AP6:AP14" si="4">SUM(P6:S6)</f>
        <v>544818</v>
      </c>
      <c r="AQ6" s="5">
        <f t="shared" ref="AQ6:AQ14" si="5">SUM(T6:W6)</f>
        <v>839678</v>
      </c>
      <c r="AR6" s="5">
        <f t="shared" ref="AR6:AR14" si="6">SUM(X6:AA6)</f>
        <v>1281638</v>
      </c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</row>
    <row r="7" spans="1:188" x14ac:dyDescent="0.25">
      <c r="C7" s="3" t="s">
        <v>59</v>
      </c>
      <c r="D7" s="5">
        <f>D5-D6</f>
        <v>57538</v>
      </c>
      <c r="E7" s="5">
        <f t="shared" ref="E7:AE7" si="7">E5-E6</f>
        <v>63130</v>
      </c>
      <c r="F7" s="5">
        <f t="shared" si="7"/>
        <v>91538</v>
      </c>
      <c r="G7" s="5">
        <f t="shared" si="7"/>
        <v>83285</v>
      </c>
      <c r="H7" s="5">
        <f t="shared" si="7"/>
        <v>67543</v>
      </c>
      <c r="I7" s="5">
        <f t="shared" si="7"/>
        <v>76734</v>
      </c>
      <c r="J7" s="5">
        <f t="shared" si="7"/>
        <v>104789</v>
      </c>
      <c r="K7" s="5">
        <f t="shared" si="7"/>
        <v>93847</v>
      </c>
      <c r="L7" s="5">
        <f t="shared" si="7"/>
        <v>85561</v>
      </c>
      <c r="M7" s="5">
        <f t="shared" si="7"/>
        <v>95427</v>
      </c>
      <c r="N7" s="5">
        <f t="shared" si="7"/>
        <v>119595</v>
      </c>
      <c r="O7" s="5">
        <f t="shared" si="7"/>
        <v>102841</v>
      </c>
      <c r="P7" s="5">
        <f t="shared" si="7"/>
        <v>13061</v>
      </c>
      <c r="Q7" s="5">
        <f t="shared" si="7"/>
        <v>70436</v>
      </c>
      <c r="R7" s="5">
        <f t="shared" si="7"/>
        <v>126083</v>
      </c>
      <c r="S7" s="5">
        <f t="shared" si="7"/>
        <v>102925</v>
      </c>
      <c r="T7" s="5">
        <f t="shared" si="7"/>
        <v>109108</v>
      </c>
      <c r="U7" s="5">
        <f t="shared" si="7"/>
        <v>156196</v>
      </c>
      <c r="V7" s="5">
        <f t="shared" si="7"/>
        <v>210142</v>
      </c>
      <c r="W7" s="5">
        <f t="shared" si="7"/>
        <v>179506</v>
      </c>
      <c r="X7" s="5">
        <f t="shared" si="7"/>
        <v>180896</v>
      </c>
      <c r="Y7" s="5">
        <f t="shared" si="7"/>
        <v>220273</v>
      </c>
      <c r="Z7" s="5">
        <f t="shared" si="7"/>
        <v>270663</v>
      </c>
      <c r="AA7" s="5">
        <f t="shared" si="7"/>
        <v>242160</v>
      </c>
      <c r="AB7" s="5">
        <f t="shared" si="7"/>
        <v>179951</v>
      </c>
      <c r="AC7" s="5">
        <f t="shared" si="7"/>
        <v>186846</v>
      </c>
      <c r="AD7" s="5"/>
      <c r="AE7" s="5">
        <f t="shared" si="7"/>
        <v>0</v>
      </c>
      <c r="AF7" s="5"/>
      <c r="AG7" s="13" t="s">
        <v>78</v>
      </c>
      <c r="AH7" s="5">
        <f>NPV(AH6,AL14:GF14)</f>
        <v>2907594.2298863274</v>
      </c>
      <c r="AI7" s="5"/>
      <c r="AJ7" s="5"/>
      <c r="AK7" s="3" t="s">
        <v>59</v>
      </c>
      <c r="AL7" s="5">
        <f>AL5-AL6</f>
        <v>265523</v>
      </c>
      <c r="AM7" s="5">
        <f t="shared" si="1"/>
        <v>295491</v>
      </c>
      <c r="AN7" s="5">
        <f t="shared" si="2"/>
        <v>342913</v>
      </c>
      <c r="AO7" s="5">
        <f t="shared" si="3"/>
        <v>403424</v>
      </c>
      <c r="AP7" s="5">
        <f t="shared" si="4"/>
        <v>312505</v>
      </c>
      <c r="AQ7" s="5">
        <f t="shared" si="5"/>
        <v>654952</v>
      </c>
      <c r="AR7" s="5">
        <f t="shared" si="6"/>
        <v>913992</v>
      </c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</row>
    <row r="8" spans="1:188" x14ac:dyDescent="0.25">
      <c r="C8" s="3" t="s">
        <v>60</v>
      </c>
      <c r="D8" s="5">
        <f>40843+4667</f>
        <v>45510</v>
      </c>
      <c r="E8" s="5">
        <f>44572+3044</f>
        <v>47616</v>
      </c>
      <c r="F8" s="5">
        <f>47704+3930</f>
        <v>51634</v>
      </c>
      <c r="G8" s="5">
        <f>-D8-E8-F8+(183857+17240)</f>
        <v>56337</v>
      </c>
      <c r="H8" s="5">
        <f>46993+3819</f>
        <v>50812</v>
      </c>
      <c r="I8" s="5">
        <f>52824+2229</f>
        <v>55053</v>
      </c>
      <c r="J8" s="5">
        <f>56554+2896</f>
        <v>59450</v>
      </c>
      <c r="K8" s="5">
        <f>215297+11540-H8-I8-J8</f>
        <v>61522</v>
      </c>
      <c r="L8" s="5">
        <f>2374+54429</f>
        <v>56803</v>
      </c>
      <c r="M8" s="5">
        <f>1942+60567</f>
        <v>62509</v>
      </c>
      <c r="N8" s="5">
        <f>64035+1063</f>
        <v>65098</v>
      </c>
      <c r="O8" s="5">
        <f>243362+7790-N8-M8-L8</f>
        <v>66742</v>
      </c>
      <c r="P8" s="5">
        <f>43511+979</f>
        <v>44490</v>
      </c>
      <c r="Q8" s="5">
        <f>60151+2147</f>
        <v>62298</v>
      </c>
      <c r="R8" s="5">
        <f>74707+3372</f>
        <v>78079</v>
      </c>
      <c r="S8" s="5">
        <f>250726+10691-R8-Q8-P8</f>
        <v>76550</v>
      </c>
      <c r="T8" s="5">
        <f>70382+3035</f>
        <v>73417</v>
      </c>
      <c r="U8" s="5">
        <f>92115+8262</f>
        <v>100377</v>
      </c>
      <c r="V8" s="5">
        <f>110084+9109</f>
        <v>119193</v>
      </c>
      <c r="W8" s="5">
        <f>392802+26131-V8-U8-T8</f>
        <v>125946</v>
      </c>
      <c r="X8" s="5">
        <f>120279+673</f>
        <v>120952</v>
      </c>
      <c r="Y8" s="5">
        <v>147154</v>
      </c>
      <c r="Z8" s="5">
        <v>163737</v>
      </c>
      <c r="AA8" s="5">
        <f>602469+24369-Z8-Y8-X8</f>
        <v>194995</v>
      </c>
      <c r="AB8" s="5">
        <f>153459+4928</f>
        <v>158387</v>
      </c>
      <c r="AC8" s="5">
        <f>171116+2051</f>
        <v>173167</v>
      </c>
      <c r="AD8" s="5"/>
      <c r="AE8" s="5"/>
      <c r="AF8" s="5"/>
      <c r="AG8" s="5" t="s">
        <v>77</v>
      </c>
      <c r="AH8" s="5">
        <f>Main!D19-Main!D20</f>
        <v>44938</v>
      </c>
      <c r="AI8" s="5"/>
      <c r="AJ8" s="5"/>
      <c r="AK8" s="3" t="s">
        <v>60</v>
      </c>
      <c r="AL8" s="5">
        <f>178773+103444</f>
        <v>282217</v>
      </c>
      <c r="AM8" s="5">
        <f t="shared" si="1"/>
        <v>201097</v>
      </c>
      <c r="AN8" s="5">
        <f t="shared" si="2"/>
        <v>226837</v>
      </c>
      <c r="AO8" s="5">
        <f t="shared" si="3"/>
        <v>251152</v>
      </c>
      <c r="AP8" s="5">
        <f t="shared" si="4"/>
        <v>261417</v>
      </c>
      <c r="AQ8" s="5">
        <f t="shared" si="5"/>
        <v>418933</v>
      </c>
      <c r="AR8" s="5">
        <f t="shared" si="6"/>
        <v>626838</v>
      </c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</row>
    <row r="9" spans="1:188" x14ac:dyDescent="0.25">
      <c r="C9" s="3" t="s">
        <v>66</v>
      </c>
      <c r="D9" s="5">
        <f>D7-D8</f>
        <v>12028</v>
      </c>
      <c r="E9" s="5">
        <f>E7-E8</f>
        <v>15514</v>
      </c>
      <c r="F9" s="5">
        <f t="shared" ref="F9:AE9" si="8">F7-F8</f>
        <v>39904</v>
      </c>
      <c r="G9" s="5">
        <f t="shared" si="8"/>
        <v>26948</v>
      </c>
      <c r="H9" s="5">
        <f t="shared" si="8"/>
        <v>16731</v>
      </c>
      <c r="I9" s="5">
        <f t="shared" si="8"/>
        <v>21681</v>
      </c>
      <c r="J9" s="5">
        <f t="shared" si="8"/>
        <v>45339</v>
      </c>
      <c r="K9" s="5">
        <f t="shared" si="8"/>
        <v>32325</v>
      </c>
      <c r="L9" s="5">
        <f t="shared" si="8"/>
        <v>28758</v>
      </c>
      <c r="M9" s="5">
        <f t="shared" si="8"/>
        <v>32918</v>
      </c>
      <c r="N9" s="5">
        <f t="shared" si="8"/>
        <v>54497</v>
      </c>
      <c r="O9" s="5">
        <f t="shared" si="8"/>
        <v>36099</v>
      </c>
      <c r="P9" s="5">
        <f t="shared" si="8"/>
        <v>-31429</v>
      </c>
      <c r="Q9" s="5">
        <f t="shared" si="8"/>
        <v>8138</v>
      </c>
      <c r="R9" s="5">
        <f t="shared" si="8"/>
        <v>48004</v>
      </c>
      <c r="S9" s="5">
        <f t="shared" si="8"/>
        <v>26375</v>
      </c>
      <c r="T9" s="5">
        <f t="shared" si="8"/>
        <v>35691</v>
      </c>
      <c r="U9" s="5">
        <f t="shared" si="8"/>
        <v>55819</v>
      </c>
      <c r="V9" s="5">
        <f t="shared" si="8"/>
        <v>90949</v>
      </c>
      <c r="W9" s="5">
        <f t="shared" si="8"/>
        <v>53560</v>
      </c>
      <c r="X9" s="5">
        <f t="shared" si="8"/>
        <v>59944</v>
      </c>
      <c r="Y9" s="5">
        <f t="shared" si="8"/>
        <v>73119</v>
      </c>
      <c r="Z9" s="5">
        <f t="shared" si="8"/>
        <v>106926</v>
      </c>
      <c r="AA9" s="5">
        <f t="shared" si="8"/>
        <v>47165</v>
      </c>
      <c r="AB9" s="5">
        <f t="shared" si="8"/>
        <v>21564</v>
      </c>
      <c r="AC9" s="5">
        <f t="shared" si="8"/>
        <v>13679</v>
      </c>
      <c r="AD9" s="5"/>
      <c r="AE9" s="5">
        <f t="shared" si="8"/>
        <v>0</v>
      </c>
      <c r="AF9" s="5"/>
      <c r="AG9" s="13" t="s">
        <v>79</v>
      </c>
      <c r="AH9" s="5">
        <f>AH7+AH8</f>
        <v>2952532.2298863274</v>
      </c>
      <c r="AI9" s="5"/>
      <c r="AJ9" s="5"/>
      <c r="AK9" s="3" t="s">
        <v>66</v>
      </c>
      <c r="AL9" s="5">
        <f>AL7-AL8</f>
        <v>-16694</v>
      </c>
      <c r="AM9" s="5">
        <f t="shared" si="1"/>
        <v>94394</v>
      </c>
      <c r="AN9" s="5">
        <f t="shared" si="2"/>
        <v>116076</v>
      </c>
      <c r="AO9" s="5">
        <f t="shared" si="3"/>
        <v>152272</v>
      </c>
      <c r="AP9" s="5">
        <f t="shared" si="4"/>
        <v>51088</v>
      </c>
      <c r="AQ9" s="5">
        <f t="shared" si="5"/>
        <v>236019</v>
      </c>
      <c r="AR9" s="5">
        <f t="shared" si="6"/>
        <v>287154</v>
      </c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</row>
    <row r="10" spans="1:188" x14ac:dyDescent="0.25">
      <c r="C10" s="3" t="s">
        <v>61</v>
      </c>
      <c r="D10" s="5">
        <v>1266</v>
      </c>
      <c r="E10" s="5">
        <v>1382</v>
      </c>
      <c r="F10" s="5">
        <v>1255</v>
      </c>
      <c r="G10" s="5">
        <f>-D10-E10-F10+5221</f>
        <v>1318</v>
      </c>
      <c r="H10" s="5">
        <v>1391</v>
      </c>
      <c r="I10" s="5">
        <v>1110</v>
      </c>
      <c r="J10" s="5">
        <v>1101</v>
      </c>
      <c r="K10" s="5">
        <f>4821-H10-I10-J10</f>
        <v>1219</v>
      </c>
      <c r="L10" s="5">
        <v>7227</v>
      </c>
      <c r="M10" s="5">
        <v>7157</v>
      </c>
      <c r="N10" s="5">
        <v>7021</v>
      </c>
      <c r="O10" s="5">
        <f>28319-N10-M10-L10</f>
        <v>6914</v>
      </c>
      <c r="P10" s="5">
        <v>7390</v>
      </c>
      <c r="Q10" s="5">
        <f>7355</f>
        <v>7355</v>
      </c>
      <c r="R10" s="5">
        <v>7211</v>
      </c>
      <c r="S10" s="5">
        <f>28420-R10-Q10-P10</f>
        <v>6464</v>
      </c>
      <c r="T10" s="5">
        <v>6434</v>
      </c>
      <c r="U10" s="5">
        <v>6156</v>
      </c>
      <c r="V10" s="5">
        <v>6160</v>
      </c>
      <c r="W10" s="5">
        <f>25202-V10-U10-T10</f>
        <v>6452</v>
      </c>
      <c r="X10" s="5">
        <v>6048</v>
      </c>
      <c r="Y10" s="5">
        <v>6658</v>
      </c>
      <c r="Z10" s="5">
        <v>9056</v>
      </c>
      <c r="AA10" s="5">
        <f>31263-Z10-Y10-X10</f>
        <v>9501</v>
      </c>
      <c r="AB10" s="5">
        <v>11232</v>
      </c>
      <c r="AC10" s="5">
        <v>11793</v>
      </c>
      <c r="AD10" s="5"/>
      <c r="AE10" s="5"/>
      <c r="AF10" s="5"/>
      <c r="AG10" s="5"/>
      <c r="AH10" s="5"/>
      <c r="AI10" s="5"/>
      <c r="AJ10" s="5"/>
      <c r="AK10" s="3" t="s">
        <v>61</v>
      </c>
      <c r="AL10" s="5">
        <v>10455</v>
      </c>
      <c r="AM10" s="5">
        <f t="shared" si="1"/>
        <v>5221</v>
      </c>
      <c r="AN10" s="5">
        <f t="shared" si="2"/>
        <v>4821</v>
      </c>
      <c r="AO10" s="5">
        <f t="shared" si="3"/>
        <v>28319</v>
      </c>
      <c r="AP10" s="5">
        <f t="shared" si="4"/>
        <v>28420</v>
      </c>
      <c r="AQ10" s="5">
        <f t="shared" si="5"/>
        <v>25202</v>
      </c>
      <c r="AR10" s="5">
        <f t="shared" si="6"/>
        <v>31263</v>
      </c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</row>
    <row r="11" spans="1:188" x14ac:dyDescent="0.25">
      <c r="C11" s="3" t="s">
        <v>62</v>
      </c>
      <c r="D11" s="5">
        <v>-2226</v>
      </c>
      <c r="E11" s="5">
        <v>6420</v>
      </c>
      <c r="F11" s="5">
        <v>-2013</v>
      </c>
      <c r="G11" s="5">
        <f>-D11-E11-F11+1890</f>
        <v>-291</v>
      </c>
      <c r="H11" s="5">
        <v>-2955</v>
      </c>
      <c r="I11" s="5">
        <v>-876</v>
      </c>
      <c r="J11" s="5">
        <v>-1403</v>
      </c>
      <c r="K11" s="5">
        <f>H11-I11-J11+395</f>
        <v>-281</v>
      </c>
      <c r="L11" s="5">
        <v>-1279</v>
      </c>
      <c r="M11" s="5">
        <v>667</v>
      </c>
      <c r="N11" s="5">
        <v>-216</v>
      </c>
      <c r="O11" s="5">
        <f>-2815-N11-M11-L11</f>
        <v>-1987</v>
      </c>
      <c r="P11" s="5">
        <v>-1218</v>
      </c>
      <c r="Q11" s="5">
        <v>1345</v>
      </c>
      <c r="R11" s="5">
        <v>-1532</v>
      </c>
      <c r="S11" s="5">
        <f>-3534-R11-Q11-P11</f>
        <v>-2129</v>
      </c>
      <c r="T11" s="5">
        <v>3856</v>
      </c>
      <c r="U11" s="5">
        <v>-7161</v>
      </c>
      <c r="V11" s="5">
        <v>-6218</v>
      </c>
      <c r="W11" s="5">
        <f>-8783-U11-V11-T11</f>
        <v>740</v>
      </c>
      <c r="X11" s="5">
        <v>6522</v>
      </c>
      <c r="Y11" s="5">
        <v>-6496</v>
      </c>
      <c r="Z11" s="5">
        <v>-11994</v>
      </c>
      <c r="AA11" s="5">
        <f>-7916-Z11-Y11-X11</f>
        <v>4052</v>
      </c>
      <c r="AB11" s="5">
        <v>-10371</v>
      </c>
      <c r="AC11" s="5">
        <v>7288</v>
      </c>
      <c r="AD11" s="5"/>
      <c r="AE11" s="5"/>
      <c r="AF11" s="5"/>
      <c r="AG11" s="13" t="s">
        <v>80</v>
      </c>
      <c r="AH11" s="5">
        <f>Main!D16</f>
        <v>24</v>
      </c>
      <c r="AI11" s="5"/>
      <c r="AJ11" s="5"/>
      <c r="AK11" s="3" t="s">
        <v>62</v>
      </c>
      <c r="AL11" s="5">
        <v>-1362</v>
      </c>
      <c r="AM11" s="5">
        <f t="shared" si="1"/>
        <v>1890</v>
      </c>
      <c r="AN11" s="5">
        <f t="shared" si="2"/>
        <v>-5515</v>
      </c>
      <c r="AO11" s="5">
        <f t="shared" si="3"/>
        <v>-2815</v>
      </c>
      <c r="AP11" s="5">
        <f t="shared" si="4"/>
        <v>-3534</v>
      </c>
      <c r="AQ11" s="5">
        <f t="shared" si="5"/>
        <v>-8783</v>
      </c>
      <c r="AR11" s="5">
        <f t="shared" si="6"/>
        <v>-7916</v>
      </c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</row>
    <row r="12" spans="1:188" x14ac:dyDescent="0.25">
      <c r="C12" s="3" t="s">
        <v>65</v>
      </c>
      <c r="D12" s="5">
        <f>D9-D10-D11</f>
        <v>12988</v>
      </c>
      <c r="E12" s="5">
        <f t="shared" ref="E12:AE12" si="9">E9-E10-E11</f>
        <v>7712</v>
      </c>
      <c r="F12" s="5">
        <f>F9-F10-F11</f>
        <v>40662</v>
      </c>
      <c r="G12" s="5">
        <f t="shared" si="9"/>
        <v>25921</v>
      </c>
      <c r="H12" s="5">
        <f t="shared" si="9"/>
        <v>18295</v>
      </c>
      <c r="I12" s="5">
        <f t="shared" si="9"/>
        <v>21447</v>
      </c>
      <c r="J12" s="5">
        <f t="shared" si="9"/>
        <v>45641</v>
      </c>
      <c r="K12" s="5">
        <f t="shared" si="9"/>
        <v>31387</v>
      </c>
      <c r="L12" s="5">
        <f t="shared" si="9"/>
        <v>22810</v>
      </c>
      <c r="M12" s="5">
        <f t="shared" si="9"/>
        <v>25094</v>
      </c>
      <c r="N12" s="5">
        <f t="shared" si="9"/>
        <v>47692</v>
      </c>
      <c r="O12" s="5">
        <f t="shared" si="9"/>
        <v>31172</v>
      </c>
      <c r="P12" s="5">
        <f t="shared" si="9"/>
        <v>-37601</v>
      </c>
      <c r="Q12" s="5">
        <f t="shared" si="9"/>
        <v>-562</v>
      </c>
      <c r="R12" s="5">
        <f t="shared" si="9"/>
        <v>42325</v>
      </c>
      <c r="S12" s="5">
        <f t="shared" si="9"/>
        <v>22040</v>
      </c>
      <c r="T12" s="5">
        <f t="shared" si="9"/>
        <v>25401</v>
      </c>
      <c r="U12" s="5">
        <f t="shared" si="9"/>
        <v>56824</v>
      </c>
      <c r="V12" s="5">
        <f t="shared" si="9"/>
        <v>91007</v>
      </c>
      <c r="W12" s="5">
        <f t="shared" si="9"/>
        <v>46368</v>
      </c>
      <c r="X12" s="5">
        <f t="shared" si="9"/>
        <v>47374</v>
      </c>
      <c r="Y12" s="5">
        <f t="shared" si="9"/>
        <v>72957</v>
      </c>
      <c r="Z12" s="5">
        <f t="shared" si="9"/>
        <v>109864</v>
      </c>
      <c r="AA12" s="5">
        <f t="shared" si="9"/>
        <v>33612</v>
      </c>
      <c r="AB12" s="5">
        <f t="shared" si="9"/>
        <v>20703</v>
      </c>
      <c r="AC12" s="5">
        <f t="shared" si="9"/>
        <v>-5402</v>
      </c>
      <c r="AD12" s="5"/>
      <c r="AE12" s="5">
        <f t="shared" si="9"/>
        <v>0</v>
      </c>
      <c r="AF12" s="5"/>
      <c r="AG12" s="13" t="s">
        <v>81</v>
      </c>
      <c r="AH12" s="5">
        <f>AH9/Main!D17</f>
        <v>26.642593664377618</v>
      </c>
      <c r="AI12" s="5"/>
      <c r="AJ12" s="5"/>
      <c r="AK12" s="3" t="s">
        <v>65</v>
      </c>
      <c r="AL12" s="5">
        <f>AL9-AL10-AL11</f>
        <v>-25787</v>
      </c>
      <c r="AM12" s="5">
        <f t="shared" si="1"/>
        <v>87283</v>
      </c>
      <c r="AN12" s="5">
        <f t="shared" si="2"/>
        <v>116770</v>
      </c>
      <c r="AO12" s="5">
        <f t="shared" si="3"/>
        <v>126768</v>
      </c>
      <c r="AP12" s="5">
        <f t="shared" si="4"/>
        <v>26202</v>
      </c>
      <c r="AQ12" s="5">
        <f t="shared" si="5"/>
        <v>219600</v>
      </c>
      <c r="AR12" s="5">
        <f t="shared" si="6"/>
        <v>263807</v>
      </c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</row>
    <row r="13" spans="1:188" x14ac:dyDescent="0.25">
      <c r="C13" s="3" t="s">
        <v>63</v>
      </c>
      <c r="D13" s="5">
        <v>4859</v>
      </c>
      <c r="E13" s="5">
        <v>2722</v>
      </c>
      <c r="F13" s="5">
        <v>12589</v>
      </c>
      <c r="G13" s="5">
        <f>-D13-E13-F13+30190</f>
        <v>10020</v>
      </c>
      <c r="H13" s="5">
        <v>6005</v>
      </c>
      <c r="I13" s="5">
        <v>6332</v>
      </c>
      <c r="J13" s="5">
        <v>13041</v>
      </c>
      <c r="K13" s="5">
        <f>32922-H13-I13-J13</f>
        <v>7544</v>
      </c>
      <c r="L13" s="5">
        <v>6654</v>
      </c>
      <c r="M13" s="5">
        <v>7177</v>
      </c>
      <c r="N13" s="5">
        <v>12889</v>
      </c>
      <c r="O13" s="5">
        <f>35544-N13-M13-L13</f>
        <v>8824</v>
      </c>
      <c r="P13" s="5">
        <v>-11130</v>
      </c>
      <c r="Q13" s="5">
        <v>312</v>
      </c>
      <c r="R13" s="5">
        <v>11823</v>
      </c>
      <c r="S13" s="5">
        <f>6975-R13-Q13-P13</f>
        <v>5970</v>
      </c>
      <c r="T13" s="5">
        <v>7498</v>
      </c>
      <c r="U13" s="5">
        <v>16616</v>
      </c>
      <c r="V13" s="5">
        <v>26066</v>
      </c>
      <c r="W13" s="5">
        <f>62683-V13-T13-U13</f>
        <v>12503</v>
      </c>
      <c r="X13" s="5">
        <v>14113</v>
      </c>
      <c r="Y13" s="5">
        <v>17715</v>
      </c>
      <c r="Z13" s="5">
        <v>27578</v>
      </c>
      <c r="AA13" s="5">
        <f>76219-Z13-Y13-X13</f>
        <v>16813</v>
      </c>
      <c r="AB13" s="5">
        <v>3233</v>
      </c>
      <c r="AC13" s="5">
        <v>588</v>
      </c>
      <c r="AD13" s="5"/>
      <c r="AE13" s="5"/>
      <c r="AF13" s="5"/>
      <c r="AG13" s="13" t="s">
        <v>82</v>
      </c>
      <c r="AH13" s="10">
        <f>AH12/AH11-1</f>
        <v>0.11010806934906747</v>
      </c>
      <c r="AI13" s="5"/>
      <c r="AJ13" s="5"/>
      <c r="AK13" s="3" t="s">
        <v>63</v>
      </c>
      <c r="AL13" s="5">
        <v>30722</v>
      </c>
      <c r="AM13" s="5">
        <f t="shared" si="1"/>
        <v>30190</v>
      </c>
      <c r="AN13" s="5">
        <f t="shared" si="2"/>
        <v>32922</v>
      </c>
      <c r="AO13" s="5">
        <f t="shared" si="3"/>
        <v>35544</v>
      </c>
      <c r="AP13" s="5">
        <f t="shared" si="4"/>
        <v>6975</v>
      </c>
      <c r="AQ13" s="5">
        <f t="shared" si="5"/>
        <v>62683</v>
      </c>
      <c r="AR13" s="5">
        <f t="shared" si="6"/>
        <v>76219</v>
      </c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</row>
    <row r="14" spans="1:188" x14ac:dyDescent="0.25">
      <c r="C14" s="3" t="s">
        <v>64</v>
      </c>
      <c r="D14" s="5">
        <f>D12-D13</f>
        <v>8129</v>
      </c>
      <c r="E14" s="5">
        <f t="shared" ref="E14:AE14" si="10">E12-E13</f>
        <v>4990</v>
      </c>
      <c r="F14" s="5">
        <f t="shared" si="10"/>
        <v>28073</v>
      </c>
      <c r="G14" s="5">
        <f t="shared" si="10"/>
        <v>15901</v>
      </c>
      <c r="H14" s="5">
        <f t="shared" si="10"/>
        <v>12290</v>
      </c>
      <c r="I14" s="5">
        <f t="shared" si="10"/>
        <v>15115</v>
      </c>
      <c r="J14" s="5">
        <f t="shared" si="10"/>
        <v>32600</v>
      </c>
      <c r="K14" s="5">
        <f t="shared" si="10"/>
        <v>23843</v>
      </c>
      <c r="L14" s="5">
        <f t="shared" si="10"/>
        <v>16156</v>
      </c>
      <c r="M14" s="5">
        <f t="shared" si="10"/>
        <v>17917</v>
      </c>
      <c r="N14" s="5">
        <f t="shared" si="10"/>
        <v>34803</v>
      </c>
      <c r="O14" s="5">
        <f t="shared" si="10"/>
        <v>22348</v>
      </c>
      <c r="P14" s="5">
        <f t="shared" si="10"/>
        <v>-26471</v>
      </c>
      <c r="Q14" s="5">
        <f t="shared" si="10"/>
        <v>-874</v>
      </c>
      <c r="R14" s="5">
        <f t="shared" si="10"/>
        <v>30502</v>
      </c>
      <c r="S14" s="5">
        <f t="shared" si="10"/>
        <v>16070</v>
      </c>
      <c r="T14" s="5">
        <f t="shared" si="10"/>
        <v>17903</v>
      </c>
      <c r="U14" s="5">
        <f t="shared" si="10"/>
        <v>40208</v>
      </c>
      <c r="V14" s="5">
        <f t="shared" si="10"/>
        <v>64941</v>
      </c>
      <c r="W14" s="5">
        <f t="shared" si="10"/>
        <v>33865</v>
      </c>
      <c r="X14" s="5">
        <f t="shared" si="10"/>
        <v>33261</v>
      </c>
      <c r="Y14" s="5">
        <f t="shared" si="10"/>
        <v>55242</v>
      </c>
      <c r="Z14" s="5">
        <f t="shared" si="10"/>
        <v>82286</v>
      </c>
      <c r="AA14" s="5">
        <f t="shared" si="10"/>
        <v>16799</v>
      </c>
      <c r="AB14" s="5">
        <f t="shared" si="10"/>
        <v>17470</v>
      </c>
      <c r="AC14" s="5">
        <f t="shared" si="10"/>
        <v>-5990</v>
      </c>
      <c r="AD14" s="5"/>
      <c r="AE14" s="5">
        <f t="shared" si="10"/>
        <v>0</v>
      </c>
      <c r="AF14" s="5"/>
      <c r="AG14" s="5"/>
      <c r="AH14" s="5"/>
      <c r="AI14" s="5"/>
      <c r="AJ14" s="5"/>
      <c r="AK14" s="3" t="s">
        <v>64</v>
      </c>
      <c r="AL14" s="5">
        <f>AL12-AL13</f>
        <v>-56509</v>
      </c>
      <c r="AM14" s="5">
        <f t="shared" si="1"/>
        <v>57093</v>
      </c>
      <c r="AN14" s="5">
        <f t="shared" si="2"/>
        <v>83848</v>
      </c>
      <c r="AO14" s="5">
        <f t="shared" si="3"/>
        <v>91224</v>
      </c>
      <c r="AP14" s="5">
        <f t="shared" si="4"/>
        <v>19227</v>
      </c>
      <c r="AQ14" s="5">
        <f t="shared" si="5"/>
        <v>156917</v>
      </c>
      <c r="AR14" s="5">
        <f t="shared" si="6"/>
        <v>187588</v>
      </c>
      <c r="AS14" s="5">
        <f>AR14*($AH5+1)</f>
        <v>189463.88</v>
      </c>
      <c r="AT14" s="5">
        <f t="shared" ref="AT14:DE14" si="11">AS14*($AH5+1)</f>
        <v>191358.51880000002</v>
      </c>
      <c r="AU14" s="5">
        <f t="shared" si="11"/>
        <v>193272.10398800002</v>
      </c>
      <c r="AV14" s="5">
        <f t="shared" si="11"/>
        <v>195204.82502788003</v>
      </c>
      <c r="AW14" s="5">
        <f t="shared" si="11"/>
        <v>197156.87327815883</v>
      </c>
      <c r="AX14" s="5">
        <f t="shared" si="11"/>
        <v>199128.44201094043</v>
      </c>
      <c r="AY14" s="5">
        <f t="shared" si="11"/>
        <v>201119.72643104984</v>
      </c>
      <c r="AZ14" s="5">
        <f t="shared" si="11"/>
        <v>203130.92369536034</v>
      </c>
      <c r="BA14" s="5">
        <f t="shared" si="11"/>
        <v>205162.23293231396</v>
      </c>
      <c r="BB14" s="5">
        <f t="shared" si="11"/>
        <v>207213.8552616371</v>
      </c>
      <c r="BC14" s="5">
        <f t="shared" si="11"/>
        <v>209285.99381425348</v>
      </c>
      <c r="BD14" s="5">
        <f t="shared" si="11"/>
        <v>211378.85375239601</v>
      </c>
      <c r="BE14" s="5">
        <f t="shared" si="11"/>
        <v>213492.64228991998</v>
      </c>
      <c r="BF14" s="5">
        <f t="shared" si="11"/>
        <v>215627.56871281919</v>
      </c>
      <c r="BG14" s="5">
        <f t="shared" si="11"/>
        <v>217783.84439994738</v>
      </c>
      <c r="BH14" s="5">
        <f t="shared" si="11"/>
        <v>219961.68284394685</v>
      </c>
      <c r="BI14" s="5">
        <f t="shared" si="11"/>
        <v>222161.29967238632</v>
      </c>
      <c r="BJ14" s="5">
        <f t="shared" si="11"/>
        <v>224382.91266911017</v>
      </c>
      <c r="BK14" s="5">
        <f t="shared" si="11"/>
        <v>226626.74179580127</v>
      </c>
      <c r="BL14" s="5">
        <f t="shared" si="11"/>
        <v>228893.00921375927</v>
      </c>
      <c r="BM14" s="5">
        <f t="shared" si="11"/>
        <v>231181.93930589687</v>
      </c>
      <c r="BN14" s="5">
        <f t="shared" si="11"/>
        <v>233493.75869895585</v>
      </c>
      <c r="BO14" s="5">
        <f t="shared" si="11"/>
        <v>235828.69628594542</v>
      </c>
      <c r="BP14" s="5">
        <f t="shared" si="11"/>
        <v>238186.98324880487</v>
      </c>
      <c r="BQ14" s="5">
        <f t="shared" si="11"/>
        <v>240568.85308129291</v>
      </c>
      <c r="BR14" s="5">
        <f t="shared" si="11"/>
        <v>242974.54161210585</v>
      </c>
      <c r="BS14" s="5">
        <f t="shared" si="11"/>
        <v>245404.28702822691</v>
      </c>
      <c r="BT14" s="5">
        <f t="shared" si="11"/>
        <v>247858.3298985092</v>
      </c>
      <c r="BU14" s="5">
        <f t="shared" si="11"/>
        <v>250336.91319749429</v>
      </c>
      <c r="BV14" s="5">
        <f t="shared" si="11"/>
        <v>252840.28232946922</v>
      </c>
      <c r="BW14" s="5">
        <f t="shared" si="11"/>
        <v>255368.68515276391</v>
      </c>
      <c r="BX14" s="5">
        <f t="shared" si="11"/>
        <v>257922.37200429154</v>
      </c>
      <c r="BY14" s="5">
        <f t="shared" si="11"/>
        <v>260501.59572433445</v>
      </c>
      <c r="BZ14" s="5">
        <f t="shared" si="11"/>
        <v>263106.61168157781</v>
      </c>
      <c r="CA14" s="5">
        <f t="shared" si="11"/>
        <v>265737.67779839359</v>
      </c>
      <c r="CB14" s="5">
        <f t="shared" si="11"/>
        <v>268395.0545763775</v>
      </c>
      <c r="CC14" s="5">
        <f t="shared" si="11"/>
        <v>271079.00512214127</v>
      </c>
      <c r="CD14" s="5">
        <f t="shared" si="11"/>
        <v>273789.79517336271</v>
      </c>
      <c r="CE14" s="5">
        <f t="shared" si="11"/>
        <v>276527.69312509632</v>
      </c>
      <c r="CF14" s="5">
        <f t="shared" si="11"/>
        <v>279292.97005634732</v>
      </c>
      <c r="CG14" s="5">
        <f t="shared" si="11"/>
        <v>282085.8997569108</v>
      </c>
      <c r="CH14" s="5">
        <f t="shared" si="11"/>
        <v>284906.75875447993</v>
      </c>
      <c r="CI14" s="5">
        <f t="shared" si="11"/>
        <v>287755.82634202472</v>
      </c>
      <c r="CJ14" s="5">
        <f t="shared" si="11"/>
        <v>290633.38460544497</v>
      </c>
      <c r="CK14" s="5">
        <f t="shared" si="11"/>
        <v>293539.71845149942</v>
      </c>
      <c r="CL14" s="5">
        <f t="shared" si="11"/>
        <v>296475.11563601444</v>
      </c>
      <c r="CM14" s="5">
        <f t="shared" si="11"/>
        <v>299439.86679237458</v>
      </c>
      <c r="CN14" s="5">
        <f t="shared" si="11"/>
        <v>302434.26546029834</v>
      </c>
      <c r="CO14" s="5">
        <f t="shared" si="11"/>
        <v>305458.60811490135</v>
      </c>
      <c r="CP14" s="5">
        <f t="shared" si="11"/>
        <v>308513.19419605035</v>
      </c>
      <c r="CQ14" s="5">
        <f t="shared" si="11"/>
        <v>311598.32613801083</v>
      </c>
      <c r="CR14" s="5">
        <f t="shared" si="11"/>
        <v>314714.30939939094</v>
      </c>
      <c r="CS14" s="5">
        <f t="shared" si="11"/>
        <v>317861.45249338483</v>
      </c>
      <c r="CT14" s="5">
        <f t="shared" si="11"/>
        <v>321040.06701831869</v>
      </c>
      <c r="CU14" s="5">
        <f t="shared" si="11"/>
        <v>324250.46768850187</v>
      </c>
      <c r="CV14" s="5">
        <f t="shared" si="11"/>
        <v>327492.9723653869</v>
      </c>
      <c r="CW14" s="5">
        <f t="shared" si="11"/>
        <v>330767.90208904078</v>
      </c>
      <c r="CX14" s="5">
        <f t="shared" si="11"/>
        <v>334075.58110993117</v>
      </c>
      <c r="CY14" s="5">
        <f t="shared" si="11"/>
        <v>337416.33692103048</v>
      </c>
      <c r="CZ14" s="5">
        <f t="shared" si="11"/>
        <v>340790.5002902408</v>
      </c>
      <c r="DA14" s="5">
        <f t="shared" si="11"/>
        <v>344198.40529314324</v>
      </c>
      <c r="DB14" s="5">
        <f t="shared" si="11"/>
        <v>347640.38934607466</v>
      </c>
      <c r="DC14" s="5">
        <f t="shared" si="11"/>
        <v>351116.79323953541</v>
      </c>
      <c r="DD14" s="5">
        <f t="shared" si="11"/>
        <v>354627.96117193077</v>
      </c>
      <c r="DE14" s="5">
        <f t="shared" si="11"/>
        <v>358174.24078365008</v>
      </c>
      <c r="DF14" s="5">
        <f t="shared" ref="DF14:FQ14" si="12">DE14*($AH5+1)</f>
        <v>361755.98319148656</v>
      </c>
      <c r="DG14" s="5">
        <f t="shared" si="12"/>
        <v>365373.54302340141</v>
      </c>
      <c r="DH14" s="5">
        <f t="shared" si="12"/>
        <v>369027.2784536354</v>
      </c>
      <c r="DI14" s="5">
        <f t="shared" si="12"/>
        <v>372717.55123817176</v>
      </c>
      <c r="DJ14" s="5">
        <f t="shared" si="12"/>
        <v>376444.72675055347</v>
      </c>
      <c r="DK14" s="5">
        <f t="shared" si="12"/>
        <v>380209.17401805898</v>
      </c>
      <c r="DL14" s="5">
        <f t="shared" si="12"/>
        <v>384011.26575823961</v>
      </c>
      <c r="DM14" s="5">
        <f t="shared" si="12"/>
        <v>387851.37841582199</v>
      </c>
      <c r="DN14" s="5">
        <f t="shared" si="12"/>
        <v>391729.89219998021</v>
      </c>
      <c r="DO14" s="5">
        <f t="shared" si="12"/>
        <v>395647.19112198002</v>
      </c>
      <c r="DP14" s="5">
        <f t="shared" si="12"/>
        <v>399603.66303319985</v>
      </c>
      <c r="DQ14" s="5">
        <f t="shared" si="12"/>
        <v>403599.69966353185</v>
      </c>
      <c r="DR14" s="5">
        <f t="shared" si="12"/>
        <v>407635.69666016719</v>
      </c>
      <c r="DS14" s="5">
        <f t="shared" si="12"/>
        <v>411712.05362676887</v>
      </c>
      <c r="DT14" s="5">
        <f t="shared" si="12"/>
        <v>415829.17416303657</v>
      </c>
      <c r="DU14" s="5">
        <f t="shared" si="12"/>
        <v>419987.46590466693</v>
      </c>
      <c r="DV14" s="5">
        <f t="shared" si="12"/>
        <v>424187.34056371357</v>
      </c>
      <c r="DW14" s="5">
        <f t="shared" si="12"/>
        <v>428429.21396935073</v>
      </c>
      <c r="DX14" s="5">
        <f t="shared" si="12"/>
        <v>432713.50610904425</v>
      </c>
      <c r="DY14" s="5">
        <f t="shared" si="12"/>
        <v>437040.64117013471</v>
      </c>
      <c r="DZ14" s="5">
        <f t="shared" si="12"/>
        <v>441411.04758183606</v>
      </c>
      <c r="EA14" s="5">
        <f t="shared" si="12"/>
        <v>445825.15805765439</v>
      </c>
      <c r="EB14" s="5">
        <f t="shared" si="12"/>
        <v>450283.40963823092</v>
      </c>
      <c r="EC14" s="5">
        <f t="shared" si="12"/>
        <v>454786.24373461324</v>
      </c>
      <c r="ED14" s="5">
        <f t="shared" si="12"/>
        <v>459334.10617195937</v>
      </c>
      <c r="EE14" s="5">
        <f t="shared" si="12"/>
        <v>463927.44723367895</v>
      </c>
      <c r="EF14" s="5">
        <f t="shared" si="12"/>
        <v>468566.72170601576</v>
      </c>
      <c r="EG14" s="5">
        <f t="shared" si="12"/>
        <v>473252.38892307592</v>
      </c>
      <c r="EH14" s="5">
        <f t="shared" si="12"/>
        <v>477984.91281230666</v>
      </c>
      <c r="EI14" s="5">
        <f t="shared" si="12"/>
        <v>482764.76194042974</v>
      </c>
      <c r="EJ14" s="5">
        <f t="shared" si="12"/>
        <v>487592.40955983405</v>
      </c>
      <c r="EK14" s="5">
        <f t="shared" si="12"/>
        <v>492468.33365543239</v>
      </c>
      <c r="EL14" s="5">
        <f t="shared" si="12"/>
        <v>497393.01699198672</v>
      </c>
      <c r="EM14" s="5">
        <f t="shared" si="12"/>
        <v>502366.94716190657</v>
      </c>
      <c r="EN14" s="5">
        <f t="shared" si="12"/>
        <v>507390.61663352564</v>
      </c>
      <c r="EO14" s="5">
        <f t="shared" si="12"/>
        <v>512464.52279986092</v>
      </c>
      <c r="EP14" s="5">
        <f t="shared" si="12"/>
        <v>517589.16802785953</v>
      </c>
      <c r="EQ14" s="5">
        <f t="shared" si="12"/>
        <v>522765.05970813811</v>
      </c>
      <c r="ER14" s="5">
        <f t="shared" si="12"/>
        <v>527992.71030521952</v>
      </c>
      <c r="ES14" s="5">
        <f t="shared" si="12"/>
        <v>533272.63740827166</v>
      </c>
      <c r="ET14" s="5">
        <f t="shared" si="12"/>
        <v>538605.3637823544</v>
      </c>
      <c r="EU14" s="5">
        <f t="shared" si="12"/>
        <v>543991.41742017795</v>
      </c>
      <c r="EV14" s="5">
        <f t="shared" si="12"/>
        <v>549431.33159437974</v>
      </c>
      <c r="EW14" s="5">
        <f t="shared" si="12"/>
        <v>554925.64491032355</v>
      </c>
      <c r="EX14" s="5">
        <f t="shared" si="12"/>
        <v>560474.90135942679</v>
      </c>
      <c r="EY14" s="5">
        <f t="shared" si="12"/>
        <v>566079.65037302102</v>
      </c>
      <c r="EZ14" s="5">
        <f t="shared" si="12"/>
        <v>571740.44687675126</v>
      </c>
      <c r="FA14" s="5">
        <f t="shared" si="12"/>
        <v>577457.85134551872</v>
      </c>
      <c r="FB14" s="5">
        <f t="shared" si="12"/>
        <v>583232.42985897395</v>
      </c>
      <c r="FC14" s="5">
        <f t="shared" si="12"/>
        <v>589064.75415756367</v>
      </c>
      <c r="FD14" s="5">
        <f t="shared" si="12"/>
        <v>594955.40169913927</v>
      </c>
      <c r="FE14" s="5">
        <f t="shared" si="12"/>
        <v>600904.95571613067</v>
      </c>
      <c r="FF14" s="5">
        <f t="shared" si="12"/>
        <v>606914.00527329196</v>
      </c>
      <c r="FG14" s="5">
        <f t="shared" si="12"/>
        <v>612983.14532602485</v>
      </c>
      <c r="FH14" s="5">
        <f t="shared" si="12"/>
        <v>619112.97677928512</v>
      </c>
      <c r="FI14" s="5">
        <f t="shared" si="12"/>
        <v>625304.106547078</v>
      </c>
      <c r="FJ14" s="5">
        <f t="shared" si="12"/>
        <v>631557.14761254878</v>
      </c>
      <c r="FK14" s="5">
        <f t="shared" si="12"/>
        <v>637872.71908867429</v>
      </c>
      <c r="FL14" s="5">
        <f t="shared" si="12"/>
        <v>644251.44627956103</v>
      </c>
      <c r="FM14" s="5">
        <f t="shared" si="12"/>
        <v>650693.9607423566</v>
      </c>
      <c r="FN14" s="5">
        <f t="shared" si="12"/>
        <v>657200.90034978022</v>
      </c>
      <c r="FO14" s="5">
        <f t="shared" si="12"/>
        <v>663772.909353278</v>
      </c>
      <c r="FP14" s="5">
        <f t="shared" si="12"/>
        <v>670410.63844681077</v>
      </c>
      <c r="FQ14" s="5">
        <f t="shared" si="12"/>
        <v>677114.74483127892</v>
      </c>
      <c r="FR14" s="5">
        <f t="shared" ref="FR14:GF14" si="13">FQ14*($AH5+1)</f>
        <v>683885.89227959176</v>
      </c>
      <c r="FS14" s="5">
        <f t="shared" si="13"/>
        <v>690724.75120238774</v>
      </c>
      <c r="FT14" s="5">
        <f t="shared" si="13"/>
        <v>697631.99871441163</v>
      </c>
      <c r="FU14" s="5">
        <f t="shared" si="13"/>
        <v>704608.31870155572</v>
      </c>
      <c r="FV14" s="5">
        <f t="shared" si="13"/>
        <v>711654.40188857133</v>
      </c>
      <c r="FW14" s="5">
        <f t="shared" si="13"/>
        <v>718770.94590745703</v>
      </c>
      <c r="FX14" s="5">
        <f t="shared" si="13"/>
        <v>725958.65536653157</v>
      </c>
      <c r="FY14" s="5">
        <f t="shared" si="13"/>
        <v>733218.24192019692</v>
      </c>
      <c r="FZ14" s="5">
        <f t="shared" si="13"/>
        <v>740550.42433939886</v>
      </c>
      <c r="GA14" s="5">
        <f t="shared" si="13"/>
        <v>747955.92858279287</v>
      </c>
      <c r="GB14" s="5">
        <f t="shared" si="13"/>
        <v>755435.48786862078</v>
      </c>
      <c r="GC14" s="5">
        <f t="shared" si="13"/>
        <v>762989.84274730703</v>
      </c>
      <c r="GD14" s="5">
        <f t="shared" si="13"/>
        <v>770619.74117478007</v>
      </c>
      <c r="GE14" s="5">
        <f t="shared" si="13"/>
        <v>778325.93858652783</v>
      </c>
      <c r="GF14" s="5">
        <f t="shared" si="13"/>
        <v>786109.19797239313</v>
      </c>
    </row>
    <row r="15" spans="1:188" x14ac:dyDescent="0.25"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</row>
    <row r="16" spans="1:188" s="10" customFormat="1" x14ac:dyDescent="0.25">
      <c r="C16" s="11" t="s">
        <v>67</v>
      </c>
      <c r="D16" s="9"/>
      <c r="E16" s="9">
        <f>E14/D14-1</f>
        <v>-0.3861483577315783</v>
      </c>
      <c r="F16" s="9">
        <f t="shared" ref="F16:AA16" si="14">F14/E14-1</f>
        <v>4.6258517034068136</v>
      </c>
      <c r="G16" s="9">
        <f t="shared" si="14"/>
        <v>-0.43358387062301851</v>
      </c>
      <c r="H16" s="9">
        <f t="shared" si="14"/>
        <v>-0.22709263568329041</v>
      </c>
      <c r="I16" s="9">
        <f t="shared" si="14"/>
        <v>0.22986167615947917</v>
      </c>
      <c r="J16" s="9">
        <f t="shared" si="14"/>
        <v>1.1567978828977838</v>
      </c>
      <c r="K16" s="9">
        <f t="shared" si="14"/>
        <v>-0.26861963190184046</v>
      </c>
      <c r="L16" s="9">
        <f t="shared" si="14"/>
        <v>-0.32240070460931924</v>
      </c>
      <c r="M16" s="9">
        <f t="shared" si="14"/>
        <v>0.10899975241396387</v>
      </c>
      <c r="N16" s="9">
        <f t="shared" si="14"/>
        <v>0.94245688452307874</v>
      </c>
      <c r="O16" s="9">
        <f t="shared" si="14"/>
        <v>-0.35787144786368996</v>
      </c>
      <c r="P16" s="9">
        <f t="shared" si="14"/>
        <v>-2.1844907821729014</v>
      </c>
      <c r="Q16" s="9">
        <f t="shared" si="14"/>
        <v>-0.96698273582410943</v>
      </c>
      <c r="R16" s="9">
        <f t="shared" si="14"/>
        <v>-35.899313501144164</v>
      </c>
      <c r="S16" s="9">
        <f t="shared" si="14"/>
        <v>-0.47314930168513536</v>
      </c>
      <c r="T16" s="9">
        <f t="shared" si="14"/>
        <v>0.11406347230864955</v>
      </c>
      <c r="U16" s="9">
        <f t="shared" si="14"/>
        <v>1.2458805786739653</v>
      </c>
      <c r="V16" s="9">
        <f t="shared" si="14"/>
        <v>0.61512634301631519</v>
      </c>
      <c r="W16" s="9">
        <f t="shared" si="14"/>
        <v>-0.47852666266303256</v>
      </c>
      <c r="X16" s="9">
        <f t="shared" si="14"/>
        <v>-1.7835523401742215E-2</v>
      </c>
      <c r="Y16" s="9">
        <f t="shared" si="14"/>
        <v>0.66086407504284295</v>
      </c>
      <c r="Z16" s="9">
        <f t="shared" si="14"/>
        <v>0.48955504869483368</v>
      </c>
      <c r="AA16" s="9">
        <f t="shared" si="14"/>
        <v>-0.79584619497848963</v>
      </c>
      <c r="AB16" s="9">
        <f t="shared" ref="AB16" si="15">AB14/AA14-1</f>
        <v>3.9942853741294027E-2</v>
      </c>
      <c r="AC16" s="9">
        <f t="shared" ref="AC16" si="16">AC14/AB14-1</f>
        <v>-1.3428734974241556</v>
      </c>
      <c r="AD16" s="9">
        <f t="shared" ref="AD16" si="17">AD14/AC14-1</f>
        <v>-1</v>
      </c>
      <c r="AE16" s="9" t="e">
        <f t="shared" ref="AE16" si="18">AE14/AD14-1</f>
        <v>#DIV/0!</v>
      </c>
      <c r="AK16" s="11" t="s">
        <v>67</v>
      </c>
      <c r="AL16" s="9"/>
      <c r="AM16" s="9">
        <f>AM14/AL14-1</f>
        <v>-2.0103346369604842</v>
      </c>
      <c r="AN16" s="9">
        <f t="shared" ref="AN16:AR16" si="19">AN14/AM14-1</f>
        <v>0.46862137214719835</v>
      </c>
      <c r="AO16" s="9">
        <f t="shared" si="19"/>
        <v>8.7968705276214143E-2</v>
      </c>
      <c r="AP16" s="9">
        <f t="shared" si="19"/>
        <v>-0.78923309655353857</v>
      </c>
      <c r="AQ16" s="9">
        <f t="shared" si="19"/>
        <v>7.1612836115878711</v>
      </c>
      <c r="AR16" s="9">
        <f t="shared" si="19"/>
        <v>0.19546002026549059</v>
      </c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</row>
    <row r="17" spans="3:70" x14ac:dyDescent="0.25">
      <c r="C17" s="3" t="s">
        <v>68</v>
      </c>
      <c r="D17" s="9"/>
      <c r="E17" s="9">
        <f>E5/D5-1</f>
        <v>0.19939881141155213</v>
      </c>
      <c r="F17" s="9">
        <f t="shared" ref="F17:AA17" si="20">F5/E5-1</f>
        <v>0.17521038351880813</v>
      </c>
      <c r="G17" s="9">
        <f t="shared" si="20"/>
        <v>7.5104304741035577E-2</v>
      </c>
      <c r="H17" s="9">
        <f t="shared" si="20"/>
        <v>-0.24018216229004019</v>
      </c>
      <c r="I17" s="9">
        <f t="shared" si="20"/>
        <v>0.22961361826466531</v>
      </c>
      <c r="J17" s="9">
        <f t="shared" si="20"/>
        <v>0.18268982610939877</v>
      </c>
      <c r="K17" s="9">
        <f t="shared" si="20"/>
        <v>6.6593652728141217E-2</v>
      </c>
      <c r="L17" s="9">
        <f t="shared" si="20"/>
        <v>-0.24069098629608188</v>
      </c>
      <c r="M17" s="9">
        <f t="shared" si="20"/>
        <v>0.22612722992999457</v>
      </c>
      <c r="N17" s="9">
        <f t="shared" si="20"/>
        <v>0.1082354111900754</v>
      </c>
      <c r="O17" s="9">
        <f t="shared" si="20"/>
        <v>3.0484656654769182E-2</v>
      </c>
      <c r="P17" s="9">
        <f t="shared" si="20"/>
        <v>-0.59558145445303712</v>
      </c>
      <c r="Q17" s="9">
        <f t="shared" si="20"/>
        <v>0.79690095072224376</v>
      </c>
      <c r="R17" s="9">
        <f t="shared" si="20"/>
        <v>0.39019260073443074</v>
      </c>
      <c r="S17" s="9">
        <f t="shared" si="20"/>
        <v>-3.8558295657924013E-2</v>
      </c>
      <c r="T17" s="9">
        <f t="shared" si="20"/>
        <v>-7.7035791047565638E-2</v>
      </c>
      <c r="U17" s="9">
        <f t="shared" si="20"/>
        <v>0.41776555589755215</v>
      </c>
      <c r="V17" s="9">
        <f t="shared" si="20"/>
        <v>0.29495328063895965</v>
      </c>
      <c r="W17" s="9">
        <f t="shared" si="20"/>
        <v>-1.9855599649697853E-2</v>
      </c>
      <c r="X17" s="9">
        <f t="shared" si="20"/>
        <v>-8.1949577108493377E-2</v>
      </c>
      <c r="Y17" s="9">
        <f t="shared" si="20"/>
        <v>0.28833075923610596</v>
      </c>
      <c r="Z17" s="9">
        <f t="shared" si="20"/>
        <v>0.18855882615984454</v>
      </c>
      <c r="AA17" s="9">
        <f t="shared" si="20"/>
        <v>2.075998815270208E-2</v>
      </c>
      <c r="AB17" s="9">
        <f t="shared" ref="AB17" si="21">AB5/AA5-1</f>
        <v>-0.27434431963261197</v>
      </c>
      <c r="AC17" s="9">
        <f t="shared" ref="AC17" si="22">AC5/AB5-1</f>
        <v>0.15459565776533779</v>
      </c>
      <c r="AD17" s="9">
        <f t="shared" ref="AD17" si="23">AD5/AC5-1</f>
        <v>-1</v>
      </c>
      <c r="AE17" s="9" t="e">
        <f t="shared" ref="AE17" si="24">AE5/AD5-1</f>
        <v>#DIV/0!</v>
      </c>
      <c r="AF17" s="5"/>
      <c r="AG17" s="10">
        <f>AVERAGE(E17:AC17)</f>
        <v>9.1092693108806591E-2</v>
      </c>
      <c r="AH17" s="5"/>
      <c r="AI17" s="5"/>
      <c r="AJ17" s="5"/>
      <c r="AK17" s="3" t="s">
        <v>68</v>
      </c>
      <c r="AL17" s="5"/>
      <c r="AM17" s="9">
        <f>AM5/AL5-1</f>
        <v>0.11404101735511052</v>
      </c>
      <c r="AN17" s="9">
        <f t="shared" ref="AN17:AR17" si="25">AN5/AM5-1</f>
        <v>0.17628792883311117</v>
      </c>
      <c r="AO17" s="9">
        <f t="shared" si="25"/>
        <v>0.1215755304839552</v>
      </c>
      <c r="AP17" s="9">
        <f t="shared" si="25"/>
        <v>-0.1257060807331104</v>
      </c>
      <c r="AQ17" s="9">
        <f t="shared" si="25"/>
        <v>0.7433686020321395</v>
      </c>
      <c r="AR17" s="9">
        <f t="shared" si="25"/>
        <v>0.46901239771716075</v>
      </c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</row>
    <row r="18" spans="3:70" x14ac:dyDescent="0.25">
      <c r="C18" s="3" t="s">
        <v>69</v>
      </c>
      <c r="D18" s="9"/>
      <c r="E18" s="9">
        <f>E8/D8-1</f>
        <v>4.6275543836519439E-2</v>
      </c>
      <c r="F18" s="9">
        <f t="shared" ref="F18:AA18" si="26">F8/E8-1</f>
        <v>8.438340053763449E-2</v>
      </c>
      <c r="G18" s="9">
        <f t="shared" si="26"/>
        <v>9.1083394662431649E-2</v>
      </c>
      <c r="H18" s="9">
        <f t="shared" si="26"/>
        <v>-9.8070539787351141E-2</v>
      </c>
      <c r="I18" s="9">
        <f t="shared" si="26"/>
        <v>8.3464535936393025E-2</v>
      </c>
      <c r="J18" s="9">
        <f t="shared" si="26"/>
        <v>7.9868490363831146E-2</v>
      </c>
      <c r="K18" s="9">
        <f t="shared" si="26"/>
        <v>3.4852817493692179E-2</v>
      </c>
      <c r="L18" s="9">
        <f t="shared" si="26"/>
        <v>-7.6704268391794783E-2</v>
      </c>
      <c r="M18" s="9">
        <f t="shared" si="26"/>
        <v>0.10045244089220651</v>
      </c>
      <c r="N18" s="9">
        <f t="shared" si="26"/>
        <v>4.1418035802844422E-2</v>
      </c>
      <c r="O18" s="9">
        <f t="shared" si="26"/>
        <v>2.5254232080862637E-2</v>
      </c>
      <c r="P18" s="9">
        <f t="shared" si="26"/>
        <v>-0.33340325432261542</v>
      </c>
      <c r="Q18" s="9">
        <f t="shared" si="26"/>
        <v>0.40026972353337831</v>
      </c>
      <c r="R18" s="9">
        <f t="shared" si="26"/>
        <v>0.2533147131529101</v>
      </c>
      <c r="S18" s="9">
        <f t="shared" si="26"/>
        <v>-1.958273031160751E-2</v>
      </c>
      <c r="T18" s="9">
        <f t="shared" si="26"/>
        <v>-4.0927498367080317E-2</v>
      </c>
      <c r="U18" s="9">
        <f t="shared" si="26"/>
        <v>0.36721740196412278</v>
      </c>
      <c r="V18" s="9">
        <f t="shared" si="26"/>
        <v>0.18745330105502256</v>
      </c>
      <c r="W18" s="9">
        <f t="shared" si="26"/>
        <v>5.6656011678538176E-2</v>
      </c>
      <c r="X18" s="9">
        <f t="shared" si="26"/>
        <v>-3.9651914312483161E-2</v>
      </c>
      <c r="Y18" s="9">
        <f t="shared" si="26"/>
        <v>0.21663139096501083</v>
      </c>
      <c r="Z18" s="9">
        <f t="shared" si="26"/>
        <v>0.11269146608315106</v>
      </c>
      <c r="AA18" s="9">
        <f t="shared" si="26"/>
        <v>0.1909037053323317</v>
      </c>
      <c r="AB18" s="9">
        <f t="shared" ref="AB18" si="27">AB8/AA8-1</f>
        <v>-0.18773814713197778</v>
      </c>
      <c r="AC18" s="9">
        <f t="shared" ref="AC18" si="28">AC8/AB8-1</f>
        <v>9.3315739296785827E-2</v>
      </c>
      <c r="AD18" s="9">
        <f t="shared" ref="AD18" si="29">AD8/AC8-1</f>
        <v>-1</v>
      </c>
      <c r="AE18" s="9" t="e">
        <f t="shared" ref="AE18" si="30">AE8/AD8-1</f>
        <v>#DIV/0!</v>
      </c>
      <c r="AF18" s="5"/>
      <c r="AG18" s="5"/>
      <c r="AH18" s="5"/>
      <c r="AI18" s="5"/>
      <c r="AJ18" s="5"/>
      <c r="AK18" s="3" t="s">
        <v>69</v>
      </c>
      <c r="AL18" s="5"/>
      <c r="AM18" s="9">
        <f>AM8/AL8-1</f>
        <v>-0.28743838960799672</v>
      </c>
      <c r="AN18" s="9">
        <f t="shared" ref="AN18:AR18" si="31">AN8/AM8-1</f>
        <v>0.12799793134656401</v>
      </c>
      <c r="AO18" s="9">
        <f t="shared" si="31"/>
        <v>0.10719150755829077</v>
      </c>
      <c r="AP18" s="9">
        <f t="shared" si="31"/>
        <v>4.0871663375167122E-2</v>
      </c>
      <c r="AQ18" s="9">
        <f t="shared" si="31"/>
        <v>0.60254688868742279</v>
      </c>
      <c r="AR18" s="9">
        <f t="shared" si="31"/>
        <v>0.49627267367335581</v>
      </c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</row>
    <row r="19" spans="3:70" x14ac:dyDescent="0.25"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</row>
    <row r="20" spans="3:70" x14ac:dyDescent="0.25">
      <c r="C20" s="3" t="s">
        <v>83</v>
      </c>
      <c r="D20" s="15">
        <v>15.7</v>
      </c>
      <c r="E20" s="15">
        <v>14.82</v>
      </c>
      <c r="F20" s="15">
        <v>12.45</v>
      </c>
      <c r="G20" s="15">
        <v>14</v>
      </c>
      <c r="H20" s="15">
        <v>17.7</v>
      </c>
      <c r="I20" s="15">
        <v>18.3</v>
      </c>
      <c r="J20" s="15">
        <v>17.32</v>
      </c>
      <c r="K20" s="15">
        <v>17</v>
      </c>
      <c r="L20" s="15">
        <v>16.399999999999999</v>
      </c>
      <c r="M20" s="15">
        <v>18.5</v>
      </c>
      <c r="N20" s="15">
        <v>21</v>
      </c>
      <c r="O20" s="15">
        <v>22</v>
      </c>
      <c r="P20" s="15">
        <v>28.6</v>
      </c>
      <c r="Q20" s="15">
        <v>33</v>
      </c>
      <c r="R20" s="15">
        <v>38</v>
      </c>
      <c r="S20" s="15">
        <v>43</v>
      </c>
      <c r="T20" s="15">
        <v>60</v>
      </c>
      <c r="U20" s="15">
        <v>46</v>
      </c>
      <c r="V20" s="15">
        <v>33.200000000000003</v>
      </c>
      <c r="W20" s="15">
        <v>52</v>
      </c>
      <c r="X20" s="15">
        <v>45</v>
      </c>
      <c r="Y20" s="15">
        <v>48</v>
      </c>
      <c r="Z20" s="15">
        <v>44</v>
      </c>
      <c r="AA20" s="15">
        <v>38</v>
      </c>
      <c r="AB20" s="15">
        <v>28</v>
      </c>
      <c r="AC20" s="15">
        <v>25</v>
      </c>
      <c r="AD20" s="15"/>
      <c r="AE20" s="1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</row>
    <row r="21" spans="3:70" x14ac:dyDescent="0.25">
      <c r="D21" s="16" t="s">
        <v>84</v>
      </c>
      <c r="E21" s="16" t="s">
        <v>84</v>
      </c>
      <c r="F21" s="16" t="s">
        <v>85</v>
      </c>
      <c r="G21" s="16" t="s">
        <v>85</v>
      </c>
      <c r="H21" s="16" t="s">
        <v>85</v>
      </c>
      <c r="I21" s="16" t="s">
        <v>85</v>
      </c>
      <c r="J21" s="16" t="s">
        <v>85</v>
      </c>
      <c r="K21" s="16" t="s">
        <v>85</v>
      </c>
      <c r="L21" s="16" t="s">
        <v>85</v>
      </c>
      <c r="M21" s="16" t="s">
        <v>85</v>
      </c>
      <c r="N21" s="16" t="s">
        <v>85</v>
      </c>
      <c r="O21" s="16" t="s">
        <v>85</v>
      </c>
      <c r="P21" s="16" t="s">
        <v>85</v>
      </c>
      <c r="Q21" s="16" t="s">
        <v>85</v>
      </c>
      <c r="R21" s="16" t="s">
        <v>85</v>
      </c>
      <c r="S21" s="16" t="s">
        <v>85</v>
      </c>
      <c r="T21" s="16" t="s">
        <v>85</v>
      </c>
      <c r="U21" s="16" t="s">
        <v>85</v>
      </c>
      <c r="V21" s="16" t="s">
        <v>85</v>
      </c>
      <c r="W21" s="16" t="s">
        <v>85</v>
      </c>
      <c r="X21" s="16" t="s">
        <v>85</v>
      </c>
      <c r="Y21" s="16" t="s">
        <v>85</v>
      </c>
      <c r="Z21" s="16" t="s">
        <v>85</v>
      </c>
      <c r="AA21" s="16" t="s">
        <v>85</v>
      </c>
      <c r="AB21" s="16" t="s">
        <v>85</v>
      </c>
      <c r="AC21" s="16" t="s">
        <v>85</v>
      </c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</row>
    <row r="22" spans="3:70" x14ac:dyDescent="0.25">
      <c r="D22" s="5"/>
      <c r="E22" s="10">
        <f>E20/D20-1</f>
        <v>-5.6050955414012726E-2</v>
      </c>
      <c r="F22" s="10">
        <f t="shared" ref="F22:AC22" si="32">F20/E20-1</f>
        <v>-0.15991902834008098</v>
      </c>
      <c r="G22" s="10">
        <f t="shared" si="32"/>
        <v>0.12449799196787148</v>
      </c>
      <c r="H22" s="10">
        <f t="shared" si="32"/>
        <v>0.26428571428571423</v>
      </c>
      <c r="I22" s="10">
        <f t="shared" si="32"/>
        <v>3.3898305084745894E-2</v>
      </c>
      <c r="J22" s="10">
        <f t="shared" si="32"/>
        <v>-5.3551912568306048E-2</v>
      </c>
      <c r="K22" s="10">
        <f t="shared" si="32"/>
        <v>-1.8475750577367167E-2</v>
      </c>
      <c r="L22" s="10">
        <f t="shared" si="32"/>
        <v>-3.529411764705892E-2</v>
      </c>
      <c r="M22" s="10">
        <f t="shared" si="32"/>
        <v>0.12804878048780499</v>
      </c>
      <c r="N22" s="10">
        <f t="shared" si="32"/>
        <v>0.13513513513513509</v>
      </c>
      <c r="O22" s="10">
        <f t="shared" si="32"/>
        <v>4.7619047619047672E-2</v>
      </c>
      <c r="P22" s="10">
        <f t="shared" si="32"/>
        <v>0.30000000000000004</v>
      </c>
      <c r="Q22" s="10">
        <f t="shared" si="32"/>
        <v>0.15384615384615374</v>
      </c>
      <c r="R22" s="10">
        <f t="shared" si="32"/>
        <v>0.1515151515151516</v>
      </c>
      <c r="S22" s="10">
        <f t="shared" si="32"/>
        <v>0.13157894736842102</v>
      </c>
      <c r="T22" s="10">
        <f t="shared" si="32"/>
        <v>0.39534883720930236</v>
      </c>
      <c r="U22" s="10">
        <f t="shared" si="32"/>
        <v>-0.23333333333333328</v>
      </c>
      <c r="V22" s="10">
        <f t="shared" si="32"/>
        <v>-0.27826086956521734</v>
      </c>
      <c r="W22" s="10">
        <f t="shared" si="32"/>
        <v>0.56626506024096379</v>
      </c>
      <c r="X22" s="10">
        <f t="shared" si="32"/>
        <v>-0.13461538461538458</v>
      </c>
      <c r="Y22" s="10">
        <f t="shared" si="32"/>
        <v>6.6666666666666652E-2</v>
      </c>
      <c r="Z22" s="10">
        <f t="shared" si="32"/>
        <v>-8.333333333333337E-2</v>
      </c>
      <c r="AA22" s="10">
        <f t="shared" si="32"/>
        <v>-0.13636363636363635</v>
      </c>
      <c r="AB22" s="10">
        <f t="shared" si="32"/>
        <v>-0.26315789473684215</v>
      </c>
      <c r="AC22" s="10">
        <f t="shared" si="32"/>
        <v>-0.1071428571428571</v>
      </c>
      <c r="AD22" s="5"/>
      <c r="AE22" s="10">
        <f>AVERAGE(E22:AC22)</f>
        <v>3.7568268711581948E-2</v>
      </c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</row>
    <row r="23" spans="3:70" x14ac:dyDescent="0.25"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</row>
    <row r="24" spans="3:70" x14ac:dyDescent="0.25"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</row>
    <row r="25" spans="3:70" x14ac:dyDescent="0.25"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</row>
    <row r="26" spans="3:70" x14ac:dyDescent="0.25"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</row>
    <row r="27" spans="3:70" x14ac:dyDescent="0.25"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</row>
    <row r="28" spans="3:70" x14ac:dyDescent="0.25"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</row>
    <row r="29" spans="3:70" x14ac:dyDescent="0.25"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</row>
    <row r="30" spans="3:70" x14ac:dyDescent="0.25"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</row>
    <row r="31" spans="3:70" x14ac:dyDescent="0.25"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</row>
    <row r="32" spans="3:70" x14ac:dyDescent="0.25"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</row>
    <row r="33" spans="4:70" x14ac:dyDescent="0.25"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</row>
    <row r="34" spans="4:70" x14ac:dyDescent="0.25"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</row>
    <row r="35" spans="4:70" x14ac:dyDescent="0.25"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</row>
    <row r="36" spans="4:70" x14ac:dyDescent="0.25"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</row>
    <row r="37" spans="4:70" x14ac:dyDescent="0.25"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</row>
    <row r="38" spans="4:70" x14ac:dyDescent="0.25"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</row>
    <row r="39" spans="4:70" x14ac:dyDescent="0.25"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</row>
    <row r="40" spans="4:70" x14ac:dyDescent="0.25"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</row>
    <row r="41" spans="4:70" x14ac:dyDescent="0.25"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</row>
    <row r="42" spans="4:70" x14ac:dyDescent="0.25"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</row>
    <row r="43" spans="4:70" x14ac:dyDescent="0.25"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</row>
    <row r="44" spans="4:70" x14ac:dyDescent="0.25"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</row>
    <row r="45" spans="4:70" x14ac:dyDescent="0.25"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</row>
    <row r="46" spans="4:70" x14ac:dyDescent="0.25"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</row>
    <row r="47" spans="4:70" x14ac:dyDescent="0.25"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</row>
    <row r="48" spans="4:70" x14ac:dyDescent="0.25"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</row>
    <row r="49" spans="4:66" x14ac:dyDescent="0.25"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</row>
    <row r="50" spans="4:66" x14ac:dyDescent="0.25"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</row>
    <row r="51" spans="4:66" x14ac:dyDescent="0.25"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</row>
    <row r="52" spans="4:66" x14ac:dyDescent="0.25"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</row>
    <row r="53" spans="4:66" x14ac:dyDescent="0.25"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</row>
    <row r="54" spans="4:66" x14ac:dyDescent="0.25"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</row>
    <row r="55" spans="4:66" x14ac:dyDescent="0.25"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</row>
    <row r="56" spans="4:66" x14ac:dyDescent="0.25"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</row>
    <row r="57" spans="4:66" x14ac:dyDescent="0.25"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</row>
    <row r="58" spans="4:66" x14ac:dyDescent="0.25"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</row>
    <row r="59" spans="4:66" x14ac:dyDescent="0.25"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</row>
    <row r="60" spans="4:66" x14ac:dyDescent="0.25"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</row>
    <row r="61" spans="4:66" x14ac:dyDescent="0.25"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</row>
  </sheetData>
  <conditionalFormatting sqref="A1:XFD15 A17:XFD1048576 A16:AE16 AG16:XFD16">
    <cfRule type="expression" dxfId="0" priority="1">
      <formula>MOD(ROW(),2)=0</formula>
    </cfRule>
  </conditionalFormatting>
  <hyperlinks>
    <hyperlink ref="A4" location="Main!A1" display="Main" xr:uid="{B24E3194-B018-4319-B062-2B2FCD6645E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Cratchley</dc:creator>
  <cp:lastModifiedBy>Ethan Cratchley</cp:lastModifiedBy>
  <dcterms:created xsi:type="dcterms:W3CDTF">2023-12-02T08:03:47Z</dcterms:created>
  <dcterms:modified xsi:type="dcterms:W3CDTF">2023-12-06T07:19:55Z</dcterms:modified>
</cp:coreProperties>
</file>