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MSFT\"/>
    </mc:Choice>
  </mc:AlternateContent>
  <xr:revisionPtr revIDLastSave="0" documentId="8_{C4B0DB1C-6486-4B9A-99EB-E038694E10E2}" xr6:coauthVersionLast="47" xr6:coauthVersionMax="47" xr10:uidLastSave="{00000000-0000-0000-0000-000000000000}"/>
  <bookViews>
    <workbookView xWindow="-120" yWindow="-120" windowWidth="29040" windowHeight="15840" xr2:uid="{839FBC5F-D783-4734-B99E-3C5B05E4F7F8}"/>
  </bookViews>
  <sheets>
    <sheet name="Main" sheetId="1" r:id="rId1"/>
    <sheet name="Model" sheetId="2" r:id="rId2"/>
    <sheet name="Balance Sheet" sheetId="3" r:id="rId3"/>
    <sheet name="Cashflow Stateme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" i="4" l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AQ4" i="4"/>
  <c r="AP4" i="4" s="1"/>
  <c r="AO4" i="4" s="1"/>
  <c r="AN4" i="4" s="1"/>
  <c r="AM4" i="4" s="1"/>
  <c r="AL4" i="4" s="1"/>
  <c r="AK4" i="4" s="1"/>
  <c r="AJ4" i="4" s="1"/>
  <c r="AS4" i="3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AQ4" i="3"/>
  <c r="AP4" i="3"/>
  <c r="AO4" i="3"/>
  <c r="AN4" i="3" s="1"/>
  <c r="AM4" i="3" s="1"/>
  <c r="AL4" i="3" s="1"/>
  <c r="AK4" i="3" s="1"/>
  <c r="AJ4" i="3" s="1"/>
  <c r="AX20" i="2" l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AX19" i="2"/>
  <c r="AY19" i="2" s="1"/>
  <c r="AG13" i="2"/>
  <c r="AD13" i="2"/>
  <c r="AJ7" i="2"/>
  <c r="AK27" i="2" s="1"/>
  <c r="AL14" i="2"/>
  <c r="AL15" i="2" s="1"/>
  <c r="AO14" i="2"/>
  <c r="AO15" i="2" s="1"/>
  <c r="AL27" i="2"/>
  <c r="AQ26" i="2"/>
  <c r="AP26" i="2"/>
  <c r="AO26" i="2"/>
  <c r="AP18" i="2"/>
  <c r="AP17" i="2"/>
  <c r="AP14" i="2"/>
  <c r="AP15" i="2" s="1"/>
  <c r="AP7" i="2"/>
  <c r="AO7" i="2"/>
  <c r="AN7" i="2"/>
  <c r="AM11" i="2"/>
  <c r="AP10" i="2"/>
  <c r="AO10" i="2"/>
  <c r="AN10" i="2"/>
  <c r="AK11" i="2"/>
  <c r="AJ11" i="2"/>
  <c r="AN15" i="2"/>
  <c r="AM15" i="2"/>
  <c r="AK15" i="2"/>
  <c r="AJ15" i="2"/>
  <c r="AQ10" i="2"/>
  <c r="AQ7" i="2"/>
  <c r="AQ17" i="2"/>
  <c r="AQ14" i="2"/>
  <c r="AQ12" i="2"/>
  <c r="AQ4" i="2"/>
  <c r="AP4" i="2" s="1"/>
  <c r="AO4" i="2" s="1"/>
  <c r="AN4" i="2" s="1"/>
  <c r="AM4" i="2" s="1"/>
  <c r="AL4" i="2" s="1"/>
  <c r="AK4" i="2" s="1"/>
  <c r="AJ4" i="2" s="1"/>
  <c r="D20" i="1"/>
  <c r="D19" i="1"/>
  <c r="AD8" i="2" s="1"/>
  <c r="AG8" i="2" s="1"/>
  <c r="D17" i="1"/>
  <c r="AW5" i="2"/>
  <c r="AW24" i="2"/>
  <c r="AV24" i="2"/>
  <c r="AU24" i="2"/>
  <c r="AW6" i="2"/>
  <c r="AW8" i="2"/>
  <c r="AW9" i="2"/>
  <c r="AW12" i="2"/>
  <c r="AW13" i="2"/>
  <c r="AW14" i="2"/>
  <c r="AW17" i="2"/>
  <c r="AW18" i="2"/>
  <c r="AV6" i="2"/>
  <c r="AV8" i="2"/>
  <c r="AV9" i="2"/>
  <c r="AV12" i="2"/>
  <c r="AV13" i="2"/>
  <c r="AV14" i="2"/>
  <c r="AV17" i="2"/>
  <c r="AV18" i="2"/>
  <c r="AV5" i="2"/>
  <c r="AU6" i="2"/>
  <c r="AU8" i="2"/>
  <c r="AU9" i="2"/>
  <c r="AU12" i="2"/>
  <c r="AU13" i="2"/>
  <c r="AU14" i="2"/>
  <c r="AU17" i="2"/>
  <c r="AU18" i="2"/>
  <c r="AU5" i="2"/>
  <c r="AT24" i="2"/>
  <c r="AT6" i="2"/>
  <c r="AT8" i="2"/>
  <c r="AT9" i="2"/>
  <c r="AT12" i="2"/>
  <c r="AT13" i="2"/>
  <c r="AT14" i="2"/>
  <c r="AT17" i="2"/>
  <c r="AT18" i="2"/>
  <c r="L5" i="2"/>
  <c r="L26" i="2" s="1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E26" i="2"/>
  <c r="AR24" i="2"/>
  <c r="K24" i="2"/>
  <c r="J24" i="2"/>
  <c r="I24" i="2"/>
  <c r="H24" i="2"/>
  <c r="G24" i="2"/>
  <c r="F24" i="2"/>
  <c r="AR23" i="2"/>
  <c r="K23" i="2"/>
  <c r="I23" i="2"/>
  <c r="H23" i="2"/>
  <c r="G23" i="2"/>
  <c r="F23" i="2"/>
  <c r="K22" i="2"/>
  <c r="I22" i="2"/>
  <c r="G22" i="2"/>
  <c r="F22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D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K7" i="2"/>
  <c r="E7" i="2"/>
  <c r="D7" i="2"/>
  <c r="J6" i="2"/>
  <c r="I6" i="2"/>
  <c r="H6" i="2"/>
  <c r="G6" i="2"/>
  <c r="F6" i="2"/>
  <c r="J5" i="2"/>
  <c r="K26" i="2" s="1"/>
  <c r="I5" i="2"/>
  <c r="H5" i="2"/>
  <c r="G5" i="2"/>
  <c r="F5" i="2"/>
  <c r="AS4" i="2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AG7" i="2" l="1"/>
  <c r="AG9" i="2" s="1"/>
  <c r="AO11" i="2"/>
  <c r="AO28" i="2" s="1"/>
  <c r="AN11" i="2"/>
  <c r="AN16" i="2" s="1"/>
  <c r="AN19" i="2" s="1"/>
  <c r="AO31" i="2"/>
  <c r="AQ15" i="2"/>
  <c r="AP31" i="2" s="1"/>
  <c r="AP27" i="2"/>
  <c r="AQ11" i="2"/>
  <c r="AQ27" i="2"/>
  <c r="AO27" i="2"/>
  <c r="AJ28" i="2"/>
  <c r="AJ31" i="2"/>
  <c r="AJ16" i="2"/>
  <c r="AJ19" i="2" s="1"/>
  <c r="AJ30" i="2"/>
  <c r="AK31" i="2"/>
  <c r="AL31" i="2"/>
  <c r="AM16" i="2"/>
  <c r="AM19" i="2" s="1"/>
  <c r="AM31" i="2"/>
  <c r="AK28" i="2"/>
  <c r="AK16" i="2"/>
  <c r="AK19" i="2" s="1"/>
  <c r="AN27" i="2"/>
  <c r="AM28" i="2"/>
  <c r="AM27" i="2"/>
  <c r="AN31" i="2"/>
  <c r="AN30" i="2"/>
  <c r="AP11" i="2"/>
  <c r="AL11" i="2"/>
  <c r="AS8" i="2"/>
  <c r="AT15" i="2"/>
  <c r="AW7" i="2"/>
  <c r="J7" i="2"/>
  <c r="J10" i="2"/>
  <c r="H10" i="2"/>
  <c r="AT10" i="2"/>
  <c r="AW10" i="2"/>
  <c r="F15" i="2"/>
  <c r="I10" i="2"/>
  <c r="I26" i="2"/>
  <c r="AV10" i="2"/>
  <c r="AU15" i="2"/>
  <c r="AV15" i="2"/>
  <c r="AR17" i="2"/>
  <c r="E10" i="2"/>
  <c r="E11" i="2" s="1"/>
  <c r="E28" i="2" s="1"/>
  <c r="K10" i="2"/>
  <c r="K11" i="2" s="1"/>
  <c r="K28" i="2" s="1"/>
  <c r="I15" i="2"/>
  <c r="AS14" i="2"/>
  <c r="AR6" i="2"/>
  <c r="AU10" i="2"/>
  <c r="AW15" i="2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AV7" i="2"/>
  <c r="H26" i="2"/>
  <c r="G10" i="2"/>
  <c r="AR12" i="2"/>
  <c r="J15" i="2"/>
  <c r="AS17" i="2"/>
  <c r="D11" i="2"/>
  <c r="AS12" i="2"/>
  <c r="K15" i="2"/>
  <c r="AR18" i="2"/>
  <c r="AS24" i="2"/>
  <c r="AR13" i="2"/>
  <c r="AS18" i="2"/>
  <c r="AS5" i="2"/>
  <c r="I7" i="2"/>
  <c r="P11" i="2"/>
  <c r="P28" i="2" s="1"/>
  <c r="G15" i="2"/>
  <c r="AS13" i="2"/>
  <c r="G26" i="2"/>
  <c r="F10" i="2"/>
  <c r="AS9" i="2"/>
  <c r="H15" i="2"/>
  <c r="AR14" i="2"/>
  <c r="AT5" i="2"/>
  <c r="AU26" i="2" s="1"/>
  <c r="AU7" i="2"/>
  <c r="AW26" i="2"/>
  <c r="AV26" i="2"/>
  <c r="Y11" i="2"/>
  <c r="Y16" i="2" s="1"/>
  <c r="Y19" i="2" s="1"/>
  <c r="W11" i="2"/>
  <c r="W16" i="2" s="1"/>
  <c r="W19" i="2" s="1"/>
  <c r="V11" i="2"/>
  <c r="V16" i="2" s="1"/>
  <c r="V19" i="2" s="1"/>
  <c r="S11" i="2"/>
  <c r="S16" i="2" s="1"/>
  <c r="S19" i="2" s="1"/>
  <c r="Q11" i="2"/>
  <c r="Q16" i="2" s="1"/>
  <c r="Q19" i="2" s="1"/>
  <c r="M11" i="2"/>
  <c r="M16" i="2" s="1"/>
  <c r="M19" i="2" s="1"/>
  <c r="L7" i="2"/>
  <c r="L11" i="2" s="1"/>
  <c r="M26" i="2"/>
  <c r="AS6" i="2"/>
  <c r="AR9" i="2"/>
  <c r="R11" i="2"/>
  <c r="R16" i="2" s="1"/>
  <c r="R19" i="2" s="1"/>
  <c r="X11" i="2"/>
  <c r="D15" i="2"/>
  <c r="J26" i="2"/>
  <c r="E27" i="2"/>
  <c r="Q27" i="2"/>
  <c r="W27" i="2"/>
  <c r="V27" i="2"/>
  <c r="E15" i="2"/>
  <c r="R27" i="2"/>
  <c r="X27" i="2"/>
  <c r="F7" i="2"/>
  <c r="N11" i="2"/>
  <c r="N16" i="2" s="1"/>
  <c r="N19" i="2" s="1"/>
  <c r="T11" i="2"/>
  <c r="Z11" i="2"/>
  <c r="Z16" i="2" s="1"/>
  <c r="Z19" i="2" s="1"/>
  <c r="F26" i="2"/>
  <c r="S27" i="2"/>
  <c r="Y27" i="2"/>
  <c r="P27" i="2"/>
  <c r="AR5" i="2"/>
  <c r="AR26" i="2" s="1"/>
  <c r="G7" i="2"/>
  <c r="AR8" i="2"/>
  <c r="O11" i="2"/>
  <c r="O16" i="2" s="1"/>
  <c r="O19" i="2" s="1"/>
  <c r="U11" i="2"/>
  <c r="U16" i="2" s="1"/>
  <c r="U19" i="2" s="1"/>
  <c r="AA11" i="2"/>
  <c r="AA16" i="2" s="1"/>
  <c r="AA19" i="2" s="1"/>
  <c r="N27" i="2"/>
  <c r="T27" i="2"/>
  <c r="Z27" i="2"/>
  <c r="H7" i="2"/>
  <c r="O27" i="2"/>
  <c r="U27" i="2"/>
  <c r="AA27" i="2"/>
  <c r="AO30" i="2" l="1"/>
  <c r="AO16" i="2"/>
  <c r="AO19" i="2" s="1"/>
  <c r="AO29" i="2" s="1"/>
  <c r="AP16" i="2"/>
  <c r="AP19" i="2" s="1"/>
  <c r="AP29" i="2" s="1"/>
  <c r="AM30" i="2"/>
  <c r="AN28" i="2"/>
  <c r="AP28" i="2"/>
  <c r="AS26" i="2"/>
  <c r="AX7" i="2"/>
  <c r="AY7" i="2" s="1"/>
  <c r="AQ16" i="2"/>
  <c r="AQ19" i="2" s="1"/>
  <c r="AQ29" i="2" s="1"/>
  <c r="AP30" i="2"/>
  <c r="AQ28" i="2"/>
  <c r="AK29" i="2"/>
  <c r="AN29" i="2"/>
  <c r="AL16" i="2"/>
  <c r="AL19" i="2" s="1"/>
  <c r="AL28" i="2"/>
  <c r="AK30" i="2"/>
  <c r="AL30" i="2"/>
  <c r="D28" i="2"/>
  <c r="AW27" i="2"/>
  <c r="AU31" i="2"/>
  <c r="D16" i="2"/>
  <c r="D19" i="2" s="1"/>
  <c r="J11" i="2"/>
  <c r="J16" i="2" s="1"/>
  <c r="J19" i="2" s="1"/>
  <c r="AT31" i="2"/>
  <c r="K27" i="2"/>
  <c r="AR7" i="2"/>
  <c r="AR27" i="2" s="1"/>
  <c r="J27" i="2"/>
  <c r="AR10" i="2"/>
  <c r="AV27" i="2"/>
  <c r="AT26" i="2"/>
  <c r="AV31" i="2"/>
  <c r="I11" i="2"/>
  <c r="I16" i="2" s="1"/>
  <c r="I19" i="2" s="1"/>
  <c r="AS15" i="2"/>
  <c r="L16" i="2"/>
  <c r="AT11" i="2"/>
  <c r="L27" i="2"/>
  <c r="X16" i="2"/>
  <c r="AW11" i="2"/>
  <c r="AX11" i="2" s="1"/>
  <c r="AS7" i="2"/>
  <c r="AS27" i="2" s="1"/>
  <c r="M27" i="2"/>
  <c r="AT7" i="2"/>
  <c r="AS10" i="2"/>
  <c r="AU11" i="2"/>
  <c r="T16" i="2"/>
  <c r="AV11" i="2"/>
  <c r="I27" i="2"/>
  <c r="P16" i="2"/>
  <c r="K16" i="2"/>
  <c r="K19" i="2" s="1"/>
  <c r="AA28" i="2"/>
  <c r="AA29" i="2"/>
  <c r="Z29" i="2"/>
  <c r="Y28" i="2"/>
  <c r="W29" i="2"/>
  <c r="W28" i="2"/>
  <c r="V28" i="2"/>
  <c r="S28" i="2"/>
  <c r="R29" i="2"/>
  <c r="Q28" i="2"/>
  <c r="O28" i="2"/>
  <c r="O29" i="2"/>
  <c r="N29" i="2"/>
  <c r="M28" i="2"/>
  <c r="L28" i="2"/>
  <c r="U28" i="2"/>
  <c r="E16" i="2"/>
  <c r="S29" i="2"/>
  <c r="G27" i="2"/>
  <c r="G11" i="2"/>
  <c r="G16" i="2" s="1"/>
  <c r="G19" i="2" s="1"/>
  <c r="Z28" i="2"/>
  <c r="H27" i="2"/>
  <c r="H11" i="2"/>
  <c r="H16" i="2" s="1"/>
  <c r="H19" i="2" s="1"/>
  <c r="X28" i="2"/>
  <c r="T28" i="2"/>
  <c r="F27" i="2"/>
  <c r="F11" i="2"/>
  <c r="F16" i="2" s="1"/>
  <c r="F19" i="2" s="1"/>
  <c r="AR15" i="2"/>
  <c r="AQ31" i="2" s="1"/>
  <c r="R28" i="2"/>
  <c r="V29" i="2"/>
  <c r="N28" i="2"/>
  <c r="AX27" i="2" l="1"/>
  <c r="AR31" i="2"/>
  <c r="AZ7" i="2"/>
  <c r="AY27" i="2"/>
  <c r="AL29" i="2"/>
  <c r="AM29" i="2"/>
  <c r="AT27" i="2"/>
  <c r="AR11" i="2"/>
  <c r="K29" i="2"/>
  <c r="J29" i="2"/>
  <c r="J28" i="2"/>
  <c r="AS31" i="2"/>
  <c r="I28" i="2"/>
  <c r="AW31" i="2"/>
  <c r="AR16" i="2"/>
  <c r="P19" i="2"/>
  <c r="AU16" i="2"/>
  <c r="AU28" i="2"/>
  <c r="AT30" i="2"/>
  <c r="AU27" i="2"/>
  <c r="AT28" i="2"/>
  <c r="T19" i="2"/>
  <c r="AV16" i="2"/>
  <c r="AV30" i="2"/>
  <c r="AW28" i="2"/>
  <c r="X19" i="2"/>
  <c r="AW16" i="2"/>
  <c r="F28" i="2"/>
  <c r="H29" i="2"/>
  <c r="G28" i="2"/>
  <c r="AU30" i="2"/>
  <c r="AV28" i="2"/>
  <c r="L19" i="2"/>
  <c r="AT16" i="2"/>
  <c r="H28" i="2"/>
  <c r="AS11" i="2"/>
  <c r="AS16" i="2"/>
  <c r="E19" i="2"/>
  <c r="AR19" i="2" s="1"/>
  <c r="AR29" i="2" s="1"/>
  <c r="I29" i="2"/>
  <c r="G29" i="2"/>
  <c r="AR28" i="2" l="1"/>
  <c r="AQ30" i="2"/>
  <c r="AS30" i="2"/>
  <c r="AR30" i="2"/>
  <c r="BA7" i="2"/>
  <c r="AZ27" i="2"/>
  <c r="AX31" i="2"/>
  <c r="AW19" i="2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X29" i="2"/>
  <c r="Y29" i="2"/>
  <c r="AW30" i="2"/>
  <c r="AY11" i="2"/>
  <c r="AX28" i="2"/>
  <c r="L29" i="2"/>
  <c r="AT19" i="2"/>
  <c r="M29" i="2"/>
  <c r="AU19" i="2"/>
  <c r="Q29" i="2"/>
  <c r="P29" i="2"/>
  <c r="AV19" i="2"/>
  <c r="T29" i="2"/>
  <c r="U29" i="2"/>
  <c r="AS28" i="2"/>
  <c r="E29" i="2"/>
  <c r="AS19" i="2"/>
  <c r="AS29" i="2" s="1"/>
  <c r="F29" i="2"/>
  <c r="BB7" i="2" l="1"/>
  <c r="BA27" i="2"/>
  <c r="AU29" i="2"/>
  <c r="AY29" i="2"/>
  <c r="AY31" i="2"/>
  <c r="AY28" i="2"/>
  <c r="AZ11" i="2"/>
  <c r="AX30" i="2"/>
  <c r="AV29" i="2"/>
  <c r="AX29" i="2"/>
  <c r="AW29" i="2"/>
  <c r="AT29" i="2"/>
  <c r="BB27" i="2" l="1"/>
  <c r="BC7" i="2"/>
  <c r="AZ31" i="2"/>
  <c r="AZ29" i="2"/>
  <c r="AZ28" i="2"/>
  <c r="AY30" i="2"/>
  <c r="BA11" i="2"/>
  <c r="D18" i="1"/>
  <c r="A2" i="1"/>
  <c r="BD7" i="2" l="1"/>
  <c r="BC27" i="2"/>
  <c r="BA29" i="2"/>
  <c r="BA31" i="2"/>
  <c r="BB11" i="2"/>
  <c r="AZ30" i="2"/>
  <c r="BA28" i="2"/>
  <c r="D21" i="1"/>
  <c r="BD27" i="2" l="1"/>
  <c r="BE7" i="2"/>
  <c r="BB29" i="2"/>
  <c r="BB31" i="2"/>
  <c r="BA30" i="2"/>
  <c r="BB28" i="2"/>
  <c r="BC11" i="2"/>
  <c r="BF7" i="2" l="1"/>
  <c r="BE27" i="2"/>
  <c r="BC31" i="2"/>
  <c r="BC29" i="2"/>
  <c r="BB30" i="2"/>
  <c r="BC28" i="2"/>
  <c r="BD11" i="2"/>
  <c r="BG7" i="2" l="1"/>
  <c r="BF27" i="2"/>
  <c r="BD31" i="2"/>
  <c r="BD29" i="2"/>
  <c r="BE11" i="2"/>
  <c r="BE28" i="2" s="1"/>
  <c r="BC30" i="2"/>
  <c r="BD28" i="2"/>
  <c r="BH7" i="2" l="1"/>
  <c r="BG27" i="2"/>
  <c r="BE29" i="2"/>
  <c r="BE31" i="2"/>
  <c r="BF11" i="2"/>
  <c r="BF28" i="2" s="1"/>
  <c r="BD30" i="2"/>
  <c r="BH27" i="2" l="1"/>
  <c r="BI7" i="2"/>
  <c r="BF29" i="2"/>
  <c r="BF31" i="2"/>
  <c r="BE30" i="2"/>
  <c r="BG11" i="2"/>
  <c r="BG28" i="2" s="1"/>
  <c r="BJ7" i="2" l="1"/>
  <c r="BI27" i="2"/>
  <c r="BG31" i="2"/>
  <c r="BG29" i="2"/>
  <c r="BF30" i="2"/>
  <c r="BH11" i="2"/>
  <c r="BH28" i="2" s="1"/>
  <c r="BK7" i="2" l="1"/>
  <c r="BJ27" i="2"/>
  <c r="BH29" i="2"/>
  <c r="BH31" i="2"/>
  <c r="BI11" i="2"/>
  <c r="BI28" i="2" s="1"/>
  <c r="BG30" i="2"/>
  <c r="BL7" i="2" l="1"/>
  <c r="BK27" i="2"/>
  <c r="BI31" i="2"/>
  <c r="BI29" i="2"/>
  <c r="BJ11" i="2"/>
  <c r="BJ28" i="2" s="1"/>
  <c r="BH30" i="2"/>
  <c r="BM7" i="2" l="1"/>
  <c r="BL27" i="2"/>
  <c r="BJ29" i="2"/>
  <c r="BJ31" i="2"/>
  <c r="BI30" i="2"/>
  <c r="BK11" i="2"/>
  <c r="BK28" i="2" s="1"/>
  <c r="BN7" i="2" l="1"/>
  <c r="BN27" i="2" s="1"/>
  <c r="BM27" i="2"/>
  <c r="BK31" i="2"/>
  <c r="BK29" i="2"/>
  <c r="BL11" i="2"/>
  <c r="BL28" i="2" s="1"/>
  <c r="BJ30" i="2"/>
  <c r="BL29" i="2" l="1"/>
  <c r="BL31" i="2"/>
  <c r="BK30" i="2"/>
  <c r="BM11" i="2"/>
  <c r="BM28" i="2" s="1"/>
  <c r="BM31" i="2" l="1"/>
  <c r="BN31" i="2"/>
  <c r="BM29" i="2"/>
  <c r="BL30" i="2"/>
  <c r="BN11" i="2"/>
  <c r="BN28" i="2" s="1"/>
  <c r="BN29" i="2" l="1"/>
  <c r="BP19" i="2"/>
  <c r="BM30" i="2"/>
  <c r="BN30" i="2"/>
  <c r="BQ19" i="2" l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AG12" i="2" s="1"/>
  <c r="AG14" i="2" s="1"/>
  <c r="AD7" i="2" l="1"/>
  <c r="AD9" i="2" s="1"/>
  <c r="AD12" i="2" s="1"/>
  <c r="AD14" i="2" l="1"/>
</calcChain>
</file>

<file path=xl/sharedStrings.xml><?xml version="1.0" encoding="utf-8"?>
<sst xmlns="http://schemas.openxmlformats.org/spreadsheetml/2006/main" count="267" uniqueCount="173">
  <si>
    <t>ALL $ are in USD</t>
  </si>
  <si>
    <t>Company Name:</t>
  </si>
  <si>
    <t>Microsoft</t>
  </si>
  <si>
    <t>Description:</t>
  </si>
  <si>
    <t>Microsoft is a Software and Infrastructure company that is currently the second biggest company in the world by market cap at about 2.6T.</t>
  </si>
  <si>
    <t>Ticker:</t>
  </si>
  <si>
    <t>MSFT</t>
  </si>
  <si>
    <t xml:space="preserve">Microsoft was founded in 1975 by Bill Gates and is based in Redmond, Washington. The current CEO is Satya Nadella. Since it's inception Microsoft </t>
  </si>
  <si>
    <t>Model</t>
  </si>
  <si>
    <t xml:space="preserve">CEO: </t>
  </si>
  <si>
    <t>Satya Nadella</t>
  </si>
  <si>
    <t>has created perhaps more successful software then any other company. Along with that Microsoft has purchased or purchased stake in multiple companies and products such as</t>
  </si>
  <si>
    <t xml:space="preserve">Industry: </t>
  </si>
  <si>
    <t>Software</t>
  </si>
  <si>
    <t>Activison Blizzard, GitHub, OpenAI, LinkedIn and more.</t>
  </si>
  <si>
    <t>Location:</t>
  </si>
  <si>
    <t>Redmond, Washington, USA</t>
  </si>
  <si>
    <t>Recently Microsoft has been venturing into Ai with their $10B investment in OpenAI and their Bing search engine which also uses ChatGPT and Dalle software from OpenAI.</t>
  </si>
  <si>
    <t>Website:</t>
  </si>
  <si>
    <t>microsoft.com</t>
  </si>
  <si>
    <t>Some of Microsoft's most succesful products include Xbox, Laptops, Tablets, Windows, Azure, Microsoft 365. These products combined and more bring in over $218B in revenue last annual report.</t>
  </si>
  <si>
    <t>Belive it or not Microsoft also makes income through advertisements which they run for other companies.</t>
  </si>
  <si>
    <t>Basic Info:</t>
  </si>
  <si>
    <t xml:space="preserve">Products: (not including purchased or merged companies) </t>
  </si>
  <si>
    <t>P</t>
  </si>
  <si>
    <t>Laptops and Tablets:</t>
  </si>
  <si>
    <t>S/O</t>
  </si>
  <si>
    <t>Surface Laptop Studio 2</t>
  </si>
  <si>
    <t>MC</t>
  </si>
  <si>
    <t>Surface Laptop Go 3</t>
  </si>
  <si>
    <t>C</t>
  </si>
  <si>
    <t>Surface Laptop 5</t>
  </si>
  <si>
    <t>D</t>
  </si>
  <si>
    <t>Surface Pro 9</t>
  </si>
  <si>
    <t>EV</t>
  </si>
  <si>
    <t>Surface Pro 7+</t>
  </si>
  <si>
    <t>Surface Headphones</t>
  </si>
  <si>
    <t>Gaming:</t>
  </si>
  <si>
    <t>Xbox Series X</t>
  </si>
  <si>
    <t>Xbox Series S</t>
  </si>
  <si>
    <t>Hardrives and Storage</t>
  </si>
  <si>
    <t>Controllers</t>
  </si>
  <si>
    <t>Games</t>
  </si>
  <si>
    <t>Headphones</t>
  </si>
  <si>
    <t>Game Pass</t>
  </si>
  <si>
    <t>Software:</t>
  </si>
  <si>
    <t>Microsoft 365</t>
  </si>
  <si>
    <t>Windows 11</t>
  </si>
  <si>
    <t>ALL $ IN USD MILLIONS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</si>
  <si>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</si>
  <si>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</si>
  <si>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</si>
  <si>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</si>
  <si>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</si>
  <si>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</si>
  <si>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</si>
  <si>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</si>
  <si>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</si>
  <si>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</si>
  <si>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</si>
  <si>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</si>
  <si>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</si>
  <si>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</si>
  <si>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</si>
  <si>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</si>
  <si>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</si>
  <si>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</si>
  <si>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</si>
  <si>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</si>
  <si>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</si>
  <si>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</si>
  <si>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</si>
  <si>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</si>
  <si>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</si>
  <si>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</si>
  <si>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Maturity</t>
  </si>
  <si>
    <t>NPV</t>
  </si>
  <si>
    <t>SHARE</t>
  </si>
  <si>
    <t>| - Ethan Cratchley</t>
  </si>
  <si>
    <t>Product</t>
  </si>
  <si>
    <t>Service and Other</t>
  </si>
  <si>
    <t>Total Revenue</t>
  </si>
  <si>
    <t>Product COGS</t>
  </si>
  <si>
    <t>Service COGS</t>
  </si>
  <si>
    <t>Total COGS</t>
  </si>
  <si>
    <t>Gross Profit</t>
  </si>
  <si>
    <t>R&amp;D</t>
  </si>
  <si>
    <t>Sales and Marketing</t>
  </si>
  <si>
    <t>General and Admin</t>
  </si>
  <si>
    <t>Total Operating Expenses</t>
  </si>
  <si>
    <t>Operating Income</t>
  </si>
  <si>
    <t>Other Income</t>
  </si>
  <si>
    <t>Taxes</t>
  </si>
  <si>
    <t>Net Income</t>
  </si>
  <si>
    <t>EPS (Diluted)</t>
  </si>
  <si>
    <t>W S/O (Diluted)</t>
  </si>
  <si>
    <t xml:space="preserve">Dividends </t>
  </si>
  <si>
    <t>Product Growth</t>
  </si>
  <si>
    <t>N/A</t>
  </si>
  <si>
    <t>Revenue Growth</t>
  </si>
  <si>
    <t xml:space="preserve">Gross Margin </t>
  </si>
  <si>
    <t>Net Income Growth</t>
  </si>
  <si>
    <t>Current</t>
  </si>
  <si>
    <t>Cash</t>
  </si>
  <si>
    <t>Discount Rate</t>
  </si>
  <si>
    <t>Net NPV</t>
  </si>
  <si>
    <t>Operating Expenses</t>
  </si>
  <si>
    <t xml:space="preserve">Difference </t>
  </si>
  <si>
    <t>Net Income (Market)</t>
  </si>
  <si>
    <t>My Analysis</t>
  </si>
  <si>
    <t>Market Analysis</t>
  </si>
  <si>
    <t>OpenAI</t>
  </si>
  <si>
    <t>$13B</t>
  </si>
  <si>
    <t>Company</t>
  </si>
  <si>
    <t>$</t>
  </si>
  <si>
    <t>M,I,A</t>
  </si>
  <si>
    <t>Notable Mergers, Investments, Acquired Companies:</t>
  </si>
  <si>
    <t>I</t>
  </si>
  <si>
    <t>HotMail</t>
  </si>
  <si>
    <t>$50M</t>
  </si>
  <si>
    <t>A</t>
  </si>
  <si>
    <t>Bungie</t>
  </si>
  <si>
    <t>Industry</t>
  </si>
  <si>
    <t>AI</t>
  </si>
  <si>
    <t>Mail</t>
  </si>
  <si>
    <t>Gaming</t>
  </si>
  <si>
    <t>n/a</t>
  </si>
  <si>
    <t>$30M</t>
  </si>
  <si>
    <t>Mojang/Minceraft</t>
  </si>
  <si>
    <t>$2.5B</t>
  </si>
  <si>
    <t>GitHub</t>
  </si>
  <si>
    <t>$7.5B</t>
  </si>
  <si>
    <t>Social</t>
  </si>
  <si>
    <t>Software/Website</t>
  </si>
  <si>
    <t>Activision</t>
  </si>
  <si>
    <t>$68B</t>
  </si>
  <si>
    <t>Nuance Comms.</t>
  </si>
  <si>
    <t>$19.7B</t>
  </si>
  <si>
    <t>Speech Reg</t>
  </si>
  <si>
    <t>LinkedIN</t>
  </si>
  <si>
    <t>$26.2B</t>
  </si>
  <si>
    <t>Nokia</t>
  </si>
  <si>
    <t>$7.2B</t>
  </si>
  <si>
    <t>Hardware</t>
  </si>
  <si>
    <t>Skype</t>
  </si>
  <si>
    <t>$8.5B</t>
  </si>
  <si>
    <t>Founder:</t>
  </si>
  <si>
    <t>Founded:</t>
  </si>
  <si>
    <t>04/04/1975</t>
  </si>
  <si>
    <t>Software, Hardware, More</t>
  </si>
  <si>
    <t>Flipgrid</t>
  </si>
  <si>
    <t>Notes:</t>
  </si>
  <si>
    <t>Investing in AI growth through OpenAI and More</t>
  </si>
  <si>
    <t>Building more cloud-based systems</t>
  </si>
  <si>
    <t>Investing into Gaming Market</t>
  </si>
  <si>
    <t>Azure</t>
  </si>
  <si>
    <t>MSFT consistently beating SPY and NASDAQ</t>
  </si>
  <si>
    <t>Cloud reveneu incerase 22% $111.6B</t>
  </si>
  <si>
    <t>Xbox services decreased 3%</t>
  </si>
  <si>
    <t>Devices revenue decreased 24%</t>
  </si>
  <si>
    <t>Ad rev increased 11%</t>
  </si>
  <si>
    <t>Generally higher second and fourth quarters</t>
  </si>
  <si>
    <t>OpenAI 11,000 organizational customers FQ423 Call</t>
  </si>
  <si>
    <t>18,000 Customers for Azure FQ423 Call</t>
  </si>
  <si>
    <t>CFO:</t>
  </si>
  <si>
    <t>CAO:</t>
  </si>
  <si>
    <t>Amy Hood</t>
  </si>
  <si>
    <t>Alice Jolla</t>
  </si>
  <si>
    <t>LinkedIn 900M Members</t>
  </si>
  <si>
    <t>OpenAI estimated to be valued at $100B???</t>
  </si>
  <si>
    <t>BS</t>
  </si>
  <si>
    <t>CF Statement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</si>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</sst>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&quot;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left" vertical="top"/>
    </xf>
    <xf numFmtId="9" fontId="1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7D0D-6E6A-44A0-9986-E1C18F065FE7}">
  <dimension ref="A1:R33"/>
  <sheetViews>
    <sheetView tabSelected="1" workbookViewId="0">
      <selection activeCell="G25" sqref="G25:H25"/>
    </sheetView>
  </sheetViews>
  <sheetFormatPr defaultRowHeight="15" x14ac:dyDescent="0.25"/>
  <cols>
    <col min="1" max="1" width="17.5703125" bestFit="1" customWidth="1"/>
    <col min="3" max="3" width="15.7109375" bestFit="1" customWidth="1"/>
    <col min="4" max="4" width="26.28515625" bestFit="1" customWidth="1"/>
    <col min="6" max="6" width="22" bestFit="1" customWidth="1"/>
    <col min="17" max="17" width="12" bestFit="1" customWidth="1"/>
  </cols>
  <sheetData>
    <row r="1" spans="1:18" x14ac:dyDescent="0.25">
      <c r="A1" s="2" t="s">
        <v>0</v>
      </c>
    </row>
    <row r="2" spans="1:18" x14ac:dyDescent="0.25">
      <c r="A2" s="3">
        <f ca="1">TODAY()</f>
        <v>45252</v>
      </c>
      <c r="C2" s="1" t="s">
        <v>1</v>
      </c>
      <c r="D2" t="s">
        <v>2</v>
      </c>
      <c r="F2" s="1" t="s">
        <v>3</v>
      </c>
      <c r="G2" t="s">
        <v>4</v>
      </c>
    </row>
    <row r="3" spans="1:18" x14ac:dyDescent="0.25">
      <c r="C3" s="1" t="s">
        <v>5</v>
      </c>
      <c r="D3" t="s">
        <v>6</v>
      </c>
      <c r="G3" t="s">
        <v>7</v>
      </c>
    </row>
    <row r="4" spans="1:18" x14ac:dyDescent="0.25">
      <c r="A4" s="4"/>
      <c r="C4" s="1" t="s">
        <v>146</v>
      </c>
      <c r="D4" t="s">
        <v>10</v>
      </c>
      <c r="G4" t="s">
        <v>11</v>
      </c>
    </row>
    <row r="5" spans="1:18" x14ac:dyDescent="0.25">
      <c r="C5" s="1" t="s">
        <v>12</v>
      </c>
      <c r="D5" t="s">
        <v>149</v>
      </c>
      <c r="G5" t="s">
        <v>14</v>
      </c>
    </row>
    <row r="6" spans="1:18" x14ac:dyDescent="0.25">
      <c r="A6" t="s">
        <v>78</v>
      </c>
      <c r="C6" s="1" t="s">
        <v>15</v>
      </c>
      <c r="D6" t="s">
        <v>16</v>
      </c>
      <c r="G6" t="s">
        <v>17</v>
      </c>
    </row>
    <row r="7" spans="1:18" x14ac:dyDescent="0.25">
      <c r="C7" s="1" t="s">
        <v>18</v>
      </c>
      <c r="D7" t="s">
        <v>19</v>
      </c>
      <c r="G7" t="s">
        <v>20</v>
      </c>
    </row>
    <row r="8" spans="1:18" x14ac:dyDescent="0.25">
      <c r="A8" s="4" t="s">
        <v>8</v>
      </c>
      <c r="C8" s="1" t="s">
        <v>147</v>
      </c>
      <c r="D8" t="s">
        <v>148</v>
      </c>
      <c r="G8" t="s">
        <v>21</v>
      </c>
    </row>
    <row r="9" spans="1:18" x14ac:dyDescent="0.25">
      <c r="A9" s="4" t="s">
        <v>170</v>
      </c>
      <c r="C9" s="1"/>
    </row>
    <row r="10" spans="1:18" x14ac:dyDescent="0.25">
      <c r="A10" s="4" t="s">
        <v>171</v>
      </c>
      <c r="C10" s="1" t="s">
        <v>9</v>
      </c>
      <c r="D10" t="s">
        <v>10</v>
      </c>
      <c r="F10" s="1" t="s">
        <v>23</v>
      </c>
      <c r="H10" s="1"/>
      <c r="L10" s="2" t="s">
        <v>116</v>
      </c>
      <c r="R10" s="1" t="s">
        <v>151</v>
      </c>
    </row>
    <row r="11" spans="1:18" x14ac:dyDescent="0.25">
      <c r="C11" s="1" t="s">
        <v>164</v>
      </c>
      <c r="D11" t="s">
        <v>166</v>
      </c>
      <c r="F11" s="1" t="s">
        <v>25</v>
      </c>
      <c r="L11" s="1" t="s">
        <v>113</v>
      </c>
      <c r="M11" s="14" t="s">
        <v>114</v>
      </c>
      <c r="N11" s="14" t="s">
        <v>115</v>
      </c>
      <c r="O11" s="1" t="s">
        <v>122</v>
      </c>
      <c r="P11" s="1"/>
      <c r="R11" t="s">
        <v>152</v>
      </c>
    </row>
    <row r="12" spans="1:18" x14ac:dyDescent="0.25">
      <c r="C12" s="1" t="s">
        <v>165</v>
      </c>
      <c r="D12" t="s">
        <v>167</v>
      </c>
      <c r="F12" t="s">
        <v>27</v>
      </c>
      <c r="L12" t="s">
        <v>111</v>
      </c>
      <c r="M12" t="s">
        <v>112</v>
      </c>
      <c r="N12" t="s">
        <v>117</v>
      </c>
      <c r="O12" t="s">
        <v>123</v>
      </c>
      <c r="R12" t="s">
        <v>153</v>
      </c>
    </row>
    <row r="13" spans="1:18" x14ac:dyDescent="0.25">
      <c r="C13" s="1"/>
      <c r="F13" t="s">
        <v>29</v>
      </c>
      <c r="L13" t="s">
        <v>118</v>
      </c>
      <c r="M13" t="s">
        <v>119</v>
      </c>
      <c r="N13" t="s">
        <v>120</v>
      </c>
      <c r="O13" t="s">
        <v>124</v>
      </c>
      <c r="R13" t="s">
        <v>154</v>
      </c>
    </row>
    <row r="14" spans="1:18" x14ac:dyDescent="0.25">
      <c r="F14" t="s">
        <v>31</v>
      </c>
      <c r="L14" t="s">
        <v>121</v>
      </c>
      <c r="M14" t="s">
        <v>127</v>
      </c>
      <c r="N14" t="s">
        <v>120</v>
      </c>
      <c r="O14" t="s">
        <v>125</v>
      </c>
      <c r="R14" t="s">
        <v>156</v>
      </c>
    </row>
    <row r="15" spans="1:18" x14ac:dyDescent="0.25">
      <c r="C15" s="1" t="s">
        <v>22</v>
      </c>
      <c r="F15" t="s">
        <v>33</v>
      </c>
      <c r="L15" t="s">
        <v>128</v>
      </c>
      <c r="M15" t="s">
        <v>129</v>
      </c>
      <c r="N15" t="s">
        <v>120</v>
      </c>
      <c r="O15" t="s">
        <v>125</v>
      </c>
      <c r="R15" t="s">
        <v>157</v>
      </c>
    </row>
    <row r="16" spans="1:18" x14ac:dyDescent="0.25">
      <c r="C16" t="s">
        <v>24</v>
      </c>
      <c r="D16" s="9">
        <v>378</v>
      </c>
      <c r="F16" t="s">
        <v>35</v>
      </c>
      <c r="L16" t="s">
        <v>130</v>
      </c>
      <c r="M16" t="s">
        <v>131</v>
      </c>
      <c r="N16" t="s">
        <v>120</v>
      </c>
      <c r="O16" t="s">
        <v>133</v>
      </c>
      <c r="R16" t="s">
        <v>158</v>
      </c>
    </row>
    <row r="17" spans="3:18" x14ac:dyDescent="0.25">
      <c r="C17" t="s">
        <v>26</v>
      </c>
      <c r="D17" s="9">
        <f>429763722/1000</f>
        <v>429763.72200000001</v>
      </c>
      <c r="F17" t="s">
        <v>36</v>
      </c>
      <c r="L17" t="s">
        <v>134</v>
      </c>
      <c r="M17" t="s">
        <v>135</v>
      </c>
      <c r="N17" t="s">
        <v>120</v>
      </c>
      <c r="O17" t="s">
        <v>125</v>
      </c>
      <c r="R17" t="s">
        <v>159</v>
      </c>
    </row>
    <row r="18" spans="3:18" x14ac:dyDescent="0.25">
      <c r="C18" t="s">
        <v>28</v>
      </c>
      <c r="D18" s="9">
        <f>D16*D17</f>
        <v>162450686.91600001</v>
      </c>
      <c r="L18" t="s">
        <v>136</v>
      </c>
      <c r="M18" t="s">
        <v>137</v>
      </c>
      <c r="N18" t="s">
        <v>120</v>
      </c>
      <c r="O18" t="s">
        <v>138</v>
      </c>
      <c r="R18" t="s">
        <v>160</v>
      </c>
    </row>
    <row r="19" spans="3:18" x14ac:dyDescent="0.25">
      <c r="C19" t="s">
        <v>30</v>
      </c>
      <c r="D19" s="9">
        <f>144000000000/1000</f>
        <v>144000000</v>
      </c>
      <c r="F19" s="1" t="s">
        <v>37</v>
      </c>
      <c r="L19" t="s">
        <v>139</v>
      </c>
      <c r="M19" t="s">
        <v>140</v>
      </c>
      <c r="N19" t="s">
        <v>120</v>
      </c>
      <c r="O19" t="s">
        <v>132</v>
      </c>
      <c r="R19" t="s">
        <v>161</v>
      </c>
    </row>
    <row r="20" spans="3:18" x14ac:dyDescent="0.25">
      <c r="C20" t="s">
        <v>32</v>
      </c>
      <c r="D20" s="9">
        <f>(5247000+41990000)*100/1000</f>
        <v>4723700</v>
      </c>
      <c r="F20" t="s">
        <v>38</v>
      </c>
      <c r="L20" t="s">
        <v>141</v>
      </c>
      <c r="M20" t="s">
        <v>142</v>
      </c>
      <c r="N20" t="s">
        <v>120</v>
      </c>
      <c r="O20" t="s">
        <v>143</v>
      </c>
      <c r="R20" t="s">
        <v>162</v>
      </c>
    </row>
    <row r="21" spans="3:18" x14ac:dyDescent="0.25">
      <c r="C21" t="s">
        <v>34</v>
      </c>
      <c r="D21" s="9">
        <f>D18+D19-D20</f>
        <v>301726986.91600001</v>
      </c>
      <c r="F21" t="s">
        <v>39</v>
      </c>
      <c r="L21" t="s">
        <v>144</v>
      </c>
      <c r="M21" t="s">
        <v>145</v>
      </c>
      <c r="N21" t="s">
        <v>120</v>
      </c>
      <c r="O21" t="s">
        <v>13</v>
      </c>
      <c r="R21" t="s">
        <v>163</v>
      </c>
    </row>
    <row r="22" spans="3:18" x14ac:dyDescent="0.25">
      <c r="D22" s="5"/>
      <c r="F22" t="s">
        <v>40</v>
      </c>
      <c r="L22" t="s">
        <v>150</v>
      </c>
      <c r="M22" t="s">
        <v>126</v>
      </c>
      <c r="N22" t="s">
        <v>120</v>
      </c>
      <c r="O22" t="s">
        <v>13</v>
      </c>
      <c r="R22" t="s">
        <v>168</v>
      </c>
    </row>
    <row r="23" spans="3:18" x14ac:dyDescent="0.25">
      <c r="F23" t="s">
        <v>41</v>
      </c>
      <c r="R23" t="s">
        <v>169</v>
      </c>
    </row>
    <row r="24" spans="3:18" x14ac:dyDescent="0.25">
      <c r="F24" t="s">
        <v>42</v>
      </c>
      <c r="L24" s="1"/>
      <c r="M24" s="14"/>
      <c r="N24" s="14"/>
      <c r="O24" s="1"/>
    </row>
    <row r="25" spans="3:18" x14ac:dyDescent="0.25">
      <c r="F25" t="s">
        <v>43</v>
      </c>
    </row>
    <row r="26" spans="3:18" x14ac:dyDescent="0.25">
      <c r="F26" t="s">
        <v>44</v>
      </c>
    </row>
    <row r="28" spans="3:18" x14ac:dyDescent="0.25">
      <c r="F28" s="1" t="s">
        <v>45</v>
      </c>
    </row>
    <row r="29" spans="3:18" x14ac:dyDescent="0.25">
      <c r="F29" t="s">
        <v>46</v>
      </c>
    </row>
    <row r="30" spans="3:18" x14ac:dyDescent="0.25">
      <c r="F30" t="s">
        <v>47</v>
      </c>
    </row>
    <row r="31" spans="3:18" x14ac:dyDescent="0.25">
      <c r="F31" t="s">
        <v>155</v>
      </c>
    </row>
    <row r="33" spans="6:6" x14ac:dyDescent="0.25">
      <c r="F33" s="1"/>
    </row>
  </sheetData>
  <conditionalFormatting sqref="A1:XFD1048576">
    <cfRule type="expression" dxfId="12" priority="1">
      <formula>MOD(ROW(),2)=0</formula>
    </cfRule>
  </conditionalFormatting>
  <hyperlinks>
    <hyperlink ref="A8" location="Model!A1" display="Model" xr:uid="{BE2EFA72-6477-492D-9428-8A6DA1BBA365}"/>
    <hyperlink ref="A9" location="'Balnce Sheet'!A1" display="BS" xr:uid="{780EB2B2-A295-4CC4-9FF2-28EDC0D83003}"/>
    <hyperlink ref="A10" location="'Cashflow Statement'!A1" display="CF Statement" xr:uid="{907A0CAB-0A64-437D-9918-6294AD3492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27EA-8082-474C-ACDC-FF1C26A51890}">
  <dimension ref="A1:EF31"/>
  <sheetViews>
    <sheetView zoomScaleNormal="100" workbookViewId="0"/>
  </sheetViews>
  <sheetFormatPr defaultRowHeight="15" x14ac:dyDescent="0.25"/>
  <cols>
    <col min="3" max="3" width="17.5703125" bestFit="1" customWidth="1"/>
    <col min="4" max="4" width="8.5703125" bestFit="1" customWidth="1"/>
    <col min="5" max="5" width="9" bestFit="1" customWidth="1"/>
    <col min="6" max="6" width="8.5703125" bestFit="1" customWidth="1"/>
    <col min="29" max="29" width="13.28515625" bestFit="1" customWidth="1"/>
    <col min="30" max="30" width="15.5703125" bestFit="1" customWidth="1"/>
    <col min="31" max="33" width="15.5703125" customWidth="1"/>
    <col min="35" max="35" width="23.85546875" bestFit="1" customWidth="1"/>
    <col min="36" max="36" width="8.42578125" bestFit="1" customWidth="1"/>
    <col min="37" max="49" width="8.140625" bestFit="1" customWidth="1"/>
    <col min="50" max="50" width="8.85546875" bestFit="1" customWidth="1"/>
    <col min="51" max="65" width="8.140625" bestFit="1" customWidth="1"/>
    <col min="66" max="66" width="8.85546875" bestFit="1" customWidth="1"/>
  </cols>
  <sheetData>
    <row r="1" spans="1:68" x14ac:dyDescent="0.25">
      <c r="A1" s="2" t="s">
        <v>48</v>
      </c>
    </row>
    <row r="2" spans="1:68" x14ac:dyDescent="0.25">
      <c r="A2" s="4" t="s">
        <v>172</v>
      </c>
    </row>
    <row r="3" spans="1:68" x14ac:dyDescent="0.25">
      <c r="C3" s="1" t="s">
        <v>49</v>
      </c>
      <c r="D3" s="1"/>
      <c r="E3" s="1"/>
      <c r="F3" s="1"/>
      <c r="AI3" s="1" t="s">
        <v>50</v>
      </c>
      <c r="AJ3" s="1"/>
      <c r="AK3" s="1"/>
      <c r="AL3" s="1"/>
      <c r="AM3" s="1"/>
      <c r="AN3" s="1"/>
      <c r="AO3" s="1"/>
      <c r="AP3" s="1"/>
      <c r="AQ3" s="1"/>
    </row>
    <row r="4" spans="1:68" x14ac:dyDescent="0.25">
      <c r="D4" t="s">
        <v>51</v>
      </c>
      <c r="E4" t="s">
        <v>52</v>
      </c>
      <c r="F4" t="s">
        <v>53</v>
      </c>
      <c r="G4" s="6" t="s">
        <v>54</v>
      </c>
      <c r="H4" s="8" t="s">
        <v>55</v>
      </c>
      <c r="I4" s="8" t="s">
        <v>56</v>
      </c>
      <c r="J4" s="8" t="s">
        <v>57</v>
      </c>
      <c r="K4" s="6" t="s">
        <v>58</v>
      </c>
      <c r="L4" s="8" t="s">
        <v>59</v>
      </c>
      <c r="M4" s="8" t="s">
        <v>60</v>
      </c>
      <c r="N4" s="8" t="s">
        <v>61</v>
      </c>
      <c r="O4" s="6" t="s">
        <v>62</v>
      </c>
      <c r="P4" s="8" t="s">
        <v>63</v>
      </c>
      <c r="Q4" s="8" t="s">
        <v>64</v>
      </c>
      <c r="R4" s="8" t="s">
        <v>65</v>
      </c>
      <c r="S4" s="6" t="s">
        <v>66</v>
      </c>
      <c r="T4" s="8" t="s">
        <v>67</v>
      </c>
      <c r="U4" s="8" t="s">
        <v>68</v>
      </c>
      <c r="V4" s="8" t="s">
        <v>69</v>
      </c>
      <c r="W4" s="6" t="s">
        <v>70</v>
      </c>
      <c r="X4" s="8" t="s">
        <v>71</v>
      </c>
      <c r="Y4" s="8" t="s">
        <v>72</v>
      </c>
      <c r="Z4" s="8" t="s">
        <v>73</v>
      </c>
      <c r="AA4" s="6" t="s">
        <v>74</v>
      </c>
      <c r="AC4" s="12" t="s">
        <v>109</v>
      </c>
      <c r="AF4" s="1" t="s">
        <v>110</v>
      </c>
      <c r="AJ4" s="1">
        <f t="shared" ref="AJ4:AP4" si="0">AK4-1</f>
        <v>2010</v>
      </c>
      <c r="AK4" s="1">
        <f t="shared" si="0"/>
        <v>2011</v>
      </c>
      <c r="AL4" s="1">
        <f t="shared" si="0"/>
        <v>2012</v>
      </c>
      <c r="AM4" s="1">
        <f t="shared" si="0"/>
        <v>2013</v>
      </c>
      <c r="AN4" s="1">
        <f t="shared" si="0"/>
        <v>2014</v>
      </c>
      <c r="AO4" s="1">
        <f t="shared" si="0"/>
        <v>2015</v>
      </c>
      <c r="AP4" s="1">
        <f t="shared" si="0"/>
        <v>2016</v>
      </c>
      <c r="AQ4" s="1">
        <f>AR4-1</f>
        <v>2017</v>
      </c>
      <c r="AR4" s="1">
        <v>2018</v>
      </c>
      <c r="AS4" s="1">
        <f>AR4+1</f>
        <v>2019</v>
      </c>
      <c r="AT4" s="1">
        <f t="shared" ref="AT4:BD4" si="1">AS4+1</f>
        <v>2020</v>
      </c>
      <c r="AU4" s="1">
        <f t="shared" si="1"/>
        <v>2021</v>
      </c>
      <c r="AV4" s="1">
        <f t="shared" si="1"/>
        <v>2022</v>
      </c>
      <c r="AW4" s="1">
        <f t="shared" si="1"/>
        <v>2023</v>
      </c>
      <c r="AX4" s="1">
        <f t="shared" si="1"/>
        <v>2024</v>
      </c>
      <c r="AY4" s="1">
        <f t="shared" si="1"/>
        <v>2025</v>
      </c>
      <c r="AZ4" s="1">
        <f t="shared" si="1"/>
        <v>2026</v>
      </c>
      <c r="BA4" s="1">
        <f t="shared" si="1"/>
        <v>2027</v>
      </c>
      <c r="BB4" s="1">
        <f t="shared" si="1"/>
        <v>2028</v>
      </c>
      <c r="BC4" s="1">
        <f t="shared" si="1"/>
        <v>2029</v>
      </c>
      <c r="BD4" s="1">
        <f t="shared" si="1"/>
        <v>2030</v>
      </c>
      <c r="BE4" s="1">
        <f t="shared" ref="BE4" si="2">BD4+1</f>
        <v>2031</v>
      </c>
      <c r="BF4" s="1">
        <f t="shared" ref="BF4" si="3">BE4+1</f>
        <v>2032</v>
      </c>
      <c r="BG4" s="1">
        <f t="shared" ref="BG4" si="4">BF4+1</f>
        <v>2033</v>
      </c>
      <c r="BH4" s="1">
        <f t="shared" ref="BH4" si="5">BG4+1</f>
        <v>2034</v>
      </c>
      <c r="BI4" s="1">
        <f t="shared" ref="BI4" si="6">BH4+1</f>
        <v>2035</v>
      </c>
      <c r="BJ4" s="1">
        <f t="shared" ref="BJ4" si="7">BI4+1</f>
        <v>2036</v>
      </c>
      <c r="BK4" s="1">
        <f t="shared" ref="BK4" si="8">BJ4+1</f>
        <v>2037</v>
      </c>
      <c r="BL4" s="1">
        <f t="shared" ref="BL4" si="9">BK4+1</f>
        <v>2038</v>
      </c>
      <c r="BM4" s="1">
        <f t="shared" ref="BM4" si="10">BL4+1</f>
        <v>2039</v>
      </c>
      <c r="BN4" s="1">
        <f t="shared" ref="BN4" si="11">BM4+1</f>
        <v>2040</v>
      </c>
      <c r="BO4" s="1"/>
      <c r="BP4" s="1"/>
    </row>
    <row r="5" spans="1:68" x14ac:dyDescent="0.25">
      <c r="C5" t="s">
        <v>79</v>
      </c>
      <c r="D5" s="9">
        <v>14298</v>
      </c>
      <c r="E5" s="9">
        <v>17926</v>
      </c>
      <c r="F5" s="9">
        <f>15114</f>
        <v>15114</v>
      </c>
      <c r="G5" s="9">
        <f>17159</f>
        <v>17159</v>
      </c>
      <c r="H5" s="9">
        <f>17299</f>
        <v>17299</v>
      </c>
      <c r="I5" s="9">
        <f>16219</f>
        <v>16219</v>
      </c>
      <c r="J5" s="9">
        <f>15448</f>
        <v>15448</v>
      </c>
      <c r="K5" s="9">
        <v>17103</v>
      </c>
      <c r="L5" s="9">
        <f>15768</f>
        <v>15768</v>
      </c>
      <c r="M5" s="9">
        <v>18255</v>
      </c>
      <c r="N5" s="9">
        <v>15871</v>
      </c>
      <c r="O5" s="9">
        <v>18147</v>
      </c>
      <c r="P5" s="9">
        <v>15803</v>
      </c>
      <c r="Q5" s="9">
        <v>19460</v>
      </c>
      <c r="R5" s="9">
        <v>16873</v>
      </c>
      <c r="S5" s="9">
        <v>18938</v>
      </c>
      <c r="T5" s="9">
        <v>16631</v>
      </c>
      <c r="U5" s="9">
        <v>20779</v>
      </c>
      <c r="V5" s="9">
        <v>17366</v>
      </c>
      <c r="W5" s="9">
        <v>17956</v>
      </c>
      <c r="X5" s="9">
        <v>15741</v>
      </c>
      <c r="Y5" s="9">
        <v>16517</v>
      </c>
      <c r="Z5" s="9">
        <v>15588</v>
      </c>
      <c r="AA5" s="9">
        <v>16853</v>
      </c>
      <c r="AC5" t="s">
        <v>75</v>
      </c>
      <c r="AD5" s="7">
        <v>7.0000000000000007E-2</v>
      </c>
      <c r="AE5" s="7"/>
      <c r="AF5" s="13"/>
      <c r="AG5" s="10">
        <v>5.5500000000000001E-2</v>
      </c>
      <c r="AH5" s="7"/>
      <c r="AI5" t="s">
        <v>79</v>
      </c>
      <c r="AJ5" s="9"/>
      <c r="AK5" s="9"/>
      <c r="AL5" s="9"/>
      <c r="AM5" s="9"/>
      <c r="AN5" s="9">
        <v>72948</v>
      </c>
      <c r="AO5" s="9">
        <v>75956</v>
      </c>
      <c r="AP5" s="9">
        <v>61502</v>
      </c>
      <c r="AQ5" s="9">
        <v>57190</v>
      </c>
      <c r="AR5" s="9">
        <f t="shared" ref="AR5:AR19" si="12">SUM(D5:G5)</f>
        <v>64497</v>
      </c>
      <c r="AS5" s="9">
        <f t="shared" ref="AS5:AS19" si="13">SUM(E5:H5)</f>
        <v>67498</v>
      </c>
      <c r="AT5" s="9">
        <f t="shared" ref="AT5:AT19" si="14">SUM(L5:O5)</f>
        <v>68041</v>
      </c>
      <c r="AU5" s="9">
        <f t="shared" ref="AU5:AU19" si="15">SUM(P5:S5)</f>
        <v>71074</v>
      </c>
      <c r="AV5" s="9">
        <f t="shared" ref="AV5:AV19" si="16">SUM(T5:W5)</f>
        <v>72732</v>
      </c>
      <c r="AW5" s="9">
        <f t="shared" ref="AW5:AW19" si="17">SUM(X5:AA5)</f>
        <v>64699</v>
      </c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8" x14ac:dyDescent="0.25">
      <c r="C6" t="s">
        <v>80</v>
      </c>
      <c r="D6" s="9">
        <v>10240</v>
      </c>
      <c r="E6" s="9">
        <v>10992</v>
      </c>
      <c r="F6" s="9">
        <f>11705</f>
        <v>11705</v>
      </c>
      <c r="G6" s="9">
        <f>12926</f>
        <v>12926</v>
      </c>
      <c r="H6" s="9">
        <f>11785</f>
        <v>11785</v>
      </c>
      <c r="I6" s="9">
        <f>16252</f>
        <v>16252</v>
      </c>
      <c r="J6" s="9">
        <f>15123</f>
        <v>15123</v>
      </c>
      <c r="K6" s="9">
        <v>16614</v>
      </c>
      <c r="L6" s="9">
        <v>17287</v>
      </c>
      <c r="M6" s="9">
        <v>18651</v>
      </c>
      <c r="N6" s="9">
        <v>19150</v>
      </c>
      <c r="O6" s="9">
        <v>19886</v>
      </c>
      <c r="P6" s="9">
        <v>21351</v>
      </c>
      <c r="Q6" s="9">
        <v>23616</v>
      </c>
      <c r="R6" s="9">
        <v>24833</v>
      </c>
      <c r="S6" s="9">
        <v>27214</v>
      </c>
      <c r="T6" s="9">
        <v>28686</v>
      </c>
      <c r="U6" s="9">
        <v>30949</v>
      </c>
      <c r="V6" s="9">
        <v>31994</v>
      </c>
      <c r="W6" s="9">
        <v>33906</v>
      </c>
      <c r="X6" s="9">
        <v>34381</v>
      </c>
      <c r="Y6" s="9">
        <v>36230</v>
      </c>
      <c r="Z6" s="9">
        <v>37269</v>
      </c>
      <c r="AA6" s="9">
        <v>39336</v>
      </c>
      <c r="AC6" t="s">
        <v>104</v>
      </c>
      <c r="AD6" s="10">
        <v>3.5000000000000003E-2</v>
      </c>
      <c r="AE6" s="10"/>
      <c r="AF6" s="13"/>
      <c r="AG6" s="10">
        <v>0.03</v>
      </c>
      <c r="AH6" s="7"/>
      <c r="AI6" t="s">
        <v>80</v>
      </c>
      <c r="AJ6" s="9"/>
      <c r="AK6" s="9"/>
      <c r="AL6" s="9"/>
      <c r="AM6" s="9"/>
      <c r="AN6" s="9">
        <v>13885</v>
      </c>
      <c r="AO6" s="9">
        <v>17624</v>
      </c>
      <c r="AP6" s="9">
        <v>23818</v>
      </c>
      <c r="AQ6" s="9">
        <v>32760</v>
      </c>
      <c r="AR6" s="9">
        <f t="shared" si="12"/>
        <v>45863</v>
      </c>
      <c r="AS6" s="9">
        <f t="shared" si="13"/>
        <v>47408</v>
      </c>
      <c r="AT6" s="9">
        <f t="shared" si="14"/>
        <v>74974</v>
      </c>
      <c r="AU6" s="9">
        <f t="shared" si="15"/>
        <v>97014</v>
      </c>
      <c r="AV6" s="9">
        <f t="shared" si="16"/>
        <v>125535</v>
      </c>
      <c r="AW6" s="9">
        <f t="shared" si="17"/>
        <v>147216</v>
      </c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</row>
    <row r="7" spans="1:68" x14ac:dyDescent="0.25">
      <c r="C7" s="1" t="s">
        <v>81</v>
      </c>
      <c r="D7" s="9">
        <f t="shared" ref="D7:AA7" si="18">D5+D6</f>
        <v>24538</v>
      </c>
      <c r="E7" s="9">
        <f t="shared" si="18"/>
        <v>28918</v>
      </c>
      <c r="F7" s="9">
        <f t="shared" si="18"/>
        <v>26819</v>
      </c>
      <c r="G7" s="9">
        <f t="shared" si="18"/>
        <v>30085</v>
      </c>
      <c r="H7" s="9">
        <f t="shared" si="18"/>
        <v>29084</v>
      </c>
      <c r="I7" s="9">
        <f t="shared" si="18"/>
        <v>32471</v>
      </c>
      <c r="J7" s="9">
        <f t="shared" si="18"/>
        <v>30571</v>
      </c>
      <c r="K7" s="9">
        <f t="shared" si="18"/>
        <v>33717</v>
      </c>
      <c r="L7" s="9">
        <f t="shared" si="18"/>
        <v>33055</v>
      </c>
      <c r="M7" s="9">
        <f t="shared" si="18"/>
        <v>36906</v>
      </c>
      <c r="N7" s="9">
        <f t="shared" si="18"/>
        <v>35021</v>
      </c>
      <c r="O7" s="9">
        <f t="shared" si="18"/>
        <v>38033</v>
      </c>
      <c r="P7" s="9">
        <f t="shared" si="18"/>
        <v>37154</v>
      </c>
      <c r="Q7" s="9">
        <f t="shared" si="18"/>
        <v>43076</v>
      </c>
      <c r="R7" s="9">
        <f t="shared" si="18"/>
        <v>41706</v>
      </c>
      <c r="S7" s="9">
        <f t="shared" si="18"/>
        <v>46152</v>
      </c>
      <c r="T7" s="9">
        <f t="shared" si="18"/>
        <v>45317</v>
      </c>
      <c r="U7" s="9">
        <f t="shared" si="18"/>
        <v>51728</v>
      </c>
      <c r="V7" s="9">
        <f t="shared" si="18"/>
        <v>49360</v>
      </c>
      <c r="W7" s="9">
        <f t="shared" si="18"/>
        <v>51862</v>
      </c>
      <c r="X7" s="9">
        <f t="shared" si="18"/>
        <v>50122</v>
      </c>
      <c r="Y7" s="9">
        <f t="shared" si="18"/>
        <v>52747</v>
      </c>
      <c r="Z7" s="9">
        <f t="shared" si="18"/>
        <v>52857</v>
      </c>
      <c r="AA7" s="9">
        <f t="shared" si="18"/>
        <v>56189</v>
      </c>
      <c r="AC7" s="1" t="s">
        <v>76</v>
      </c>
      <c r="AD7" s="11">
        <f>NPV(AD6,AJ19:EF19)</f>
        <v>23639186.439387329</v>
      </c>
      <c r="AE7" s="11"/>
      <c r="AF7" s="13"/>
      <c r="AG7" s="11">
        <f>NPV(AG6,AJ20:EF20)</f>
        <v>14990017.793319298</v>
      </c>
      <c r="AH7" s="1"/>
      <c r="AI7" s="1" t="s">
        <v>81</v>
      </c>
      <c r="AJ7" s="11">
        <f>62484</f>
        <v>62484</v>
      </c>
      <c r="AK7" s="11">
        <v>69943</v>
      </c>
      <c r="AL7" s="11">
        <v>73723</v>
      </c>
      <c r="AM7" s="11">
        <v>77849</v>
      </c>
      <c r="AN7" s="11">
        <f t="shared" ref="AN7:AP7" si="19">AN5+AN6</f>
        <v>86833</v>
      </c>
      <c r="AO7" s="11">
        <f t="shared" si="19"/>
        <v>93580</v>
      </c>
      <c r="AP7" s="11">
        <f t="shared" si="19"/>
        <v>85320</v>
      </c>
      <c r="AQ7" s="11">
        <f>AQ5+AQ6</f>
        <v>89950</v>
      </c>
      <c r="AR7" s="11">
        <f t="shared" si="12"/>
        <v>110360</v>
      </c>
      <c r="AS7" s="11">
        <f t="shared" si="13"/>
        <v>114906</v>
      </c>
      <c r="AT7" s="11">
        <f t="shared" si="14"/>
        <v>143015</v>
      </c>
      <c r="AU7" s="11">
        <f t="shared" si="15"/>
        <v>168088</v>
      </c>
      <c r="AV7" s="11">
        <f t="shared" si="16"/>
        <v>198267</v>
      </c>
      <c r="AW7" s="11">
        <f t="shared" si="17"/>
        <v>211915</v>
      </c>
      <c r="AX7" s="11">
        <f>AW7*0.96</f>
        <v>203438.4</v>
      </c>
      <c r="AY7" s="11">
        <f t="shared" ref="AY7:BM7" si="20">AX7*0.95</f>
        <v>193266.47999999998</v>
      </c>
      <c r="AZ7" s="11">
        <f t="shared" si="20"/>
        <v>183603.15599999999</v>
      </c>
      <c r="BA7" s="11">
        <f t="shared" si="20"/>
        <v>174422.99819999997</v>
      </c>
      <c r="BB7" s="11">
        <f t="shared" si="20"/>
        <v>165701.84828999997</v>
      </c>
      <c r="BC7" s="11">
        <f t="shared" si="20"/>
        <v>157416.75587549995</v>
      </c>
      <c r="BD7" s="11">
        <f t="shared" si="20"/>
        <v>149545.91808172496</v>
      </c>
      <c r="BE7" s="11">
        <f t="shared" si="20"/>
        <v>142068.6221776387</v>
      </c>
      <c r="BF7" s="11">
        <f t="shared" si="20"/>
        <v>134965.19106875674</v>
      </c>
      <c r="BG7" s="11">
        <f t="shared" si="20"/>
        <v>128216.93151531889</v>
      </c>
      <c r="BH7" s="11">
        <f t="shared" si="20"/>
        <v>121806.08493955295</v>
      </c>
      <c r="BI7" s="11">
        <f t="shared" si="20"/>
        <v>115715.7806925753</v>
      </c>
      <c r="BJ7" s="11">
        <f t="shared" si="20"/>
        <v>109929.99165794652</v>
      </c>
      <c r="BK7" s="11">
        <f t="shared" si="20"/>
        <v>104433.49207504919</v>
      </c>
      <c r="BL7" s="11">
        <f t="shared" si="20"/>
        <v>99211.81747129673</v>
      </c>
      <c r="BM7" s="11">
        <f t="shared" si="20"/>
        <v>94251.226597731889</v>
      </c>
      <c r="BN7" s="11">
        <f t="shared" ref="BN7" si="21">BM7*0.95</f>
        <v>89538.665267845296</v>
      </c>
    </row>
    <row r="8" spans="1:68" x14ac:dyDescent="0.25">
      <c r="C8" t="s">
        <v>82</v>
      </c>
      <c r="D8" s="9">
        <v>2980</v>
      </c>
      <c r="E8" s="9">
        <f>5498</f>
        <v>5498</v>
      </c>
      <c r="F8" s="9">
        <f>3425</f>
        <v>3425</v>
      </c>
      <c r="G8" s="9">
        <f>3517</f>
        <v>3517</v>
      </c>
      <c r="H8" s="9">
        <f>3649</f>
        <v>3649</v>
      </c>
      <c r="I8" s="9">
        <f>5885</f>
        <v>5885</v>
      </c>
      <c r="J8" s="9">
        <f>3441</f>
        <v>3441</v>
      </c>
      <c r="K8" s="9">
        <f>3298</f>
        <v>3298</v>
      </c>
      <c r="L8" s="9">
        <v>3305</v>
      </c>
      <c r="M8" s="9">
        <v>4966</v>
      </c>
      <c r="N8" s="9">
        <v>3376</v>
      </c>
      <c r="O8" s="9">
        <v>4370</v>
      </c>
      <c r="P8" s="9">
        <v>3597</v>
      </c>
      <c r="Q8" s="9">
        <v>6058</v>
      </c>
      <c r="R8" s="9">
        <v>4277</v>
      </c>
      <c r="S8" s="9">
        <v>4287</v>
      </c>
      <c r="T8" s="9">
        <v>3792</v>
      </c>
      <c r="U8" s="9">
        <v>6331</v>
      </c>
      <c r="V8" s="9">
        <v>4584</v>
      </c>
      <c r="W8" s="9">
        <v>4357</v>
      </c>
      <c r="X8" s="9">
        <v>4302</v>
      </c>
      <c r="Y8" s="9">
        <v>5690</v>
      </c>
      <c r="Z8" s="9">
        <v>3941</v>
      </c>
      <c r="AA8" s="9">
        <v>3871</v>
      </c>
      <c r="AC8" t="s">
        <v>103</v>
      </c>
      <c r="AD8" s="9">
        <f>Main!D19</f>
        <v>144000000</v>
      </c>
      <c r="AE8" s="9"/>
      <c r="AF8" s="13"/>
      <c r="AG8" s="9">
        <f>AD8</f>
        <v>144000000</v>
      </c>
      <c r="AH8" s="1"/>
      <c r="AI8" t="s">
        <v>82</v>
      </c>
      <c r="AJ8" s="9"/>
      <c r="AK8" s="9"/>
      <c r="AL8" s="9"/>
      <c r="AM8" s="9"/>
      <c r="AN8" s="9">
        <v>16681</v>
      </c>
      <c r="AO8" s="9">
        <v>21410</v>
      </c>
      <c r="AP8" s="9">
        <v>17880</v>
      </c>
      <c r="AQ8" s="9">
        <v>15175</v>
      </c>
      <c r="AR8" s="9">
        <f t="shared" si="12"/>
        <v>15420</v>
      </c>
      <c r="AS8" s="9">
        <f t="shared" si="13"/>
        <v>16089</v>
      </c>
      <c r="AT8" s="9">
        <f t="shared" si="14"/>
        <v>16017</v>
      </c>
      <c r="AU8" s="9">
        <f t="shared" si="15"/>
        <v>18219</v>
      </c>
      <c r="AV8" s="9">
        <f t="shared" si="16"/>
        <v>19064</v>
      </c>
      <c r="AW8" s="9">
        <f t="shared" si="17"/>
        <v>17804</v>
      </c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</row>
    <row r="9" spans="1:68" x14ac:dyDescent="0.25">
      <c r="C9" t="s">
        <v>83</v>
      </c>
      <c r="D9" s="9">
        <v>5298</v>
      </c>
      <c r="E9" s="9">
        <f>5566</f>
        <v>5566</v>
      </c>
      <c r="F9" s="9">
        <f>5844</f>
        <v>5844</v>
      </c>
      <c r="G9" s="9">
        <f>6225</f>
        <v>6225</v>
      </c>
      <c r="H9" s="9">
        <f>6256</f>
        <v>6256</v>
      </c>
      <c r="I9" s="9">
        <f>6538</f>
        <v>6538</v>
      </c>
      <c r="J9" s="9">
        <f>6729</f>
        <v>6729</v>
      </c>
      <c r="K9" s="9">
        <f>7114</f>
        <v>7114</v>
      </c>
      <c r="L9" s="9">
        <v>7101</v>
      </c>
      <c r="M9" s="9">
        <v>7392</v>
      </c>
      <c r="N9" s="9">
        <v>7599</v>
      </c>
      <c r="O9" s="9">
        <v>7969</v>
      </c>
      <c r="P9" s="9">
        <v>7405</v>
      </c>
      <c r="Q9" s="9">
        <v>8136</v>
      </c>
      <c r="R9" s="9">
        <v>8768</v>
      </c>
      <c r="S9" s="9">
        <v>9704</v>
      </c>
      <c r="T9" s="9">
        <v>9854</v>
      </c>
      <c r="U9" s="9">
        <v>10629</v>
      </c>
      <c r="V9" s="9">
        <v>11031</v>
      </c>
      <c r="W9" s="9">
        <v>12072</v>
      </c>
      <c r="X9" s="9">
        <v>11150</v>
      </c>
      <c r="Y9" s="9">
        <v>11798</v>
      </c>
      <c r="Z9" s="9">
        <v>12187</v>
      </c>
      <c r="AA9" s="9">
        <v>12924</v>
      </c>
      <c r="AC9" s="1" t="s">
        <v>105</v>
      </c>
      <c r="AD9" s="11">
        <f>AD7+AD8</f>
        <v>167639186.43938732</v>
      </c>
      <c r="AE9" s="11"/>
      <c r="AF9" s="13"/>
      <c r="AG9" s="11">
        <f>AG7+AG8</f>
        <v>158990017.79331928</v>
      </c>
      <c r="AH9" s="1"/>
      <c r="AI9" t="s">
        <v>83</v>
      </c>
      <c r="AJ9" s="9"/>
      <c r="AK9" s="9"/>
      <c r="AL9" s="9"/>
      <c r="AM9" s="9"/>
      <c r="AN9" s="9">
        <v>10397</v>
      </c>
      <c r="AO9" s="9">
        <v>11628</v>
      </c>
      <c r="AP9" s="9">
        <v>14900</v>
      </c>
      <c r="AQ9" s="9">
        <v>19086</v>
      </c>
      <c r="AR9" s="9">
        <f t="shared" si="12"/>
        <v>22933</v>
      </c>
      <c r="AS9" s="9">
        <f t="shared" si="13"/>
        <v>23891</v>
      </c>
      <c r="AT9" s="9">
        <f t="shared" si="14"/>
        <v>30061</v>
      </c>
      <c r="AU9" s="9">
        <f t="shared" si="15"/>
        <v>34013</v>
      </c>
      <c r="AV9" s="9">
        <f t="shared" si="16"/>
        <v>43586</v>
      </c>
      <c r="AW9" s="9">
        <f t="shared" si="17"/>
        <v>48059</v>
      </c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</row>
    <row r="10" spans="1:68" x14ac:dyDescent="0.25">
      <c r="C10" s="1" t="s">
        <v>84</v>
      </c>
      <c r="D10" s="9">
        <f t="shared" ref="D10:AA10" si="22">D8+D9</f>
        <v>8278</v>
      </c>
      <c r="E10" s="9">
        <f t="shared" si="22"/>
        <v>11064</v>
      </c>
      <c r="F10" s="9">
        <f t="shared" si="22"/>
        <v>9269</v>
      </c>
      <c r="G10" s="9">
        <f t="shared" si="22"/>
        <v>9742</v>
      </c>
      <c r="H10" s="9">
        <f t="shared" si="22"/>
        <v>9905</v>
      </c>
      <c r="I10" s="9">
        <f t="shared" si="22"/>
        <v>12423</v>
      </c>
      <c r="J10" s="9">
        <f t="shared" si="22"/>
        <v>10170</v>
      </c>
      <c r="K10" s="9">
        <f t="shared" si="22"/>
        <v>10412</v>
      </c>
      <c r="L10" s="9">
        <f t="shared" si="22"/>
        <v>10406</v>
      </c>
      <c r="M10" s="9">
        <f t="shared" si="22"/>
        <v>12358</v>
      </c>
      <c r="N10" s="9">
        <f t="shared" si="22"/>
        <v>10975</v>
      </c>
      <c r="O10" s="9">
        <f t="shared" si="22"/>
        <v>12339</v>
      </c>
      <c r="P10" s="9">
        <f t="shared" si="22"/>
        <v>11002</v>
      </c>
      <c r="Q10" s="9">
        <f t="shared" si="22"/>
        <v>14194</v>
      </c>
      <c r="R10" s="9">
        <f t="shared" si="22"/>
        <v>13045</v>
      </c>
      <c r="S10" s="9">
        <f t="shared" si="22"/>
        <v>13991</v>
      </c>
      <c r="T10" s="9">
        <f t="shared" si="22"/>
        <v>13646</v>
      </c>
      <c r="U10" s="9">
        <f t="shared" si="22"/>
        <v>16960</v>
      </c>
      <c r="V10" s="9">
        <f t="shared" si="22"/>
        <v>15615</v>
      </c>
      <c r="W10" s="9">
        <f t="shared" si="22"/>
        <v>16429</v>
      </c>
      <c r="X10" s="9">
        <f t="shared" si="22"/>
        <v>15452</v>
      </c>
      <c r="Y10" s="9">
        <f t="shared" si="22"/>
        <v>17488</v>
      </c>
      <c r="Z10" s="9">
        <f t="shared" si="22"/>
        <v>16128</v>
      </c>
      <c r="AA10" s="9">
        <f t="shared" si="22"/>
        <v>16795</v>
      </c>
      <c r="AC10" s="1"/>
      <c r="AD10" s="1"/>
      <c r="AE10" s="1"/>
      <c r="AF10" s="1"/>
      <c r="AG10" s="1"/>
      <c r="AH10" s="1"/>
      <c r="AI10" s="1" t="s">
        <v>84</v>
      </c>
      <c r="AJ10" s="11">
        <v>12395</v>
      </c>
      <c r="AK10" s="11">
        <v>15577</v>
      </c>
      <c r="AL10" s="11">
        <v>17830</v>
      </c>
      <c r="AM10" s="11">
        <v>20249</v>
      </c>
      <c r="AN10" s="11">
        <f t="shared" ref="AN10:AP10" si="23">AN8+AN9</f>
        <v>27078</v>
      </c>
      <c r="AO10" s="11">
        <f t="shared" si="23"/>
        <v>33038</v>
      </c>
      <c r="AP10" s="11">
        <f t="shared" si="23"/>
        <v>32780</v>
      </c>
      <c r="AQ10" s="11">
        <f>AQ8+AQ9</f>
        <v>34261</v>
      </c>
      <c r="AR10" s="9">
        <f t="shared" si="12"/>
        <v>38353</v>
      </c>
      <c r="AS10" s="9">
        <f t="shared" si="13"/>
        <v>39980</v>
      </c>
      <c r="AT10" s="9">
        <f t="shared" si="14"/>
        <v>46078</v>
      </c>
      <c r="AU10" s="9">
        <f t="shared" si="15"/>
        <v>52232</v>
      </c>
      <c r="AV10" s="9">
        <f t="shared" si="16"/>
        <v>62650</v>
      </c>
      <c r="AW10" s="9">
        <f t="shared" si="17"/>
        <v>65863</v>
      </c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</row>
    <row r="11" spans="1:68" x14ac:dyDescent="0.25">
      <c r="C11" s="1" t="s">
        <v>85</v>
      </c>
      <c r="D11" s="9">
        <f t="shared" ref="D11:AA11" si="24">D7-D10</f>
        <v>16260</v>
      </c>
      <c r="E11" s="9">
        <f t="shared" si="24"/>
        <v>17854</v>
      </c>
      <c r="F11" s="9">
        <f t="shared" si="24"/>
        <v>17550</v>
      </c>
      <c r="G11" s="9">
        <f t="shared" si="24"/>
        <v>20343</v>
      </c>
      <c r="H11" s="9">
        <f t="shared" si="24"/>
        <v>19179</v>
      </c>
      <c r="I11" s="9">
        <f t="shared" si="24"/>
        <v>20048</v>
      </c>
      <c r="J11" s="9">
        <f t="shared" si="24"/>
        <v>20401</v>
      </c>
      <c r="K11" s="9">
        <f t="shared" si="24"/>
        <v>23305</v>
      </c>
      <c r="L11" s="9">
        <f t="shared" si="24"/>
        <v>22649</v>
      </c>
      <c r="M11" s="9">
        <f t="shared" si="24"/>
        <v>24548</v>
      </c>
      <c r="N11" s="9">
        <f t="shared" si="24"/>
        <v>24046</v>
      </c>
      <c r="O11" s="9">
        <f t="shared" si="24"/>
        <v>25694</v>
      </c>
      <c r="P11" s="9">
        <f t="shared" si="24"/>
        <v>26152</v>
      </c>
      <c r="Q11" s="9">
        <f t="shared" si="24"/>
        <v>28882</v>
      </c>
      <c r="R11" s="9">
        <f t="shared" si="24"/>
        <v>28661</v>
      </c>
      <c r="S11" s="9">
        <f t="shared" si="24"/>
        <v>32161</v>
      </c>
      <c r="T11" s="9">
        <f t="shared" si="24"/>
        <v>31671</v>
      </c>
      <c r="U11" s="9">
        <f t="shared" si="24"/>
        <v>34768</v>
      </c>
      <c r="V11" s="9">
        <f t="shared" si="24"/>
        <v>33745</v>
      </c>
      <c r="W11" s="9">
        <f t="shared" si="24"/>
        <v>35433</v>
      </c>
      <c r="X11" s="9">
        <f t="shared" si="24"/>
        <v>34670</v>
      </c>
      <c r="Y11" s="9">
        <f t="shared" si="24"/>
        <v>35259</v>
      </c>
      <c r="Z11" s="9">
        <f t="shared" si="24"/>
        <v>36729</v>
      </c>
      <c r="AA11" s="9">
        <f t="shared" si="24"/>
        <v>39394</v>
      </c>
      <c r="AC11" s="1"/>
      <c r="AD11" s="1"/>
      <c r="AE11" s="1"/>
      <c r="AF11" s="1"/>
      <c r="AG11" s="1"/>
      <c r="AH11" s="1"/>
      <c r="AI11" s="1" t="s">
        <v>85</v>
      </c>
      <c r="AJ11" s="11">
        <f t="shared" ref="AJ11:AP11" si="25">AJ7-AJ10</f>
        <v>50089</v>
      </c>
      <c r="AK11" s="11">
        <f t="shared" si="25"/>
        <v>54366</v>
      </c>
      <c r="AL11" s="11">
        <f t="shared" si="25"/>
        <v>55893</v>
      </c>
      <c r="AM11" s="11">
        <f t="shared" si="25"/>
        <v>57600</v>
      </c>
      <c r="AN11" s="11">
        <f t="shared" si="25"/>
        <v>59755</v>
      </c>
      <c r="AO11" s="11">
        <f t="shared" si="25"/>
        <v>60542</v>
      </c>
      <c r="AP11" s="11">
        <f t="shared" si="25"/>
        <v>52540</v>
      </c>
      <c r="AQ11" s="11">
        <f>AQ7-AQ10</f>
        <v>55689</v>
      </c>
      <c r="AR11" s="11">
        <f t="shared" si="12"/>
        <v>72007</v>
      </c>
      <c r="AS11" s="11">
        <f t="shared" si="13"/>
        <v>74926</v>
      </c>
      <c r="AT11" s="11">
        <f t="shared" si="14"/>
        <v>96937</v>
      </c>
      <c r="AU11" s="11">
        <f t="shared" si="15"/>
        <v>115856</v>
      </c>
      <c r="AV11" s="11">
        <f t="shared" si="16"/>
        <v>135617</v>
      </c>
      <c r="AW11" s="11">
        <f t="shared" si="17"/>
        <v>146052</v>
      </c>
      <c r="AX11" s="11">
        <f>AW11*0.94</f>
        <v>137288.88</v>
      </c>
      <c r="AY11" s="11">
        <f t="shared" ref="AY11:BN11" si="26">AX11*0.97</f>
        <v>133170.21359999999</v>
      </c>
      <c r="AZ11" s="11">
        <f t="shared" si="26"/>
        <v>129175.10719199998</v>
      </c>
      <c r="BA11" s="11">
        <f t="shared" si="26"/>
        <v>125299.85397623997</v>
      </c>
      <c r="BB11" s="11">
        <f t="shared" si="26"/>
        <v>121540.85835695277</v>
      </c>
      <c r="BC11" s="11">
        <f t="shared" si="26"/>
        <v>117894.63260624418</v>
      </c>
      <c r="BD11" s="11">
        <f t="shared" si="26"/>
        <v>114357.79362805685</v>
      </c>
      <c r="BE11" s="11">
        <f t="shared" si="26"/>
        <v>110927.05981921515</v>
      </c>
      <c r="BF11" s="11">
        <f t="shared" si="26"/>
        <v>107599.2480246387</v>
      </c>
      <c r="BG11" s="11">
        <f t="shared" si="26"/>
        <v>104371.27058389953</v>
      </c>
      <c r="BH11" s="11">
        <f t="shared" si="26"/>
        <v>101240.13246638254</v>
      </c>
      <c r="BI11" s="11">
        <f t="shared" si="26"/>
        <v>98202.92849239106</v>
      </c>
      <c r="BJ11" s="11">
        <f t="shared" si="26"/>
        <v>95256.840637619331</v>
      </c>
      <c r="BK11" s="11">
        <f t="shared" si="26"/>
        <v>92399.135418490754</v>
      </c>
      <c r="BL11" s="11">
        <f t="shared" si="26"/>
        <v>89627.161355936027</v>
      </c>
      <c r="BM11" s="11">
        <f t="shared" si="26"/>
        <v>86938.346515257945</v>
      </c>
      <c r="BN11" s="11">
        <f t="shared" si="26"/>
        <v>84330.19611980021</v>
      </c>
    </row>
    <row r="12" spans="1:68" x14ac:dyDescent="0.25">
      <c r="C12" t="s">
        <v>86</v>
      </c>
      <c r="D12" s="9">
        <f>3574</f>
        <v>3574</v>
      </c>
      <c r="E12" s="9">
        <f>3504</f>
        <v>3504</v>
      </c>
      <c r="F12" s="9">
        <f>3715</f>
        <v>3715</v>
      </c>
      <c r="G12" s="9">
        <f>3933</f>
        <v>3933</v>
      </c>
      <c r="H12" s="9">
        <f>3977</f>
        <v>3977</v>
      </c>
      <c r="I12" s="9">
        <f>4070</f>
        <v>4070</v>
      </c>
      <c r="J12" s="9">
        <f>4316</f>
        <v>4316</v>
      </c>
      <c r="K12" s="9">
        <f>4513</f>
        <v>4513</v>
      </c>
      <c r="L12" s="9">
        <v>4565</v>
      </c>
      <c r="M12" s="9">
        <v>4603</v>
      </c>
      <c r="N12" s="9">
        <v>4887</v>
      </c>
      <c r="O12" s="9">
        <v>5214</v>
      </c>
      <c r="P12" s="9">
        <v>4926</v>
      </c>
      <c r="Q12" s="9">
        <v>4889</v>
      </c>
      <c r="R12" s="9">
        <v>5204</v>
      </c>
      <c r="S12" s="9">
        <v>5687</v>
      </c>
      <c r="T12" s="9">
        <v>5599</v>
      </c>
      <c r="U12" s="9">
        <v>5758</v>
      </c>
      <c r="V12" s="9">
        <v>6306</v>
      </c>
      <c r="W12" s="9">
        <v>6849</v>
      </c>
      <c r="X12" s="9">
        <v>6628</v>
      </c>
      <c r="Y12" s="9">
        <v>6844</v>
      </c>
      <c r="Z12" s="9">
        <v>6984</v>
      </c>
      <c r="AA12" s="9">
        <v>6739</v>
      </c>
      <c r="AC12" s="1" t="s">
        <v>77</v>
      </c>
      <c r="AD12" s="11">
        <f>AD9/Main!D17</f>
        <v>390.07291182988058</v>
      </c>
      <c r="AE12" s="11"/>
      <c r="AF12" s="13"/>
      <c r="AG12" s="11">
        <f>AG9/Main!D17</f>
        <v>369.94750755932648</v>
      </c>
      <c r="AI12" t="s">
        <v>86</v>
      </c>
      <c r="AJ12" s="9"/>
      <c r="AK12" s="9">
        <v>9043</v>
      </c>
      <c r="AL12" s="9">
        <v>9811</v>
      </c>
      <c r="AM12" s="9">
        <v>10411</v>
      </c>
      <c r="AN12" s="9">
        <v>11381</v>
      </c>
      <c r="AO12" s="9">
        <v>12046</v>
      </c>
      <c r="AP12" s="9">
        <v>11988</v>
      </c>
      <c r="AQ12" s="9">
        <f>13037</f>
        <v>13037</v>
      </c>
      <c r="AR12" s="9">
        <f t="shared" si="12"/>
        <v>14726</v>
      </c>
      <c r="AS12" s="9">
        <f t="shared" si="13"/>
        <v>15129</v>
      </c>
      <c r="AT12" s="9">
        <f t="shared" si="14"/>
        <v>19269</v>
      </c>
      <c r="AU12" s="9">
        <f t="shared" si="15"/>
        <v>20706</v>
      </c>
      <c r="AV12" s="9">
        <f t="shared" si="16"/>
        <v>24512</v>
      </c>
      <c r="AW12" s="9">
        <f t="shared" si="17"/>
        <v>27195</v>
      </c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</row>
    <row r="13" spans="1:68" x14ac:dyDescent="0.25">
      <c r="C13" t="s">
        <v>87</v>
      </c>
      <c r="D13" s="9">
        <f>3812</f>
        <v>3812</v>
      </c>
      <c r="E13" s="9">
        <f>4562</f>
        <v>4562</v>
      </c>
      <c r="F13" s="9">
        <f>4335</f>
        <v>4335</v>
      </c>
      <c r="G13" s="9">
        <f>4760</f>
        <v>4760</v>
      </c>
      <c r="H13" s="9">
        <f>4098</f>
        <v>4098</v>
      </c>
      <c r="I13" s="9">
        <f>4588</f>
        <v>4588</v>
      </c>
      <c r="J13" s="9">
        <f>4565</f>
        <v>4565</v>
      </c>
      <c r="K13" s="9">
        <f>4962</f>
        <v>4962</v>
      </c>
      <c r="L13" s="9">
        <v>4337</v>
      </c>
      <c r="M13" s="9">
        <v>4933</v>
      </c>
      <c r="N13" s="9">
        <v>4911</v>
      </c>
      <c r="O13" s="9">
        <v>5417</v>
      </c>
      <c r="P13" s="9">
        <v>4231</v>
      </c>
      <c r="Q13" s="9">
        <v>4947</v>
      </c>
      <c r="R13" s="9">
        <v>5082</v>
      </c>
      <c r="S13" s="9">
        <v>5857</v>
      </c>
      <c r="T13" s="9">
        <v>4547</v>
      </c>
      <c r="U13" s="9">
        <v>5379</v>
      </c>
      <c r="V13" s="9">
        <v>5595</v>
      </c>
      <c r="W13" s="9">
        <v>6304</v>
      </c>
      <c r="X13" s="9">
        <v>5126</v>
      </c>
      <c r="Y13" s="9">
        <v>5679</v>
      </c>
      <c r="Z13" s="9">
        <v>5750</v>
      </c>
      <c r="AA13" s="9">
        <v>6204</v>
      </c>
      <c r="AC13" s="1" t="s">
        <v>102</v>
      </c>
      <c r="AD13" s="1">
        <f>Main!D16</f>
        <v>378</v>
      </c>
      <c r="AE13" s="1"/>
      <c r="AF13" s="13"/>
      <c r="AG13" s="11">
        <f>Main!D16</f>
        <v>378</v>
      </c>
      <c r="AI13" t="s">
        <v>87</v>
      </c>
      <c r="AJ13" s="9">
        <v>8714</v>
      </c>
      <c r="AK13" s="9">
        <v>13940</v>
      </c>
      <c r="AL13" s="9">
        <v>13857</v>
      </c>
      <c r="AM13" s="9">
        <v>15276</v>
      </c>
      <c r="AN13" s="9">
        <v>15811</v>
      </c>
      <c r="AO13" s="9">
        <v>15713</v>
      </c>
      <c r="AP13" s="9">
        <v>14697</v>
      </c>
      <c r="AQ13" s="9">
        <v>15539</v>
      </c>
      <c r="AR13" s="9">
        <f t="shared" si="12"/>
        <v>17469</v>
      </c>
      <c r="AS13" s="9">
        <f t="shared" si="13"/>
        <v>17755</v>
      </c>
      <c r="AT13" s="9">
        <f t="shared" si="14"/>
        <v>19598</v>
      </c>
      <c r="AU13" s="9">
        <f t="shared" si="15"/>
        <v>20117</v>
      </c>
      <c r="AV13" s="9">
        <f t="shared" si="16"/>
        <v>21825</v>
      </c>
      <c r="AW13" s="9">
        <f t="shared" si="17"/>
        <v>22759</v>
      </c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</row>
    <row r="14" spans="1:68" x14ac:dyDescent="0.25">
      <c r="C14" t="s">
        <v>88</v>
      </c>
      <c r="D14" s="9">
        <f>1166</f>
        <v>1166</v>
      </c>
      <c r="E14" s="9">
        <f>1109</f>
        <v>1109</v>
      </c>
      <c r="F14" s="9">
        <f>1208</f>
        <v>1208</v>
      </c>
      <c r="G14" s="9">
        <f>1271</f>
        <v>1271</v>
      </c>
      <c r="H14" s="9">
        <f>1149</f>
        <v>1149</v>
      </c>
      <c r="I14" s="9">
        <f>1132</f>
        <v>1132</v>
      </c>
      <c r="J14" s="9">
        <f>1179</f>
        <v>1179</v>
      </c>
      <c r="K14" s="9">
        <f>1425</f>
        <v>1425</v>
      </c>
      <c r="L14" s="9">
        <v>1061</v>
      </c>
      <c r="M14" s="9">
        <v>1121</v>
      </c>
      <c r="N14" s="9">
        <v>1273</v>
      </c>
      <c r="O14" s="9">
        <v>1656</v>
      </c>
      <c r="P14" s="9">
        <v>1119</v>
      </c>
      <c r="Q14" s="9">
        <v>1139</v>
      </c>
      <c r="R14" s="9">
        <v>1327</v>
      </c>
      <c r="S14" s="9">
        <v>1522</v>
      </c>
      <c r="T14" s="9">
        <v>1287</v>
      </c>
      <c r="U14" s="9">
        <v>1384</v>
      </c>
      <c r="V14" s="9">
        <v>1480</v>
      </c>
      <c r="W14" s="9">
        <v>1749</v>
      </c>
      <c r="X14" s="9">
        <v>1398</v>
      </c>
      <c r="Y14" s="9">
        <v>2337</v>
      </c>
      <c r="Z14" s="9">
        <v>1643</v>
      </c>
      <c r="AA14" s="9">
        <v>2197</v>
      </c>
      <c r="AC14" s="1" t="s">
        <v>107</v>
      </c>
      <c r="AD14" s="10">
        <f>AD12/AD13-1</f>
        <v>3.1938920184869213E-2</v>
      </c>
      <c r="AE14" s="10"/>
      <c r="AF14" s="13"/>
      <c r="AG14" s="10">
        <f>AG12/AG13-1</f>
        <v>-2.1302890054691881E-2</v>
      </c>
      <c r="AI14" t="s">
        <v>88</v>
      </c>
      <c r="AJ14" s="9">
        <v>4004</v>
      </c>
      <c r="AK14" s="9">
        <v>4222</v>
      </c>
      <c r="AL14" s="9">
        <f>4569+6193</f>
        <v>10762</v>
      </c>
      <c r="AM14" s="9">
        <v>5149</v>
      </c>
      <c r="AN14" s="9">
        <v>4677</v>
      </c>
      <c r="AO14" s="9">
        <f>4611+10011</f>
        <v>14622</v>
      </c>
      <c r="AP14" s="9">
        <f>4563+1110</f>
        <v>5673</v>
      </c>
      <c r="AQ14" s="9">
        <f>4481+306</f>
        <v>4787</v>
      </c>
      <c r="AR14" s="9">
        <f t="shared" si="12"/>
        <v>4754</v>
      </c>
      <c r="AS14" s="9">
        <f t="shared" si="13"/>
        <v>4737</v>
      </c>
      <c r="AT14" s="9">
        <f t="shared" si="14"/>
        <v>5111</v>
      </c>
      <c r="AU14" s="9">
        <f t="shared" si="15"/>
        <v>5107</v>
      </c>
      <c r="AV14" s="9">
        <f t="shared" si="16"/>
        <v>5900</v>
      </c>
      <c r="AW14" s="9">
        <f t="shared" si="17"/>
        <v>7575</v>
      </c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8" x14ac:dyDescent="0.25">
      <c r="C15" s="1" t="s">
        <v>89</v>
      </c>
      <c r="D15" s="9">
        <f t="shared" ref="D15:AA15" si="27">D12+D13+D14</f>
        <v>8552</v>
      </c>
      <c r="E15" s="9">
        <f t="shared" si="27"/>
        <v>9175</v>
      </c>
      <c r="F15" s="9">
        <f t="shared" si="27"/>
        <v>9258</v>
      </c>
      <c r="G15" s="9">
        <f t="shared" si="27"/>
        <v>9964</v>
      </c>
      <c r="H15" s="9">
        <f t="shared" si="27"/>
        <v>9224</v>
      </c>
      <c r="I15" s="9">
        <f t="shared" si="27"/>
        <v>9790</v>
      </c>
      <c r="J15" s="9">
        <f t="shared" si="27"/>
        <v>10060</v>
      </c>
      <c r="K15" s="9">
        <f t="shared" si="27"/>
        <v>10900</v>
      </c>
      <c r="L15" s="9">
        <f t="shared" si="27"/>
        <v>9963</v>
      </c>
      <c r="M15" s="9">
        <f t="shared" si="27"/>
        <v>10657</v>
      </c>
      <c r="N15" s="9">
        <f t="shared" si="27"/>
        <v>11071</v>
      </c>
      <c r="O15" s="9">
        <f t="shared" si="27"/>
        <v>12287</v>
      </c>
      <c r="P15" s="9">
        <f t="shared" si="27"/>
        <v>10276</v>
      </c>
      <c r="Q15" s="9">
        <f t="shared" si="27"/>
        <v>10975</v>
      </c>
      <c r="R15" s="9">
        <f t="shared" si="27"/>
        <v>11613</v>
      </c>
      <c r="S15" s="9">
        <f t="shared" si="27"/>
        <v>13066</v>
      </c>
      <c r="T15" s="9">
        <f t="shared" si="27"/>
        <v>11433</v>
      </c>
      <c r="U15" s="9">
        <f t="shared" si="27"/>
        <v>12521</v>
      </c>
      <c r="V15" s="9">
        <f t="shared" si="27"/>
        <v>13381</v>
      </c>
      <c r="W15" s="9">
        <f t="shared" si="27"/>
        <v>14902</v>
      </c>
      <c r="X15" s="9">
        <f t="shared" si="27"/>
        <v>13152</v>
      </c>
      <c r="Y15" s="9">
        <f t="shared" si="27"/>
        <v>14860</v>
      </c>
      <c r="Z15" s="9">
        <f t="shared" si="27"/>
        <v>14377</v>
      </c>
      <c r="AA15" s="9">
        <f t="shared" si="27"/>
        <v>15140</v>
      </c>
      <c r="AI15" s="1" t="s">
        <v>89</v>
      </c>
      <c r="AJ15" s="11">
        <f t="shared" ref="AJ15:AP15" si="28">AJ12+AJ13+AJ14</f>
        <v>12718</v>
      </c>
      <c r="AK15" s="11">
        <f t="shared" si="28"/>
        <v>27205</v>
      </c>
      <c r="AL15" s="11">
        <f t="shared" si="28"/>
        <v>34430</v>
      </c>
      <c r="AM15" s="11">
        <f t="shared" si="28"/>
        <v>30836</v>
      </c>
      <c r="AN15" s="11">
        <f t="shared" si="28"/>
        <v>31869</v>
      </c>
      <c r="AO15" s="11">
        <f t="shared" si="28"/>
        <v>42381</v>
      </c>
      <c r="AP15" s="11">
        <f t="shared" si="28"/>
        <v>32358</v>
      </c>
      <c r="AQ15" s="11">
        <f>AQ12+AQ13+AQ14</f>
        <v>33363</v>
      </c>
      <c r="AR15" s="11">
        <f t="shared" si="12"/>
        <v>36949</v>
      </c>
      <c r="AS15" s="11">
        <f t="shared" si="13"/>
        <v>37621</v>
      </c>
      <c r="AT15" s="11">
        <f t="shared" si="14"/>
        <v>43978</v>
      </c>
      <c r="AU15" s="11">
        <f t="shared" si="15"/>
        <v>45930</v>
      </c>
      <c r="AV15" s="11">
        <f t="shared" si="16"/>
        <v>52237</v>
      </c>
      <c r="AW15" s="11">
        <f t="shared" si="17"/>
        <v>57529</v>
      </c>
      <c r="AX15" s="11">
        <f>AW15*1.03</f>
        <v>59254.87</v>
      </c>
      <c r="AY15" s="11">
        <f t="shared" ref="AY15:BN15" si="29">AX15*1.06</f>
        <v>62810.162200000006</v>
      </c>
      <c r="AZ15" s="11">
        <f t="shared" si="29"/>
        <v>66578.771932000003</v>
      </c>
      <c r="BA15" s="11">
        <f t="shared" si="29"/>
        <v>70573.498247920012</v>
      </c>
      <c r="BB15" s="11">
        <f t="shared" si="29"/>
        <v>74807.908142795219</v>
      </c>
      <c r="BC15" s="11">
        <f t="shared" si="29"/>
        <v>79296.38263136294</v>
      </c>
      <c r="BD15" s="11">
        <f t="shared" si="29"/>
        <v>84054.165589244716</v>
      </c>
      <c r="BE15" s="11">
        <f t="shared" si="29"/>
        <v>89097.415524599404</v>
      </c>
      <c r="BF15" s="11">
        <f t="shared" si="29"/>
        <v>94443.260456075368</v>
      </c>
      <c r="BG15" s="11">
        <f t="shared" si="29"/>
        <v>100109.8560834399</v>
      </c>
      <c r="BH15" s="11">
        <f t="shared" si="29"/>
        <v>106116.4474484463</v>
      </c>
      <c r="BI15" s="11">
        <f t="shared" si="29"/>
        <v>112483.43429535309</v>
      </c>
      <c r="BJ15" s="11">
        <f t="shared" si="29"/>
        <v>119232.44035307427</v>
      </c>
      <c r="BK15" s="11">
        <f t="shared" si="29"/>
        <v>126386.38677425873</v>
      </c>
      <c r="BL15" s="11">
        <f t="shared" si="29"/>
        <v>133969.56998071427</v>
      </c>
      <c r="BM15" s="11">
        <f t="shared" si="29"/>
        <v>142007.74417955714</v>
      </c>
      <c r="BN15" s="11">
        <f t="shared" si="29"/>
        <v>150528.20883033058</v>
      </c>
    </row>
    <row r="16" spans="1:68" x14ac:dyDescent="0.25">
      <c r="C16" s="1" t="s">
        <v>90</v>
      </c>
      <c r="D16" s="9">
        <f t="shared" ref="D16:AA16" si="30">D11-D15</f>
        <v>7708</v>
      </c>
      <c r="E16" s="9">
        <f t="shared" si="30"/>
        <v>8679</v>
      </c>
      <c r="F16" s="9">
        <f t="shared" si="30"/>
        <v>8292</v>
      </c>
      <c r="G16" s="9">
        <f t="shared" si="30"/>
        <v>10379</v>
      </c>
      <c r="H16" s="9">
        <f t="shared" si="30"/>
        <v>9955</v>
      </c>
      <c r="I16" s="9">
        <f t="shared" si="30"/>
        <v>10258</v>
      </c>
      <c r="J16" s="9">
        <f t="shared" si="30"/>
        <v>10341</v>
      </c>
      <c r="K16" s="9">
        <f t="shared" si="30"/>
        <v>12405</v>
      </c>
      <c r="L16" s="9">
        <f t="shared" si="30"/>
        <v>12686</v>
      </c>
      <c r="M16" s="9">
        <f t="shared" si="30"/>
        <v>13891</v>
      </c>
      <c r="N16" s="9">
        <f t="shared" si="30"/>
        <v>12975</v>
      </c>
      <c r="O16" s="9">
        <f t="shared" si="30"/>
        <v>13407</v>
      </c>
      <c r="P16" s="9">
        <f t="shared" si="30"/>
        <v>15876</v>
      </c>
      <c r="Q16" s="9">
        <f t="shared" si="30"/>
        <v>17907</v>
      </c>
      <c r="R16" s="9">
        <f t="shared" si="30"/>
        <v>17048</v>
      </c>
      <c r="S16" s="9">
        <f t="shared" si="30"/>
        <v>19095</v>
      </c>
      <c r="T16" s="9">
        <f t="shared" si="30"/>
        <v>20238</v>
      </c>
      <c r="U16" s="9">
        <f t="shared" si="30"/>
        <v>22247</v>
      </c>
      <c r="V16" s="9">
        <f t="shared" si="30"/>
        <v>20364</v>
      </c>
      <c r="W16" s="9">
        <f t="shared" si="30"/>
        <v>20531</v>
      </c>
      <c r="X16" s="9">
        <f t="shared" si="30"/>
        <v>21518</v>
      </c>
      <c r="Y16" s="9">
        <f t="shared" si="30"/>
        <v>20399</v>
      </c>
      <c r="Z16" s="9">
        <f t="shared" si="30"/>
        <v>22352</v>
      </c>
      <c r="AA16" s="9">
        <f t="shared" si="30"/>
        <v>24254</v>
      </c>
      <c r="AI16" s="1" t="s">
        <v>90</v>
      </c>
      <c r="AJ16" s="11">
        <f t="shared" ref="AJ16:AP16" si="31">AJ11-AJ15</f>
        <v>37371</v>
      </c>
      <c r="AK16" s="11">
        <f t="shared" si="31"/>
        <v>27161</v>
      </c>
      <c r="AL16" s="11">
        <f t="shared" si="31"/>
        <v>21463</v>
      </c>
      <c r="AM16" s="11">
        <f t="shared" si="31"/>
        <v>26764</v>
      </c>
      <c r="AN16" s="11">
        <f t="shared" si="31"/>
        <v>27886</v>
      </c>
      <c r="AO16" s="11">
        <f t="shared" si="31"/>
        <v>18161</v>
      </c>
      <c r="AP16" s="11">
        <f t="shared" si="31"/>
        <v>20182</v>
      </c>
      <c r="AQ16" s="11">
        <f>AQ11-AQ15</f>
        <v>22326</v>
      </c>
      <c r="AR16" s="11">
        <f t="shared" si="12"/>
        <v>35058</v>
      </c>
      <c r="AS16" s="11">
        <f t="shared" si="13"/>
        <v>37305</v>
      </c>
      <c r="AT16" s="11">
        <f t="shared" si="14"/>
        <v>52959</v>
      </c>
      <c r="AU16" s="11">
        <f t="shared" si="15"/>
        <v>69926</v>
      </c>
      <c r="AV16" s="11">
        <f t="shared" si="16"/>
        <v>83380</v>
      </c>
      <c r="AW16" s="11">
        <f t="shared" si="17"/>
        <v>88523</v>
      </c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</row>
    <row r="17" spans="3:136" x14ac:dyDescent="0.25">
      <c r="C17" t="s">
        <v>91</v>
      </c>
      <c r="D17" s="9">
        <v>276</v>
      </c>
      <c r="E17" s="9">
        <f>490</f>
        <v>490</v>
      </c>
      <c r="F17" s="9">
        <f>349</f>
        <v>349</v>
      </c>
      <c r="G17" s="9">
        <f>301</f>
        <v>301</v>
      </c>
      <c r="H17" s="9">
        <f>266</f>
        <v>266</v>
      </c>
      <c r="I17" s="9">
        <f>127</f>
        <v>127</v>
      </c>
      <c r="J17" s="9">
        <f>145</f>
        <v>145</v>
      </c>
      <c r="K17" s="9">
        <f>191</f>
        <v>191</v>
      </c>
      <c r="L17" s="9">
        <v>0</v>
      </c>
      <c r="M17" s="9">
        <v>194</v>
      </c>
      <c r="N17" s="9">
        <v>-132</v>
      </c>
      <c r="O17" s="9">
        <v>15</v>
      </c>
      <c r="P17" s="9">
        <v>248</v>
      </c>
      <c r="Q17" s="9">
        <v>440</v>
      </c>
      <c r="R17" s="9">
        <v>188</v>
      </c>
      <c r="S17" s="9">
        <v>310</v>
      </c>
      <c r="T17" s="9">
        <v>286</v>
      </c>
      <c r="U17" s="9">
        <v>268</v>
      </c>
      <c r="V17" s="9">
        <v>-174</v>
      </c>
      <c r="W17" s="9">
        <v>-47</v>
      </c>
      <c r="X17" s="9">
        <v>54</v>
      </c>
      <c r="Y17" s="9">
        <v>-60</v>
      </c>
      <c r="Z17" s="9">
        <v>321</v>
      </c>
      <c r="AA17" s="9">
        <v>473</v>
      </c>
      <c r="AI17" t="s">
        <v>91</v>
      </c>
      <c r="AJ17" s="9">
        <v>915</v>
      </c>
      <c r="AK17" s="9">
        <v>910</v>
      </c>
      <c r="AL17" s="9">
        <v>504</v>
      </c>
      <c r="AM17" s="9">
        <v>288</v>
      </c>
      <c r="AN17" s="9">
        <v>61</v>
      </c>
      <c r="AO17" s="9">
        <v>346</v>
      </c>
      <c r="AP17" s="9">
        <f>-431</f>
        <v>-431</v>
      </c>
      <c r="AQ17" s="9">
        <f>823</f>
        <v>823</v>
      </c>
      <c r="AR17" s="9">
        <f t="shared" si="12"/>
        <v>1416</v>
      </c>
      <c r="AS17" s="9">
        <f t="shared" si="13"/>
        <v>1406</v>
      </c>
      <c r="AT17" s="9">
        <f t="shared" si="14"/>
        <v>77</v>
      </c>
      <c r="AU17" s="9">
        <f t="shared" si="15"/>
        <v>1186</v>
      </c>
      <c r="AV17" s="9">
        <f t="shared" si="16"/>
        <v>333</v>
      </c>
      <c r="AW17" s="9">
        <f t="shared" si="17"/>
        <v>788</v>
      </c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</row>
    <row r="18" spans="3:136" x14ac:dyDescent="0.25">
      <c r="C18" t="s">
        <v>92</v>
      </c>
      <c r="D18" s="9">
        <f>1408</f>
        <v>1408</v>
      </c>
      <c r="E18" s="9">
        <f>15471</f>
        <v>15471</v>
      </c>
      <c r="F18" s="9">
        <f>1217</f>
        <v>1217</v>
      </c>
      <c r="G18" s="9">
        <f>1807</f>
        <v>1807</v>
      </c>
      <c r="H18" s="9">
        <f>1397</f>
        <v>1397</v>
      </c>
      <c r="I18" s="9">
        <f>1965</f>
        <v>1965</v>
      </c>
      <c r="J18" s="9">
        <f>1677</f>
        <v>1677</v>
      </c>
      <c r="K18" s="9">
        <f>591</f>
        <v>591</v>
      </c>
      <c r="L18" s="9">
        <v>2008</v>
      </c>
      <c r="M18" s="9">
        <v>2436</v>
      </c>
      <c r="N18" s="9">
        <v>2091</v>
      </c>
      <c r="O18" s="9">
        <v>2220</v>
      </c>
      <c r="P18" s="9">
        <v>2231</v>
      </c>
      <c r="Q18" s="9">
        <v>2874</v>
      </c>
      <c r="R18" s="9">
        <v>1779</v>
      </c>
      <c r="S18" s="9">
        <v>2947</v>
      </c>
      <c r="T18" s="9">
        <v>19</v>
      </c>
      <c r="U18" s="9">
        <v>3750</v>
      </c>
      <c r="V18" s="9">
        <v>3462</v>
      </c>
      <c r="W18" s="9">
        <v>3747</v>
      </c>
      <c r="X18" s="9">
        <v>4016</v>
      </c>
      <c r="Y18" s="9">
        <v>3914</v>
      </c>
      <c r="Z18" s="9">
        <v>4374</v>
      </c>
      <c r="AA18" s="9">
        <v>4646</v>
      </c>
      <c r="AI18" t="s">
        <v>92</v>
      </c>
      <c r="AJ18" s="9">
        <v>6253</v>
      </c>
      <c r="AK18" s="9">
        <v>4921</v>
      </c>
      <c r="AL18" s="9">
        <v>5289</v>
      </c>
      <c r="AM18" s="9">
        <v>5189</v>
      </c>
      <c r="AN18" s="9">
        <v>5746</v>
      </c>
      <c r="AO18" s="9">
        <v>6314</v>
      </c>
      <c r="AP18" s="9">
        <f>2953</f>
        <v>2953</v>
      </c>
      <c r="AQ18" s="9">
        <v>1945</v>
      </c>
      <c r="AR18" s="9">
        <f t="shared" si="12"/>
        <v>19903</v>
      </c>
      <c r="AS18" s="9">
        <f t="shared" si="13"/>
        <v>19892</v>
      </c>
      <c r="AT18" s="9">
        <f t="shared" si="14"/>
        <v>8755</v>
      </c>
      <c r="AU18" s="9">
        <f t="shared" si="15"/>
        <v>9831</v>
      </c>
      <c r="AV18" s="9">
        <f t="shared" si="16"/>
        <v>10978</v>
      </c>
      <c r="AW18" s="9">
        <f t="shared" si="17"/>
        <v>16950</v>
      </c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</row>
    <row r="19" spans="3:136" x14ac:dyDescent="0.25">
      <c r="C19" s="1" t="s">
        <v>93</v>
      </c>
      <c r="D19" s="9">
        <f t="shared" ref="D19:J19" si="32">D16+D17-D18</f>
        <v>6576</v>
      </c>
      <c r="E19" s="9">
        <f t="shared" si="32"/>
        <v>-6302</v>
      </c>
      <c r="F19" s="9">
        <f t="shared" si="32"/>
        <v>7424</v>
      </c>
      <c r="G19" s="9">
        <f t="shared" si="32"/>
        <v>8873</v>
      </c>
      <c r="H19" s="9">
        <f t="shared" si="32"/>
        <v>8824</v>
      </c>
      <c r="I19" s="9">
        <f t="shared" si="32"/>
        <v>8420</v>
      </c>
      <c r="J19" s="9">
        <f t="shared" si="32"/>
        <v>8809</v>
      </c>
      <c r="K19" s="9">
        <f>K16+K17+K18</f>
        <v>13187</v>
      </c>
      <c r="L19" s="9">
        <f>L16+L17-L18</f>
        <v>10678</v>
      </c>
      <c r="M19" s="9">
        <f t="shared" ref="M19:AA19" si="33">M16+M17-M18</f>
        <v>11649</v>
      </c>
      <c r="N19" s="9">
        <f t="shared" si="33"/>
        <v>10752</v>
      </c>
      <c r="O19" s="9">
        <f t="shared" si="33"/>
        <v>11202</v>
      </c>
      <c r="P19" s="9">
        <f t="shared" si="33"/>
        <v>13893</v>
      </c>
      <c r="Q19" s="9">
        <f t="shared" si="33"/>
        <v>15473</v>
      </c>
      <c r="R19" s="9">
        <f t="shared" si="33"/>
        <v>15457</v>
      </c>
      <c r="S19" s="9">
        <f t="shared" si="33"/>
        <v>16458</v>
      </c>
      <c r="T19" s="9">
        <f t="shared" si="33"/>
        <v>20505</v>
      </c>
      <c r="U19" s="9">
        <f t="shared" si="33"/>
        <v>18765</v>
      </c>
      <c r="V19" s="9">
        <f t="shared" si="33"/>
        <v>16728</v>
      </c>
      <c r="W19" s="9">
        <f t="shared" si="33"/>
        <v>16737</v>
      </c>
      <c r="X19" s="9">
        <f t="shared" si="33"/>
        <v>17556</v>
      </c>
      <c r="Y19" s="9">
        <f t="shared" si="33"/>
        <v>16425</v>
      </c>
      <c r="Z19" s="9">
        <f t="shared" si="33"/>
        <v>18299</v>
      </c>
      <c r="AA19" s="9">
        <f t="shared" si="33"/>
        <v>20081</v>
      </c>
      <c r="AI19" s="1" t="s">
        <v>93</v>
      </c>
      <c r="AJ19" s="11">
        <f t="shared" ref="AJ19:AP19" si="34">AJ16+AJ17-AJ18</f>
        <v>32033</v>
      </c>
      <c r="AK19" s="11">
        <f t="shared" si="34"/>
        <v>23150</v>
      </c>
      <c r="AL19" s="11">
        <f t="shared" si="34"/>
        <v>16678</v>
      </c>
      <c r="AM19" s="11">
        <f t="shared" si="34"/>
        <v>21863</v>
      </c>
      <c r="AN19" s="11">
        <f t="shared" si="34"/>
        <v>22201</v>
      </c>
      <c r="AO19" s="11">
        <f t="shared" si="34"/>
        <v>12193</v>
      </c>
      <c r="AP19" s="11">
        <f t="shared" si="34"/>
        <v>16798</v>
      </c>
      <c r="AQ19" s="11">
        <f>AQ16+AQ17-AQ18</f>
        <v>21204</v>
      </c>
      <c r="AR19" s="11">
        <f t="shared" si="12"/>
        <v>16571</v>
      </c>
      <c r="AS19" s="11">
        <f t="shared" si="13"/>
        <v>18819</v>
      </c>
      <c r="AT19" s="11">
        <f t="shared" si="14"/>
        <v>44281</v>
      </c>
      <c r="AU19" s="11">
        <f t="shared" si="15"/>
        <v>61281</v>
      </c>
      <c r="AV19" s="11">
        <f t="shared" si="16"/>
        <v>72735</v>
      </c>
      <c r="AW19" s="11">
        <f t="shared" si="17"/>
        <v>72361</v>
      </c>
      <c r="AX19" s="11">
        <f t="shared" ref="AX19:BO19" si="35">AW19*(1+$AD5)</f>
        <v>77426.27</v>
      </c>
      <c r="AY19" s="11">
        <f t="shared" si="35"/>
        <v>82846.108900000007</v>
      </c>
      <c r="AZ19" s="11">
        <f t="shared" si="35"/>
        <v>88645.336523000005</v>
      </c>
      <c r="BA19" s="11">
        <f t="shared" si="35"/>
        <v>94850.510079610016</v>
      </c>
      <c r="BB19" s="11">
        <f t="shared" si="35"/>
        <v>101490.04578518272</v>
      </c>
      <c r="BC19" s="11">
        <f t="shared" si="35"/>
        <v>108594.34899014552</v>
      </c>
      <c r="BD19" s="11">
        <f t="shared" si="35"/>
        <v>116195.95341945571</v>
      </c>
      <c r="BE19" s="11">
        <f t="shared" si="35"/>
        <v>124329.67015881761</v>
      </c>
      <c r="BF19" s="11">
        <f t="shared" si="35"/>
        <v>133032.74706993485</v>
      </c>
      <c r="BG19" s="11">
        <f t="shared" si="35"/>
        <v>142345.0393648303</v>
      </c>
      <c r="BH19" s="11">
        <f t="shared" si="35"/>
        <v>152309.19212036842</v>
      </c>
      <c r="BI19" s="11">
        <f t="shared" si="35"/>
        <v>162970.83556879422</v>
      </c>
      <c r="BJ19" s="11">
        <f t="shared" si="35"/>
        <v>174378.79405860984</v>
      </c>
      <c r="BK19" s="11">
        <f t="shared" si="35"/>
        <v>186585.30964271253</v>
      </c>
      <c r="BL19" s="11">
        <f t="shared" si="35"/>
        <v>199646.28131770241</v>
      </c>
      <c r="BM19" s="11">
        <f t="shared" si="35"/>
        <v>213621.52100994159</v>
      </c>
      <c r="BN19" s="11">
        <f t="shared" si="35"/>
        <v>228575.02748063751</v>
      </c>
      <c r="BO19" s="11">
        <f t="shared" si="35"/>
        <v>244575.27940428216</v>
      </c>
      <c r="BP19" s="11">
        <f t="shared" ref="BP19:EA19" si="36">BO19*(1+$AD5)</f>
        <v>261695.54896258193</v>
      </c>
      <c r="BQ19" s="11">
        <f t="shared" si="36"/>
        <v>280014.23738996265</v>
      </c>
      <c r="BR19" s="11">
        <f t="shared" si="36"/>
        <v>299615.23400726006</v>
      </c>
      <c r="BS19" s="11">
        <f t="shared" si="36"/>
        <v>320588.30038776831</v>
      </c>
      <c r="BT19" s="11">
        <f t="shared" si="36"/>
        <v>343029.48141491209</v>
      </c>
      <c r="BU19" s="11">
        <f t="shared" si="36"/>
        <v>367041.54511395597</v>
      </c>
      <c r="BV19" s="11">
        <f t="shared" si="36"/>
        <v>392734.4532719329</v>
      </c>
      <c r="BW19" s="11">
        <f t="shared" si="36"/>
        <v>420225.86500096822</v>
      </c>
      <c r="BX19" s="11">
        <f t="shared" si="36"/>
        <v>449641.67555103602</v>
      </c>
      <c r="BY19" s="11">
        <f t="shared" si="36"/>
        <v>481116.59283960855</v>
      </c>
      <c r="BZ19" s="11">
        <f t="shared" si="36"/>
        <v>514794.75433838117</v>
      </c>
      <c r="CA19" s="11">
        <f t="shared" si="36"/>
        <v>550830.38714206789</v>
      </c>
      <c r="CB19" s="11">
        <f t="shared" si="36"/>
        <v>589388.51424201264</v>
      </c>
      <c r="CC19" s="11">
        <f t="shared" si="36"/>
        <v>630645.71023895359</v>
      </c>
      <c r="CD19" s="11">
        <f t="shared" si="36"/>
        <v>674790.90995568037</v>
      </c>
      <c r="CE19" s="11">
        <f t="shared" si="36"/>
        <v>722026.27365257801</v>
      </c>
      <c r="CF19" s="11">
        <f t="shared" si="36"/>
        <v>772568.11280825851</v>
      </c>
      <c r="CG19" s="11">
        <f t="shared" si="36"/>
        <v>826647.88070483669</v>
      </c>
      <c r="CH19" s="11">
        <f t="shared" si="36"/>
        <v>884513.2323541753</v>
      </c>
      <c r="CI19" s="11">
        <f t="shared" si="36"/>
        <v>946429.15861896763</v>
      </c>
      <c r="CJ19" s="11">
        <f t="shared" si="36"/>
        <v>1012679.1997222954</v>
      </c>
      <c r="CK19" s="11">
        <f t="shared" si="36"/>
        <v>1083566.7437028561</v>
      </c>
      <c r="CL19" s="11">
        <f t="shared" si="36"/>
        <v>1159416.4157620561</v>
      </c>
      <c r="CM19" s="11">
        <f t="shared" si="36"/>
        <v>1240575.5648654001</v>
      </c>
      <c r="CN19" s="11">
        <f t="shared" si="36"/>
        <v>1327415.8544059782</v>
      </c>
      <c r="CO19" s="11">
        <f t="shared" si="36"/>
        <v>1420334.9642143969</v>
      </c>
      <c r="CP19" s="11">
        <f t="shared" si="36"/>
        <v>1519758.4117094048</v>
      </c>
      <c r="CQ19" s="11">
        <f t="shared" si="36"/>
        <v>1626141.5005290632</v>
      </c>
      <c r="CR19" s="11">
        <f t="shared" si="36"/>
        <v>1739971.4055660977</v>
      </c>
      <c r="CS19" s="11">
        <f t="shared" si="36"/>
        <v>1861769.4039557246</v>
      </c>
      <c r="CT19" s="11">
        <f t="shared" si="36"/>
        <v>1992093.2622326254</v>
      </c>
      <c r="CU19" s="11">
        <f t="shared" si="36"/>
        <v>2131539.7905889093</v>
      </c>
      <c r="CV19" s="11">
        <f t="shared" si="36"/>
        <v>2280747.575930133</v>
      </c>
      <c r="CW19" s="11">
        <f t="shared" si="36"/>
        <v>2440399.9062452423</v>
      </c>
      <c r="CX19" s="11">
        <f t="shared" si="36"/>
        <v>2611227.8996824096</v>
      </c>
      <c r="CY19" s="11">
        <f t="shared" si="36"/>
        <v>2794013.8526601782</v>
      </c>
      <c r="CZ19" s="11">
        <f t="shared" si="36"/>
        <v>2989594.8223463907</v>
      </c>
      <c r="DA19" s="11">
        <f t="shared" si="36"/>
        <v>3198866.4599106382</v>
      </c>
      <c r="DB19" s="11">
        <f t="shared" si="36"/>
        <v>3422787.1121043828</v>
      </c>
      <c r="DC19" s="11">
        <f t="shared" si="36"/>
        <v>3662382.2099516899</v>
      </c>
      <c r="DD19" s="11">
        <f t="shared" si="36"/>
        <v>3918748.9646483082</v>
      </c>
      <c r="DE19" s="11">
        <f t="shared" si="36"/>
        <v>4193061.3921736903</v>
      </c>
      <c r="DF19" s="11">
        <f t="shared" si="36"/>
        <v>4486575.689625849</v>
      </c>
      <c r="DG19" s="11">
        <f t="shared" si="36"/>
        <v>4800635.9878996583</v>
      </c>
      <c r="DH19" s="11">
        <f t="shared" si="36"/>
        <v>5136680.5070526348</v>
      </c>
      <c r="DI19" s="11">
        <f t="shared" si="36"/>
        <v>5496248.1425463194</v>
      </c>
      <c r="DJ19" s="11">
        <f t="shared" si="36"/>
        <v>5880985.512524562</v>
      </c>
      <c r="DK19" s="11">
        <f t="shared" si="36"/>
        <v>6292654.4984012814</v>
      </c>
      <c r="DL19" s="11">
        <f t="shared" si="36"/>
        <v>6733140.3132893713</v>
      </c>
      <c r="DM19" s="11">
        <f t="shared" si="36"/>
        <v>7204460.135219628</v>
      </c>
      <c r="DN19" s="11">
        <f t="shared" si="36"/>
        <v>7708772.3446850022</v>
      </c>
      <c r="DO19" s="11">
        <f t="shared" si="36"/>
        <v>8248386.4088129532</v>
      </c>
      <c r="DP19" s="11">
        <f t="shared" si="36"/>
        <v>8825773.4574298598</v>
      </c>
      <c r="DQ19" s="11">
        <f t="shared" si="36"/>
        <v>9443577.5994499512</v>
      </c>
      <c r="DR19" s="11">
        <f t="shared" si="36"/>
        <v>10104628.031411448</v>
      </c>
      <c r="DS19" s="11">
        <f t="shared" si="36"/>
        <v>10811951.99361025</v>
      </c>
      <c r="DT19" s="11">
        <f t="shared" si="36"/>
        <v>11568788.633162968</v>
      </c>
      <c r="DU19" s="11">
        <f t="shared" si="36"/>
        <v>12378603.837484377</v>
      </c>
      <c r="DV19" s="11">
        <f t="shared" si="36"/>
        <v>13245106.106108284</v>
      </c>
      <c r="DW19" s="11">
        <f t="shared" si="36"/>
        <v>14172263.533535864</v>
      </c>
      <c r="DX19" s="11">
        <f t="shared" si="36"/>
        <v>15164321.980883375</v>
      </c>
      <c r="DY19" s="11">
        <f t="shared" si="36"/>
        <v>16225824.519545212</v>
      </c>
      <c r="DZ19" s="11">
        <f t="shared" si="36"/>
        <v>17361632.235913377</v>
      </c>
      <c r="EA19" s="11">
        <f t="shared" si="36"/>
        <v>18576946.492427316</v>
      </c>
      <c r="EB19" s="11">
        <f t="shared" ref="EB19:EF19" si="37">EA19*(1+$AD5)</f>
        <v>19877332.746897228</v>
      </c>
      <c r="EC19" s="11">
        <f t="shared" si="37"/>
        <v>21268746.039180037</v>
      </c>
      <c r="ED19" s="11">
        <f t="shared" si="37"/>
        <v>22757558.261922639</v>
      </c>
      <c r="EE19" s="11">
        <f t="shared" si="37"/>
        <v>24350587.340257224</v>
      </c>
      <c r="EF19" s="11">
        <f t="shared" si="37"/>
        <v>26055128.454075232</v>
      </c>
    </row>
    <row r="20" spans="3:136" x14ac:dyDescent="0.25">
      <c r="C20" s="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I20" s="1" t="s">
        <v>108</v>
      </c>
      <c r="AJ20" s="11">
        <v>32033</v>
      </c>
      <c r="AK20" s="11">
        <v>23150</v>
      </c>
      <c r="AL20" s="11">
        <v>16678</v>
      </c>
      <c r="AM20" s="11">
        <v>21863</v>
      </c>
      <c r="AN20" s="11">
        <v>22201</v>
      </c>
      <c r="AO20" s="11">
        <v>12193</v>
      </c>
      <c r="AP20" s="11">
        <v>16798</v>
      </c>
      <c r="AQ20" s="11">
        <v>21204</v>
      </c>
      <c r="AR20" s="11">
        <v>16571</v>
      </c>
      <c r="AS20" s="11">
        <v>18819</v>
      </c>
      <c r="AT20" s="11">
        <v>44281</v>
      </c>
      <c r="AU20" s="11">
        <v>61281</v>
      </c>
      <c r="AV20" s="11">
        <v>72735</v>
      </c>
      <c r="AW20" s="11">
        <v>72361</v>
      </c>
      <c r="AX20" s="11">
        <f>AW20*(1+$AG5)</f>
        <v>76377.035500000013</v>
      </c>
      <c r="AY20" s="11">
        <f t="shared" ref="AY20:DJ20" si="38">AX20*(1+$AG5)</f>
        <v>80615.960970250017</v>
      </c>
      <c r="AZ20" s="11">
        <f t="shared" si="38"/>
        <v>85090.146804098898</v>
      </c>
      <c r="BA20" s="11">
        <f t="shared" si="38"/>
        <v>89812.649951726402</v>
      </c>
      <c r="BB20" s="11">
        <f t="shared" si="38"/>
        <v>94797.252024047222</v>
      </c>
      <c r="BC20" s="11">
        <f t="shared" si="38"/>
        <v>100058.49951138186</v>
      </c>
      <c r="BD20" s="11">
        <f t="shared" si="38"/>
        <v>105611.74623426356</v>
      </c>
      <c r="BE20" s="11">
        <f t="shared" si="38"/>
        <v>111473.19815026519</v>
      </c>
      <c r="BF20" s="11">
        <f t="shared" si="38"/>
        <v>117659.96064760492</v>
      </c>
      <c r="BG20" s="11">
        <f t="shared" si="38"/>
        <v>124190.08846354701</v>
      </c>
      <c r="BH20" s="11">
        <f t="shared" si="38"/>
        <v>131082.63837327389</v>
      </c>
      <c r="BI20" s="11">
        <f t="shared" si="38"/>
        <v>138357.72480299062</v>
      </c>
      <c r="BJ20" s="11">
        <f t="shared" si="38"/>
        <v>146036.5785295566</v>
      </c>
      <c r="BK20" s="11">
        <f t="shared" si="38"/>
        <v>154141.60863794701</v>
      </c>
      <c r="BL20" s="11">
        <f t="shared" si="38"/>
        <v>162696.46791735309</v>
      </c>
      <c r="BM20" s="11">
        <f t="shared" si="38"/>
        <v>171726.1218867662</v>
      </c>
      <c r="BN20" s="11">
        <f t="shared" si="38"/>
        <v>181256.92165148174</v>
      </c>
      <c r="BO20" s="11">
        <f t="shared" si="38"/>
        <v>191316.680803139</v>
      </c>
      <c r="BP20" s="11">
        <f t="shared" si="38"/>
        <v>201934.75658771323</v>
      </c>
      <c r="BQ20" s="11">
        <f t="shared" si="38"/>
        <v>213142.13557833133</v>
      </c>
      <c r="BR20" s="11">
        <f t="shared" si="38"/>
        <v>224971.52410292876</v>
      </c>
      <c r="BS20" s="11">
        <f t="shared" si="38"/>
        <v>237457.44369064132</v>
      </c>
      <c r="BT20" s="11">
        <f t="shared" si="38"/>
        <v>250636.33181547193</v>
      </c>
      <c r="BU20" s="11">
        <f t="shared" si="38"/>
        <v>264546.64823123068</v>
      </c>
      <c r="BV20" s="11">
        <f t="shared" si="38"/>
        <v>279228.98720806401</v>
      </c>
      <c r="BW20" s="11">
        <f t="shared" si="38"/>
        <v>294726.19599811157</v>
      </c>
      <c r="BX20" s="11">
        <f t="shared" si="38"/>
        <v>311083.4998760068</v>
      </c>
      <c r="BY20" s="11">
        <f t="shared" si="38"/>
        <v>328348.6341191252</v>
      </c>
      <c r="BZ20" s="11">
        <f t="shared" si="38"/>
        <v>346571.98331273667</v>
      </c>
      <c r="CA20" s="11">
        <f t="shared" si="38"/>
        <v>365806.72838659358</v>
      </c>
      <c r="CB20" s="11">
        <f t="shared" si="38"/>
        <v>386109.00181204954</v>
      </c>
      <c r="CC20" s="11">
        <f t="shared" si="38"/>
        <v>407538.05141261831</v>
      </c>
      <c r="CD20" s="11">
        <f t="shared" si="38"/>
        <v>430156.41326601867</v>
      </c>
      <c r="CE20" s="11">
        <f t="shared" si="38"/>
        <v>454030.09420228278</v>
      </c>
      <c r="CF20" s="11">
        <f t="shared" si="38"/>
        <v>479228.76443050953</v>
      </c>
      <c r="CG20" s="11">
        <f t="shared" si="38"/>
        <v>505825.96085640287</v>
      </c>
      <c r="CH20" s="11">
        <f t="shared" si="38"/>
        <v>533899.30168393324</v>
      </c>
      <c r="CI20" s="11">
        <f t="shared" si="38"/>
        <v>563530.71292739164</v>
      </c>
      <c r="CJ20" s="11">
        <f t="shared" si="38"/>
        <v>594806.66749486187</v>
      </c>
      <c r="CK20" s="11">
        <f t="shared" si="38"/>
        <v>627818.43754082674</v>
      </c>
      <c r="CL20" s="11">
        <f t="shared" si="38"/>
        <v>662662.3608243427</v>
      </c>
      <c r="CM20" s="11">
        <f t="shared" si="38"/>
        <v>699440.12185009383</v>
      </c>
      <c r="CN20" s="11">
        <f t="shared" si="38"/>
        <v>738259.04861277412</v>
      </c>
      <c r="CO20" s="11">
        <f t="shared" si="38"/>
        <v>779232.42581078317</v>
      </c>
      <c r="CP20" s="11">
        <f t="shared" si="38"/>
        <v>822479.82544328168</v>
      </c>
      <c r="CQ20" s="11">
        <f t="shared" si="38"/>
        <v>868127.45575538394</v>
      </c>
      <c r="CR20" s="11">
        <f t="shared" si="38"/>
        <v>916308.52954980789</v>
      </c>
      <c r="CS20" s="11">
        <f t="shared" si="38"/>
        <v>967163.65293982229</v>
      </c>
      <c r="CT20" s="11">
        <f t="shared" si="38"/>
        <v>1020841.2356779826</v>
      </c>
      <c r="CU20" s="11">
        <f t="shared" si="38"/>
        <v>1077497.9242581108</v>
      </c>
      <c r="CV20" s="11">
        <f t="shared" si="38"/>
        <v>1137299.0590544362</v>
      </c>
      <c r="CW20" s="11">
        <f t="shared" si="38"/>
        <v>1200419.1568319574</v>
      </c>
      <c r="CX20" s="11">
        <f t="shared" si="38"/>
        <v>1267042.4200361311</v>
      </c>
      <c r="CY20" s="11">
        <f t="shared" si="38"/>
        <v>1337363.2743481365</v>
      </c>
      <c r="CZ20" s="11">
        <f t="shared" si="38"/>
        <v>1411586.9360744583</v>
      </c>
      <c r="DA20" s="11">
        <f t="shared" si="38"/>
        <v>1489930.0110265908</v>
      </c>
      <c r="DB20" s="11">
        <f t="shared" si="38"/>
        <v>1572621.1266385668</v>
      </c>
      <c r="DC20" s="11">
        <f t="shared" si="38"/>
        <v>1659901.5991670075</v>
      </c>
      <c r="DD20" s="11">
        <f t="shared" si="38"/>
        <v>1752026.1379207766</v>
      </c>
      <c r="DE20" s="11">
        <f t="shared" si="38"/>
        <v>1849263.5885753799</v>
      </c>
      <c r="DF20" s="11">
        <f t="shared" si="38"/>
        <v>1951897.7177413136</v>
      </c>
      <c r="DG20" s="11">
        <f t="shared" si="38"/>
        <v>2060228.0410759568</v>
      </c>
      <c r="DH20" s="11">
        <f t="shared" si="38"/>
        <v>2174570.6973556727</v>
      </c>
      <c r="DI20" s="11">
        <f t="shared" si="38"/>
        <v>2295259.3710589129</v>
      </c>
      <c r="DJ20" s="11">
        <f t="shared" si="38"/>
        <v>2422646.2661526827</v>
      </c>
      <c r="DK20" s="11">
        <f t="shared" ref="DK20:EF20" si="39">DJ20*(1+$AG5)</f>
        <v>2557103.1339241569</v>
      </c>
      <c r="DL20" s="11">
        <f t="shared" si="39"/>
        <v>2699022.3578569479</v>
      </c>
      <c r="DM20" s="11">
        <f t="shared" si="39"/>
        <v>2848818.098718009</v>
      </c>
      <c r="DN20" s="11">
        <f t="shared" si="39"/>
        <v>3006927.5031968588</v>
      </c>
      <c r="DO20" s="11">
        <f t="shared" si="39"/>
        <v>3173811.9796242849</v>
      </c>
      <c r="DP20" s="11">
        <f t="shared" si="39"/>
        <v>3349958.5444934331</v>
      </c>
      <c r="DQ20" s="11">
        <f t="shared" si="39"/>
        <v>3535881.2437128192</v>
      </c>
      <c r="DR20" s="11">
        <f t="shared" si="39"/>
        <v>3732122.6527388808</v>
      </c>
      <c r="DS20" s="11">
        <f t="shared" si="39"/>
        <v>3939255.4599658889</v>
      </c>
      <c r="DT20" s="11">
        <f t="shared" si="39"/>
        <v>4157884.137993996</v>
      </c>
      <c r="DU20" s="11">
        <f t="shared" si="39"/>
        <v>4388646.7076526629</v>
      </c>
      <c r="DV20" s="11">
        <f t="shared" si="39"/>
        <v>4632216.5999273863</v>
      </c>
      <c r="DW20" s="11">
        <f t="shared" si="39"/>
        <v>4889304.6212233566</v>
      </c>
      <c r="DX20" s="11">
        <f t="shared" si="39"/>
        <v>5160661.0277012531</v>
      </c>
      <c r="DY20" s="11">
        <f t="shared" si="39"/>
        <v>5447077.7147386735</v>
      </c>
      <c r="DZ20" s="11">
        <f t="shared" si="39"/>
        <v>5749390.5279066702</v>
      </c>
      <c r="EA20" s="11">
        <f t="shared" si="39"/>
        <v>6068481.7022054913</v>
      </c>
      <c r="EB20" s="11">
        <f t="shared" si="39"/>
        <v>6405282.4366778964</v>
      </c>
      <c r="EC20" s="11">
        <f t="shared" si="39"/>
        <v>6760775.6119135199</v>
      </c>
      <c r="ED20" s="11">
        <f t="shared" si="39"/>
        <v>7135998.6583747212</v>
      </c>
      <c r="EE20" s="11">
        <f t="shared" si="39"/>
        <v>7532046.5839145193</v>
      </c>
      <c r="EF20" s="11">
        <f t="shared" si="39"/>
        <v>7950075.1693217754</v>
      </c>
    </row>
    <row r="21" spans="3:136" x14ac:dyDescent="0.25">
      <c r="C21" s="1"/>
      <c r="AI21" s="1"/>
      <c r="AJ21" s="1"/>
      <c r="AK21" s="1"/>
      <c r="AL21" s="1"/>
      <c r="AM21" s="1"/>
      <c r="AN21" s="1"/>
      <c r="AO21" s="1"/>
      <c r="AP21" s="1"/>
      <c r="AQ21" s="1"/>
      <c r="AR21" s="9"/>
    </row>
    <row r="22" spans="3:136" x14ac:dyDescent="0.25">
      <c r="C22" s="1" t="s">
        <v>94</v>
      </c>
      <c r="D22">
        <v>0.84</v>
      </c>
      <c r="E22">
        <v>0.82</v>
      </c>
      <c r="F22">
        <f>0.95</f>
        <v>0.95</v>
      </c>
      <c r="G22">
        <f>1.14</f>
        <v>1.1399999999999999</v>
      </c>
      <c r="H22">
        <v>1.1399999999999999</v>
      </c>
      <c r="I22">
        <f>1.08</f>
        <v>1.08</v>
      </c>
      <c r="J22">
        <v>1.1399999999999999</v>
      </c>
      <c r="K22">
        <f>1.71</f>
        <v>1.71</v>
      </c>
      <c r="L22">
        <v>1.38</v>
      </c>
      <c r="M22">
        <v>1.51</v>
      </c>
      <c r="N22">
        <v>1.4</v>
      </c>
      <c r="O22">
        <v>1.46</v>
      </c>
      <c r="P22">
        <v>1.82</v>
      </c>
      <c r="Q22">
        <v>2.0299999999999998</v>
      </c>
      <c r="R22">
        <v>2.0299999999999998</v>
      </c>
      <c r="S22">
        <v>2.17</v>
      </c>
      <c r="T22">
        <v>2.71</v>
      </c>
      <c r="U22">
        <v>2.48</v>
      </c>
      <c r="V22">
        <v>2.2200000000000002</v>
      </c>
      <c r="W22">
        <v>2.23</v>
      </c>
      <c r="X22">
        <v>2.35</v>
      </c>
      <c r="Y22">
        <v>2.2000000000000002</v>
      </c>
      <c r="Z22">
        <v>2.4500000000000002</v>
      </c>
      <c r="AA22">
        <v>2.69</v>
      </c>
      <c r="AI22" s="1" t="s">
        <v>94</v>
      </c>
      <c r="AJ22">
        <v>2.1</v>
      </c>
      <c r="AK22">
        <v>2.69</v>
      </c>
      <c r="AL22">
        <v>2</v>
      </c>
      <c r="AM22">
        <v>2.58</v>
      </c>
      <c r="AN22">
        <v>2.63</v>
      </c>
      <c r="AO22">
        <v>2.1</v>
      </c>
      <c r="AP22">
        <v>2.1</v>
      </c>
      <c r="AQ22">
        <v>2.71</v>
      </c>
      <c r="AR22">
        <v>2.13</v>
      </c>
      <c r="AS22">
        <v>5.0599999999999996</v>
      </c>
      <c r="AT22">
        <v>5.76</v>
      </c>
      <c r="AU22">
        <v>8.0500000000000007</v>
      </c>
      <c r="AV22">
        <v>9.65</v>
      </c>
      <c r="AW22">
        <v>9.68</v>
      </c>
    </row>
    <row r="23" spans="3:136" x14ac:dyDescent="0.25">
      <c r="C23" s="1" t="s">
        <v>95</v>
      </c>
      <c r="D23" s="9">
        <v>7799</v>
      </c>
      <c r="E23" s="9">
        <v>7710</v>
      </c>
      <c r="F23" s="9">
        <f>7794</f>
        <v>7794</v>
      </c>
      <c r="G23" s="9">
        <f>7775</f>
        <v>7775</v>
      </c>
      <c r="H23" s="9">
        <f>7766</f>
        <v>7766</v>
      </c>
      <c r="I23" s="9">
        <f>7768</f>
        <v>7768</v>
      </c>
      <c r="J23" s="9">
        <v>7744</v>
      </c>
      <c r="K23" s="9">
        <f>7730</f>
        <v>7730</v>
      </c>
      <c r="L23" s="9">
        <v>7710</v>
      </c>
      <c r="M23" s="9">
        <v>7691</v>
      </c>
      <c r="N23" s="9">
        <v>7675</v>
      </c>
      <c r="O23" s="9">
        <v>7650</v>
      </c>
      <c r="P23" s="9">
        <v>7637</v>
      </c>
      <c r="Q23" s="9">
        <v>7616</v>
      </c>
      <c r="R23" s="9">
        <v>7597</v>
      </c>
      <c r="S23" s="9">
        <v>7581</v>
      </c>
      <c r="T23" s="9">
        <v>7567</v>
      </c>
      <c r="U23" s="9">
        <v>7555</v>
      </c>
      <c r="V23" s="9">
        <v>7534</v>
      </c>
      <c r="W23" s="9">
        <v>7506</v>
      </c>
      <c r="X23" s="9">
        <v>7485</v>
      </c>
      <c r="Y23" s="9">
        <v>7473</v>
      </c>
      <c r="Z23" s="9">
        <v>7464</v>
      </c>
      <c r="AA23" s="9">
        <v>7467</v>
      </c>
      <c r="AI23" s="1" t="s">
        <v>95</v>
      </c>
      <c r="AJ23" s="9">
        <v>8927</v>
      </c>
      <c r="AK23" s="9">
        <v>8593</v>
      </c>
      <c r="AL23" s="9">
        <v>8506</v>
      </c>
      <c r="AM23" s="9">
        <v>8470</v>
      </c>
      <c r="AN23">
        <v>8254</v>
      </c>
      <c r="AO23" s="9">
        <v>8013</v>
      </c>
      <c r="AP23" s="9">
        <v>8013</v>
      </c>
      <c r="AQ23" s="9">
        <v>7832</v>
      </c>
      <c r="AR23" s="9">
        <f>7794</f>
        <v>7794</v>
      </c>
      <c r="AS23" s="9">
        <v>7753</v>
      </c>
      <c r="AT23" s="9">
        <v>7683</v>
      </c>
      <c r="AU23" s="9">
        <v>7608</v>
      </c>
      <c r="AV23" s="9">
        <v>7540</v>
      </c>
      <c r="AW23" s="9">
        <v>7472</v>
      </c>
      <c r="AX23" s="9"/>
      <c r="AY23" s="9"/>
      <c r="AZ23" s="9"/>
      <c r="BA23" s="9"/>
      <c r="BB23" s="9"/>
      <c r="BC23" s="9"/>
      <c r="BD23" s="9"/>
    </row>
    <row r="24" spans="3:136" x14ac:dyDescent="0.25">
      <c r="C24" s="1" t="s">
        <v>96</v>
      </c>
      <c r="D24">
        <v>0.42</v>
      </c>
      <c r="E24">
        <v>0.42</v>
      </c>
      <c r="F24">
        <f>0.42</f>
        <v>0.42</v>
      </c>
      <c r="G24">
        <f>0.42</f>
        <v>0.42</v>
      </c>
      <c r="H24">
        <f>0.46</f>
        <v>0.46</v>
      </c>
      <c r="I24">
        <f t="shared" ref="I24:K24" si="40">0.46</f>
        <v>0.46</v>
      </c>
      <c r="J24">
        <f t="shared" si="40"/>
        <v>0.46</v>
      </c>
      <c r="K24">
        <f t="shared" si="40"/>
        <v>0.46</v>
      </c>
      <c r="L24">
        <v>0.38</v>
      </c>
      <c r="M24">
        <v>0.38</v>
      </c>
      <c r="N24">
        <v>0.38</v>
      </c>
      <c r="O24">
        <v>0.38</v>
      </c>
      <c r="P24">
        <v>0.56000000000000005</v>
      </c>
      <c r="Q24">
        <v>0.56000000000000005</v>
      </c>
      <c r="R24">
        <v>0.56000000000000005</v>
      </c>
      <c r="S24">
        <v>0.56000000000000005</v>
      </c>
      <c r="T24">
        <v>0.62</v>
      </c>
      <c r="U24">
        <v>0.62</v>
      </c>
      <c r="V24">
        <v>0.62</v>
      </c>
      <c r="W24">
        <v>0.62</v>
      </c>
      <c r="X24">
        <v>0.68</v>
      </c>
      <c r="Y24">
        <v>0.68</v>
      </c>
      <c r="Z24">
        <v>0.68</v>
      </c>
      <c r="AA24">
        <v>0.68</v>
      </c>
      <c r="AI24" s="1" t="s">
        <v>96</v>
      </c>
      <c r="AJ24">
        <v>0.52</v>
      </c>
      <c r="AK24">
        <v>0.64</v>
      </c>
      <c r="AL24">
        <v>0.8</v>
      </c>
      <c r="AM24">
        <v>0.92</v>
      </c>
      <c r="AN24">
        <v>1.1200000000000001</v>
      </c>
      <c r="AO24">
        <v>1.24</v>
      </c>
      <c r="AP24">
        <v>1.44</v>
      </c>
      <c r="AQ24">
        <v>1.56</v>
      </c>
      <c r="AR24">
        <f>1.68</f>
        <v>1.68</v>
      </c>
      <c r="AS24">
        <f>SUM(H24:K24)</f>
        <v>1.84</v>
      </c>
      <c r="AT24">
        <f>SUM(L24:O24)</f>
        <v>1.52</v>
      </c>
      <c r="AU24">
        <f>SUM(P24:S24)</f>
        <v>2.2400000000000002</v>
      </c>
      <c r="AV24">
        <f>SUM(T24:W24)</f>
        <v>2.48</v>
      </c>
      <c r="AW24">
        <f>SUM(X24:AA24)</f>
        <v>2.72</v>
      </c>
    </row>
    <row r="26" spans="3:136" x14ac:dyDescent="0.25">
      <c r="C26" s="1" t="s">
        <v>97</v>
      </c>
      <c r="D26" t="s">
        <v>98</v>
      </c>
      <c r="E26" s="10">
        <f>E5/D5-1</f>
        <v>0.25374178206742193</v>
      </c>
      <c r="F26" s="10">
        <f>F5/E5-1</f>
        <v>-0.15686712038380002</v>
      </c>
      <c r="G26" s="10">
        <f t="shared" ref="G26:AA26" si="41">G5/F5-1</f>
        <v>0.1353050152176789</v>
      </c>
      <c r="H26" s="10">
        <f t="shared" si="41"/>
        <v>8.1589836237543345E-3</v>
      </c>
      <c r="I26" s="10">
        <f t="shared" si="41"/>
        <v>-6.2431354413549967E-2</v>
      </c>
      <c r="J26" s="10">
        <f t="shared" si="41"/>
        <v>-4.753683950921761E-2</v>
      </c>
      <c r="K26" s="10">
        <f t="shared" si="41"/>
        <v>0.10713360952874162</v>
      </c>
      <c r="L26" s="10">
        <f t="shared" si="41"/>
        <v>-7.8056481319066839E-2</v>
      </c>
      <c r="M26" s="10">
        <f t="shared" si="41"/>
        <v>0.15772450532724513</v>
      </c>
      <c r="N26" s="10">
        <f t="shared" si="41"/>
        <v>-0.13059435771021632</v>
      </c>
      <c r="O26" s="10">
        <f t="shared" si="41"/>
        <v>0.14340621258899877</v>
      </c>
      <c r="P26" s="10">
        <f t="shared" si="41"/>
        <v>-0.1291673554857552</v>
      </c>
      <c r="Q26" s="10">
        <f t="shared" si="41"/>
        <v>0.23141175726127949</v>
      </c>
      <c r="R26" s="10">
        <f t="shared" si="41"/>
        <v>-0.13293936279547791</v>
      </c>
      <c r="S26" s="10">
        <f t="shared" si="41"/>
        <v>0.12238487524447339</v>
      </c>
      <c r="T26" s="10">
        <f t="shared" si="41"/>
        <v>-0.12181856584644635</v>
      </c>
      <c r="U26" s="10">
        <f t="shared" si="41"/>
        <v>0.24941374541518857</v>
      </c>
      <c r="V26" s="10">
        <f t="shared" si="41"/>
        <v>-0.16425237018143313</v>
      </c>
      <c r="W26" s="10">
        <f t="shared" si="41"/>
        <v>3.3974432799723564E-2</v>
      </c>
      <c r="X26" s="10">
        <f t="shared" si="41"/>
        <v>-0.12335709512140791</v>
      </c>
      <c r="Y26" s="10">
        <f t="shared" si="41"/>
        <v>4.9298011562162403E-2</v>
      </c>
      <c r="Z26" s="10">
        <f t="shared" si="41"/>
        <v>-5.6245080825815807E-2</v>
      </c>
      <c r="AA26" s="10">
        <f t="shared" si="41"/>
        <v>8.1152168334616359E-2</v>
      </c>
      <c r="AI26" s="1" t="s">
        <v>97</v>
      </c>
      <c r="AJ26" s="10"/>
      <c r="AK26" s="10"/>
      <c r="AL26" s="10"/>
      <c r="AM26" s="10"/>
      <c r="AN26" s="10"/>
      <c r="AO26" s="10">
        <f t="shared" ref="AO26:AR26" si="42">AO5/AN5-1</f>
        <v>4.1234852223501761E-2</v>
      </c>
      <c r="AP26" s="10">
        <f t="shared" si="42"/>
        <v>-0.19029438095739637</v>
      </c>
      <c r="AQ26" s="10">
        <f t="shared" si="42"/>
        <v>-7.0111541088094698E-2</v>
      </c>
      <c r="AR26" s="10">
        <f t="shared" si="42"/>
        <v>0.12776709214897708</v>
      </c>
      <c r="AS26" s="10">
        <f>AS5/AR5-1</f>
        <v>4.6529295936245108E-2</v>
      </c>
      <c r="AT26" s="10">
        <f t="shared" ref="AT26:AX26" si="43">AT5/AS5-1</f>
        <v>8.0446828054163699E-3</v>
      </c>
      <c r="AU26" s="10">
        <f t="shared" si="43"/>
        <v>4.457606443173967E-2</v>
      </c>
      <c r="AV26" s="10">
        <f t="shared" si="43"/>
        <v>2.3327799195205001E-2</v>
      </c>
      <c r="AW26" s="10">
        <f t="shared" si="43"/>
        <v>-0.11044657097288679</v>
      </c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3:136" x14ac:dyDescent="0.25">
      <c r="C27" s="1" t="s">
        <v>99</v>
      </c>
      <c r="D27" t="s">
        <v>98</v>
      </c>
      <c r="E27" s="10">
        <f>E7/D7-1</f>
        <v>0.17849865514711882</v>
      </c>
      <c r="F27" s="10">
        <f t="shared" ref="F27:AA27" si="44">F7/E7-1</f>
        <v>-7.2584549415588895E-2</v>
      </c>
      <c r="G27" s="10">
        <f t="shared" si="44"/>
        <v>0.12177933554569531</v>
      </c>
      <c r="H27" s="10">
        <f t="shared" si="44"/>
        <v>-3.3272394881170064E-2</v>
      </c>
      <c r="I27" s="10">
        <f t="shared" si="44"/>
        <v>0.11645578324852157</v>
      </c>
      <c r="J27" s="10">
        <f t="shared" si="44"/>
        <v>-5.8513750731421843E-2</v>
      </c>
      <c r="K27" s="10">
        <f t="shared" si="44"/>
        <v>0.10290798469137408</v>
      </c>
      <c r="L27" s="10">
        <f t="shared" si="44"/>
        <v>-1.9634012515941546E-2</v>
      </c>
      <c r="M27" s="10">
        <f t="shared" si="44"/>
        <v>0.11650279836635913</v>
      </c>
      <c r="N27" s="10">
        <f t="shared" si="44"/>
        <v>-5.1075705847287711E-2</v>
      </c>
      <c r="O27" s="10">
        <f t="shared" si="44"/>
        <v>8.6005539533422715E-2</v>
      </c>
      <c r="P27" s="10">
        <f t="shared" si="44"/>
        <v>-2.3111508426892469E-2</v>
      </c>
      <c r="Q27" s="10">
        <f t="shared" si="44"/>
        <v>0.15939064434515804</v>
      </c>
      <c r="R27" s="10">
        <f t="shared" si="44"/>
        <v>-3.1804252948277489E-2</v>
      </c>
      <c r="S27" s="10">
        <f t="shared" si="44"/>
        <v>0.10660336642209756</v>
      </c>
      <c r="T27" s="10">
        <f t="shared" si="44"/>
        <v>-1.8092390362281163E-2</v>
      </c>
      <c r="U27" s="10">
        <f t="shared" si="44"/>
        <v>0.14147008848776399</v>
      </c>
      <c r="V27" s="10">
        <f t="shared" si="44"/>
        <v>-4.5777915248994772E-2</v>
      </c>
      <c r="W27" s="10">
        <f t="shared" si="44"/>
        <v>5.0688816855753549E-2</v>
      </c>
      <c r="X27" s="10">
        <f t="shared" si="44"/>
        <v>-3.3550576530022025E-2</v>
      </c>
      <c r="Y27" s="10">
        <f t="shared" si="44"/>
        <v>5.2372211803200175E-2</v>
      </c>
      <c r="Z27" s="10">
        <f t="shared" si="44"/>
        <v>2.085426659335976E-3</v>
      </c>
      <c r="AA27" s="10">
        <f t="shared" si="44"/>
        <v>6.3038008210833052E-2</v>
      </c>
      <c r="AI27" s="1" t="s">
        <v>99</v>
      </c>
      <c r="AJ27" s="10"/>
      <c r="AK27" s="10">
        <f t="shared" ref="AK27:AR27" si="45">AK7/AJ7-1</f>
        <v>0.11937455988733126</v>
      </c>
      <c r="AL27" s="10">
        <f t="shared" si="45"/>
        <v>5.4044007263057026E-2</v>
      </c>
      <c r="AM27" s="10">
        <f t="shared" si="45"/>
        <v>5.5966252051598442E-2</v>
      </c>
      <c r="AN27" s="10">
        <f t="shared" si="45"/>
        <v>0.11540289534868786</v>
      </c>
      <c r="AO27" s="10">
        <f t="shared" si="45"/>
        <v>7.7700874091647165E-2</v>
      </c>
      <c r="AP27" s="10">
        <f t="shared" si="45"/>
        <v>-8.8266723658901425E-2</v>
      </c>
      <c r="AQ27" s="10">
        <f t="shared" si="45"/>
        <v>5.4266291608063844E-2</v>
      </c>
      <c r="AR27" s="10">
        <f t="shared" si="45"/>
        <v>0.22690383546414683</v>
      </c>
      <c r="AS27" s="10">
        <f>AS7/AR7-1</f>
        <v>4.1192461036607453E-2</v>
      </c>
      <c r="AT27" s="10">
        <f t="shared" ref="AT27:BD27" si="46">AT7/AS7-1</f>
        <v>0.24462604215619721</v>
      </c>
      <c r="AU27" s="10">
        <f t="shared" si="46"/>
        <v>0.17531727441177503</v>
      </c>
      <c r="AV27" s="10">
        <f t="shared" si="46"/>
        <v>0.17954285850268903</v>
      </c>
      <c r="AW27" s="10">
        <f t="shared" si="46"/>
        <v>6.8836467995178285E-2</v>
      </c>
      <c r="AX27" s="10">
        <f t="shared" si="46"/>
        <v>-4.0000000000000036E-2</v>
      </c>
      <c r="AY27" s="10">
        <f t="shared" si="46"/>
        <v>-5.0000000000000044E-2</v>
      </c>
      <c r="AZ27" s="10">
        <f t="shared" si="46"/>
        <v>-4.9999999999999933E-2</v>
      </c>
      <c r="BA27" s="10">
        <f t="shared" si="46"/>
        <v>-5.0000000000000044E-2</v>
      </c>
      <c r="BB27" s="10">
        <f t="shared" si="46"/>
        <v>-5.0000000000000044E-2</v>
      </c>
      <c r="BC27" s="10">
        <f t="shared" si="46"/>
        <v>-5.0000000000000155E-2</v>
      </c>
      <c r="BD27" s="10">
        <f t="shared" si="46"/>
        <v>-4.9999999999999933E-2</v>
      </c>
      <c r="BE27" s="10">
        <f t="shared" ref="BE27" si="47">BE7/BD7-1</f>
        <v>-5.0000000000000044E-2</v>
      </c>
      <c r="BF27" s="10">
        <f t="shared" ref="BF27" si="48">BF7/BE7-1</f>
        <v>-5.0000000000000155E-2</v>
      </c>
      <c r="BG27" s="10">
        <f t="shared" ref="BG27" si="49">BG7/BF7-1</f>
        <v>-5.0000000000000044E-2</v>
      </c>
      <c r="BH27" s="10">
        <f t="shared" ref="BH27" si="50">BH7/BG7-1</f>
        <v>-4.9999999999999933E-2</v>
      </c>
      <c r="BI27" s="10">
        <f t="shared" ref="BI27" si="51">BI7/BH7-1</f>
        <v>-5.0000000000000044E-2</v>
      </c>
      <c r="BJ27" s="10">
        <f t="shared" ref="BJ27" si="52">BJ7/BI7-1</f>
        <v>-5.0000000000000044E-2</v>
      </c>
      <c r="BK27" s="10">
        <f t="shared" ref="BK27" si="53">BK7/BJ7-1</f>
        <v>-5.0000000000000044E-2</v>
      </c>
      <c r="BL27" s="10">
        <f t="shared" ref="BL27" si="54">BL7/BK7-1</f>
        <v>-4.9999999999999933E-2</v>
      </c>
      <c r="BM27" s="10">
        <f t="shared" ref="BM27" si="55">BM7/BL7-1</f>
        <v>-5.0000000000000044E-2</v>
      </c>
      <c r="BN27" s="10">
        <f t="shared" ref="BN27" si="56">BN7/BM7-1</f>
        <v>-5.0000000000000044E-2</v>
      </c>
    </row>
    <row r="28" spans="3:136" x14ac:dyDescent="0.25">
      <c r="C28" s="1" t="s">
        <v>100</v>
      </c>
      <c r="D28" s="7">
        <f>(D7/D11)</f>
        <v>1.5091020910209103</v>
      </c>
      <c r="E28" s="10">
        <f t="shared" ref="E28:AA28" si="57">(E7/E11)</f>
        <v>1.6196930659796125</v>
      </c>
      <c r="F28" s="10">
        <f t="shared" si="57"/>
        <v>1.5281481481481483</v>
      </c>
      <c r="G28" s="10">
        <f t="shared" si="57"/>
        <v>1.4788870864670893</v>
      </c>
      <c r="H28" s="10">
        <f t="shared" si="57"/>
        <v>1.5164502841649721</v>
      </c>
      <c r="I28" s="10">
        <f t="shared" si="57"/>
        <v>1.6196628092577814</v>
      </c>
      <c r="J28" s="10">
        <f t="shared" si="57"/>
        <v>1.4985049752463115</v>
      </c>
      <c r="K28" s="10">
        <f t="shared" si="57"/>
        <v>1.4467710791675605</v>
      </c>
      <c r="L28" s="10">
        <f t="shared" si="57"/>
        <v>1.4594463331714425</v>
      </c>
      <c r="M28" s="10">
        <f t="shared" si="57"/>
        <v>1.5034218673619033</v>
      </c>
      <c r="N28" s="10">
        <f t="shared" si="57"/>
        <v>1.4564168676702987</v>
      </c>
      <c r="O28" s="10">
        <f t="shared" si="57"/>
        <v>1.4802288472016814</v>
      </c>
      <c r="P28" s="10">
        <f t="shared" si="57"/>
        <v>1.4206944019577852</v>
      </c>
      <c r="Q28" s="10">
        <f t="shared" si="57"/>
        <v>1.4914479606675437</v>
      </c>
      <c r="R28" s="10">
        <f t="shared" si="57"/>
        <v>1.45514811067304</v>
      </c>
      <c r="S28" s="10">
        <f t="shared" si="57"/>
        <v>1.4350300052859053</v>
      </c>
      <c r="T28" s="10">
        <f t="shared" si="57"/>
        <v>1.4308673549935271</v>
      </c>
      <c r="U28" s="10">
        <f t="shared" si="57"/>
        <v>1.4878048780487805</v>
      </c>
      <c r="V28" s="10">
        <f t="shared" si="57"/>
        <v>1.4627352200325974</v>
      </c>
      <c r="W28" s="10">
        <f t="shared" si="57"/>
        <v>1.4636638162165214</v>
      </c>
      <c r="X28" s="10">
        <f t="shared" si="57"/>
        <v>1.4456879146235939</v>
      </c>
      <c r="Y28" s="10">
        <f t="shared" si="57"/>
        <v>1.4959868402393715</v>
      </c>
      <c r="Z28" s="10">
        <f t="shared" si="57"/>
        <v>1.4391080617495713</v>
      </c>
      <c r="AA28" s="10">
        <f t="shared" si="57"/>
        <v>1.4263339594862161</v>
      </c>
      <c r="AI28" s="1" t="s">
        <v>100</v>
      </c>
      <c r="AJ28" s="10">
        <f t="shared" ref="AJ28:AP28" si="58">AJ7/AJ11</f>
        <v>1.2474595220507496</v>
      </c>
      <c r="AK28" s="10">
        <f t="shared" si="58"/>
        <v>1.2865209873818195</v>
      </c>
      <c r="AL28" s="10">
        <f t="shared" si="58"/>
        <v>1.3190023795466337</v>
      </c>
      <c r="AM28" s="10">
        <f t="shared" si="58"/>
        <v>1.3515451388888888</v>
      </c>
      <c r="AN28" s="10">
        <f t="shared" si="58"/>
        <v>1.4531503639862773</v>
      </c>
      <c r="AO28" s="10">
        <f t="shared" si="58"/>
        <v>1.5457038089260349</v>
      </c>
      <c r="AP28" s="10">
        <f t="shared" si="58"/>
        <v>1.6239055957365816</v>
      </c>
      <c r="AQ28" s="10">
        <f>AQ7/AQ11</f>
        <v>1.6152202409811633</v>
      </c>
      <c r="AR28" s="10">
        <f>AR7/AR11</f>
        <v>1.5326287722027025</v>
      </c>
      <c r="AS28" s="10">
        <f>AS7/AS11</f>
        <v>1.5335931452366334</v>
      </c>
      <c r="AT28" s="10">
        <f t="shared" ref="AT28:BN28" si="59">AT7/AT11</f>
        <v>1.4753396535894447</v>
      </c>
      <c r="AU28" s="10">
        <f t="shared" si="59"/>
        <v>1.4508355199558072</v>
      </c>
      <c r="AV28" s="10">
        <f t="shared" si="59"/>
        <v>1.46196273328565</v>
      </c>
      <c r="AW28" s="10">
        <f t="shared" si="59"/>
        <v>1.4509558239531126</v>
      </c>
      <c r="AX28" s="10">
        <f t="shared" si="59"/>
        <v>1.4818272244627533</v>
      </c>
      <c r="AY28" s="10">
        <f t="shared" si="59"/>
        <v>1.4512740858140367</v>
      </c>
      <c r="AZ28" s="10">
        <f t="shared" si="59"/>
        <v>1.4213509087869434</v>
      </c>
      <c r="BA28" s="10">
        <f t="shared" si="59"/>
        <v>1.3920447044820579</v>
      </c>
      <c r="BB28" s="10">
        <f t="shared" si="59"/>
        <v>1.3633427518123247</v>
      </c>
      <c r="BC28" s="10">
        <f t="shared" si="59"/>
        <v>1.3352325919811425</v>
      </c>
      <c r="BD28" s="10">
        <f t="shared" si="59"/>
        <v>1.307702023074315</v>
      </c>
      <c r="BE28" s="10">
        <f t="shared" si="59"/>
        <v>1.2807390947635042</v>
      </c>
      <c r="BF28" s="10">
        <f t="shared" si="59"/>
        <v>1.2543321031188956</v>
      </c>
      <c r="BG28" s="10">
        <f t="shared" si="59"/>
        <v>1.2284695855288152</v>
      </c>
      <c r="BH28" s="10">
        <f t="shared" si="59"/>
        <v>1.2031403157240976</v>
      </c>
      <c r="BI28" s="10">
        <f t="shared" si="59"/>
        <v>1.1783332989050439</v>
      </c>
      <c r="BJ28" s="10">
        <f t="shared" si="59"/>
        <v>1.1540377669688573</v>
      </c>
      <c r="BK28" s="10">
        <f t="shared" si="59"/>
        <v>1.1302431738354788</v>
      </c>
      <c r="BL28" s="10">
        <f t="shared" si="59"/>
        <v>1.106939190869799</v>
      </c>
      <c r="BM28" s="10">
        <f t="shared" si="59"/>
        <v>1.0841157023982566</v>
      </c>
      <c r="BN28" s="10">
        <f t="shared" si="59"/>
        <v>1.0617628013178801</v>
      </c>
    </row>
    <row r="29" spans="3:136" x14ac:dyDescent="0.25">
      <c r="C29" s="1" t="s">
        <v>101</v>
      </c>
      <c r="D29" t="s">
        <v>98</v>
      </c>
      <c r="E29" s="10">
        <f>E19/D19-1</f>
        <v>-1.9583333333333335</v>
      </c>
      <c r="F29" s="10">
        <f t="shared" ref="F29:AA29" si="60">F19/E19-1</f>
        <v>-2.1780387178673437</v>
      </c>
      <c r="G29" s="10">
        <f t="shared" si="60"/>
        <v>0.1951778017241379</v>
      </c>
      <c r="H29" s="10">
        <f t="shared" si="60"/>
        <v>-5.5223712385890078E-3</v>
      </c>
      <c r="I29" s="10">
        <f t="shared" si="60"/>
        <v>-4.5784224841341814E-2</v>
      </c>
      <c r="J29" s="10">
        <f t="shared" si="60"/>
        <v>4.619952494061752E-2</v>
      </c>
      <c r="K29" s="10">
        <f t="shared" si="60"/>
        <v>0.49699171302077416</v>
      </c>
      <c r="L29" s="10">
        <f t="shared" si="60"/>
        <v>-0.19026313793887917</v>
      </c>
      <c r="M29" s="10">
        <f t="shared" si="60"/>
        <v>9.0934631953549339E-2</v>
      </c>
      <c r="N29" s="10">
        <f t="shared" si="60"/>
        <v>-7.7002317795518915E-2</v>
      </c>
      <c r="O29" s="10">
        <f t="shared" si="60"/>
        <v>4.1852678571428603E-2</v>
      </c>
      <c r="P29" s="10">
        <f t="shared" si="60"/>
        <v>0.24022495982860192</v>
      </c>
      <c r="Q29" s="10">
        <f t="shared" si="60"/>
        <v>0.11372633700424672</v>
      </c>
      <c r="R29" s="10">
        <f t="shared" si="60"/>
        <v>-1.0340593291540134E-3</v>
      </c>
      <c r="S29" s="10">
        <f t="shared" si="60"/>
        <v>6.4760302775441536E-2</v>
      </c>
      <c r="T29" s="10">
        <f t="shared" si="60"/>
        <v>0.24589865111192122</v>
      </c>
      <c r="U29" s="10">
        <f t="shared" si="60"/>
        <v>-8.4857351865398667E-2</v>
      </c>
      <c r="V29" s="10">
        <f t="shared" si="60"/>
        <v>-0.10855315747402083</v>
      </c>
      <c r="W29" s="10">
        <f t="shared" si="60"/>
        <v>5.3802008608316854E-4</v>
      </c>
      <c r="X29" s="10">
        <f t="shared" si="60"/>
        <v>4.8933500627352577E-2</v>
      </c>
      <c r="Y29" s="10">
        <f t="shared" si="60"/>
        <v>-6.4422419685577603E-2</v>
      </c>
      <c r="Z29" s="10">
        <f t="shared" si="60"/>
        <v>0.11409436834094366</v>
      </c>
      <c r="AA29" s="10">
        <f t="shared" si="60"/>
        <v>9.7382370621345471E-2</v>
      </c>
      <c r="AI29" s="1" t="s">
        <v>101</v>
      </c>
      <c r="AJ29" s="10"/>
      <c r="AK29" s="10">
        <f t="shared" ref="AK29:AR29" si="61">AK19/AJ19-1</f>
        <v>-0.27730777635563331</v>
      </c>
      <c r="AL29" s="10">
        <f t="shared" si="61"/>
        <v>-0.27956803455723545</v>
      </c>
      <c r="AM29" s="10">
        <f t="shared" si="61"/>
        <v>0.31088859575488659</v>
      </c>
      <c r="AN29" s="10">
        <f t="shared" si="61"/>
        <v>1.5459909436033481E-2</v>
      </c>
      <c r="AO29" s="10">
        <f t="shared" si="61"/>
        <v>-0.45079050493221029</v>
      </c>
      <c r="AP29" s="10">
        <f t="shared" si="61"/>
        <v>0.37767571557451007</v>
      </c>
      <c r="AQ29" s="10">
        <f t="shared" si="61"/>
        <v>0.26229313013453992</v>
      </c>
      <c r="AR29" s="10">
        <f t="shared" si="61"/>
        <v>-0.21849651009243543</v>
      </c>
      <c r="AS29" s="10">
        <f>AS19/AR19-1</f>
        <v>0.13565868082795252</v>
      </c>
      <c r="AT29" s="10">
        <f t="shared" ref="AT29:BD29" si="62">AT19/AS19-1</f>
        <v>1.3529943142568679</v>
      </c>
      <c r="AU29" s="10">
        <f t="shared" si="62"/>
        <v>0.38391183577606647</v>
      </c>
      <c r="AV29" s="10">
        <f t="shared" si="62"/>
        <v>0.18690948254760853</v>
      </c>
      <c r="AW29" s="10">
        <f t="shared" si="62"/>
        <v>-5.1419536674228716E-3</v>
      </c>
      <c r="AX29" s="10">
        <f t="shared" si="62"/>
        <v>7.0000000000000062E-2</v>
      </c>
      <c r="AY29" s="10">
        <f t="shared" si="62"/>
        <v>7.0000000000000062E-2</v>
      </c>
      <c r="AZ29" s="10">
        <f t="shared" si="62"/>
        <v>7.0000000000000062E-2</v>
      </c>
      <c r="BA29" s="10">
        <f t="shared" si="62"/>
        <v>7.0000000000000062E-2</v>
      </c>
      <c r="BB29" s="10">
        <f t="shared" si="62"/>
        <v>7.0000000000000062E-2</v>
      </c>
      <c r="BC29" s="10">
        <f t="shared" si="62"/>
        <v>7.0000000000000062E-2</v>
      </c>
      <c r="BD29" s="10">
        <f t="shared" si="62"/>
        <v>7.0000000000000062E-2</v>
      </c>
      <c r="BE29" s="10">
        <f t="shared" ref="BE29" si="63">BE19/BD19-1</f>
        <v>7.0000000000000062E-2</v>
      </c>
      <c r="BF29" s="10">
        <f t="shared" ref="BF29" si="64">BF19/BE19-1</f>
        <v>7.0000000000000062E-2</v>
      </c>
      <c r="BG29" s="10">
        <f t="shared" ref="BG29" si="65">BG19/BF19-1</f>
        <v>7.0000000000000062E-2</v>
      </c>
      <c r="BH29" s="10">
        <f t="shared" ref="BH29" si="66">BH19/BG19-1</f>
        <v>7.0000000000000062E-2</v>
      </c>
      <c r="BI29" s="10">
        <f t="shared" ref="BI29" si="67">BI19/BH19-1</f>
        <v>7.0000000000000062E-2</v>
      </c>
      <c r="BJ29" s="10">
        <f t="shared" ref="BJ29" si="68">BJ19/BI19-1</f>
        <v>7.0000000000000062E-2</v>
      </c>
      <c r="BK29" s="10">
        <f t="shared" ref="BK29" si="69">BK19/BJ19-1</f>
        <v>7.0000000000000062E-2</v>
      </c>
      <c r="BL29" s="10">
        <f t="shared" ref="BL29" si="70">BL19/BK19-1</f>
        <v>7.0000000000000062E-2</v>
      </c>
      <c r="BM29" s="10">
        <f t="shared" ref="BM29" si="71">BM19/BL19-1</f>
        <v>7.0000000000000062E-2</v>
      </c>
      <c r="BN29" s="10">
        <f t="shared" ref="BN29" si="72">BN19/BM19-1</f>
        <v>7.0000000000000062E-2</v>
      </c>
    </row>
    <row r="30" spans="3:136" x14ac:dyDescent="0.25">
      <c r="AI30" s="1" t="s">
        <v>85</v>
      </c>
      <c r="AJ30" s="10">
        <f t="shared" ref="AJ30" si="73">AK11/AJ11-1</f>
        <v>8.5388009343368765E-2</v>
      </c>
      <c r="AK30" s="10">
        <f t="shared" ref="AK30" si="74">AL11/AK11-1</f>
        <v>2.8087407570908329E-2</v>
      </c>
      <c r="AL30" s="10">
        <f t="shared" ref="AL30" si="75">AM11/AL11-1</f>
        <v>3.0540497021093849E-2</v>
      </c>
      <c r="AM30" s="10">
        <f t="shared" ref="AM30" si="76">AN11/AM11-1</f>
        <v>3.7413194444444464E-2</v>
      </c>
      <c r="AN30" s="10">
        <f t="shared" ref="AN30" si="77">AO11/AN11-1</f>
        <v>1.3170445987783497E-2</v>
      </c>
      <c r="AO30" s="10">
        <f t="shared" ref="AO30" si="78">AP11/AO11-1</f>
        <v>-0.13217270655082425</v>
      </c>
      <c r="AP30" s="10">
        <f t="shared" ref="AP30" si="79">AQ11/AP11-1</f>
        <v>5.9935287400076032E-2</v>
      </c>
      <c r="AQ30" s="10">
        <f t="shared" ref="AQ30" si="80">AR11/AQ11-1</f>
        <v>0.29302016556231925</v>
      </c>
      <c r="AR30" s="10">
        <f t="shared" ref="AR30" si="81">AS11/AR11-1</f>
        <v>4.0537725498909882E-2</v>
      </c>
      <c r="AS30" s="10">
        <f t="shared" ref="AS30:BN30" si="82">AT11/AS11-1</f>
        <v>0.29376985292154933</v>
      </c>
      <c r="AT30" s="10">
        <f t="shared" si="82"/>
        <v>0.19516799570855303</v>
      </c>
      <c r="AU30" s="10">
        <f t="shared" si="82"/>
        <v>0.17056518436680013</v>
      </c>
      <c r="AV30" s="10">
        <f t="shared" si="82"/>
        <v>7.6944630835367178E-2</v>
      </c>
      <c r="AW30" s="10">
        <f t="shared" si="82"/>
        <v>-5.9999999999999942E-2</v>
      </c>
      <c r="AX30" s="10">
        <f t="shared" si="82"/>
        <v>-3.0000000000000138E-2</v>
      </c>
      <c r="AY30" s="10">
        <f t="shared" si="82"/>
        <v>-3.0000000000000027E-2</v>
      </c>
      <c r="AZ30" s="10">
        <f t="shared" si="82"/>
        <v>-3.0000000000000027E-2</v>
      </c>
      <c r="BA30" s="10">
        <f t="shared" si="82"/>
        <v>-3.0000000000000027E-2</v>
      </c>
      <c r="BB30" s="10">
        <f t="shared" si="82"/>
        <v>-3.0000000000000027E-2</v>
      </c>
      <c r="BC30" s="10">
        <f t="shared" si="82"/>
        <v>-3.0000000000000027E-2</v>
      </c>
      <c r="BD30" s="10">
        <f t="shared" si="82"/>
        <v>-2.9999999999999916E-2</v>
      </c>
      <c r="BE30" s="10">
        <f t="shared" si="82"/>
        <v>-3.0000000000000027E-2</v>
      </c>
      <c r="BF30" s="10">
        <f t="shared" si="82"/>
        <v>-3.0000000000000027E-2</v>
      </c>
      <c r="BG30" s="10">
        <f t="shared" si="82"/>
        <v>-3.0000000000000138E-2</v>
      </c>
      <c r="BH30" s="10">
        <f t="shared" si="82"/>
        <v>-3.0000000000000027E-2</v>
      </c>
      <c r="BI30" s="10">
        <f t="shared" si="82"/>
        <v>-3.0000000000000027E-2</v>
      </c>
      <c r="BJ30" s="10">
        <f t="shared" si="82"/>
        <v>-2.9999999999999916E-2</v>
      </c>
      <c r="BK30" s="10">
        <f t="shared" si="82"/>
        <v>-3.0000000000000027E-2</v>
      </c>
      <c r="BL30" s="10">
        <f t="shared" si="82"/>
        <v>-3.0000000000000027E-2</v>
      </c>
      <c r="BM30" s="10">
        <f t="shared" si="82"/>
        <v>-2.9999999999999916E-2</v>
      </c>
      <c r="BN30" s="10">
        <f t="shared" si="82"/>
        <v>-1</v>
      </c>
    </row>
    <row r="31" spans="3:136" x14ac:dyDescent="0.25">
      <c r="C31" s="1"/>
      <c r="AI31" s="1" t="s">
        <v>106</v>
      </c>
      <c r="AJ31" s="10">
        <f t="shared" ref="AJ31" si="83">AK15/AJ15-1</f>
        <v>1.1390941972008179</v>
      </c>
      <c r="AK31" s="10">
        <f t="shared" ref="AK31" si="84">AL15/AK15-1</f>
        <v>0.26557618084910861</v>
      </c>
      <c r="AL31" s="10">
        <f t="shared" ref="AL31" si="85">AM15/AL15-1</f>
        <v>-0.10438571013650888</v>
      </c>
      <c r="AM31" s="10">
        <f t="shared" ref="AM31" si="86">AN15/AM15-1</f>
        <v>3.3499805422233742E-2</v>
      </c>
      <c r="AN31" s="10">
        <f t="shared" ref="AN31" si="87">AO15/AN15-1</f>
        <v>0.32985032476701504</v>
      </c>
      <c r="AO31" s="10">
        <f t="shared" ref="AO31" si="88">AP15/AO15-1</f>
        <v>-0.23649748708147522</v>
      </c>
      <c r="AP31" s="10">
        <f t="shared" ref="AP31" si="89">AQ15/AP15-1</f>
        <v>3.105877989987027E-2</v>
      </c>
      <c r="AQ31" s="10">
        <f t="shared" ref="AQ31" si="90">AR15/AQ15-1</f>
        <v>0.10748433893834486</v>
      </c>
      <c r="AR31" s="10">
        <f t="shared" ref="AR31" si="91">AS15/AR15-1</f>
        <v>1.8187231048201635E-2</v>
      </c>
      <c r="AS31" s="10">
        <f t="shared" ref="AS31:BN31" si="92">AT15/AS15-1</f>
        <v>0.16897477472688127</v>
      </c>
      <c r="AT31" s="10">
        <f t="shared" si="92"/>
        <v>4.4385829278275502E-2</v>
      </c>
      <c r="AU31" s="10">
        <f t="shared" si="92"/>
        <v>0.137317657304594</v>
      </c>
      <c r="AV31" s="10">
        <f t="shared" si="92"/>
        <v>0.10130750234508112</v>
      </c>
      <c r="AW31" s="10">
        <f t="shared" si="92"/>
        <v>3.0000000000000027E-2</v>
      </c>
      <c r="AX31" s="10">
        <f t="shared" si="92"/>
        <v>6.0000000000000053E-2</v>
      </c>
      <c r="AY31" s="10">
        <f t="shared" si="92"/>
        <v>6.0000000000000053E-2</v>
      </c>
      <c r="AZ31" s="10">
        <f t="shared" si="92"/>
        <v>6.0000000000000053E-2</v>
      </c>
      <c r="BA31" s="10">
        <f t="shared" si="92"/>
        <v>6.0000000000000053E-2</v>
      </c>
      <c r="BB31" s="10">
        <f t="shared" si="92"/>
        <v>6.0000000000000053E-2</v>
      </c>
      <c r="BC31" s="10">
        <f t="shared" si="92"/>
        <v>6.0000000000000053E-2</v>
      </c>
      <c r="BD31" s="10">
        <f t="shared" si="92"/>
        <v>6.0000000000000053E-2</v>
      </c>
      <c r="BE31" s="10">
        <f t="shared" si="92"/>
        <v>6.0000000000000053E-2</v>
      </c>
      <c r="BF31" s="10">
        <f t="shared" si="92"/>
        <v>6.0000000000000053E-2</v>
      </c>
      <c r="BG31" s="10">
        <f t="shared" si="92"/>
        <v>6.0000000000000053E-2</v>
      </c>
      <c r="BH31" s="10">
        <f t="shared" si="92"/>
        <v>6.0000000000000053E-2</v>
      </c>
      <c r="BI31" s="10">
        <f t="shared" si="92"/>
        <v>6.0000000000000053E-2</v>
      </c>
      <c r="BJ31" s="10">
        <f t="shared" si="92"/>
        <v>6.0000000000000053E-2</v>
      </c>
      <c r="BK31" s="10">
        <f t="shared" si="92"/>
        <v>6.0000000000000053E-2</v>
      </c>
      <c r="BL31" s="10">
        <f t="shared" si="92"/>
        <v>6.0000000000000053E-2</v>
      </c>
      <c r="BM31" s="10">
        <f t="shared" si="92"/>
        <v>6.0000000000000053E-2</v>
      </c>
      <c r="BN31" s="10">
        <f t="shared" si="92"/>
        <v>-1</v>
      </c>
    </row>
  </sheetData>
  <conditionalFormatting sqref="A1:XFD16 AD17:XFD17 A17:AB18 AC18:XFD18 A19:XFD1048576">
    <cfRule type="expression" dxfId="11" priority="1">
      <formula>MOD(ROW(),2)=0</formula>
    </cfRule>
  </conditionalFormatting>
  <hyperlinks>
    <hyperlink ref="A2" location="Main!A1" display="Main" xr:uid="{988EF084-0525-4F98-8AC5-D1F03AE17EE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2D85-4C80-43A6-B856-3A338532B99B}">
  <dimension ref="A1:BN4"/>
  <sheetViews>
    <sheetView workbookViewId="0">
      <selection activeCell="A2" sqref="A2"/>
    </sheetView>
  </sheetViews>
  <sheetFormatPr defaultRowHeight="15" x14ac:dyDescent="0.25"/>
  <sheetData>
    <row r="1" spans="1:66" x14ac:dyDescent="0.25">
      <c r="A1" s="2" t="s">
        <v>48</v>
      </c>
    </row>
    <row r="2" spans="1:66" x14ac:dyDescent="0.25">
      <c r="A2" s="4" t="s">
        <v>172</v>
      </c>
    </row>
    <row r="3" spans="1:66" x14ac:dyDescent="0.25">
      <c r="C3" s="1" t="s">
        <v>49</v>
      </c>
      <c r="D3" s="1"/>
      <c r="E3" s="1"/>
      <c r="F3" s="1"/>
      <c r="AI3" s="1" t="s">
        <v>50</v>
      </c>
      <c r="AJ3" s="1"/>
      <c r="AK3" s="1"/>
      <c r="AL3" s="1"/>
      <c r="AM3" s="1"/>
      <c r="AN3" s="1"/>
      <c r="AO3" s="1"/>
      <c r="AP3" s="1"/>
      <c r="AQ3" s="1"/>
    </row>
    <row r="4" spans="1:66" x14ac:dyDescent="0.25">
      <c r="D4" t="s">
        <v>51</v>
      </c>
      <c r="E4" t="s">
        <v>52</v>
      </c>
      <c r="F4" t="s">
        <v>53</v>
      </c>
      <c r="G4" s="6" t="s">
        <v>54</v>
      </c>
      <c r="H4" s="8" t="s">
        <v>55</v>
      </c>
      <c r="I4" s="8" t="s">
        <v>56</v>
      </c>
      <c r="J4" s="8" t="s">
        <v>57</v>
      </c>
      <c r="K4" s="6" t="s">
        <v>58</v>
      </c>
      <c r="L4" s="8" t="s">
        <v>59</v>
      </c>
      <c r="M4" s="8" t="s">
        <v>60</v>
      </c>
      <c r="N4" s="8" t="s">
        <v>61</v>
      </c>
      <c r="O4" s="6" t="s">
        <v>62</v>
      </c>
      <c r="P4" s="8" t="s">
        <v>63</v>
      </c>
      <c r="Q4" s="8" t="s">
        <v>64</v>
      </c>
      <c r="R4" s="8" t="s">
        <v>65</v>
      </c>
      <c r="S4" s="6" t="s">
        <v>66</v>
      </c>
      <c r="T4" s="8" t="s">
        <v>67</v>
      </c>
      <c r="U4" s="8" t="s">
        <v>68</v>
      </c>
      <c r="V4" s="8" t="s">
        <v>69</v>
      </c>
      <c r="W4" s="6" t="s">
        <v>70</v>
      </c>
      <c r="X4" s="8" t="s">
        <v>71</v>
      </c>
      <c r="Y4" s="8" t="s">
        <v>72</v>
      </c>
      <c r="Z4" s="8" t="s">
        <v>73</v>
      </c>
      <c r="AA4" s="6" t="s">
        <v>74</v>
      </c>
      <c r="AC4" s="12"/>
      <c r="AF4" s="1"/>
      <c r="AJ4" s="1">
        <f t="shared" ref="AJ4:AP4" si="0">AK4-1</f>
        <v>2010</v>
      </c>
      <c r="AK4" s="1">
        <f t="shared" si="0"/>
        <v>2011</v>
      </c>
      <c r="AL4" s="1">
        <f t="shared" si="0"/>
        <v>2012</v>
      </c>
      <c r="AM4" s="1">
        <f t="shared" si="0"/>
        <v>2013</v>
      </c>
      <c r="AN4" s="1">
        <f t="shared" si="0"/>
        <v>2014</v>
      </c>
      <c r="AO4" s="1">
        <f t="shared" si="0"/>
        <v>2015</v>
      </c>
      <c r="AP4" s="1">
        <f t="shared" si="0"/>
        <v>2016</v>
      </c>
      <c r="AQ4" s="1">
        <f>AR4-1</f>
        <v>2017</v>
      </c>
      <c r="AR4" s="1">
        <v>2018</v>
      </c>
      <c r="AS4" s="1">
        <f>AR4+1</f>
        <v>2019</v>
      </c>
      <c r="AT4" s="1">
        <f t="shared" ref="AT4:BN4" si="1">AS4+1</f>
        <v>2020</v>
      </c>
      <c r="AU4" s="1">
        <f t="shared" si="1"/>
        <v>2021</v>
      </c>
      <c r="AV4" s="1">
        <f t="shared" si="1"/>
        <v>2022</v>
      </c>
      <c r="AW4" s="1">
        <f t="shared" si="1"/>
        <v>2023</v>
      </c>
      <c r="AX4" s="1">
        <f t="shared" si="1"/>
        <v>2024</v>
      </c>
      <c r="AY4" s="1">
        <f t="shared" si="1"/>
        <v>2025</v>
      </c>
      <c r="AZ4" s="1">
        <f t="shared" si="1"/>
        <v>2026</v>
      </c>
      <c r="BA4" s="1">
        <f t="shared" si="1"/>
        <v>2027</v>
      </c>
      <c r="BB4" s="1">
        <f t="shared" si="1"/>
        <v>2028</v>
      </c>
      <c r="BC4" s="1">
        <f t="shared" si="1"/>
        <v>2029</v>
      </c>
      <c r="BD4" s="1">
        <f t="shared" si="1"/>
        <v>2030</v>
      </c>
      <c r="BE4" s="1"/>
      <c r="BF4" s="1"/>
      <c r="BG4" s="1"/>
      <c r="BH4" s="1"/>
      <c r="BI4" s="1"/>
      <c r="BJ4" s="1"/>
      <c r="BK4" s="1"/>
      <c r="BL4" s="1"/>
      <c r="BM4" s="1"/>
      <c r="BN4" s="1"/>
    </row>
  </sheetData>
  <conditionalFormatting sqref="A2:XFD1048576 B1:XFD1">
    <cfRule type="expression" dxfId="9" priority="2">
      <formula>MOD(ROW(),2)=0</formula>
    </cfRule>
  </conditionalFormatting>
  <conditionalFormatting sqref="A1">
    <cfRule type="expression" dxfId="5" priority="1">
      <formula>MOD(ROW(),2)=0</formula>
    </cfRule>
  </conditionalFormatting>
  <hyperlinks>
    <hyperlink ref="A2" location="Main!A1" display="Main" xr:uid="{3142DD10-28DB-49CF-BAD7-4B851DF3681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98E3-98F8-4D75-BD4E-4E4B544CB033}">
  <dimension ref="A1:BD4"/>
  <sheetViews>
    <sheetView workbookViewId="0">
      <selection activeCell="A4" sqref="A4"/>
    </sheetView>
  </sheetViews>
  <sheetFormatPr defaultRowHeight="15" x14ac:dyDescent="0.25"/>
  <sheetData>
    <row r="1" spans="1:56" x14ac:dyDescent="0.25">
      <c r="A1" s="2" t="s">
        <v>48</v>
      </c>
    </row>
    <row r="2" spans="1:56" x14ac:dyDescent="0.25">
      <c r="A2" s="4" t="s">
        <v>172</v>
      </c>
    </row>
    <row r="3" spans="1:56" x14ac:dyDescent="0.25">
      <c r="C3" s="1" t="s">
        <v>49</v>
      </c>
      <c r="D3" s="1"/>
      <c r="E3" s="1"/>
      <c r="F3" s="1"/>
      <c r="AI3" s="1" t="s">
        <v>50</v>
      </c>
      <c r="AJ3" s="1"/>
      <c r="AK3" s="1"/>
      <c r="AL3" s="1"/>
      <c r="AM3" s="1"/>
      <c r="AN3" s="1"/>
      <c r="AO3" s="1"/>
      <c r="AP3" s="1"/>
      <c r="AQ3" s="1"/>
    </row>
    <row r="4" spans="1:56" x14ac:dyDescent="0.25">
      <c r="D4" t="s">
        <v>51</v>
      </c>
      <c r="E4" t="s">
        <v>52</v>
      </c>
      <c r="F4" t="s">
        <v>53</v>
      </c>
      <c r="G4" s="6" t="s">
        <v>54</v>
      </c>
      <c r="H4" s="8" t="s">
        <v>55</v>
      </c>
      <c r="I4" s="8" t="s">
        <v>56</v>
      </c>
      <c r="J4" s="8" t="s">
        <v>57</v>
      </c>
      <c r="K4" s="6" t="s">
        <v>58</v>
      </c>
      <c r="L4" s="8" t="s">
        <v>59</v>
      </c>
      <c r="M4" s="8" t="s">
        <v>60</v>
      </c>
      <c r="N4" s="8" t="s">
        <v>61</v>
      </c>
      <c r="O4" s="6" t="s">
        <v>62</v>
      </c>
      <c r="P4" s="8" t="s">
        <v>63</v>
      </c>
      <c r="Q4" s="8" t="s">
        <v>64</v>
      </c>
      <c r="R4" s="8" t="s">
        <v>65</v>
      </c>
      <c r="S4" s="6" t="s">
        <v>66</v>
      </c>
      <c r="T4" s="8" t="s">
        <v>67</v>
      </c>
      <c r="U4" s="8" t="s">
        <v>68</v>
      </c>
      <c r="V4" s="8" t="s">
        <v>69</v>
      </c>
      <c r="W4" s="6" t="s">
        <v>70</v>
      </c>
      <c r="X4" s="8" t="s">
        <v>71</v>
      </c>
      <c r="Y4" s="8" t="s">
        <v>72</v>
      </c>
      <c r="Z4" s="8" t="s">
        <v>73</v>
      </c>
      <c r="AA4" s="6" t="s">
        <v>74</v>
      </c>
      <c r="AC4" s="12"/>
      <c r="AF4" s="1"/>
      <c r="AJ4" s="1">
        <f t="shared" ref="AJ4:AP4" si="0">AK4-1</f>
        <v>2010</v>
      </c>
      <c r="AK4" s="1">
        <f t="shared" si="0"/>
        <v>2011</v>
      </c>
      <c r="AL4" s="1">
        <f t="shared" si="0"/>
        <v>2012</v>
      </c>
      <c r="AM4" s="1">
        <f t="shared" si="0"/>
        <v>2013</v>
      </c>
      <c r="AN4" s="1">
        <f t="shared" si="0"/>
        <v>2014</v>
      </c>
      <c r="AO4" s="1">
        <f t="shared" si="0"/>
        <v>2015</v>
      </c>
      <c r="AP4" s="1">
        <f t="shared" si="0"/>
        <v>2016</v>
      </c>
      <c r="AQ4" s="1">
        <f>AR4-1</f>
        <v>2017</v>
      </c>
      <c r="AR4" s="1">
        <v>2018</v>
      </c>
      <c r="AS4" s="1">
        <f>AR4+1</f>
        <v>2019</v>
      </c>
      <c r="AT4" s="1">
        <f t="shared" ref="AT4:BD4" si="1">AS4+1</f>
        <v>2020</v>
      </c>
      <c r="AU4" s="1">
        <f t="shared" si="1"/>
        <v>2021</v>
      </c>
      <c r="AV4" s="1">
        <f t="shared" si="1"/>
        <v>2022</v>
      </c>
      <c r="AW4" s="1">
        <f t="shared" si="1"/>
        <v>2023</v>
      </c>
      <c r="AX4" s="1">
        <f t="shared" si="1"/>
        <v>2024</v>
      </c>
      <c r="AY4" s="1">
        <f t="shared" si="1"/>
        <v>2025</v>
      </c>
      <c r="AZ4" s="1">
        <f t="shared" si="1"/>
        <v>2026</v>
      </c>
      <c r="BA4" s="1">
        <f t="shared" si="1"/>
        <v>2027</v>
      </c>
      <c r="BB4" s="1">
        <f t="shared" si="1"/>
        <v>2028</v>
      </c>
      <c r="BC4" s="1">
        <f t="shared" si="1"/>
        <v>2029</v>
      </c>
      <c r="BD4" s="1">
        <f t="shared" si="1"/>
        <v>2030</v>
      </c>
    </row>
  </sheetData>
  <conditionalFormatting sqref="A2:XFD2 B1:XFD1 A5:XFD1048576 BE3:XFD4">
    <cfRule type="expression" dxfId="6" priority="3">
      <formula>MOD(ROW(),2)=0</formula>
    </cfRule>
  </conditionalFormatting>
  <conditionalFormatting sqref="A1">
    <cfRule type="expression" dxfId="4" priority="2">
      <formula>MOD(ROW(),2)=0</formula>
    </cfRule>
  </conditionalFormatting>
  <conditionalFormatting sqref="A3:BD4">
    <cfRule type="expression" dxfId="0" priority="1">
      <formula>MOD(ROW(),2)=0</formula>
    </cfRule>
  </conditionalFormatting>
  <hyperlinks>
    <hyperlink ref="A2" location="Main!A1" display="Main" xr:uid="{EF1A95D0-3C38-45DE-817A-33FFE12093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Balance Sheet</vt:lpstr>
      <vt:lpstr>Cashflow Statement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2023-11-09T07:04:32Z</dcterms:created>
  <dcterms:modified xsi:type="dcterms:W3CDTF">2023-11-23T07:52:38Z</dcterms:modified>
  <cp:category/>
  <cp:contentStatus/>
</cp:coreProperties>
</file>