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SFT\"/>
    </mc:Choice>
  </mc:AlternateContent>
  <xr:revisionPtr revIDLastSave="0" documentId="8_{0B784542-E0B9-43A4-8435-1EC88DA31740}" xr6:coauthVersionLast="47" xr6:coauthVersionMax="47" xr10:uidLastSave="{00000000-0000-0000-0000-000000000000}"/>
  <bookViews>
    <workbookView xWindow="-120" yWindow="-120" windowWidth="29040" windowHeight="15840" xr2:uid="{839FBC5F-D783-4734-B99E-3C5B05E4F7F8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" i="2" l="1"/>
  <c r="AJ23" i="2"/>
  <c r="AI23" i="2"/>
  <c r="AK6" i="2"/>
  <c r="AK7" i="2"/>
  <c r="AL26" i="2" s="1"/>
  <c r="AK8" i="2"/>
  <c r="AK9" i="2"/>
  <c r="AK10" i="2"/>
  <c r="AK11" i="2"/>
  <c r="AK12" i="2"/>
  <c r="AK13" i="2"/>
  <c r="AK14" i="2"/>
  <c r="AK15" i="2"/>
  <c r="AK16" i="2"/>
  <c r="AK17" i="2"/>
  <c r="AK18" i="2"/>
  <c r="AK19" i="2"/>
  <c r="AL28" i="2" s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K5" i="2"/>
  <c r="AL25" i="2"/>
  <c r="AJ5" i="2"/>
  <c r="AI6" i="2"/>
  <c r="AI7" i="2"/>
  <c r="AI8" i="2"/>
  <c r="AI9" i="2"/>
  <c r="AI10" i="2"/>
  <c r="AI11" i="2"/>
  <c r="AI27" i="2" s="1"/>
  <c r="AI12" i="2"/>
  <c r="AI13" i="2"/>
  <c r="AI14" i="2"/>
  <c r="AI15" i="2"/>
  <c r="AI16" i="2"/>
  <c r="AI17" i="2"/>
  <c r="AI18" i="2"/>
  <c r="AI19" i="2"/>
  <c r="AI5" i="2"/>
  <c r="AI25" i="2"/>
  <c r="AH23" i="2"/>
  <c r="AH6" i="2"/>
  <c r="AH7" i="2"/>
  <c r="AI26" i="2" s="1"/>
  <c r="AH8" i="2"/>
  <c r="AH9" i="2"/>
  <c r="AH10" i="2"/>
  <c r="AH11" i="2"/>
  <c r="AH12" i="2"/>
  <c r="AH13" i="2"/>
  <c r="AH14" i="2"/>
  <c r="AH15" i="2"/>
  <c r="AH16" i="2"/>
  <c r="AH17" i="2"/>
  <c r="AH18" i="2"/>
  <c r="AH19" i="2"/>
  <c r="AH5" i="2"/>
  <c r="L5" i="2"/>
  <c r="L25" i="2" s="1"/>
  <c r="AR28" i="2"/>
  <c r="AQ28" i="2"/>
  <c r="AP28" i="2"/>
  <c r="AO28" i="2"/>
  <c r="AN28" i="2"/>
  <c r="AM28" i="2"/>
  <c r="AI28" i="2"/>
  <c r="AR27" i="2"/>
  <c r="AQ27" i="2"/>
  <c r="AP27" i="2"/>
  <c r="AO27" i="2"/>
  <c r="AN27" i="2"/>
  <c r="AM27" i="2"/>
  <c r="AL27" i="2"/>
  <c r="AK27" i="2"/>
  <c r="AJ27" i="2"/>
  <c r="AR26" i="2"/>
  <c r="AQ26" i="2"/>
  <c r="AP26" i="2"/>
  <c r="AO26" i="2"/>
  <c r="AN26" i="2"/>
  <c r="AM26" i="2"/>
  <c r="AR25" i="2"/>
  <c r="AQ25" i="2"/>
  <c r="AP25" i="2"/>
  <c r="AO25" i="2"/>
  <c r="AN25" i="2"/>
  <c r="AM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I25" i="2"/>
  <c r="E25" i="2"/>
  <c r="AF23" i="2"/>
  <c r="K23" i="2"/>
  <c r="J23" i="2"/>
  <c r="I23" i="2"/>
  <c r="H23" i="2"/>
  <c r="AG23" i="2" s="1"/>
  <c r="G23" i="2"/>
  <c r="F23" i="2"/>
  <c r="AF22" i="2"/>
  <c r="K22" i="2"/>
  <c r="I22" i="2"/>
  <c r="H22" i="2"/>
  <c r="G22" i="2"/>
  <c r="F22" i="2"/>
  <c r="K21" i="2"/>
  <c r="I21" i="2"/>
  <c r="G21" i="2"/>
  <c r="F21" i="2"/>
  <c r="K18" i="2"/>
  <c r="J18" i="2"/>
  <c r="I18" i="2"/>
  <c r="H18" i="2"/>
  <c r="G18" i="2"/>
  <c r="F18" i="2"/>
  <c r="E18" i="2"/>
  <c r="AG18" i="2" s="1"/>
  <c r="D18" i="2"/>
  <c r="AF18" i="2" s="1"/>
  <c r="AF17" i="2"/>
  <c r="K17" i="2"/>
  <c r="J17" i="2"/>
  <c r="I17" i="2"/>
  <c r="H17" i="2"/>
  <c r="G17" i="2"/>
  <c r="F17" i="2"/>
  <c r="AG17" i="2" s="1"/>
  <c r="E17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AG14" i="2"/>
  <c r="K14" i="2"/>
  <c r="J14" i="2"/>
  <c r="I14" i="2"/>
  <c r="H14" i="2"/>
  <c r="G14" i="2"/>
  <c r="F14" i="2"/>
  <c r="E14" i="2"/>
  <c r="D14" i="2"/>
  <c r="AF14" i="2" s="1"/>
  <c r="K13" i="2"/>
  <c r="J13" i="2"/>
  <c r="I13" i="2"/>
  <c r="H13" i="2"/>
  <c r="G13" i="2"/>
  <c r="F13" i="2"/>
  <c r="E13" i="2"/>
  <c r="AG13" i="2" s="1"/>
  <c r="D13" i="2"/>
  <c r="AF13" i="2" s="1"/>
  <c r="K12" i="2"/>
  <c r="K15" i="2" s="1"/>
  <c r="J12" i="2"/>
  <c r="J15" i="2" s="1"/>
  <c r="I12" i="2"/>
  <c r="I15" i="2" s="1"/>
  <c r="H12" i="2"/>
  <c r="H15" i="2" s="1"/>
  <c r="G12" i="2"/>
  <c r="G15" i="2" s="1"/>
  <c r="F12" i="2"/>
  <c r="F15" i="2" s="1"/>
  <c r="E12" i="2"/>
  <c r="AG12" i="2" s="1"/>
  <c r="D12" i="2"/>
  <c r="AF12" i="2" s="1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I10" i="2"/>
  <c r="G10" i="2"/>
  <c r="D10" i="2"/>
  <c r="K9" i="2"/>
  <c r="J9" i="2"/>
  <c r="I9" i="2"/>
  <c r="H9" i="2"/>
  <c r="G9" i="2"/>
  <c r="F9" i="2"/>
  <c r="E9" i="2"/>
  <c r="AG9" i="2" s="1"/>
  <c r="K8" i="2"/>
  <c r="K10" i="2" s="1"/>
  <c r="K11" i="2" s="1"/>
  <c r="K16" i="2" s="1"/>
  <c r="K19" i="2" s="1"/>
  <c r="J8" i="2"/>
  <c r="J10" i="2" s="1"/>
  <c r="I8" i="2"/>
  <c r="H8" i="2"/>
  <c r="H10" i="2" s="1"/>
  <c r="G8" i="2"/>
  <c r="AG8" i="2" s="1"/>
  <c r="F8" i="2"/>
  <c r="F10" i="2" s="1"/>
  <c r="E8" i="2"/>
  <c r="E10" i="2" s="1"/>
  <c r="AA7" i="2"/>
  <c r="Z7" i="2"/>
  <c r="Y7" i="2"/>
  <c r="X7" i="2"/>
  <c r="W7" i="2"/>
  <c r="V7" i="2"/>
  <c r="U7" i="2"/>
  <c r="T7" i="2"/>
  <c r="S7" i="2"/>
  <c r="R7" i="2"/>
  <c r="Q7" i="2"/>
  <c r="P7" i="2"/>
  <c r="P11" i="2" s="1"/>
  <c r="O7" i="2"/>
  <c r="N7" i="2"/>
  <c r="M7" i="2"/>
  <c r="K7" i="2"/>
  <c r="J7" i="2"/>
  <c r="J11" i="2" s="1"/>
  <c r="I7" i="2"/>
  <c r="E7" i="2"/>
  <c r="D7" i="2"/>
  <c r="D11" i="2" s="1"/>
  <c r="J6" i="2"/>
  <c r="I6" i="2"/>
  <c r="H6" i="2"/>
  <c r="G6" i="2"/>
  <c r="F6" i="2"/>
  <c r="AF6" i="2" s="1"/>
  <c r="J5" i="2"/>
  <c r="K25" i="2" s="1"/>
  <c r="I5" i="2"/>
  <c r="H5" i="2"/>
  <c r="H25" i="2" s="1"/>
  <c r="G5" i="2"/>
  <c r="G25" i="2" s="1"/>
  <c r="F5" i="2"/>
  <c r="AG5" i="2" s="1"/>
  <c r="AH4" i="2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G4" i="2"/>
  <c r="AK28" i="2" l="1"/>
  <c r="AK26" i="2"/>
  <c r="AJ26" i="2"/>
  <c r="AJ28" i="2"/>
  <c r="AK25" i="2"/>
  <c r="AJ25" i="2"/>
  <c r="Y11" i="2"/>
  <c r="Y16" i="2" s="1"/>
  <c r="Y19" i="2" s="1"/>
  <c r="W11" i="2"/>
  <c r="W16" i="2" s="1"/>
  <c r="W19" i="2" s="1"/>
  <c r="V11" i="2"/>
  <c r="V16" i="2" s="1"/>
  <c r="V19" i="2" s="1"/>
  <c r="S11" i="2"/>
  <c r="S16" i="2" s="1"/>
  <c r="S19" i="2" s="1"/>
  <c r="Q11" i="2"/>
  <c r="Q16" i="2" s="1"/>
  <c r="Q19" i="2" s="1"/>
  <c r="AH27" i="2"/>
  <c r="M11" i="2"/>
  <c r="M16" i="2" s="1"/>
  <c r="M19" i="2" s="1"/>
  <c r="L7" i="2"/>
  <c r="M26" i="2" s="1"/>
  <c r="M25" i="2"/>
  <c r="P27" i="2"/>
  <c r="P16" i="2"/>
  <c r="P19" i="2" s="1"/>
  <c r="K27" i="2"/>
  <c r="D27" i="2"/>
  <c r="D16" i="2"/>
  <c r="AG7" i="2"/>
  <c r="J16" i="2"/>
  <c r="J19" i="2" s="1"/>
  <c r="J28" i="2" s="1"/>
  <c r="J27" i="2"/>
  <c r="AG10" i="2"/>
  <c r="E11" i="2"/>
  <c r="AF10" i="2"/>
  <c r="AH25" i="2"/>
  <c r="AG6" i="2"/>
  <c r="J26" i="2"/>
  <c r="AF9" i="2"/>
  <c r="L11" i="2"/>
  <c r="L16" i="2" s="1"/>
  <c r="L19" i="2" s="1"/>
  <c r="L28" i="2" s="1"/>
  <c r="R11" i="2"/>
  <c r="R16" i="2" s="1"/>
  <c r="R19" i="2" s="1"/>
  <c r="X11" i="2"/>
  <c r="X16" i="2" s="1"/>
  <c r="X19" i="2" s="1"/>
  <c r="D15" i="2"/>
  <c r="J25" i="2"/>
  <c r="E26" i="2"/>
  <c r="K26" i="2"/>
  <c r="Q26" i="2"/>
  <c r="W26" i="2"/>
  <c r="E27" i="2"/>
  <c r="V26" i="2"/>
  <c r="E15" i="2"/>
  <c r="AG15" i="2" s="1"/>
  <c r="L26" i="2"/>
  <c r="R26" i="2"/>
  <c r="X26" i="2"/>
  <c r="F7" i="2"/>
  <c r="AF7" i="2" s="1"/>
  <c r="N11" i="2"/>
  <c r="N16" i="2" s="1"/>
  <c r="N19" i="2" s="1"/>
  <c r="T11" i="2"/>
  <c r="T16" i="2" s="1"/>
  <c r="T19" i="2" s="1"/>
  <c r="Z11" i="2"/>
  <c r="Z16" i="2" s="1"/>
  <c r="Z19" i="2" s="1"/>
  <c r="F25" i="2"/>
  <c r="S26" i="2"/>
  <c r="Y26" i="2"/>
  <c r="P26" i="2"/>
  <c r="AF5" i="2"/>
  <c r="AG25" i="2" s="1"/>
  <c r="G7" i="2"/>
  <c r="AF8" i="2"/>
  <c r="I11" i="2"/>
  <c r="I16" i="2" s="1"/>
  <c r="I19" i="2" s="1"/>
  <c r="O11" i="2"/>
  <c r="O16" i="2" s="1"/>
  <c r="O19" i="2" s="1"/>
  <c r="U11" i="2"/>
  <c r="U16" i="2" s="1"/>
  <c r="U19" i="2" s="1"/>
  <c r="AA11" i="2"/>
  <c r="AA16" i="2" s="1"/>
  <c r="AA19" i="2" s="1"/>
  <c r="N26" i="2"/>
  <c r="T26" i="2"/>
  <c r="Z26" i="2"/>
  <c r="H7" i="2"/>
  <c r="I26" i="2"/>
  <c r="O26" i="2"/>
  <c r="U26" i="2"/>
  <c r="AA26" i="2"/>
  <c r="AA27" i="2" l="1"/>
  <c r="AA28" i="2"/>
  <c r="Z28" i="2"/>
  <c r="Y27" i="2"/>
  <c r="W28" i="2"/>
  <c r="W27" i="2"/>
  <c r="X28" i="2"/>
  <c r="V27" i="2"/>
  <c r="T28" i="2"/>
  <c r="S27" i="2"/>
  <c r="R28" i="2"/>
  <c r="Q28" i="2"/>
  <c r="Q27" i="2"/>
  <c r="O27" i="2"/>
  <c r="O28" i="2"/>
  <c r="N28" i="2"/>
  <c r="M27" i="2"/>
  <c r="M28" i="2"/>
  <c r="L27" i="2"/>
  <c r="U27" i="2"/>
  <c r="E16" i="2"/>
  <c r="S28" i="2"/>
  <c r="AF16" i="2"/>
  <c r="D19" i="2"/>
  <c r="AG26" i="2"/>
  <c r="AH26" i="2"/>
  <c r="G27" i="2"/>
  <c r="G26" i="2"/>
  <c r="G11" i="2"/>
  <c r="G16" i="2" s="1"/>
  <c r="G19" i="2" s="1"/>
  <c r="Z27" i="2"/>
  <c r="K28" i="2"/>
  <c r="H26" i="2"/>
  <c r="H11" i="2"/>
  <c r="H16" i="2" s="1"/>
  <c r="H19" i="2" s="1"/>
  <c r="H28" i="2" s="1"/>
  <c r="I27" i="2"/>
  <c r="X27" i="2"/>
  <c r="T27" i="2"/>
  <c r="P28" i="2"/>
  <c r="Y28" i="2"/>
  <c r="U28" i="2"/>
  <c r="F27" i="2"/>
  <c r="F26" i="2"/>
  <c r="F11" i="2"/>
  <c r="F16" i="2" s="1"/>
  <c r="F19" i="2" s="1"/>
  <c r="AF15" i="2"/>
  <c r="R27" i="2"/>
  <c r="V28" i="2"/>
  <c r="N27" i="2"/>
  <c r="AF11" i="2"/>
  <c r="AF27" i="2" s="1"/>
  <c r="H27" i="2" l="1"/>
  <c r="AG11" i="2"/>
  <c r="AG27" i="2" s="1"/>
  <c r="AG16" i="2"/>
  <c r="E19" i="2"/>
  <c r="I28" i="2"/>
  <c r="G28" i="2"/>
  <c r="AF19" i="2"/>
  <c r="E28" i="2" l="1"/>
  <c r="AG19" i="2"/>
  <c r="F28" i="2"/>
  <c r="AG28" i="2" l="1"/>
  <c r="AH28" i="2"/>
  <c r="D13" i="1" l="1"/>
  <c r="D14" i="1"/>
  <c r="D15" i="1"/>
  <c r="A2" i="1"/>
  <c r="D16" i="1" l="1"/>
</calcChain>
</file>

<file path=xl/sharedStrings.xml><?xml version="1.0" encoding="utf-8"?>
<sst xmlns="http://schemas.openxmlformats.org/spreadsheetml/2006/main" count="111" uniqueCount="106">
  <si>
    <t>ALL $ are in USD</t>
  </si>
  <si>
    <t>Company Name:</t>
  </si>
  <si>
    <t>Microsoft</t>
  </si>
  <si>
    <t>Description:</t>
  </si>
  <si>
    <t>Microsoft is a Software and Infrastructure company that is currently the second biggest company in the world by market cap at about 2.6T.</t>
  </si>
  <si>
    <t>Ticker:</t>
  </si>
  <si>
    <t>MSFT</t>
  </si>
  <si>
    <t xml:space="preserve">Microsoft was founded in 1975 by Bill Gates and is based in Redmond, Washington. The current CEO is Satya Nadella. Since it's inception Microsoft </t>
  </si>
  <si>
    <t>Model</t>
  </si>
  <si>
    <t xml:space="preserve">CEO: </t>
  </si>
  <si>
    <t>Satya Nadella</t>
  </si>
  <si>
    <t>has created perhaps more successful software then any other company. Along with that Microsoft has purchased or purchased stake in multiple companies and products such as</t>
  </si>
  <si>
    <t xml:space="preserve">Industry: </t>
  </si>
  <si>
    <t>Software</t>
  </si>
  <si>
    <t>Activison Blizzard, GitHub, OpenAI, LinkedIn and more.</t>
  </si>
  <si>
    <t>Location:</t>
  </si>
  <si>
    <t>Redmond, Washington, USA</t>
  </si>
  <si>
    <t>Recently Microsoft has been venturing into Ai with their $10B investment in OpenAI and their Bing search engine which also uses ChatGPT and Dalle software from OpenAI.</t>
  </si>
  <si>
    <t>Website:</t>
  </si>
  <si>
    <t>microsoft.com</t>
  </si>
  <si>
    <t>Some of Microsoft's most succesful products include Xbox, Laptops, Tablets, Windows, Azure, Microsoft 365. These products combined and more bring in over $218B in revenue last annual report.</t>
  </si>
  <si>
    <t>Belive it or not Microsoft also makes income through advertisements which they run for other companies.</t>
  </si>
  <si>
    <t>Basic Info:</t>
  </si>
  <si>
    <t xml:space="preserve">Products: (not including purchased or merged companies) </t>
  </si>
  <si>
    <t>Price:</t>
  </si>
  <si>
    <t>P</t>
  </si>
  <si>
    <t>Laptops and Tablets:</t>
  </si>
  <si>
    <t>S/O</t>
  </si>
  <si>
    <t>Surface Laptop Studio 2</t>
  </si>
  <si>
    <t>MC</t>
  </si>
  <si>
    <t>Surface Laptop Go 3</t>
  </si>
  <si>
    <t>C</t>
  </si>
  <si>
    <t>Surface Laptop 5</t>
  </si>
  <si>
    <t>D</t>
  </si>
  <si>
    <t>Surface Pro 9</t>
  </si>
  <si>
    <t>EV</t>
  </si>
  <si>
    <t>Surface Pro 7+</t>
  </si>
  <si>
    <t>Surface Headphones</t>
  </si>
  <si>
    <t>Gaming:</t>
  </si>
  <si>
    <t>Xbox Series X</t>
  </si>
  <si>
    <t>Xbox Series S</t>
  </si>
  <si>
    <t>Hardrives and Storage</t>
  </si>
  <si>
    <t>Controllers</t>
  </si>
  <si>
    <t>Games</t>
  </si>
  <si>
    <t>Headphones</t>
  </si>
  <si>
    <t>Game Pass</t>
  </si>
  <si>
    <t>Software:</t>
  </si>
  <si>
    <t>Microsoft 365</t>
  </si>
  <si>
    <t>Windows 11</t>
  </si>
  <si>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</si>
  <si>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</si>
  <si>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</si>
  <si>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</si>
  <si>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</si>
  <si>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</si>
  <si>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</si>
  <si>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</si>
  <si>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</si>
  <si>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</si>
  <si>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</si>
  <si>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</si>
  <si>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</si>
  <si>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</si>
  <si>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</si>
  <si>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</si>
  <si>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</si>
  <si>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</si>
  <si>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</si>
  <si>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</si>
  <si>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</si>
  <si>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</si>
  <si>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</si>
  <si>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</si>
  <si>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</si>
  <si>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</si>
  <si>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</si>
  <si>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</si>
  <si>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Discount</t>
  </si>
  <si>
    <t>NPV</t>
  </si>
  <si>
    <t>ROIC</t>
  </si>
  <si>
    <t>SHARE</t>
  </si>
  <si>
    <t>| - Ethan Cratchley</t>
  </si>
  <si>
    <t>Product</t>
  </si>
  <si>
    <t>Service and Other</t>
  </si>
  <si>
    <t>Total Revenue</t>
  </si>
  <si>
    <t>Product COGS</t>
  </si>
  <si>
    <t>Service COGS</t>
  </si>
  <si>
    <t>Total COGS</t>
  </si>
  <si>
    <t>Gross Profit</t>
  </si>
  <si>
    <t>R&amp;D</t>
  </si>
  <si>
    <t>Sales and Marketing</t>
  </si>
  <si>
    <t>General and Admin</t>
  </si>
  <si>
    <t>Total Operating Expenses</t>
  </si>
  <si>
    <t>Operating Income</t>
  </si>
  <si>
    <t>Other Income</t>
  </si>
  <si>
    <t>Taxes</t>
  </si>
  <si>
    <t>Net Income</t>
  </si>
  <si>
    <t>EPS (Diluted)</t>
  </si>
  <si>
    <t>W S/O (Diluted)</t>
  </si>
  <si>
    <t xml:space="preserve">Dividends </t>
  </si>
  <si>
    <t>Product Growth</t>
  </si>
  <si>
    <t>N/A</t>
  </si>
  <si>
    <t>Revenue Growth</t>
  </si>
  <si>
    <t xml:space="preserve">Gross Margin </t>
  </si>
  <si>
    <t>Net Income Growth</t>
  </si>
  <si>
    <t>Inflation rate?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</si>
</sst>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D0D-6E6A-44A0-9986-E1C18F065FE7}">
  <dimension ref="A1:K30"/>
  <sheetViews>
    <sheetView tabSelected="1" workbookViewId="0">
      <selection activeCell="F8" sqref="F8"/>
    </sheetView>
  </sheetViews>
  <sheetFormatPr defaultRowHeight="15" x14ac:dyDescent="0.25"/>
  <cols>
    <col min="1" max="1" width="17.5703125" bestFit="1" customWidth="1"/>
    <col min="3" max="3" width="15.7109375" bestFit="1" customWidth="1"/>
    <col min="4" max="4" width="26.28515625" bestFit="1" customWidth="1"/>
    <col min="6" max="6" width="22" bestFit="1" customWidth="1"/>
    <col min="16" max="16" width="12" bestFit="1" customWidth="1"/>
  </cols>
  <sheetData>
    <row r="1" spans="1:11" x14ac:dyDescent="0.25">
      <c r="A1" s="2" t="s">
        <v>0</v>
      </c>
    </row>
    <row r="2" spans="1:11" x14ac:dyDescent="0.25">
      <c r="A2" s="3">
        <f ca="1">TODAY()</f>
        <v>45243</v>
      </c>
      <c r="C2" s="1" t="s">
        <v>1</v>
      </c>
      <c r="D2" t="s">
        <v>2</v>
      </c>
      <c r="F2" s="1" t="s">
        <v>3</v>
      </c>
      <c r="G2" t="s">
        <v>4</v>
      </c>
    </row>
    <row r="3" spans="1:11" x14ac:dyDescent="0.25">
      <c r="C3" s="1" t="s">
        <v>5</v>
      </c>
      <c r="D3" t="s">
        <v>6</v>
      </c>
      <c r="G3" t="s">
        <v>7</v>
      </c>
    </row>
    <row r="4" spans="1:11" x14ac:dyDescent="0.25">
      <c r="A4" s="4" t="s">
        <v>8</v>
      </c>
      <c r="C4" s="1" t="s">
        <v>9</v>
      </c>
      <c r="D4" t="s">
        <v>10</v>
      </c>
      <c r="G4" t="s">
        <v>11</v>
      </c>
    </row>
    <row r="5" spans="1:11" x14ac:dyDescent="0.25">
      <c r="C5" s="1" t="s">
        <v>12</v>
      </c>
      <c r="D5" t="s">
        <v>13</v>
      </c>
      <c r="G5" t="s">
        <v>14</v>
      </c>
    </row>
    <row r="6" spans="1:11" x14ac:dyDescent="0.25">
      <c r="A6" t="s">
        <v>81</v>
      </c>
      <c r="C6" s="1" t="s">
        <v>15</v>
      </c>
      <c r="D6" t="s">
        <v>16</v>
      </c>
      <c r="G6" t="s">
        <v>17</v>
      </c>
    </row>
    <row r="7" spans="1:11" x14ac:dyDescent="0.25">
      <c r="C7" s="1" t="s">
        <v>18</v>
      </c>
      <c r="D7" t="s">
        <v>19</v>
      </c>
      <c r="G7" t="s">
        <v>20</v>
      </c>
    </row>
    <row r="8" spans="1:11" x14ac:dyDescent="0.25">
      <c r="C8" s="1"/>
      <c r="G8" t="s">
        <v>21</v>
      </c>
    </row>
    <row r="10" spans="1:11" x14ac:dyDescent="0.25">
      <c r="C10" s="1" t="s">
        <v>22</v>
      </c>
      <c r="F10" s="1" t="s">
        <v>23</v>
      </c>
      <c r="H10" s="1"/>
      <c r="K10" s="1" t="s">
        <v>24</v>
      </c>
    </row>
    <row r="11" spans="1:11" x14ac:dyDescent="0.25">
      <c r="C11" t="s">
        <v>25</v>
      </c>
      <c r="D11">
        <v>363</v>
      </c>
      <c r="F11" s="1" t="s">
        <v>26</v>
      </c>
    </row>
    <row r="12" spans="1:11" x14ac:dyDescent="0.25">
      <c r="C12" t="s">
        <v>27</v>
      </c>
      <c r="D12" s="5">
        <v>7429763722</v>
      </c>
      <c r="F12" t="s">
        <v>28</v>
      </c>
    </row>
    <row r="13" spans="1:11" x14ac:dyDescent="0.25">
      <c r="C13" t="s">
        <v>29</v>
      </c>
      <c r="D13" s="5">
        <f>D11*D12</f>
        <v>2697004231086</v>
      </c>
      <c r="F13" t="s">
        <v>30</v>
      </c>
    </row>
    <row r="14" spans="1:11" x14ac:dyDescent="0.25">
      <c r="C14" t="s">
        <v>31</v>
      </c>
      <c r="D14" s="5">
        <f>111262000*100</f>
        <v>11126200000</v>
      </c>
      <c r="F14" t="s">
        <v>32</v>
      </c>
    </row>
    <row r="15" spans="1:11" x14ac:dyDescent="0.25">
      <c r="C15" t="s">
        <v>33</v>
      </c>
      <c r="D15" s="5">
        <f>(5247000+41990000)*100</f>
        <v>4723700000</v>
      </c>
      <c r="F15" t="s">
        <v>34</v>
      </c>
    </row>
    <row r="16" spans="1:11" x14ac:dyDescent="0.25">
      <c r="C16" t="s">
        <v>35</v>
      </c>
      <c r="D16" s="5">
        <f>D13+D14-D15</f>
        <v>2703406731086</v>
      </c>
      <c r="F16" t="s">
        <v>36</v>
      </c>
    </row>
    <row r="17" spans="4:6" x14ac:dyDescent="0.25">
      <c r="D17" s="5"/>
      <c r="F17" t="s">
        <v>37</v>
      </c>
    </row>
    <row r="19" spans="4:6" x14ac:dyDescent="0.25">
      <c r="F19" s="1" t="s">
        <v>38</v>
      </c>
    </row>
    <row r="20" spans="4:6" x14ac:dyDescent="0.25">
      <c r="F20" t="s">
        <v>39</v>
      </c>
    </row>
    <row r="21" spans="4:6" x14ac:dyDescent="0.25">
      <c r="F21" t="s">
        <v>40</v>
      </c>
    </row>
    <row r="22" spans="4:6" x14ac:dyDescent="0.25">
      <c r="F22" t="s">
        <v>41</v>
      </c>
    </row>
    <row r="23" spans="4:6" x14ac:dyDescent="0.25">
      <c r="F23" t="s">
        <v>42</v>
      </c>
    </row>
    <row r="24" spans="4:6" x14ac:dyDescent="0.25">
      <c r="F24" t="s">
        <v>43</v>
      </c>
    </row>
    <row r="25" spans="4:6" x14ac:dyDescent="0.25">
      <c r="F25" t="s">
        <v>44</v>
      </c>
    </row>
    <row r="26" spans="4:6" x14ac:dyDescent="0.25">
      <c r="F26" t="s">
        <v>45</v>
      </c>
    </row>
    <row r="28" spans="4:6" x14ac:dyDescent="0.25">
      <c r="F28" s="1" t="s">
        <v>46</v>
      </c>
    </row>
    <row r="29" spans="4:6" x14ac:dyDescent="0.25">
      <c r="F29" t="s">
        <v>47</v>
      </c>
    </row>
    <row r="30" spans="4:6" x14ac:dyDescent="0.25">
      <c r="F30" t="s">
        <v>48</v>
      </c>
    </row>
  </sheetData>
  <conditionalFormatting sqref="A1:XFD1048576">
    <cfRule type="expression" dxfId="2" priority="1">
      <formula>MOD(ROW(),2)=0</formula>
    </cfRule>
  </conditionalFormatting>
  <hyperlinks>
    <hyperlink ref="A4" location="Model!A1" display="Model" xr:uid="{777EE304-D0D4-466F-9F59-DFE3B57BFE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27EA-8082-474C-ACDC-FF1C26A51890}">
  <dimension ref="A1:AR30"/>
  <sheetViews>
    <sheetView zoomScaleNormal="100" workbookViewId="0">
      <selection activeCell="H19" sqref="H19"/>
    </sheetView>
  </sheetViews>
  <sheetFormatPr defaultRowHeight="15" x14ac:dyDescent="0.25"/>
  <cols>
    <col min="3" max="3" width="17.5703125" bestFit="1" customWidth="1"/>
    <col min="4" max="4" width="8.5703125" bestFit="1" customWidth="1"/>
    <col min="5" max="5" width="9" bestFit="1" customWidth="1"/>
    <col min="6" max="6" width="8.5703125" bestFit="1" customWidth="1"/>
    <col min="31" max="31" width="15.28515625" bestFit="1" customWidth="1"/>
  </cols>
  <sheetData>
    <row r="1" spans="1:44" x14ac:dyDescent="0.25">
      <c r="A1" s="2" t="s">
        <v>49</v>
      </c>
    </row>
    <row r="3" spans="1:44" x14ac:dyDescent="0.25">
      <c r="C3" s="1" t="s">
        <v>50</v>
      </c>
      <c r="D3" s="1"/>
      <c r="E3" s="1"/>
      <c r="F3" s="1"/>
      <c r="AE3" s="1" t="s">
        <v>51</v>
      </c>
    </row>
    <row r="4" spans="1:44" x14ac:dyDescent="0.25">
      <c r="D4" t="s">
        <v>52</v>
      </c>
      <c r="E4" t="s">
        <v>53</v>
      </c>
      <c r="F4" t="s">
        <v>54</v>
      </c>
      <c r="G4" s="6" t="s">
        <v>55</v>
      </c>
      <c r="H4" s="8" t="s">
        <v>56</v>
      </c>
      <c r="I4" s="8" t="s">
        <v>57</v>
      </c>
      <c r="J4" s="8" t="s">
        <v>58</v>
      </c>
      <c r="K4" s="6" t="s">
        <v>59</v>
      </c>
      <c r="L4" s="8" t="s">
        <v>60</v>
      </c>
      <c r="M4" s="8" t="s">
        <v>61</v>
      </c>
      <c r="N4" s="8" t="s">
        <v>62</v>
      </c>
      <c r="O4" s="6" t="s">
        <v>63</v>
      </c>
      <c r="P4" s="8" t="s">
        <v>64</v>
      </c>
      <c r="Q4" s="8" t="s">
        <v>65</v>
      </c>
      <c r="R4" s="8" t="s">
        <v>66</v>
      </c>
      <c r="S4" s="6" t="s">
        <v>67</v>
      </c>
      <c r="T4" s="8" t="s">
        <v>68</v>
      </c>
      <c r="U4" s="8" t="s">
        <v>69</v>
      </c>
      <c r="V4" s="8" t="s">
        <v>70</v>
      </c>
      <c r="W4" s="6" t="s">
        <v>71</v>
      </c>
      <c r="X4" s="8" t="s">
        <v>72</v>
      </c>
      <c r="Y4" s="8" t="s">
        <v>73</v>
      </c>
      <c r="Z4" s="8" t="s">
        <v>74</v>
      </c>
      <c r="AA4" s="6" t="s">
        <v>75</v>
      </c>
      <c r="AF4" s="1">
        <v>2018</v>
      </c>
      <c r="AG4" s="1">
        <f>AF4+1</f>
        <v>2019</v>
      </c>
      <c r="AH4" s="1">
        <f t="shared" ref="AH4:AR4" si="0">AG4+1</f>
        <v>2020</v>
      </c>
      <c r="AI4" s="1">
        <f t="shared" si="0"/>
        <v>2021</v>
      </c>
      <c r="AJ4" s="1">
        <f t="shared" si="0"/>
        <v>2022</v>
      </c>
      <c r="AK4" s="1">
        <f t="shared" si="0"/>
        <v>2023</v>
      </c>
      <c r="AL4" s="1">
        <f t="shared" si="0"/>
        <v>2024</v>
      </c>
      <c r="AM4" s="1">
        <f t="shared" si="0"/>
        <v>2025</v>
      </c>
      <c r="AN4" s="1">
        <f t="shared" si="0"/>
        <v>2026</v>
      </c>
      <c r="AO4" s="1">
        <f t="shared" si="0"/>
        <v>2027</v>
      </c>
      <c r="AP4" s="1">
        <f t="shared" si="0"/>
        <v>2028</v>
      </c>
      <c r="AQ4" s="1">
        <f t="shared" si="0"/>
        <v>2029</v>
      </c>
      <c r="AR4" s="1">
        <f t="shared" si="0"/>
        <v>2030</v>
      </c>
    </row>
    <row r="5" spans="1:44" x14ac:dyDescent="0.25">
      <c r="C5" t="s">
        <v>82</v>
      </c>
      <c r="D5" s="9">
        <v>14298</v>
      </c>
      <c r="E5" s="9">
        <v>17926</v>
      </c>
      <c r="F5" s="9">
        <f>15114</f>
        <v>15114</v>
      </c>
      <c r="G5" s="9">
        <f>17159</f>
        <v>17159</v>
      </c>
      <c r="H5" s="9">
        <f>17299</f>
        <v>17299</v>
      </c>
      <c r="I5" s="9">
        <f>16219</f>
        <v>16219</v>
      </c>
      <c r="J5" s="9">
        <f>15448</f>
        <v>15448</v>
      </c>
      <c r="K5" s="9">
        <v>17103</v>
      </c>
      <c r="L5" s="9">
        <f>15768</f>
        <v>15768</v>
      </c>
      <c r="M5" s="9">
        <v>18255</v>
      </c>
      <c r="N5" s="9">
        <v>15871</v>
      </c>
      <c r="O5" s="9">
        <v>18147</v>
      </c>
      <c r="P5" s="9">
        <v>15803</v>
      </c>
      <c r="Q5" s="9">
        <v>19460</v>
      </c>
      <c r="R5" s="9">
        <v>16873</v>
      </c>
      <c r="S5" s="9">
        <v>18938</v>
      </c>
      <c r="T5" s="9">
        <v>16631</v>
      </c>
      <c r="U5" s="9">
        <v>20779</v>
      </c>
      <c r="V5" s="9">
        <v>17366</v>
      </c>
      <c r="W5" s="9">
        <v>17956</v>
      </c>
      <c r="X5" s="9">
        <v>15741</v>
      </c>
      <c r="Y5" s="9">
        <v>16517</v>
      </c>
      <c r="Z5" s="9">
        <v>15588</v>
      </c>
      <c r="AA5" s="9">
        <v>16853</v>
      </c>
      <c r="AC5" s="1" t="s">
        <v>76</v>
      </c>
      <c r="AD5" s="7"/>
      <c r="AF5" s="9">
        <f>SUM(D5:G5)</f>
        <v>64497</v>
      </c>
      <c r="AG5" s="9">
        <f>SUM(E5:H5)</f>
        <v>67498</v>
      </c>
      <c r="AH5" s="9">
        <f>SUM(L5:O5)</f>
        <v>68041</v>
      </c>
      <c r="AI5" s="9">
        <f>SUM(P5:S5)</f>
        <v>71074</v>
      </c>
      <c r="AJ5" s="9">
        <f>SUM(T5:W5)</f>
        <v>72732</v>
      </c>
      <c r="AK5" s="9">
        <f>SUM(X5:AA5)</f>
        <v>64699</v>
      </c>
    </row>
    <row r="6" spans="1:44" x14ac:dyDescent="0.25">
      <c r="C6" t="s">
        <v>83</v>
      </c>
      <c r="D6" s="9">
        <v>10240</v>
      </c>
      <c r="E6" s="9">
        <v>10992</v>
      </c>
      <c r="F6" s="9">
        <f>11705</f>
        <v>11705</v>
      </c>
      <c r="G6" s="9">
        <f>12926</f>
        <v>12926</v>
      </c>
      <c r="H6" s="9">
        <f>11785</f>
        <v>11785</v>
      </c>
      <c r="I6" s="9">
        <f>16252</f>
        <v>16252</v>
      </c>
      <c r="J6" s="9">
        <f>15123</f>
        <v>15123</v>
      </c>
      <c r="K6" s="9">
        <v>16614</v>
      </c>
      <c r="L6" s="9">
        <v>17287</v>
      </c>
      <c r="M6" s="9">
        <v>18651</v>
      </c>
      <c r="N6" s="9">
        <v>19150</v>
      </c>
      <c r="O6" s="9">
        <v>19886</v>
      </c>
      <c r="P6" s="9">
        <v>21351</v>
      </c>
      <c r="Q6" s="9">
        <v>23616</v>
      </c>
      <c r="R6" s="9">
        <v>24833</v>
      </c>
      <c r="S6" s="9">
        <v>27214</v>
      </c>
      <c r="T6" s="9">
        <v>28686</v>
      </c>
      <c r="U6" s="9">
        <v>30949</v>
      </c>
      <c r="V6" s="9">
        <v>31994</v>
      </c>
      <c r="W6" s="9">
        <v>33906</v>
      </c>
      <c r="X6" s="9">
        <v>34381</v>
      </c>
      <c r="Y6" s="9">
        <v>36230</v>
      </c>
      <c r="Z6" s="9">
        <v>37269</v>
      </c>
      <c r="AA6" s="9">
        <v>39336</v>
      </c>
      <c r="AC6" s="1" t="s">
        <v>77</v>
      </c>
      <c r="AD6" s="7"/>
      <c r="AF6" s="9">
        <f t="shared" ref="AF6:AG19" si="1">SUM(D6:G6)</f>
        <v>45863</v>
      </c>
      <c r="AG6" s="9">
        <f t="shared" si="1"/>
        <v>47408</v>
      </c>
      <c r="AH6" s="9">
        <f t="shared" ref="AH6:AH19" si="2">SUM(L6:O6)</f>
        <v>74974</v>
      </c>
      <c r="AI6" s="9">
        <f t="shared" ref="AI6:AI19" si="3">SUM(P6:S6)</f>
        <v>97014</v>
      </c>
      <c r="AJ6" s="9">
        <f t="shared" ref="AJ6:AJ19" si="4">SUM(T6:W6)</f>
        <v>125535</v>
      </c>
      <c r="AK6" s="9">
        <f t="shared" ref="AK6:AK19" si="5">SUM(X6:AA6)</f>
        <v>147216</v>
      </c>
    </row>
    <row r="7" spans="1:44" x14ac:dyDescent="0.25">
      <c r="C7" s="1" t="s">
        <v>84</v>
      </c>
      <c r="D7" s="9">
        <f t="shared" ref="D7:AA7" si="6">D5+D6</f>
        <v>24538</v>
      </c>
      <c r="E7" s="9">
        <f t="shared" si="6"/>
        <v>28918</v>
      </c>
      <c r="F7" s="9">
        <f t="shared" si="6"/>
        <v>26819</v>
      </c>
      <c r="G7" s="9">
        <f t="shared" si="6"/>
        <v>30085</v>
      </c>
      <c r="H7" s="9">
        <f t="shared" si="6"/>
        <v>29084</v>
      </c>
      <c r="I7" s="9">
        <f t="shared" si="6"/>
        <v>32471</v>
      </c>
      <c r="J7" s="9">
        <f t="shared" si="6"/>
        <v>30571</v>
      </c>
      <c r="K7" s="9">
        <f t="shared" si="6"/>
        <v>33717</v>
      </c>
      <c r="L7" s="9">
        <f t="shared" si="6"/>
        <v>33055</v>
      </c>
      <c r="M7" s="9">
        <f t="shared" si="6"/>
        <v>36906</v>
      </c>
      <c r="N7" s="9">
        <f t="shared" si="6"/>
        <v>35021</v>
      </c>
      <c r="O7" s="9">
        <f t="shared" si="6"/>
        <v>38033</v>
      </c>
      <c r="P7" s="9">
        <f t="shared" si="6"/>
        <v>37154</v>
      </c>
      <c r="Q7" s="9">
        <f t="shared" si="6"/>
        <v>43076</v>
      </c>
      <c r="R7" s="9">
        <f t="shared" si="6"/>
        <v>41706</v>
      </c>
      <c r="S7" s="9">
        <f t="shared" si="6"/>
        <v>46152</v>
      </c>
      <c r="T7" s="9">
        <f t="shared" si="6"/>
        <v>45317</v>
      </c>
      <c r="U7" s="9">
        <f t="shared" si="6"/>
        <v>51728</v>
      </c>
      <c r="V7" s="9">
        <f t="shared" si="6"/>
        <v>49360</v>
      </c>
      <c r="W7" s="9">
        <f t="shared" si="6"/>
        <v>51862</v>
      </c>
      <c r="X7" s="9">
        <f t="shared" si="6"/>
        <v>50122</v>
      </c>
      <c r="Y7" s="9">
        <f t="shared" si="6"/>
        <v>52747</v>
      </c>
      <c r="Z7" s="9">
        <f t="shared" si="6"/>
        <v>52857</v>
      </c>
      <c r="AA7" s="9">
        <f t="shared" si="6"/>
        <v>56189</v>
      </c>
      <c r="AC7" s="1" t="s">
        <v>78</v>
      </c>
      <c r="AD7" s="1"/>
      <c r="AF7" s="9">
        <f t="shared" si="1"/>
        <v>110360</v>
      </c>
      <c r="AG7" s="9">
        <f t="shared" si="1"/>
        <v>114906</v>
      </c>
      <c r="AH7" s="9">
        <f t="shared" si="2"/>
        <v>143015</v>
      </c>
      <c r="AI7" s="9">
        <f t="shared" si="3"/>
        <v>168088</v>
      </c>
      <c r="AJ7" s="9">
        <f t="shared" si="4"/>
        <v>198267</v>
      </c>
      <c r="AK7" s="9">
        <f t="shared" si="5"/>
        <v>211915</v>
      </c>
    </row>
    <row r="8" spans="1:44" x14ac:dyDescent="0.25">
      <c r="C8" t="s">
        <v>85</v>
      </c>
      <c r="D8" s="9">
        <v>2980</v>
      </c>
      <c r="E8" s="9">
        <f>5498</f>
        <v>5498</v>
      </c>
      <c r="F8" s="9">
        <f>3425</f>
        <v>3425</v>
      </c>
      <c r="G8" s="9">
        <f>3517</f>
        <v>3517</v>
      </c>
      <c r="H8" s="9">
        <f>3649</f>
        <v>3649</v>
      </c>
      <c r="I8" s="9">
        <f>5885</f>
        <v>5885</v>
      </c>
      <c r="J8" s="9">
        <f>3441</f>
        <v>3441</v>
      </c>
      <c r="K8" s="9">
        <f>3298</f>
        <v>3298</v>
      </c>
      <c r="L8" s="9">
        <v>3305</v>
      </c>
      <c r="M8" s="9">
        <v>4966</v>
      </c>
      <c r="N8" s="9">
        <v>3376</v>
      </c>
      <c r="O8" s="9">
        <v>4370</v>
      </c>
      <c r="P8" s="9">
        <v>3597</v>
      </c>
      <c r="Q8" s="9">
        <v>6058</v>
      </c>
      <c r="R8" s="9">
        <v>4277</v>
      </c>
      <c r="S8" s="9">
        <v>4287</v>
      </c>
      <c r="T8" s="9">
        <v>3792</v>
      </c>
      <c r="U8" s="9">
        <v>6331</v>
      </c>
      <c r="V8" s="9">
        <v>4584</v>
      </c>
      <c r="W8" s="9">
        <v>4357</v>
      </c>
      <c r="X8" s="9">
        <v>4302</v>
      </c>
      <c r="Y8" s="9">
        <v>5690</v>
      </c>
      <c r="Z8" s="9">
        <v>3941</v>
      </c>
      <c r="AA8" s="9">
        <v>3871</v>
      </c>
      <c r="AC8" s="1" t="s">
        <v>79</v>
      </c>
      <c r="AD8" s="1"/>
      <c r="AF8" s="9">
        <f t="shared" si="1"/>
        <v>15420</v>
      </c>
      <c r="AG8" s="9">
        <f t="shared" si="1"/>
        <v>16089</v>
      </c>
      <c r="AH8" s="9">
        <f t="shared" si="2"/>
        <v>16017</v>
      </c>
      <c r="AI8" s="9">
        <f t="shared" si="3"/>
        <v>18219</v>
      </c>
      <c r="AJ8" s="9">
        <f t="shared" si="4"/>
        <v>19064</v>
      </c>
      <c r="AK8" s="9">
        <f t="shared" si="5"/>
        <v>17804</v>
      </c>
    </row>
    <row r="9" spans="1:44" x14ac:dyDescent="0.25">
      <c r="C9" t="s">
        <v>86</v>
      </c>
      <c r="D9" s="9">
        <v>5298</v>
      </c>
      <c r="E9" s="9">
        <f>5566</f>
        <v>5566</v>
      </c>
      <c r="F9" s="9">
        <f>5844</f>
        <v>5844</v>
      </c>
      <c r="G9" s="9">
        <f>6225</f>
        <v>6225</v>
      </c>
      <c r="H9" s="9">
        <f>6256</f>
        <v>6256</v>
      </c>
      <c r="I9" s="9">
        <f>6538</f>
        <v>6538</v>
      </c>
      <c r="J9" s="9">
        <f>6729</f>
        <v>6729</v>
      </c>
      <c r="K9" s="9">
        <f>7114</f>
        <v>7114</v>
      </c>
      <c r="L9" s="9">
        <v>7101</v>
      </c>
      <c r="M9" s="9">
        <v>7392</v>
      </c>
      <c r="N9" s="9">
        <v>7599</v>
      </c>
      <c r="O9" s="9">
        <v>7969</v>
      </c>
      <c r="P9" s="9">
        <v>7405</v>
      </c>
      <c r="Q9" s="9">
        <v>8136</v>
      </c>
      <c r="R9" s="9">
        <v>8768</v>
      </c>
      <c r="S9" s="9">
        <v>9704</v>
      </c>
      <c r="T9" s="9">
        <v>9854</v>
      </c>
      <c r="U9" s="9">
        <v>10629</v>
      </c>
      <c r="V9" s="9">
        <v>11031</v>
      </c>
      <c r="W9" s="9">
        <v>12072</v>
      </c>
      <c r="X9" s="9">
        <v>11150</v>
      </c>
      <c r="Y9" s="9">
        <v>11798</v>
      </c>
      <c r="Z9" s="9">
        <v>12187</v>
      </c>
      <c r="AA9" s="9">
        <v>12924</v>
      </c>
      <c r="AC9" s="1" t="s">
        <v>80</v>
      </c>
      <c r="AD9" s="1"/>
      <c r="AF9" s="9">
        <f t="shared" si="1"/>
        <v>22933</v>
      </c>
      <c r="AG9" s="9">
        <f t="shared" si="1"/>
        <v>23891</v>
      </c>
      <c r="AH9" s="9">
        <f t="shared" si="2"/>
        <v>30061</v>
      </c>
      <c r="AI9" s="9">
        <f t="shared" si="3"/>
        <v>34013</v>
      </c>
      <c r="AJ9" s="9">
        <f t="shared" si="4"/>
        <v>43586</v>
      </c>
      <c r="AK9" s="9">
        <f t="shared" si="5"/>
        <v>48059</v>
      </c>
    </row>
    <row r="10" spans="1:44" x14ac:dyDescent="0.25">
      <c r="C10" s="1" t="s">
        <v>87</v>
      </c>
      <c r="D10" s="9">
        <f t="shared" ref="D10:AA10" si="7">D8+D9</f>
        <v>8278</v>
      </c>
      <c r="E10" s="9">
        <f t="shared" si="7"/>
        <v>11064</v>
      </c>
      <c r="F10" s="9">
        <f t="shared" si="7"/>
        <v>9269</v>
      </c>
      <c r="G10" s="9">
        <f t="shared" si="7"/>
        <v>9742</v>
      </c>
      <c r="H10" s="9">
        <f t="shared" si="7"/>
        <v>9905</v>
      </c>
      <c r="I10" s="9">
        <f t="shared" si="7"/>
        <v>12423</v>
      </c>
      <c r="J10" s="9">
        <f t="shared" si="7"/>
        <v>10170</v>
      </c>
      <c r="K10" s="9">
        <f t="shared" si="7"/>
        <v>10412</v>
      </c>
      <c r="L10" s="9">
        <f t="shared" si="7"/>
        <v>10406</v>
      </c>
      <c r="M10" s="9">
        <f t="shared" si="7"/>
        <v>12358</v>
      </c>
      <c r="N10" s="9">
        <f t="shared" si="7"/>
        <v>10975</v>
      </c>
      <c r="O10" s="9">
        <f t="shared" si="7"/>
        <v>12339</v>
      </c>
      <c r="P10" s="9">
        <f t="shared" si="7"/>
        <v>11002</v>
      </c>
      <c r="Q10" s="9">
        <f t="shared" si="7"/>
        <v>14194</v>
      </c>
      <c r="R10" s="9">
        <f t="shared" si="7"/>
        <v>13045</v>
      </c>
      <c r="S10" s="9">
        <f t="shared" si="7"/>
        <v>13991</v>
      </c>
      <c r="T10" s="9">
        <f t="shared" si="7"/>
        <v>13646</v>
      </c>
      <c r="U10" s="9">
        <f t="shared" si="7"/>
        <v>16960</v>
      </c>
      <c r="V10" s="9">
        <f t="shared" si="7"/>
        <v>15615</v>
      </c>
      <c r="W10" s="9">
        <f t="shared" si="7"/>
        <v>16429</v>
      </c>
      <c r="X10" s="9">
        <f t="shared" si="7"/>
        <v>15452</v>
      </c>
      <c r="Y10" s="9">
        <f t="shared" si="7"/>
        <v>17488</v>
      </c>
      <c r="Z10" s="9">
        <f t="shared" si="7"/>
        <v>16128</v>
      </c>
      <c r="AA10" s="9">
        <f t="shared" si="7"/>
        <v>16795</v>
      </c>
      <c r="AD10" s="1"/>
      <c r="AF10" s="9">
        <f t="shared" si="1"/>
        <v>38353</v>
      </c>
      <c r="AG10" s="9">
        <f t="shared" si="1"/>
        <v>39980</v>
      </c>
      <c r="AH10" s="9">
        <f t="shared" si="2"/>
        <v>46078</v>
      </c>
      <c r="AI10" s="9">
        <f t="shared" si="3"/>
        <v>52232</v>
      </c>
      <c r="AJ10" s="9">
        <f t="shared" si="4"/>
        <v>62650</v>
      </c>
      <c r="AK10" s="9">
        <f t="shared" si="5"/>
        <v>65863</v>
      </c>
    </row>
    <row r="11" spans="1:44" x14ac:dyDescent="0.25">
      <c r="C11" s="1" t="s">
        <v>88</v>
      </c>
      <c r="D11" s="9">
        <f t="shared" ref="D11:AA11" si="8">D7-D10</f>
        <v>16260</v>
      </c>
      <c r="E11" s="9">
        <f t="shared" si="8"/>
        <v>17854</v>
      </c>
      <c r="F11" s="9">
        <f t="shared" si="8"/>
        <v>17550</v>
      </c>
      <c r="G11" s="9">
        <f t="shared" si="8"/>
        <v>20343</v>
      </c>
      <c r="H11" s="9">
        <f t="shared" si="8"/>
        <v>19179</v>
      </c>
      <c r="I11" s="9">
        <f t="shared" si="8"/>
        <v>20048</v>
      </c>
      <c r="J11" s="9">
        <f t="shared" si="8"/>
        <v>20401</v>
      </c>
      <c r="K11" s="9">
        <f t="shared" si="8"/>
        <v>23305</v>
      </c>
      <c r="L11" s="9">
        <f t="shared" si="8"/>
        <v>22649</v>
      </c>
      <c r="M11" s="9">
        <f t="shared" si="8"/>
        <v>24548</v>
      </c>
      <c r="N11" s="9">
        <f t="shared" si="8"/>
        <v>24046</v>
      </c>
      <c r="O11" s="9">
        <f t="shared" si="8"/>
        <v>25694</v>
      </c>
      <c r="P11" s="9">
        <f t="shared" si="8"/>
        <v>26152</v>
      </c>
      <c r="Q11" s="9">
        <f t="shared" si="8"/>
        <v>28882</v>
      </c>
      <c r="R11" s="9">
        <f t="shared" si="8"/>
        <v>28661</v>
      </c>
      <c r="S11" s="9">
        <f t="shared" si="8"/>
        <v>32161</v>
      </c>
      <c r="T11" s="9">
        <f t="shared" si="8"/>
        <v>31671</v>
      </c>
      <c r="U11" s="9">
        <f t="shared" si="8"/>
        <v>34768</v>
      </c>
      <c r="V11" s="9">
        <f t="shared" si="8"/>
        <v>33745</v>
      </c>
      <c r="W11" s="9">
        <f t="shared" si="8"/>
        <v>35433</v>
      </c>
      <c r="X11" s="9">
        <f t="shared" si="8"/>
        <v>34670</v>
      </c>
      <c r="Y11" s="9">
        <f t="shared" si="8"/>
        <v>35259</v>
      </c>
      <c r="Z11" s="9">
        <f t="shared" si="8"/>
        <v>36729</v>
      </c>
      <c r="AA11" s="9">
        <f t="shared" si="8"/>
        <v>39394</v>
      </c>
      <c r="AD11" s="1"/>
      <c r="AF11" s="9">
        <f t="shared" si="1"/>
        <v>72007</v>
      </c>
      <c r="AG11" s="9">
        <f t="shared" si="1"/>
        <v>74926</v>
      </c>
      <c r="AH11" s="9">
        <f t="shared" si="2"/>
        <v>96937</v>
      </c>
      <c r="AI11" s="9">
        <f t="shared" si="3"/>
        <v>115856</v>
      </c>
      <c r="AJ11" s="9">
        <f t="shared" si="4"/>
        <v>135617</v>
      </c>
      <c r="AK11" s="9">
        <f t="shared" si="5"/>
        <v>146052</v>
      </c>
    </row>
    <row r="12" spans="1:44" x14ac:dyDescent="0.25">
      <c r="C12" t="s">
        <v>89</v>
      </c>
      <c r="D12" s="9">
        <f>3574</f>
        <v>3574</v>
      </c>
      <c r="E12" s="9">
        <f>3504</f>
        <v>3504</v>
      </c>
      <c r="F12" s="9">
        <f>3715</f>
        <v>3715</v>
      </c>
      <c r="G12" s="9">
        <f>3933</f>
        <v>3933</v>
      </c>
      <c r="H12" s="9">
        <f>3977</f>
        <v>3977</v>
      </c>
      <c r="I12" s="9">
        <f>4070</f>
        <v>4070</v>
      </c>
      <c r="J12" s="9">
        <f>4316</f>
        <v>4316</v>
      </c>
      <c r="K12" s="9">
        <f>4513</f>
        <v>4513</v>
      </c>
      <c r="L12" s="9">
        <v>4565</v>
      </c>
      <c r="M12" s="9">
        <v>4603</v>
      </c>
      <c r="N12" s="9">
        <v>4887</v>
      </c>
      <c r="O12" s="9">
        <v>5214</v>
      </c>
      <c r="P12" s="9">
        <v>4926</v>
      </c>
      <c r="Q12" s="9">
        <v>4889</v>
      </c>
      <c r="R12" s="9">
        <v>5204</v>
      </c>
      <c r="S12" s="9">
        <v>5687</v>
      </c>
      <c r="T12" s="9">
        <v>5599</v>
      </c>
      <c r="U12" s="9">
        <v>5758</v>
      </c>
      <c r="V12" s="9">
        <v>6306</v>
      </c>
      <c r="W12" s="9">
        <v>6849</v>
      </c>
      <c r="X12" s="9">
        <v>6628</v>
      </c>
      <c r="Y12" s="9">
        <v>6844</v>
      </c>
      <c r="Z12" s="9">
        <v>6984</v>
      </c>
      <c r="AA12" s="9">
        <v>6739</v>
      </c>
      <c r="AF12" s="9">
        <f t="shared" si="1"/>
        <v>14726</v>
      </c>
      <c r="AG12" s="9">
        <f t="shared" si="1"/>
        <v>15129</v>
      </c>
      <c r="AH12" s="9">
        <f t="shared" si="2"/>
        <v>19269</v>
      </c>
      <c r="AI12" s="9">
        <f t="shared" si="3"/>
        <v>20706</v>
      </c>
      <c r="AJ12" s="9">
        <f t="shared" si="4"/>
        <v>24512</v>
      </c>
      <c r="AK12" s="9">
        <f t="shared" si="5"/>
        <v>27195</v>
      </c>
    </row>
    <row r="13" spans="1:44" x14ac:dyDescent="0.25">
      <c r="C13" t="s">
        <v>90</v>
      </c>
      <c r="D13" s="9">
        <f>3812</f>
        <v>3812</v>
      </c>
      <c r="E13" s="9">
        <f>4562</f>
        <v>4562</v>
      </c>
      <c r="F13" s="9">
        <f>4335</f>
        <v>4335</v>
      </c>
      <c r="G13" s="9">
        <f>4760</f>
        <v>4760</v>
      </c>
      <c r="H13" s="9">
        <f>4098</f>
        <v>4098</v>
      </c>
      <c r="I13" s="9">
        <f>4588</f>
        <v>4588</v>
      </c>
      <c r="J13" s="9">
        <f>4565</f>
        <v>4565</v>
      </c>
      <c r="K13" s="9">
        <f>4962</f>
        <v>4962</v>
      </c>
      <c r="L13" s="9">
        <v>4337</v>
      </c>
      <c r="M13" s="9">
        <v>4933</v>
      </c>
      <c r="N13" s="9">
        <v>4911</v>
      </c>
      <c r="O13" s="9">
        <v>5417</v>
      </c>
      <c r="P13" s="9">
        <v>4231</v>
      </c>
      <c r="Q13" s="9">
        <v>4947</v>
      </c>
      <c r="R13" s="9">
        <v>5082</v>
      </c>
      <c r="S13" s="9">
        <v>5857</v>
      </c>
      <c r="T13" s="9">
        <v>4547</v>
      </c>
      <c r="U13" s="9">
        <v>5379</v>
      </c>
      <c r="V13" s="9">
        <v>5595</v>
      </c>
      <c r="W13" s="9">
        <v>6304</v>
      </c>
      <c r="X13" s="9">
        <v>5126</v>
      </c>
      <c r="Y13" s="9">
        <v>5679</v>
      </c>
      <c r="Z13" s="9">
        <v>5750</v>
      </c>
      <c r="AA13" s="9">
        <v>6204</v>
      </c>
      <c r="AF13" s="9">
        <f t="shared" si="1"/>
        <v>17469</v>
      </c>
      <c r="AG13" s="9">
        <f t="shared" si="1"/>
        <v>17755</v>
      </c>
      <c r="AH13" s="9">
        <f t="shared" si="2"/>
        <v>19598</v>
      </c>
      <c r="AI13" s="9">
        <f t="shared" si="3"/>
        <v>20117</v>
      </c>
      <c r="AJ13" s="9">
        <f t="shared" si="4"/>
        <v>21825</v>
      </c>
      <c r="AK13" s="9">
        <f t="shared" si="5"/>
        <v>22759</v>
      </c>
    </row>
    <row r="14" spans="1:44" x14ac:dyDescent="0.25">
      <c r="C14" t="s">
        <v>91</v>
      </c>
      <c r="D14" s="9">
        <f>1166</f>
        <v>1166</v>
      </c>
      <c r="E14" s="9">
        <f>1109</f>
        <v>1109</v>
      </c>
      <c r="F14" s="9">
        <f>1208</f>
        <v>1208</v>
      </c>
      <c r="G14" s="9">
        <f>1271</f>
        <v>1271</v>
      </c>
      <c r="H14" s="9">
        <f>1149</f>
        <v>1149</v>
      </c>
      <c r="I14" s="9">
        <f>1132</f>
        <v>1132</v>
      </c>
      <c r="J14" s="9">
        <f>1179</f>
        <v>1179</v>
      </c>
      <c r="K14" s="9">
        <f>1425</f>
        <v>1425</v>
      </c>
      <c r="L14" s="9">
        <v>1061</v>
      </c>
      <c r="M14" s="9">
        <v>1121</v>
      </c>
      <c r="N14" s="9">
        <v>1273</v>
      </c>
      <c r="O14" s="9">
        <v>1656</v>
      </c>
      <c r="P14" s="9">
        <v>1119</v>
      </c>
      <c r="Q14" s="9">
        <v>1139</v>
      </c>
      <c r="R14" s="9">
        <v>1327</v>
      </c>
      <c r="S14" s="9">
        <v>1522</v>
      </c>
      <c r="T14" s="9">
        <v>1287</v>
      </c>
      <c r="U14" s="9">
        <v>1384</v>
      </c>
      <c r="V14" s="9">
        <v>1480</v>
      </c>
      <c r="W14" s="9">
        <v>1749</v>
      </c>
      <c r="X14" s="9">
        <v>1398</v>
      </c>
      <c r="Y14" s="9">
        <v>2337</v>
      </c>
      <c r="Z14" s="9">
        <v>1643</v>
      </c>
      <c r="AA14" s="9">
        <v>2197</v>
      </c>
      <c r="AF14" s="9">
        <f t="shared" si="1"/>
        <v>4754</v>
      </c>
      <c r="AG14" s="9">
        <f t="shared" si="1"/>
        <v>4737</v>
      </c>
      <c r="AH14" s="9">
        <f t="shared" si="2"/>
        <v>5111</v>
      </c>
      <c r="AI14" s="9">
        <f t="shared" si="3"/>
        <v>5107</v>
      </c>
      <c r="AJ14" s="9">
        <f t="shared" si="4"/>
        <v>5900</v>
      </c>
      <c r="AK14" s="9">
        <f t="shared" si="5"/>
        <v>7575</v>
      </c>
    </row>
    <row r="15" spans="1:44" x14ac:dyDescent="0.25">
      <c r="C15" s="1" t="s">
        <v>92</v>
      </c>
      <c r="D15" s="9">
        <f t="shared" ref="D15:AA15" si="9">D12+D13+D14</f>
        <v>8552</v>
      </c>
      <c r="E15" s="9">
        <f t="shared" si="9"/>
        <v>9175</v>
      </c>
      <c r="F15" s="9">
        <f t="shared" si="9"/>
        <v>9258</v>
      </c>
      <c r="G15" s="9">
        <f t="shared" si="9"/>
        <v>9964</v>
      </c>
      <c r="H15" s="9">
        <f t="shared" si="9"/>
        <v>9224</v>
      </c>
      <c r="I15" s="9">
        <f t="shared" si="9"/>
        <v>9790</v>
      </c>
      <c r="J15" s="9">
        <f t="shared" si="9"/>
        <v>10060</v>
      </c>
      <c r="K15" s="9">
        <f t="shared" si="9"/>
        <v>10900</v>
      </c>
      <c r="L15" s="9">
        <f t="shared" si="9"/>
        <v>9963</v>
      </c>
      <c r="M15" s="9">
        <f t="shared" si="9"/>
        <v>10657</v>
      </c>
      <c r="N15" s="9">
        <f t="shared" si="9"/>
        <v>11071</v>
      </c>
      <c r="O15" s="9">
        <f t="shared" si="9"/>
        <v>12287</v>
      </c>
      <c r="P15" s="9">
        <f t="shared" si="9"/>
        <v>10276</v>
      </c>
      <c r="Q15" s="9">
        <f t="shared" si="9"/>
        <v>10975</v>
      </c>
      <c r="R15" s="9">
        <f t="shared" si="9"/>
        <v>11613</v>
      </c>
      <c r="S15" s="9">
        <f t="shared" si="9"/>
        <v>13066</v>
      </c>
      <c r="T15" s="9">
        <f t="shared" si="9"/>
        <v>11433</v>
      </c>
      <c r="U15" s="9">
        <f t="shared" si="9"/>
        <v>12521</v>
      </c>
      <c r="V15" s="9">
        <f t="shared" si="9"/>
        <v>13381</v>
      </c>
      <c r="W15" s="9">
        <f t="shared" si="9"/>
        <v>14902</v>
      </c>
      <c r="X15" s="9">
        <f t="shared" si="9"/>
        <v>13152</v>
      </c>
      <c r="Y15" s="9">
        <f t="shared" si="9"/>
        <v>14860</v>
      </c>
      <c r="Z15" s="9">
        <f t="shared" si="9"/>
        <v>14377</v>
      </c>
      <c r="AA15" s="9">
        <f t="shared" si="9"/>
        <v>15140</v>
      </c>
      <c r="AF15" s="9">
        <f t="shared" si="1"/>
        <v>36949</v>
      </c>
      <c r="AG15" s="9">
        <f t="shared" si="1"/>
        <v>37621</v>
      </c>
      <c r="AH15" s="9">
        <f t="shared" si="2"/>
        <v>43978</v>
      </c>
      <c r="AI15" s="9">
        <f t="shared" si="3"/>
        <v>45930</v>
      </c>
      <c r="AJ15" s="9">
        <f t="shared" si="4"/>
        <v>52237</v>
      </c>
      <c r="AK15" s="9">
        <f t="shared" si="5"/>
        <v>57529</v>
      </c>
    </row>
    <row r="16" spans="1:44" x14ac:dyDescent="0.25">
      <c r="C16" s="1" t="s">
        <v>93</v>
      </c>
      <c r="D16" s="9">
        <f t="shared" ref="D16:AA16" si="10">D11-D15</f>
        <v>7708</v>
      </c>
      <c r="E16" s="9">
        <f t="shared" si="10"/>
        <v>8679</v>
      </c>
      <c r="F16" s="9">
        <f t="shared" si="10"/>
        <v>8292</v>
      </c>
      <c r="G16" s="9">
        <f t="shared" si="10"/>
        <v>10379</v>
      </c>
      <c r="H16" s="9">
        <f t="shared" si="10"/>
        <v>9955</v>
      </c>
      <c r="I16" s="9">
        <f t="shared" si="10"/>
        <v>10258</v>
      </c>
      <c r="J16" s="9">
        <f t="shared" si="10"/>
        <v>10341</v>
      </c>
      <c r="K16" s="9">
        <f t="shared" si="10"/>
        <v>12405</v>
      </c>
      <c r="L16" s="9">
        <f t="shared" si="10"/>
        <v>12686</v>
      </c>
      <c r="M16" s="9">
        <f t="shared" si="10"/>
        <v>13891</v>
      </c>
      <c r="N16" s="9">
        <f t="shared" si="10"/>
        <v>12975</v>
      </c>
      <c r="O16" s="9">
        <f t="shared" si="10"/>
        <v>13407</v>
      </c>
      <c r="P16" s="9">
        <f t="shared" si="10"/>
        <v>15876</v>
      </c>
      <c r="Q16" s="9">
        <f t="shared" si="10"/>
        <v>17907</v>
      </c>
      <c r="R16" s="9">
        <f t="shared" si="10"/>
        <v>17048</v>
      </c>
      <c r="S16" s="9">
        <f t="shared" si="10"/>
        <v>19095</v>
      </c>
      <c r="T16" s="9">
        <f t="shared" si="10"/>
        <v>20238</v>
      </c>
      <c r="U16" s="9">
        <f t="shared" si="10"/>
        <v>22247</v>
      </c>
      <c r="V16" s="9">
        <f t="shared" si="10"/>
        <v>20364</v>
      </c>
      <c r="W16" s="9">
        <f t="shared" si="10"/>
        <v>20531</v>
      </c>
      <c r="X16" s="9">
        <f t="shared" si="10"/>
        <v>21518</v>
      </c>
      <c r="Y16" s="9">
        <f t="shared" si="10"/>
        <v>20399</v>
      </c>
      <c r="Z16" s="9">
        <f t="shared" si="10"/>
        <v>22352</v>
      </c>
      <c r="AA16" s="9">
        <f t="shared" si="10"/>
        <v>24254</v>
      </c>
      <c r="AF16" s="9">
        <f t="shared" si="1"/>
        <v>35058</v>
      </c>
      <c r="AG16" s="9">
        <f t="shared" si="1"/>
        <v>37305</v>
      </c>
      <c r="AH16" s="9">
        <f t="shared" si="2"/>
        <v>52959</v>
      </c>
      <c r="AI16" s="9">
        <f t="shared" si="3"/>
        <v>69926</v>
      </c>
      <c r="AJ16" s="9">
        <f t="shared" si="4"/>
        <v>83380</v>
      </c>
      <c r="AK16" s="9">
        <f t="shared" si="5"/>
        <v>88523</v>
      </c>
    </row>
    <row r="17" spans="3:44" x14ac:dyDescent="0.25">
      <c r="C17" t="s">
        <v>94</v>
      </c>
      <c r="D17" s="9">
        <v>276</v>
      </c>
      <c r="E17" s="9">
        <f>490</f>
        <v>490</v>
      </c>
      <c r="F17" s="9">
        <f>349</f>
        <v>349</v>
      </c>
      <c r="G17" s="9">
        <f>301</f>
        <v>301</v>
      </c>
      <c r="H17" s="9">
        <f>266</f>
        <v>266</v>
      </c>
      <c r="I17" s="9">
        <f>127</f>
        <v>127</v>
      </c>
      <c r="J17" s="9">
        <f>145</f>
        <v>145</v>
      </c>
      <c r="K17" s="9">
        <f>191</f>
        <v>191</v>
      </c>
      <c r="L17" s="9">
        <v>0</v>
      </c>
      <c r="M17" s="9">
        <v>194</v>
      </c>
      <c r="N17" s="9">
        <v>-132</v>
      </c>
      <c r="O17" s="9">
        <v>15</v>
      </c>
      <c r="P17" s="9">
        <v>248</v>
      </c>
      <c r="Q17" s="9">
        <v>440</v>
      </c>
      <c r="R17" s="9">
        <v>188</v>
      </c>
      <c r="S17" s="9">
        <v>310</v>
      </c>
      <c r="T17" s="9">
        <v>286</v>
      </c>
      <c r="U17" s="9">
        <v>268</v>
      </c>
      <c r="V17" s="9">
        <v>-174</v>
      </c>
      <c r="W17" s="9">
        <v>-47</v>
      </c>
      <c r="X17" s="9">
        <v>54</v>
      </c>
      <c r="Y17" s="9">
        <v>-60</v>
      </c>
      <c r="Z17" s="9">
        <v>321</v>
      </c>
      <c r="AA17" s="9">
        <v>473</v>
      </c>
      <c r="AF17" s="9">
        <f t="shared" si="1"/>
        <v>1416</v>
      </c>
      <c r="AG17" s="9">
        <f t="shared" si="1"/>
        <v>1406</v>
      </c>
      <c r="AH17" s="9">
        <f t="shared" si="2"/>
        <v>77</v>
      </c>
      <c r="AI17" s="9">
        <f t="shared" si="3"/>
        <v>1186</v>
      </c>
      <c r="AJ17" s="9">
        <f t="shared" si="4"/>
        <v>333</v>
      </c>
      <c r="AK17" s="9">
        <f t="shared" si="5"/>
        <v>788</v>
      </c>
    </row>
    <row r="18" spans="3:44" x14ac:dyDescent="0.25">
      <c r="C18" t="s">
        <v>95</v>
      </c>
      <c r="D18" s="9">
        <f>1408</f>
        <v>1408</v>
      </c>
      <c r="E18" s="9">
        <f>15471</f>
        <v>15471</v>
      </c>
      <c r="F18" s="9">
        <f>1217</f>
        <v>1217</v>
      </c>
      <c r="G18" s="9">
        <f>1807</f>
        <v>1807</v>
      </c>
      <c r="H18" s="9">
        <f>1397</f>
        <v>1397</v>
      </c>
      <c r="I18" s="9">
        <f>1965</f>
        <v>1965</v>
      </c>
      <c r="J18" s="9">
        <f>1677</f>
        <v>1677</v>
      </c>
      <c r="K18" s="9">
        <f>591</f>
        <v>591</v>
      </c>
      <c r="L18" s="9">
        <v>2008</v>
      </c>
      <c r="M18" s="9">
        <v>2436</v>
      </c>
      <c r="N18" s="9">
        <v>2091</v>
      </c>
      <c r="O18" s="9">
        <v>2220</v>
      </c>
      <c r="P18" s="9">
        <v>2231</v>
      </c>
      <c r="Q18" s="9">
        <v>2874</v>
      </c>
      <c r="R18" s="9">
        <v>1779</v>
      </c>
      <c r="S18" s="9">
        <v>2947</v>
      </c>
      <c r="T18" s="9">
        <v>19</v>
      </c>
      <c r="U18" s="9">
        <v>3750</v>
      </c>
      <c r="V18" s="9">
        <v>3462</v>
      </c>
      <c r="W18" s="9">
        <v>3747</v>
      </c>
      <c r="X18" s="9">
        <v>4016</v>
      </c>
      <c r="Y18" s="9">
        <v>3914</v>
      </c>
      <c r="Z18" s="9">
        <v>4374</v>
      </c>
      <c r="AA18" s="9">
        <v>4646</v>
      </c>
      <c r="AF18" s="9">
        <f t="shared" si="1"/>
        <v>19903</v>
      </c>
      <c r="AG18" s="9">
        <f t="shared" si="1"/>
        <v>19892</v>
      </c>
      <c r="AH18" s="9">
        <f t="shared" si="2"/>
        <v>8755</v>
      </c>
      <c r="AI18" s="9">
        <f t="shared" si="3"/>
        <v>9831</v>
      </c>
      <c r="AJ18" s="9">
        <f t="shared" si="4"/>
        <v>10978</v>
      </c>
      <c r="AK18" s="9">
        <f t="shared" si="5"/>
        <v>16950</v>
      </c>
    </row>
    <row r="19" spans="3:44" x14ac:dyDescent="0.25">
      <c r="C19" s="1" t="s">
        <v>96</v>
      </c>
      <c r="D19" s="9">
        <f t="shared" ref="D19:J19" si="11">D16+D17-D18</f>
        <v>6576</v>
      </c>
      <c r="E19" s="9">
        <f t="shared" si="11"/>
        <v>-6302</v>
      </c>
      <c r="F19" s="9">
        <f t="shared" si="11"/>
        <v>7424</v>
      </c>
      <c r="G19" s="9">
        <f t="shared" si="11"/>
        <v>8873</v>
      </c>
      <c r="H19" s="9">
        <f t="shared" si="11"/>
        <v>8824</v>
      </c>
      <c r="I19" s="9">
        <f t="shared" si="11"/>
        <v>8420</v>
      </c>
      <c r="J19" s="9">
        <f t="shared" si="11"/>
        <v>8809</v>
      </c>
      <c r="K19" s="9">
        <f>K16+K17+K18</f>
        <v>13187</v>
      </c>
      <c r="L19" s="9">
        <f>L16+L17-L18</f>
        <v>10678</v>
      </c>
      <c r="M19" s="9">
        <f t="shared" ref="M19:AA19" si="12">M16+M17-M18</f>
        <v>11649</v>
      </c>
      <c r="N19" s="9">
        <f t="shared" si="12"/>
        <v>10752</v>
      </c>
      <c r="O19" s="9">
        <f t="shared" si="12"/>
        <v>11202</v>
      </c>
      <c r="P19" s="9">
        <f t="shared" si="12"/>
        <v>13893</v>
      </c>
      <c r="Q19" s="9">
        <f t="shared" si="12"/>
        <v>15473</v>
      </c>
      <c r="R19" s="9">
        <f t="shared" si="12"/>
        <v>15457</v>
      </c>
      <c r="S19" s="9">
        <f t="shared" si="12"/>
        <v>16458</v>
      </c>
      <c r="T19" s="9">
        <f t="shared" si="12"/>
        <v>20505</v>
      </c>
      <c r="U19" s="9">
        <f t="shared" si="12"/>
        <v>18765</v>
      </c>
      <c r="V19" s="9">
        <f t="shared" si="12"/>
        <v>16728</v>
      </c>
      <c r="W19" s="9">
        <f t="shared" si="12"/>
        <v>16737</v>
      </c>
      <c r="X19" s="9">
        <f t="shared" si="12"/>
        <v>17556</v>
      </c>
      <c r="Y19" s="9">
        <f t="shared" si="12"/>
        <v>16425</v>
      </c>
      <c r="Z19" s="9">
        <f t="shared" si="12"/>
        <v>18299</v>
      </c>
      <c r="AA19" s="9">
        <f t="shared" si="12"/>
        <v>20081</v>
      </c>
      <c r="AF19" s="9">
        <f t="shared" si="1"/>
        <v>16571</v>
      </c>
      <c r="AG19" s="9">
        <f t="shared" si="1"/>
        <v>18819</v>
      </c>
      <c r="AH19" s="9">
        <f t="shared" si="2"/>
        <v>44281</v>
      </c>
      <c r="AI19" s="9">
        <f t="shared" si="3"/>
        <v>61281</v>
      </c>
      <c r="AJ19" s="9">
        <f t="shared" si="4"/>
        <v>72735</v>
      </c>
      <c r="AK19" s="9">
        <f t="shared" si="5"/>
        <v>72361</v>
      </c>
    </row>
    <row r="20" spans="3:44" x14ac:dyDescent="0.25">
      <c r="C20" s="1"/>
      <c r="AF20" s="9"/>
    </row>
    <row r="21" spans="3:44" x14ac:dyDescent="0.25">
      <c r="C21" s="1" t="s">
        <v>97</v>
      </c>
      <c r="D21">
        <v>0.84</v>
      </c>
      <c r="E21">
        <v>0.82</v>
      </c>
      <c r="F21">
        <f>0.95</f>
        <v>0.95</v>
      </c>
      <c r="G21">
        <f>1.14</f>
        <v>1.1399999999999999</v>
      </c>
      <c r="H21">
        <v>1.1399999999999999</v>
      </c>
      <c r="I21">
        <f>1.08</f>
        <v>1.08</v>
      </c>
      <c r="J21">
        <v>1.1399999999999999</v>
      </c>
      <c r="K21">
        <f>1.71</f>
        <v>1.71</v>
      </c>
      <c r="L21">
        <v>1.38</v>
      </c>
      <c r="M21">
        <v>1.51</v>
      </c>
      <c r="N21">
        <v>1.4</v>
      </c>
      <c r="O21">
        <v>1.46</v>
      </c>
      <c r="P21">
        <v>1.82</v>
      </c>
      <c r="Q21">
        <v>2.0299999999999998</v>
      </c>
      <c r="R21">
        <v>2.0299999999999998</v>
      </c>
      <c r="S21">
        <v>2.17</v>
      </c>
      <c r="T21">
        <v>2.71</v>
      </c>
      <c r="U21">
        <v>2.48</v>
      </c>
      <c r="V21">
        <v>2.2200000000000002</v>
      </c>
      <c r="W21">
        <v>2.23</v>
      </c>
      <c r="X21">
        <v>2.35</v>
      </c>
      <c r="Y21">
        <v>2.2000000000000002</v>
      </c>
      <c r="Z21">
        <v>2.4500000000000002</v>
      </c>
      <c r="AA21">
        <v>2.69</v>
      </c>
      <c r="AF21">
        <v>2.13</v>
      </c>
      <c r="AG21">
        <v>5.0599999999999996</v>
      </c>
      <c r="AH21">
        <v>5.76</v>
      </c>
      <c r="AI21">
        <v>8.0500000000000007</v>
      </c>
      <c r="AJ21">
        <v>9.65</v>
      </c>
      <c r="AK21">
        <v>9.68</v>
      </c>
    </row>
    <row r="22" spans="3:44" x14ac:dyDescent="0.25">
      <c r="C22" s="1" t="s">
        <v>98</v>
      </c>
      <c r="D22" s="9">
        <v>7799</v>
      </c>
      <c r="E22" s="9">
        <v>7710</v>
      </c>
      <c r="F22" s="9">
        <f>7794</f>
        <v>7794</v>
      </c>
      <c r="G22" s="9">
        <f>7775</f>
        <v>7775</v>
      </c>
      <c r="H22" s="9">
        <f>7766</f>
        <v>7766</v>
      </c>
      <c r="I22" s="9">
        <f>7768</f>
        <v>7768</v>
      </c>
      <c r="J22" s="9">
        <v>7744</v>
      </c>
      <c r="K22" s="9">
        <f>7730</f>
        <v>7730</v>
      </c>
      <c r="L22" s="9">
        <v>7710</v>
      </c>
      <c r="M22" s="9">
        <v>7691</v>
      </c>
      <c r="N22" s="9">
        <v>7675</v>
      </c>
      <c r="O22" s="9">
        <v>7650</v>
      </c>
      <c r="P22" s="9">
        <v>7637</v>
      </c>
      <c r="Q22" s="9">
        <v>7616</v>
      </c>
      <c r="R22" s="9">
        <v>7597</v>
      </c>
      <c r="S22" s="9">
        <v>7581</v>
      </c>
      <c r="T22" s="9">
        <v>7567</v>
      </c>
      <c r="U22" s="9">
        <v>7555</v>
      </c>
      <c r="V22" s="9">
        <v>7534</v>
      </c>
      <c r="W22" s="9">
        <v>7506</v>
      </c>
      <c r="X22" s="9">
        <v>7485</v>
      </c>
      <c r="Y22" s="9">
        <v>7473</v>
      </c>
      <c r="Z22" s="9">
        <v>7464</v>
      </c>
      <c r="AA22" s="9">
        <v>7467</v>
      </c>
      <c r="AF22" s="9">
        <f>7794</f>
        <v>7794</v>
      </c>
      <c r="AG22" s="9">
        <v>7753</v>
      </c>
      <c r="AH22" s="9">
        <v>7683</v>
      </c>
      <c r="AI22" s="9">
        <v>7608</v>
      </c>
      <c r="AJ22" s="9">
        <v>7540</v>
      </c>
      <c r="AK22" s="9">
        <v>7472</v>
      </c>
      <c r="AL22" s="9"/>
      <c r="AM22" s="9"/>
      <c r="AN22" s="9"/>
      <c r="AO22" s="9"/>
      <c r="AP22" s="9"/>
      <c r="AQ22" s="9"/>
      <c r="AR22" s="9"/>
    </row>
    <row r="23" spans="3:44" x14ac:dyDescent="0.25">
      <c r="C23" s="1" t="s">
        <v>99</v>
      </c>
      <c r="D23">
        <v>0.42</v>
      </c>
      <c r="E23">
        <v>0.42</v>
      </c>
      <c r="F23">
        <f>0.42</f>
        <v>0.42</v>
      </c>
      <c r="G23">
        <f>0.42</f>
        <v>0.42</v>
      </c>
      <c r="H23">
        <f>0.46</f>
        <v>0.46</v>
      </c>
      <c r="I23">
        <f t="shared" ref="I23:K23" si="13">0.46</f>
        <v>0.46</v>
      </c>
      <c r="J23">
        <f t="shared" si="13"/>
        <v>0.46</v>
      </c>
      <c r="K23">
        <f t="shared" si="13"/>
        <v>0.46</v>
      </c>
      <c r="L23">
        <v>0.38</v>
      </c>
      <c r="M23">
        <v>0.38</v>
      </c>
      <c r="N23">
        <v>0.38</v>
      </c>
      <c r="O23">
        <v>0.38</v>
      </c>
      <c r="P23" s="11">
        <v>0.56000000000000005</v>
      </c>
      <c r="Q23" s="11">
        <v>0.56000000000000005</v>
      </c>
      <c r="R23" s="11">
        <v>0.56000000000000005</v>
      </c>
      <c r="S23" s="11">
        <v>0.56000000000000005</v>
      </c>
      <c r="T23" s="11">
        <v>0.62</v>
      </c>
      <c r="U23" s="11">
        <v>0.62</v>
      </c>
      <c r="V23" s="11">
        <v>0.62</v>
      </c>
      <c r="W23" s="11">
        <v>0.62</v>
      </c>
      <c r="X23" s="11">
        <v>0.68</v>
      </c>
      <c r="Y23" s="11">
        <v>0.68</v>
      </c>
      <c r="Z23" s="11">
        <v>0.68</v>
      </c>
      <c r="AA23" s="11">
        <v>0.68</v>
      </c>
      <c r="AF23">
        <f>1.68</f>
        <v>1.68</v>
      </c>
      <c r="AG23">
        <f>SUM(H23:K23)</f>
        <v>1.84</v>
      </c>
      <c r="AH23">
        <f>SUM(L23:O23)</f>
        <v>1.52</v>
      </c>
      <c r="AI23">
        <f>SUM(P23:S23)</f>
        <v>2.2400000000000002</v>
      </c>
      <c r="AJ23">
        <f>SUM(T23:W23)</f>
        <v>2.48</v>
      </c>
      <c r="AK23">
        <f>SUM(X23:AA23)</f>
        <v>2.72</v>
      </c>
    </row>
    <row r="25" spans="3:44" x14ac:dyDescent="0.25">
      <c r="C25" s="1" t="s">
        <v>100</v>
      </c>
      <c r="D25" t="s">
        <v>101</v>
      </c>
      <c r="E25" s="10">
        <f>E5/D5-1</f>
        <v>0.25374178206742193</v>
      </c>
      <c r="F25" s="10">
        <f>F5/E5-1</f>
        <v>-0.15686712038380002</v>
      </c>
      <c r="G25" s="10">
        <f t="shared" ref="G25:AA25" si="14">G5/F5-1</f>
        <v>0.1353050152176789</v>
      </c>
      <c r="H25" s="10">
        <f t="shared" si="14"/>
        <v>8.1589836237543345E-3</v>
      </c>
      <c r="I25" s="10">
        <f t="shared" si="14"/>
        <v>-6.2431354413549967E-2</v>
      </c>
      <c r="J25" s="10">
        <f t="shared" si="14"/>
        <v>-4.753683950921761E-2</v>
      </c>
      <c r="K25" s="10">
        <f t="shared" si="14"/>
        <v>0.10713360952874162</v>
      </c>
      <c r="L25" s="10">
        <f t="shared" si="14"/>
        <v>-7.8056481319066839E-2</v>
      </c>
      <c r="M25" s="10">
        <f t="shared" si="14"/>
        <v>0.15772450532724513</v>
      </c>
      <c r="N25" s="10">
        <f t="shared" si="14"/>
        <v>-0.13059435771021632</v>
      </c>
      <c r="O25" s="10">
        <f t="shared" si="14"/>
        <v>0.14340621258899877</v>
      </c>
      <c r="P25" s="10">
        <f t="shared" si="14"/>
        <v>-0.1291673554857552</v>
      </c>
      <c r="Q25" s="10">
        <f t="shared" si="14"/>
        <v>0.23141175726127949</v>
      </c>
      <c r="R25" s="10">
        <f t="shared" si="14"/>
        <v>-0.13293936279547791</v>
      </c>
      <c r="S25" s="10">
        <f t="shared" si="14"/>
        <v>0.12238487524447339</v>
      </c>
      <c r="T25" s="10">
        <f t="shared" si="14"/>
        <v>-0.12181856584644635</v>
      </c>
      <c r="U25" s="10">
        <f t="shared" si="14"/>
        <v>0.24941374541518857</v>
      </c>
      <c r="V25" s="10">
        <f t="shared" si="14"/>
        <v>-0.16425237018143313</v>
      </c>
      <c r="W25" s="10">
        <f t="shared" si="14"/>
        <v>3.3974432799723564E-2</v>
      </c>
      <c r="X25" s="10">
        <f t="shared" si="14"/>
        <v>-0.12335709512140791</v>
      </c>
      <c r="Y25" s="10">
        <f t="shared" si="14"/>
        <v>4.9298011562162403E-2</v>
      </c>
      <c r="Z25" s="10">
        <f t="shared" si="14"/>
        <v>-5.6245080825815807E-2</v>
      </c>
      <c r="AA25" s="10">
        <f t="shared" si="14"/>
        <v>8.1152168334616359E-2</v>
      </c>
      <c r="AF25" t="s">
        <v>101</v>
      </c>
      <c r="AG25" s="10">
        <f>AG5/AF5-1</f>
        <v>4.6529295936245108E-2</v>
      </c>
      <c r="AH25" s="10">
        <f t="shared" ref="AH25:AR25" si="15">AH5/AG5-1</f>
        <v>8.0446828054163699E-3</v>
      </c>
      <c r="AI25" s="10">
        <f t="shared" si="15"/>
        <v>4.457606443173967E-2</v>
      </c>
      <c r="AJ25" s="10">
        <f t="shared" si="15"/>
        <v>2.3327799195205001E-2</v>
      </c>
      <c r="AK25" s="10">
        <f t="shared" si="15"/>
        <v>-0.11044657097288679</v>
      </c>
      <c r="AL25" s="10">
        <f t="shared" si="15"/>
        <v>-1</v>
      </c>
      <c r="AM25" s="10" t="e">
        <f t="shared" si="15"/>
        <v>#DIV/0!</v>
      </c>
      <c r="AN25" s="10" t="e">
        <f t="shared" si="15"/>
        <v>#DIV/0!</v>
      </c>
      <c r="AO25" s="10" t="e">
        <f t="shared" si="15"/>
        <v>#DIV/0!</v>
      </c>
      <c r="AP25" s="10" t="e">
        <f t="shared" si="15"/>
        <v>#DIV/0!</v>
      </c>
      <c r="AQ25" s="10" t="e">
        <f t="shared" si="15"/>
        <v>#DIV/0!</v>
      </c>
      <c r="AR25" s="10" t="e">
        <f t="shared" si="15"/>
        <v>#DIV/0!</v>
      </c>
    </row>
    <row r="26" spans="3:44" x14ac:dyDescent="0.25">
      <c r="C26" s="1" t="s">
        <v>102</v>
      </c>
      <c r="D26" t="s">
        <v>101</v>
      </c>
      <c r="E26" s="10">
        <f>E7/D7-1</f>
        <v>0.17849865514711882</v>
      </c>
      <c r="F26" s="10">
        <f t="shared" ref="F26:AA26" si="16">F7/E7-1</f>
        <v>-7.2584549415588895E-2</v>
      </c>
      <c r="G26" s="10">
        <f t="shared" si="16"/>
        <v>0.12177933554569531</v>
      </c>
      <c r="H26" s="10">
        <f t="shared" si="16"/>
        <v>-3.3272394881170064E-2</v>
      </c>
      <c r="I26" s="10">
        <f t="shared" si="16"/>
        <v>0.11645578324852157</v>
      </c>
      <c r="J26" s="10">
        <f t="shared" si="16"/>
        <v>-5.8513750731421843E-2</v>
      </c>
      <c r="K26" s="10">
        <f t="shared" si="16"/>
        <v>0.10290798469137408</v>
      </c>
      <c r="L26" s="10">
        <f t="shared" si="16"/>
        <v>-1.9634012515941546E-2</v>
      </c>
      <c r="M26" s="10">
        <f t="shared" si="16"/>
        <v>0.11650279836635913</v>
      </c>
      <c r="N26" s="10">
        <f t="shared" si="16"/>
        <v>-5.1075705847287711E-2</v>
      </c>
      <c r="O26" s="10">
        <f t="shared" si="16"/>
        <v>8.6005539533422715E-2</v>
      </c>
      <c r="P26" s="10">
        <f t="shared" si="16"/>
        <v>-2.3111508426892469E-2</v>
      </c>
      <c r="Q26" s="10">
        <f t="shared" si="16"/>
        <v>0.15939064434515804</v>
      </c>
      <c r="R26" s="10">
        <f t="shared" si="16"/>
        <v>-3.1804252948277489E-2</v>
      </c>
      <c r="S26" s="10">
        <f t="shared" si="16"/>
        <v>0.10660336642209756</v>
      </c>
      <c r="T26" s="10">
        <f t="shared" si="16"/>
        <v>-1.8092390362281163E-2</v>
      </c>
      <c r="U26" s="10">
        <f t="shared" si="16"/>
        <v>0.14147008848776399</v>
      </c>
      <c r="V26" s="10">
        <f t="shared" si="16"/>
        <v>-4.5777915248994772E-2</v>
      </c>
      <c r="W26" s="10">
        <f t="shared" si="16"/>
        <v>5.0688816855753549E-2</v>
      </c>
      <c r="X26" s="10">
        <f t="shared" si="16"/>
        <v>-3.3550576530022025E-2</v>
      </c>
      <c r="Y26" s="10">
        <f t="shared" si="16"/>
        <v>5.2372211803200175E-2</v>
      </c>
      <c r="Z26" s="10">
        <f t="shared" si="16"/>
        <v>2.085426659335976E-3</v>
      </c>
      <c r="AA26" s="10">
        <f t="shared" si="16"/>
        <v>6.3038008210833052E-2</v>
      </c>
      <c r="AF26" t="s">
        <v>101</v>
      </c>
      <c r="AG26" s="10">
        <f>AG7/AF7-1</f>
        <v>4.1192461036607453E-2</v>
      </c>
      <c r="AH26" s="10">
        <f t="shared" ref="AH26:AR26" si="17">AH7/AG7-1</f>
        <v>0.24462604215619721</v>
      </c>
      <c r="AI26" s="10">
        <f t="shared" si="17"/>
        <v>0.17531727441177503</v>
      </c>
      <c r="AJ26" s="10">
        <f t="shared" si="17"/>
        <v>0.17954285850268903</v>
      </c>
      <c r="AK26" s="10">
        <f t="shared" si="17"/>
        <v>6.8836467995178285E-2</v>
      </c>
      <c r="AL26" s="10">
        <f t="shared" si="17"/>
        <v>-1</v>
      </c>
      <c r="AM26" s="10" t="e">
        <f t="shared" si="17"/>
        <v>#DIV/0!</v>
      </c>
      <c r="AN26" s="10" t="e">
        <f t="shared" si="17"/>
        <v>#DIV/0!</v>
      </c>
      <c r="AO26" s="10" t="e">
        <f t="shared" si="17"/>
        <v>#DIV/0!</v>
      </c>
      <c r="AP26" s="10" t="e">
        <f t="shared" si="17"/>
        <v>#DIV/0!</v>
      </c>
      <c r="AQ26" s="10" t="e">
        <f t="shared" si="17"/>
        <v>#DIV/0!</v>
      </c>
      <c r="AR26" s="10" t="e">
        <f t="shared" si="17"/>
        <v>#DIV/0!</v>
      </c>
    </row>
    <row r="27" spans="3:44" x14ac:dyDescent="0.25">
      <c r="C27" s="1" t="s">
        <v>103</v>
      </c>
      <c r="D27" s="7">
        <f>(D7/D11)</f>
        <v>1.5091020910209103</v>
      </c>
      <c r="E27" s="10">
        <f t="shared" ref="E27:AA27" si="18">(E7/E11)</f>
        <v>1.6196930659796125</v>
      </c>
      <c r="F27" s="10">
        <f t="shared" si="18"/>
        <v>1.5281481481481483</v>
      </c>
      <c r="G27" s="10">
        <f t="shared" si="18"/>
        <v>1.4788870864670893</v>
      </c>
      <c r="H27" s="10">
        <f t="shared" si="18"/>
        <v>1.5164502841649721</v>
      </c>
      <c r="I27" s="10">
        <f t="shared" si="18"/>
        <v>1.6196628092577814</v>
      </c>
      <c r="J27" s="10">
        <f t="shared" si="18"/>
        <v>1.4985049752463115</v>
      </c>
      <c r="K27" s="10">
        <f t="shared" si="18"/>
        <v>1.4467710791675605</v>
      </c>
      <c r="L27" s="10">
        <f t="shared" si="18"/>
        <v>1.4594463331714425</v>
      </c>
      <c r="M27" s="10">
        <f t="shared" si="18"/>
        <v>1.5034218673619033</v>
      </c>
      <c r="N27" s="10">
        <f t="shared" si="18"/>
        <v>1.4564168676702987</v>
      </c>
      <c r="O27" s="10">
        <f t="shared" si="18"/>
        <v>1.4802288472016814</v>
      </c>
      <c r="P27" s="10">
        <f t="shared" si="18"/>
        <v>1.4206944019577852</v>
      </c>
      <c r="Q27" s="10">
        <f t="shared" si="18"/>
        <v>1.4914479606675437</v>
      </c>
      <c r="R27" s="10">
        <f t="shared" si="18"/>
        <v>1.45514811067304</v>
      </c>
      <c r="S27" s="10">
        <f t="shared" si="18"/>
        <v>1.4350300052859053</v>
      </c>
      <c r="T27" s="10">
        <f t="shared" si="18"/>
        <v>1.4308673549935271</v>
      </c>
      <c r="U27" s="10">
        <f t="shared" si="18"/>
        <v>1.4878048780487805</v>
      </c>
      <c r="V27" s="10">
        <f t="shared" si="18"/>
        <v>1.4627352200325974</v>
      </c>
      <c r="W27" s="10">
        <f t="shared" si="18"/>
        <v>1.4636638162165214</v>
      </c>
      <c r="X27" s="10">
        <f t="shared" si="18"/>
        <v>1.4456879146235939</v>
      </c>
      <c r="Y27" s="10">
        <f t="shared" si="18"/>
        <v>1.4959868402393715</v>
      </c>
      <c r="Z27" s="10">
        <f t="shared" si="18"/>
        <v>1.4391080617495713</v>
      </c>
      <c r="AA27" s="10">
        <f t="shared" si="18"/>
        <v>1.4263339594862161</v>
      </c>
      <c r="AF27" s="10">
        <f>AF7/AF11</f>
        <v>1.5326287722027025</v>
      </c>
      <c r="AG27" s="10">
        <f>AG7/AG11</f>
        <v>1.5335931452366334</v>
      </c>
      <c r="AH27" s="10">
        <f t="shared" ref="AH27:AR27" si="19">AH7/AH11</f>
        <v>1.4753396535894447</v>
      </c>
      <c r="AI27" s="10">
        <f t="shared" si="19"/>
        <v>1.4508355199558072</v>
      </c>
      <c r="AJ27" s="10">
        <f t="shared" si="19"/>
        <v>1.46196273328565</v>
      </c>
      <c r="AK27" s="10">
        <f t="shared" si="19"/>
        <v>1.4509558239531126</v>
      </c>
      <c r="AL27" s="10" t="e">
        <f t="shared" si="19"/>
        <v>#DIV/0!</v>
      </c>
      <c r="AM27" s="10" t="e">
        <f t="shared" si="19"/>
        <v>#DIV/0!</v>
      </c>
      <c r="AN27" s="10" t="e">
        <f t="shared" si="19"/>
        <v>#DIV/0!</v>
      </c>
      <c r="AO27" s="10" t="e">
        <f t="shared" si="19"/>
        <v>#DIV/0!</v>
      </c>
      <c r="AP27" s="10" t="e">
        <f t="shared" si="19"/>
        <v>#DIV/0!</v>
      </c>
      <c r="AQ27" s="10" t="e">
        <f t="shared" si="19"/>
        <v>#DIV/0!</v>
      </c>
      <c r="AR27" s="10" t="e">
        <f t="shared" si="19"/>
        <v>#DIV/0!</v>
      </c>
    </row>
    <row r="28" spans="3:44" x14ac:dyDescent="0.25">
      <c r="C28" s="1" t="s">
        <v>104</v>
      </c>
      <c r="D28" t="s">
        <v>101</v>
      </c>
      <c r="E28" s="10">
        <f>E19/D19-1</f>
        <v>-1.9583333333333335</v>
      </c>
      <c r="F28" s="10">
        <f t="shared" ref="F28:AA28" si="20">F19/E19-1</f>
        <v>-2.1780387178673437</v>
      </c>
      <c r="G28" s="10">
        <f t="shared" si="20"/>
        <v>0.1951778017241379</v>
      </c>
      <c r="H28" s="10">
        <f t="shared" si="20"/>
        <v>-5.5223712385890078E-3</v>
      </c>
      <c r="I28" s="10">
        <f t="shared" si="20"/>
        <v>-4.5784224841341814E-2</v>
      </c>
      <c r="J28" s="10">
        <f t="shared" si="20"/>
        <v>4.619952494061752E-2</v>
      </c>
      <c r="K28" s="10">
        <f t="shared" si="20"/>
        <v>0.49699171302077416</v>
      </c>
      <c r="L28" s="10">
        <f t="shared" si="20"/>
        <v>-0.19026313793887917</v>
      </c>
      <c r="M28" s="10">
        <f t="shared" si="20"/>
        <v>9.0934631953549339E-2</v>
      </c>
      <c r="N28" s="10">
        <f t="shared" si="20"/>
        <v>-7.7002317795518915E-2</v>
      </c>
      <c r="O28" s="10">
        <f t="shared" si="20"/>
        <v>4.1852678571428603E-2</v>
      </c>
      <c r="P28" s="10">
        <f t="shared" si="20"/>
        <v>0.24022495982860192</v>
      </c>
      <c r="Q28" s="10">
        <f t="shared" si="20"/>
        <v>0.11372633700424672</v>
      </c>
      <c r="R28" s="10">
        <f t="shared" si="20"/>
        <v>-1.0340593291540134E-3</v>
      </c>
      <c r="S28" s="10">
        <f t="shared" si="20"/>
        <v>6.4760302775441536E-2</v>
      </c>
      <c r="T28" s="10">
        <f t="shared" si="20"/>
        <v>0.24589865111192122</v>
      </c>
      <c r="U28" s="10">
        <f t="shared" si="20"/>
        <v>-8.4857351865398667E-2</v>
      </c>
      <c r="V28" s="10">
        <f t="shared" si="20"/>
        <v>-0.10855315747402083</v>
      </c>
      <c r="W28" s="10">
        <f t="shared" si="20"/>
        <v>5.3802008608316854E-4</v>
      </c>
      <c r="X28" s="10">
        <f t="shared" si="20"/>
        <v>4.8933500627352577E-2</v>
      </c>
      <c r="Y28" s="10">
        <f t="shared" si="20"/>
        <v>-6.4422419685577603E-2</v>
      </c>
      <c r="Z28" s="10">
        <f t="shared" si="20"/>
        <v>0.11409436834094366</v>
      </c>
      <c r="AA28" s="10">
        <f t="shared" si="20"/>
        <v>9.7382370621345471E-2</v>
      </c>
      <c r="AF28" t="s">
        <v>101</v>
      </c>
      <c r="AG28" s="10">
        <f>AG19/AF19-1</f>
        <v>0.13565868082795252</v>
      </c>
      <c r="AH28" s="10">
        <f t="shared" ref="AH28:AR28" si="21">AH19/AG19-1</f>
        <v>1.3529943142568679</v>
      </c>
      <c r="AI28" s="10">
        <f t="shared" si="21"/>
        <v>0.38391183577606647</v>
      </c>
      <c r="AJ28" s="10">
        <f t="shared" si="21"/>
        <v>0.18690948254760853</v>
      </c>
      <c r="AK28" s="10">
        <f t="shared" si="21"/>
        <v>-5.1419536674228716E-3</v>
      </c>
      <c r="AL28" s="10">
        <f t="shared" si="21"/>
        <v>-1</v>
      </c>
      <c r="AM28" s="10" t="e">
        <f t="shared" si="21"/>
        <v>#DIV/0!</v>
      </c>
      <c r="AN28" s="10" t="e">
        <f t="shared" si="21"/>
        <v>#DIV/0!</v>
      </c>
      <c r="AO28" s="10" t="e">
        <f t="shared" si="21"/>
        <v>#DIV/0!</v>
      </c>
      <c r="AP28" s="10" t="e">
        <f t="shared" si="21"/>
        <v>#DIV/0!</v>
      </c>
      <c r="AQ28" s="10" t="e">
        <f t="shared" si="21"/>
        <v>#DIV/0!</v>
      </c>
      <c r="AR28" s="10" t="e">
        <f t="shared" si="21"/>
        <v>#DIV/0!</v>
      </c>
    </row>
    <row r="30" spans="3:44" x14ac:dyDescent="0.25">
      <c r="C30" s="1" t="s">
        <v>105</v>
      </c>
    </row>
  </sheetData>
  <conditionalFormatting sqref="A1:XFD3 A29:XFD1048576 A4:B28 AS4:XFD28">
    <cfRule type="expression" dxfId="1" priority="2">
      <formula>MOD(ROW(),2)=0</formula>
    </cfRule>
  </conditionalFormatting>
  <conditionalFormatting sqref="C4:AR28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2023-11-09T07:04:32Z</dcterms:created>
  <dcterms:modified xsi:type="dcterms:W3CDTF">2023-11-13T08:09:56Z</dcterms:modified>
  <cp:category/>
  <cp:contentStatus/>
</cp:coreProperties>
</file>