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zz5\OneDrive\Desktop\FModels\META\"/>
    </mc:Choice>
  </mc:AlternateContent>
  <xr:revisionPtr revIDLastSave="0" documentId="8_{5BEA957A-584B-4A29-A20C-04D38CBA1445}" xr6:coauthVersionLast="47" xr6:coauthVersionMax="47" xr10:uidLastSave="{00000000-0000-0000-0000-000000000000}"/>
  <bookViews>
    <workbookView xWindow="-120" yWindow="-120" windowWidth="29040" windowHeight="15840" activeTab="1" xr2:uid="{17FDF041-F6E6-4D7C-9BBE-BB0EE7951B3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AD9" i="2"/>
  <c r="AD7" i="2" l="1"/>
  <c r="AD8" i="2"/>
  <c r="AY14" i="2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DO14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EF14" i="2" s="1"/>
  <c r="EG14" i="2" s="1"/>
  <c r="EH14" i="2" s="1"/>
  <c r="EI14" i="2" s="1"/>
  <c r="EJ14" i="2" s="1"/>
  <c r="EK14" i="2" s="1"/>
  <c r="EL14" i="2" s="1"/>
  <c r="EM14" i="2" s="1"/>
  <c r="EN14" i="2" s="1"/>
  <c r="EO14" i="2" s="1"/>
  <c r="EP14" i="2" s="1"/>
  <c r="EQ14" i="2" s="1"/>
  <c r="ER14" i="2" s="1"/>
  <c r="ES14" i="2" s="1"/>
  <c r="ET14" i="2" s="1"/>
  <c r="EU14" i="2" s="1"/>
  <c r="EV14" i="2" s="1"/>
  <c r="EW14" i="2" s="1"/>
  <c r="EX14" i="2" s="1"/>
  <c r="EY14" i="2" s="1"/>
  <c r="EZ14" i="2" s="1"/>
  <c r="FA14" i="2" s="1"/>
  <c r="FB14" i="2" s="1"/>
  <c r="FC14" i="2" s="1"/>
  <c r="FD14" i="2" s="1"/>
  <c r="FE14" i="2" s="1"/>
  <c r="FF14" i="2" s="1"/>
  <c r="FG14" i="2" s="1"/>
  <c r="FH14" i="2" s="1"/>
  <c r="FI14" i="2" s="1"/>
  <c r="FJ14" i="2" s="1"/>
  <c r="FK14" i="2" s="1"/>
  <c r="FL14" i="2" s="1"/>
  <c r="FM14" i="2" s="1"/>
  <c r="FN14" i="2" s="1"/>
  <c r="FO14" i="2" s="1"/>
  <c r="FP14" i="2" s="1"/>
  <c r="FQ14" i="2" s="1"/>
  <c r="FR14" i="2" s="1"/>
  <c r="FS14" i="2" s="1"/>
  <c r="FT14" i="2" s="1"/>
  <c r="FU14" i="2" s="1"/>
  <c r="FV14" i="2" s="1"/>
  <c r="FW14" i="2" s="1"/>
  <c r="FX14" i="2" s="1"/>
  <c r="FY14" i="2" s="1"/>
  <c r="FZ14" i="2" s="1"/>
  <c r="GA14" i="2" s="1"/>
  <c r="AX14" i="2"/>
  <c r="AW14" i="2"/>
  <c r="AD11" i="2"/>
  <c r="AD12" i="2" l="1"/>
  <c r="AD13" i="2" s="1"/>
  <c r="AV21" i="2"/>
  <c r="AU21" i="2"/>
  <c r="AT21" i="2"/>
  <c r="AS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AV20" i="2"/>
  <c r="AU20" i="2"/>
  <c r="AT20" i="2"/>
  <c r="AS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AV19" i="2"/>
  <c r="AU19" i="2"/>
  <c r="AT19" i="2"/>
  <c r="AS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AV17" i="2"/>
  <c r="AV16" i="2"/>
  <c r="AU16" i="2"/>
  <c r="AT16" i="2"/>
  <c r="AS16" i="2"/>
  <c r="AR16" i="2"/>
  <c r="AR5" i="2"/>
  <c r="AV14" i="2"/>
  <c r="AV13" i="2"/>
  <c r="AV12" i="2"/>
  <c r="AV11" i="2"/>
  <c r="AV10" i="2"/>
  <c r="AV9" i="2"/>
  <c r="AV8" i="2"/>
  <c r="AV7" i="2"/>
  <c r="AV6" i="2"/>
  <c r="AV5" i="2"/>
  <c r="AU14" i="2"/>
  <c r="AU13" i="2"/>
  <c r="AU12" i="2"/>
  <c r="AU11" i="2"/>
  <c r="AU10" i="2"/>
  <c r="AU9" i="2"/>
  <c r="AU8" i="2"/>
  <c r="AU7" i="2"/>
  <c r="AU6" i="2"/>
  <c r="AU5" i="2"/>
  <c r="AT6" i="2"/>
  <c r="AT7" i="2"/>
  <c r="AT8" i="2"/>
  <c r="AT9" i="2"/>
  <c r="AT10" i="2"/>
  <c r="AT11" i="2"/>
  <c r="AT12" i="2"/>
  <c r="AT13" i="2"/>
  <c r="AT14" i="2"/>
  <c r="AT5" i="2"/>
  <c r="AS6" i="2"/>
  <c r="AS7" i="2"/>
  <c r="AS8" i="2"/>
  <c r="AS9" i="2"/>
  <c r="AS10" i="2"/>
  <c r="AS11" i="2"/>
  <c r="AS12" i="2"/>
  <c r="AS13" i="2"/>
  <c r="AS14" i="2"/>
  <c r="AS5" i="2"/>
  <c r="AR6" i="2"/>
  <c r="AR7" i="2"/>
  <c r="AR8" i="2"/>
  <c r="AR9" i="2"/>
  <c r="AR10" i="2"/>
  <c r="AR11" i="2"/>
  <c r="AR12" i="2"/>
  <c r="AR13" i="2"/>
  <c r="AR14" i="2"/>
  <c r="Y11" i="2"/>
  <c r="Y10" i="2"/>
  <c r="W17" i="2"/>
  <c r="W16" i="2"/>
  <c r="W13" i="2"/>
  <c r="W12" i="2"/>
  <c r="W9" i="2"/>
  <c r="W8" i="2"/>
  <c r="W10" i="2" s="1"/>
  <c r="W11" i="2" s="1"/>
  <c r="W7" i="2"/>
  <c r="W6" i="2"/>
  <c r="W5" i="2"/>
  <c r="T10" i="2"/>
  <c r="S16" i="2"/>
  <c r="S13" i="2"/>
  <c r="S12" i="2"/>
  <c r="S9" i="2"/>
  <c r="S8" i="2"/>
  <c r="S7" i="2"/>
  <c r="S6" i="2"/>
  <c r="S5" i="2"/>
  <c r="O16" i="2"/>
  <c r="O13" i="2"/>
  <c r="O12" i="2"/>
  <c r="O9" i="2"/>
  <c r="O8" i="2"/>
  <c r="O7" i="2"/>
  <c r="O6" i="2"/>
  <c r="O5" i="2"/>
  <c r="K16" i="2"/>
  <c r="K13" i="2"/>
  <c r="K12" i="2"/>
  <c r="K9" i="2"/>
  <c r="K8" i="2"/>
  <c r="K7" i="2"/>
  <c r="K6" i="2"/>
  <c r="K5" i="2"/>
  <c r="G16" i="2"/>
  <c r="G13" i="2"/>
  <c r="G12" i="2"/>
  <c r="G9" i="2"/>
  <c r="G8" i="2"/>
  <c r="G7" i="2"/>
  <c r="G6" i="2"/>
  <c r="G5" i="2"/>
  <c r="AA14" i="2"/>
  <c r="E14" i="2"/>
  <c r="AA11" i="2"/>
  <c r="E11" i="2"/>
  <c r="AA10" i="2"/>
  <c r="Z10" i="2"/>
  <c r="Z11" i="2" s="1"/>
  <c r="Z14" i="2" s="1"/>
  <c r="Y14" i="2"/>
  <c r="X10" i="2"/>
  <c r="X11" i="2" s="1"/>
  <c r="X14" i="2" s="1"/>
  <c r="V10" i="2"/>
  <c r="V11" i="2" s="1"/>
  <c r="V14" i="2" s="1"/>
  <c r="U10" i="2"/>
  <c r="U11" i="2" s="1"/>
  <c r="U14" i="2" s="1"/>
  <c r="T11" i="2"/>
  <c r="T14" i="2" s="1"/>
  <c r="R10" i="2"/>
  <c r="R11" i="2" s="1"/>
  <c r="R14" i="2" s="1"/>
  <c r="Q10" i="2"/>
  <c r="Q11" i="2" s="1"/>
  <c r="Q14" i="2" s="1"/>
  <c r="P10" i="2"/>
  <c r="P11" i="2" s="1"/>
  <c r="P14" i="2" s="1"/>
  <c r="O10" i="2"/>
  <c r="O11" i="2" s="1"/>
  <c r="O14" i="2" s="1"/>
  <c r="N10" i="2"/>
  <c r="N11" i="2" s="1"/>
  <c r="N14" i="2" s="1"/>
  <c r="M10" i="2"/>
  <c r="M11" i="2" s="1"/>
  <c r="M14" i="2" s="1"/>
  <c r="L10" i="2"/>
  <c r="L11" i="2" s="1"/>
  <c r="L14" i="2" s="1"/>
  <c r="J10" i="2"/>
  <c r="J11" i="2" s="1"/>
  <c r="J14" i="2" s="1"/>
  <c r="I10" i="2"/>
  <c r="I11" i="2" s="1"/>
  <c r="I14" i="2" s="1"/>
  <c r="H10" i="2"/>
  <c r="H11" i="2" s="1"/>
  <c r="H14" i="2" s="1"/>
  <c r="F10" i="2"/>
  <c r="F11" i="2" s="1"/>
  <c r="F14" i="2" s="1"/>
  <c r="E10" i="2"/>
  <c r="D10" i="2"/>
  <c r="D11" i="2" s="1"/>
  <c r="D14" i="2" s="1"/>
  <c r="AS4" i="2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AQ4" i="2"/>
  <c r="AP4" i="2" s="1"/>
  <c r="AO4" i="2" s="1"/>
  <c r="AN4" i="2" s="1"/>
  <c r="AM4" i="2" s="1"/>
  <c r="AL4" i="2" s="1"/>
  <c r="AK4" i="2" s="1"/>
  <c r="AJ4" i="2" s="1"/>
  <c r="D19" i="1"/>
  <c r="D22" i="1" s="1"/>
  <c r="A2" i="1"/>
  <c r="W14" i="2" l="1"/>
  <c r="S10" i="2"/>
  <c r="S11" i="2" s="1"/>
  <c r="S14" i="2" s="1"/>
  <c r="K10" i="2"/>
  <c r="K11" i="2" s="1"/>
  <c r="K14" i="2" s="1"/>
  <c r="G10" i="2"/>
  <c r="G11" i="2" s="1"/>
  <c r="G14" i="2" s="1"/>
</calcChain>
</file>

<file path=xl/sharedStrings.xml><?xml version="1.0" encoding="utf-8"?>
<sst xmlns="http://schemas.openxmlformats.org/spreadsheetml/2006/main" count="84" uniqueCount="82">
  <si>
    <t>ALL IN $ USD</t>
  </si>
  <si>
    <t>| - Ethan Cratchley</t>
  </si>
  <si>
    <t>Model</t>
  </si>
  <si>
    <t>ALL $ IN USD MILLIONS</t>
  </si>
  <si>
    <t>Main</t>
  </si>
  <si>
    <t>Company Name:</t>
  </si>
  <si>
    <t>Ticker:</t>
  </si>
  <si>
    <t>Founder:</t>
  </si>
  <si>
    <t xml:space="preserve">Industry: </t>
  </si>
  <si>
    <t>Location:</t>
  </si>
  <si>
    <t>Website:</t>
  </si>
  <si>
    <t>Founded:</t>
  </si>
  <si>
    <t>Meta (Facebook)</t>
  </si>
  <si>
    <t>META</t>
  </si>
  <si>
    <t>07/01/2004</t>
  </si>
  <si>
    <t>meta.com</t>
  </si>
  <si>
    <t>Menlo Park, California, USA</t>
  </si>
  <si>
    <t>Employees:</t>
  </si>
  <si>
    <t>Description:</t>
  </si>
  <si>
    <t>Social Media, Hardware</t>
  </si>
  <si>
    <t>CEO:</t>
  </si>
  <si>
    <t>CFO:</t>
  </si>
  <si>
    <t>CAO</t>
  </si>
  <si>
    <t>Susan Li</t>
  </si>
  <si>
    <t xml:space="preserve">Mark Zuckerberg </t>
  </si>
  <si>
    <t>Javier Olivan</t>
  </si>
  <si>
    <t>Basic Info:</t>
  </si>
  <si>
    <t>P</t>
  </si>
  <si>
    <t>S/O</t>
  </si>
  <si>
    <t>MC</t>
  </si>
  <si>
    <t>C</t>
  </si>
  <si>
    <t>D</t>
  </si>
  <si>
    <t>EV</t>
  </si>
  <si>
    <t>Quarterly Reports:</t>
  </si>
  <si>
    <t>Annual Reports:</t>
  </si>
  <si>
    <t>Q1 -2018</t>
  </si>
  <si>
    <t>Q2 - 2018</t>
  </si>
  <si>
    <t>Q3 -2018</t>
  </si>
  <si>
    <t>Q4 - 2018</t>
  </si>
  <si>
    <t>Q1 - 2019</t>
  </si>
  <si>
    <t>Q2 - 2019</t>
  </si>
  <si>
    <t>Q3 -2019</t>
  </si>
  <si>
    <t>Q4 -2019</t>
  </si>
  <si>
    <t>Q1 - 2020</t>
  </si>
  <si>
    <t>Q2 -2020</t>
  </si>
  <si>
    <t>Q3 - 2020</t>
  </si>
  <si>
    <t>Q4 -2020</t>
  </si>
  <si>
    <t>Q1 -2021</t>
  </si>
  <si>
    <t>Q2 - 2021</t>
  </si>
  <si>
    <t>Q3 - 2021</t>
  </si>
  <si>
    <t>Q4 - 2021</t>
  </si>
  <si>
    <t>Q1 - 2022</t>
  </si>
  <si>
    <t>Q2 - 2022</t>
  </si>
  <si>
    <t>Q3 - 2022</t>
  </si>
  <si>
    <t>Q4 - 2022</t>
  </si>
  <si>
    <t>Q1 - 2023</t>
  </si>
  <si>
    <t>Q2 - 2023</t>
  </si>
  <si>
    <t>Q3- 2023</t>
  </si>
  <si>
    <t>Q4 - 2023</t>
  </si>
  <si>
    <t>Total Revenue</t>
  </si>
  <si>
    <t>Cost of Revenue</t>
  </si>
  <si>
    <t>R&amp;D</t>
  </si>
  <si>
    <t>M&amp;S</t>
  </si>
  <si>
    <t>G&amp;A</t>
  </si>
  <si>
    <t>Total COGS</t>
  </si>
  <si>
    <t>Gross Profit</t>
  </si>
  <si>
    <t>Interest and Other Income</t>
  </si>
  <si>
    <t>Taxes</t>
  </si>
  <si>
    <t>Net Income</t>
  </si>
  <si>
    <t>EPS (Diluted)</t>
  </si>
  <si>
    <t>W S/O (Diluted)</t>
  </si>
  <si>
    <t>Revenue Growth</t>
  </si>
  <si>
    <t>Net Income Growth</t>
  </si>
  <si>
    <t>NPV</t>
  </si>
  <si>
    <t>Maturity</t>
  </si>
  <si>
    <t>Discount Rate</t>
  </si>
  <si>
    <t>Cash</t>
  </si>
  <si>
    <t>Net NPV</t>
  </si>
  <si>
    <t>Information:</t>
  </si>
  <si>
    <t>Current</t>
  </si>
  <si>
    <t>Share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</si>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</sst>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3" fontId="0" fillId="0" borderId="0" xfId="0" applyNumberFormat="1"/>
    <xf numFmtId="0" fontId="3" fillId="0" borderId="0" xfId="1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 vertical="top"/>
    </xf>
    <xf numFmtId="2" fontId="0" fillId="0" borderId="0" xfId="0" applyNumberFormat="1"/>
    <xf numFmtId="9" fontId="0" fillId="0" borderId="0" xfId="0" applyNumberFormat="1"/>
    <xf numFmtId="10" fontId="0" fillId="0" borderId="0" xfId="0" applyNumberFormat="1"/>
    <xf numFmtId="10" fontId="1" fillId="0" borderId="0" xfId="0" applyNumberFormat="1" applyFont="1"/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3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0" formatCode="General"/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1AA3-C578-4930-AA4F-F8C9E8A9B98B}">
  <dimension ref="A1:F23"/>
  <sheetViews>
    <sheetView workbookViewId="0">
      <selection activeCell="G30" sqref="G30"/>
    </sheetView>
  </sheetViews>
  <sheetFormatPr defaultRowHeight="15" x14ac:dyDescent="0.25"/>
  <cols>
    <col min="1" max="1" width="10.42578125" bestFit="1" customWidth="1"/>
    <col min="3" max="3" width="15.7109375" bestFit="1" customWidth="1"/>
    <col min="4" max="4" width="25.7109375" bestFit="1" customWidth="1"/>
    <col min="6" max="6" width="11.7109375" bestFit="1" customWidth="1"/>
  </cols>
  <sheetData>
    <row r="1" spans="1:6" x14ac:dyDescent="0.25">
      <c r="A1" s="2" t="s">
        <v>0</v>
      </c>
    </row>
    <row r="2" spans="1:6" x14ac:dyDescent="0.25">
      <c r="A2">
        <f ca="1">TODAY()</f>
        <v>45256</v>
      </c>
      <c r="C2" s="1" t="s">
        <v>5</v>
      </c>
      <c r="D2" t="s">
        <v>12</v>
      </c>
      <c r="F2" s="1" t="s">
        <v>18</v>
      </c>
    </row>
    <row r="3" spans="1:6" x14ac:dyDescent="0.25">
      <c r="C3" s="1" t="s">
        <v>6</v>
      </c>
      <c r="D3" t="s">
        <v>13</v>
      </c>
    </row>
    <row r="4" spans="1:6" x14ac:dyDescent="0.25">
      <c r="A4" t="s">
        <v>1</v>
      </c>
      <c r="C4" s="1" t="s">
        <v>7</v>
      </c>
      <c r="D4" t="s">
        <v>24</v>
      </c>
    </row>
    <row r="5" spans="1:6" x14ac:dyDescent="0.25">
      <c r="C5" s="1" t="s">
        <v>8</v>
      </c>
      <c r="D5" t="s">
        <v>19</v>
      </c>
    </row>
    <row r="6" spans="1:6" x14ac:dyDescent="0.25">
      <c r="A6" s="5" t="s">
        <v>2</v>
      </c>
      <c r="C6" s="1" t="s">
        <v>9</v>
      </c>
      <c r="D6" t="s">
        <v>16</v>
      </c>
    </row>
    <row r="7" spans="1:6" x14ac:dyDescent="0.25">
      <c r="C7" s="1" t="s">
        <v>10</v>
      </c>
      <c r="D7" t="s">
        <v>15</v>
      </c>
    </row>
    <row r="8" spans="1:6" x14ac:dyDescent="0.25">
      <c r="C8" s="1" t="s">
        <v>11</v>
      </c>
      <c r="D8" t="s">
        <v>14</v>
      </c>
    </row>
    <row r="9" spans="1:6" x14ac:dyDescent="0.25">
      <c r="C9" s="1" t="s">
        <v>17</v>
      </c>
      <c r="D9" s="4">
        <v>66185</v>
      </c>
    </row>
    <row r="11" spans="1:6" x14ac:dyDescent="0.25">
      <c r="C11" s="1" t="s">
        <v>20</v>
      </c>
      <c r="D11" t="s">
        <v>24</v>
      </c>
    </row>
    <row r="12" spans="1:6" x14ac:dyDescent="0.25">
      <c r="C12" s="1" t="s">
        <v>21</v>
      </c>
      <c r="D12" t="s">
        <v>23</v>
      </c>
    </row>
    <row r="13" spans="1:6" x14ac:dyDescent="0.25">
      <c r="C13" s="1" t="s">
        <v>22</v>
      </c>
      <c r="D13" t="s">
        <v>25</v>
      </c>
    </row>
    <row r="16" spans="1:6" x14ac:dyDescent="0.25">
      <c r="C16" s="1" t="s">
        <v>26</v>
      </c>
    </row>
    <row r="17" spans="3:6" x14ac:dyDescent="0.25">
      <c r="C17" t="s">
        <v>27</v>
      </c>
      <c r="D17">
        <v>338</v>
      </c>
    </row>
    <row r="18" spans="3:6" x14ac:dyDescent="0.25">
      <c r="C18" t="s">
        <v>28</v>
      </c>
      <c r="D18" s="4">
        <f>257600/100</f>
        <v>2576</v>
      </c>
    </row>
    <row r="19" spans="3:6" x14ac:dyDescent="0.25">
      <c r="C19" t="s">
        <v>29</v>
      </c>
      <c r="D19" s="4">
        <f>D18*D17</f>
        <v>870688</v>
      </c>
      <c r="F19" s="4"/>
    </row>
    <row r="20" spans="3:6" x14ac:dyDescent="0.25">
      <c r="C20" t="s">
        <v>30</v>
      </c>
      <c r="D20" s="4">
        <v>611200</v>
      </c>
    </row>
    <row r="21" spans="3:6" x14ac:dyDescent="0.25">
      <c r="C21" t="s">
        <v>31</v>
      </c>
      <c r="D21" s="4">
        <v>368800</v>
      </c>
    </row>
    <row r="22" spans="3:6" x14ac:dyDescent="0.25">
      <c r="C22" t="s">
        <v>32</v>
      </c>
      <c r="D22" s="4">
        <f>D19+D20-D21</f>
        <v>1113088</v>
      </c>
    </row>
    <row r="23" spans="3:6" x14ac:dyDescent="0.25">
      <c r="D23" s="4"/>
    </row>
  </sheetData>
  <conditionalFormatting sqref="A1:XFD1 A2:B8 D2:XFD8 A9:XFD1048576">
    <cfRule type="expression" dxfId="2" priority="2">
      <formula>MOD(ROW(),2)=0</formula>
    </cfRule>
  </conditionalFormatting>
  <conditionalFormatting sqref="C2:C8">
    <cfRule type="expression" dxfId="1" priority="1">
      <formula>MOD(ROW(),2)=0</formula>
    </cfRule>
  </conditionalFormatting>
  <hyperlinks>
    <hyperlink ref="A6" location="Model!A1" display="Model" xr:uid="{BF19362E-42C7-4B0B-94B2-126520E918E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CDFC0-4B1C-44DC-A59B-D375A632DFC2}">
  <dimension ref="A1:GA21"/>
  <sheetViews>
    <sheetView tabSelected="1" topLeftCell="T1" workbookViewId="0">
      <selection activeCell="AD9" sqref="AD9"/>
    </sheetView>
  </sheetViews>
  <sheetFormatPr defaultRowHeight="15" x14ac:dyDescent="0.25"/>
  <cols>
    <col min="3" max="3" width="17.5703125" bestFit="1" customWidth="1"/>
    <col min="4" max="4" width="8.5703125" bestFit="1" customWidth="1"/>
    <col min="5" max="5" width="9" bestFit="1" customWidth="1"/>
    <col min="6" max="6" width="8.5703125" bestFit="1" customWidth="1"/>
    <col min="7" max="9" width="9" bestFit="1" customWidth="1"/>
    <col min="10" max="11" width="8.5703125" bestFit="1" customWidth="1"/>
    <col min="12" max="12" width="9" bestFit="1" customWidth="1"/>
    <col min="13" max="13" width="8.5703125" bestFit="1" customWidth="1"/>
    <col min="14" max="14" width="9" bestFit="1" customWidth="1"/>
    <col min="15" max="16" width="8.5703125" bestFit="1" customWidth="1"/>
    <col min="17" max="25" width="9" bestFit="1" customWidth="1"/>
    <col min="26" max="26" width="8.5703125" bestFit="1" customWidth="1"/>
    <col min="27" max="27" width="9" bestFit="1" customWidth="1"/>
    <col min="29" max="29" width="11.5703125" bestFit="1" customWidth="1"/>
    <col min="30" max="30" width="12.7109375" bestFit="1" customWidth="1"/>
    <col min="32" max="32" width="15.28515625" bestFit="1" customWidth="1"/>
    <col min="35" max="35" width="15.28515625" bestFit="1" customWidth="1"/>
    <col min="36" max="43" width="5" bestFit="1" customWidth="1"/>
    <col min="44" max="44" width="9.140625" customWidth="1"/>
    <col min="45" max="45" width="9.42578125" customWidth="1"/>
    <col min="46" max="46" width="10.85546875" customWidth="1"/>
    <col min="47" max="47" width="12.5703125" customWidth="1"/>
    <col min="48" max="48" width="14" customWidth="1"/>
    <col min="49" max="49" width="13.85546875" customWidth="1"/>
    <col min="50" max="183" width="6.5703125" bestFit="1" customWidth="1"/>
  </cols>
  <sheetData>
    <row r="1" spans="1:183" x14ac:dyDescent="0.25">
      <c r="A1" s="2" t="s">
        <v>3</v>
      </c>
    </row>
    <row r="2" spans="1:183" x14ac:dyDescent="0.25">
      <c r="A2" s="3" t="s">
        <v>4</v>
      </c>
    </row>
    <row r="3" spans="1:183" x14ac:dyDescent="0.25">
      <c r="A3" s="3"/>
      <c r="C3" s="1" t="s">
        <v>33</v>
      </c>
      <c r="D3" s="1"/>
      <c r="E3" s="1"/>
      <c r="F3" s="1"/>
      <c r="AI3" s="1" t="s">
        <v>34</v>
      </c>
      <c r="AJ3" s="1"/>
      <c r="AK3" s="1"/>
      <c r="AL3" s="1"/>
      <c r="AM3" s="1"/>
      <c r="AN3" s="1"/>
      <c r="AO3" s="1"/>
      <c r="AP3" s="1"/>
      <c r="AQ3" s="1"/>
    </row>
    <row r="4" spans="1:183" x14ac:dyDescent="0.25">
      <c r="D4" t="s">
        <v>35</v>
      </c>
      <c r="E4" t="s">
        <v>36</v>
      </c>
      <c r="F4" t="s">
        <v>37</v>
      </c>
      <c r="G4" s="6" t="s">
        <v>38</v>
      </c>
      <c r="H4" s="7" t="s">
        <v>39</v>
      </c>
      <c r="I4" s="7" t="s">
        <v>40</v>
      </c>
      <c r="J4" s="7" t="s">
        <v>41</v>
      </c>
      <c r="K4" s="6" t="s">
        <v>42</v>
      </c>
      <c r="L4" s="7" t="s">
        <v>43</v>
      </c>
      <c r="M4" s="7" t="s">
        <v>44</v>
      </c>
      <c r="N4" s="7" t="s">
        <v>45</v>
      </c>
      <c r="O4" s="6" t="s">
        <v>46</v>
      </c>
      <c r="P4" s="7" t="s">
        <v>47</v>
      </c>
      <c r="Q4" s="7" t="s">
        <v>48</v>
      </c>
      <c r="R4" s="7" t="s">
        <v>49</v>
      </c>
      <c r="S4" s="6" t="s">
        <v>50</v>
      </c>
      <c r="T4" s="7" t="s">
        <v>51</v>
      </c>
      <c r="U4" s="7" t="s">
        <v>52</v>
      </c>
      <c r="V4" s="7" t="s">
        <v>53</v>
      </c>
      <c r="W4" s="6" t="s">
        <v>54</v>
      </c>
      <c r="X4" s="7" t="s">
        <v>55</v>
      </c>
      <c r="Y4" s="7" t="s">
        <v>56</v>
      </c>
      <c r="Z4" s="7" t="s">
        <v>57</v>
      </c>
      <c r="AA4" s="6" t="s">
        <v>58</v>
      </c>
      <c r="AC4" s="8" t="s">
        <v>78</v>
      </c>
      <c r="AF4" s="1"/>
      <c r="AJ4" s="1">
        <f t="shared" ref="AJ4:AP4" si="0">AK4-1</f>
        <v>2010</v>
      </c>
      <c r="AK4" s="1">
        <f t="shared" si="0"/>
        <v>2011</v>
      </c>
      <c r="AL4" s="1">
        <f t="shared" si="0"/>
        <v>2012</v>
      </c>
      <c r="AM4" s="1">
        <f t="shared" si="0"/>
        <v>2013</v>
      </c>
      <c r="AN4" s="1">
        <f t="shared" si="0"/>
        <v>2014</v>
      </c>
      <c r="AO4" s="1">
        <f t="shared" si="0"/>
        <v>2015</v>
      </c>
      <c r="AP4" s="1">
        <f t="shared" si="0"/>
        <v>2016</v>
      </c>
      <c r="AQ4" s="1">
        <f>AR4-1</f>
        <v>2017</v>
      </c>
      <c r="AR4" s="1">
        <v>2018</v>
      </c>
      <c r="AS4" s="1">
        <f>AR4+1</f>
        <v>2019</v>
      </c>
      <c r="AT4" s="1">
        <f t="shared" ref="AT4:BN4" si="1">AS4+1</f>
        <v>2020</v>
      </c>
      <c r="AU4" s="1">
        <f t="shared" si="1"/>
        <v>2021</v>
      </c>
      <c r="AV4" s="1">
        <f t="shared" si="1"/>
        <v>2022</v>
      </c>
      <c r="AW4" s="1">
        <f t="shared" si="1"/>
        <v>2023</v>
      </c>
      <c r="AX4" s="1">
        <f t="shared" si="1"/>
        <v>2024</v>
      </c>
      <c r="AY4" s="1">
        <f t="shared" si="1"/>
        <v>2025</v>
      </c>
      <c r="AZ4" s="1">
        <f t="shared" si="1"/>
        <v>2026</v>
      </c>
      <c r="BA4" s="1">
        <f t="shared" si="1"/>
        <v>2027</v>
      </c>
      <c r="BB4" s="1">
        <f t="shared" si="1"/>
        <v>2028</v>
      </c>
      <c r="BC4" s="1">
        <f t="shared" si="1"/>
        <v>2029</v>
      </c>
      <c r="BD4" s="1">
        <f t="shared" si="1"/>
        <v>2030</v>
      </c>
      <c r="BE4" s="1">
        <f t="shared" si="1"/>
        <v>2031</v>
      </c>
      <c r="BF4" s="1">
        <f t="shared" si="1"/>
        <v>2032</v>
      </c>
      <c r="BG4" s="1">
        <f t="shared" si="1"/>
        <v>2033</v>
      </c>
      <c r="BH4" s="1">
        <f t="shared" si="1"/>
        <v>2034</v>
      </c>
      <c r="BI4" s="1">
        <f t="shared" si="1"/>
        <v>2035</v>
      </c>
      <c r="BJ4" s="1">
        <f t="shared" si="1"/>
        <v>2036</v>
      </c>
      <c r="BK4" s="1">
        <f t="shared" si="1"/>
        <v>2037</v>
      </c>
      <c r="BL4" s="1">
        <f t="shared" si="1"/>
        <v>2038</v>
      </c>
      <c r="BM4" s="1">
        <f t="shared" si="1"/>
        <v>2039</v>
      </c>
      <c r="BN4" s="1">
        <f t="shared" si="1"/>
        <v>2040</v>
      </c>
    </row>
    <row r="5" spans="1:183" x14ac:dyDescent="0.25">
      <c r="C5" s="1" t="s">
        <v>59</v>
      </c>
      <c r="D5" s="4">
        <v>11966</v>
      </c>
      <c r="E5" s="4">
        <v>13231</v>
      </c>
      <c r="F5" s="4">
        <v>13727</v>
      </c>
      <c r="G5" s="4">
        <f>55838-F5-E5-D5</f>
        <v>16914</v>
      </c>
      <c r="H5" s="4">
        <v>15077</v>
      </c>
      <c r="I5" s="4">
        <v>16886</v>
      </c>
      <c r="J5" s="4">
        <v>17652</v>
      </c>
      <c r="K5" s="4">
        <f>70697-J5-I5-H5</f>
        <v>21082</v>
      </c>
      <c r="L5" s="4">
        <v>17737</v>
      </c>
      <c r="M5" s="4">
        <v>18687</v>
      </c>
      <c r="N5" s="4">
        <v>21470</v>
      </c>
      <c r="O5" s="4">
        <f>85965-N5-M5-L5</f>
        <v>28071</v>
      </c>
      <c r="P5" s="4">
        <v>26171</v>
      </c>
      <c r="Q5" s="4">
        <v>29077</v>
      </c>
      <c r="R5" s="4">
        <v>29010</v>
      </c>
      <c r="S5" s="4">
        <f>117929-R5-Q5-P5</f>
        <v>33671</v>
      </c>
      <c r="T5" s="4">
        <v>27908</v>
      </c>
      <c r="U5" s="4">
        <v>28822</v>
      </c>
      <c r="V5" s="4">
        <v>27714</v>
      </c>
      <c r="W5" s="4">
        <f>116609-V5-U5-T5</f>
        <v>32165</v>
      </c>
      <c r="X5" s="4">
        <v>28645</v>
      </c>
      <c r="Y5" s="4">
        <v>31999</v>
      </c>
      <c r="Z5" s="4">
        <v>34146</v>
      </c>
      <c r="AA5" s="4"/>
      <c r="AB5" s="4"/>
      <c r="AC5" s="4" t="s">
        <v>74</v>
      </c>
      <c r="AD5" s="11">
        <v>0.05</v>
      </c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>
        <f>SUM(D5:G5)</f>
        <v>55838</v>
      </c>
      <c r="AS5" s="4">
        <f>SUM(H5:K5)</f>
        <v>70697</v>
      </c>
      <c r="AT5" s="4">
        <f>SUM(L5:O5)</f>
        <v>85965</v>
      </c>
      <c r="AU5" s="4">
        <f>SUM(P5:S5)</f>
        <v>117929</v>
      </c>
      <c r="AV5" s="4">
        <f>SUM(T5:W5)</f>
        <v>116609</v>
      </c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</row>
    <row r="6" spans="1:183" x14ac:dyDescent="0.25">
      <c r="C6" t="s">
        <v>60</v>
      </c>
      <c r="D6" s="4">
        <v>1927</v>
      </c>
      <c r="E6" s="4">
        <v>2214</v>
      </c>
      <c r="F6" s="4">
        <v>2418</v>
      </c>
      <c r="G6" s="4">
        <f>9355-F6-E6-D6</f>
        <v>2796</v>
      </c>
      <c r="H6" s="4">
        <v>2816</v>
      </c>
      <c r="I6" s="4">
        <v>3307</v>
      </c>
      <c r="J6" s="4">
        <v>3155</v>
      </c>
      <c r="K6" s="4">
        <f>12770-J6-I6-H6</f>
        <v>3492</v>
      </c>
      <c r="L6" s="4">
        <v>3459</v>
      </c>
      <c r="M6" s="4">
        <v>3829</v>
      </c>
      <c r="N6" s="4">
        <v>4194</v>
      </c>
      <c r="O6" s="4">
        <f>16692-N6-M6-L6</f>
        <v>5210</v>
      </c>
      <c r="P6" s="4">
        <v>5131</v>
      </c>
      <c r="Q6" s="4">
        <v>5399</v>
      </c>
      <c r="R6" s="4">
        <v>5771</v>
      </c>
      <c r="S6" s="4">
        <f>22649-R6-Q6-P6</f>
        <v>6348</v>
      </c>
      <c r="T6" s="4">
        <v>6005</v>
      </c>
      <c r="U6" s="4">
        <v>5192</v>
      </c>
      <c r="V6" s="4">
        <v>5716</v>
      </c>
      <c r="W6" s="4">
        <f>25249-V6-U6-T6</f>
        <v>8336</v>
      </c>
      <c r="X6" s="4">
        <v>6108</v>
      </c>
      <c r="Y6" s="4">
        <v>5945</v>
      </c>
      <c r="Z6" s="4">
        <v>6210</v>
      </c>
      <c r="AA6" s="4"/>
      <c r="AB6" s="4"/>
      <c r="AC6" s="4" t="s">
        <v>75</v>
      </c>
      <c r="AD6" s="11">
        <v>6.5000000000000002E-2</v>
      </c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>
        <f t="shared" ref="AR6:AR14" si="2">SUM(D6:G6)</f>
        <v>9355</v>
      </c>
      <c r="AS6" s="4">
        <f t="shared" ref="AS6:AS14" si="3">SUM(H6:K6)</f>
        <v>12770</v>
      </c>
      <c r="AT6" s="4">
        <f t="shared" ref="AT6:AT14" si="4">SUM(L6:O6)</f>
        <v>16692</v>
      </c>
      <c r="AU6" s="4">
        <f t="shared" ref="AU6:AU14" si="5">SUM(P6:S6)</f>
        <v>22649</v>
      </c>
      <c r="AV6" s="4">
        <f t="shared" ref="AV6:AV14" si="6">SUM(T6:W6)</f>
        <v>25249</v>
      </c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</row>
    <row r="7" spans="1:183" x14ac:dyDescent="0.25">
      <c r="C7" t="s">
        <v>61</v>
      </c>
      <c r="D7" s="4">
        <v>2238</v>
      </c>
      <c r="E7" s="4">
        <v>2523</v>
      </c>
      <c r="F7" s="4">
        <v>2657</v>
      </c>
      <c r="G7" s="4">
        <f>10273-F7-E7-D7</f>
        <v>2855</v>
      </c>
      <c r="H7" s="4">
        <v>2860</v>
      </c>
      <c r="I7" s="4">
        <v>3315</v>
      </c>
      <c r="J7" s="4">
        <v>3548</v>
      </c>
      <c r="K7" s="4">
        <f>13600-J7-I7-H7</f>
        <v>3877</v>
      </c>
      <c r="L7" s="4">
        <v>4015</v>
      </c>
      <c r="M7" s="4">
        <v>4462</v>
      </c>
      <c r="N7" s="4">
        <v>4763</v>
      </c>
      <c r="O7" s="4">
        <f>18447-N7-M7-L7</f>
        <v>5207</v>
      </c>
      <c r="P7" s="4">
        <v>5197</v>
      </c>
      <c r="Q7" s="4">
        <v>6096</v>
      </c>
      <c r="R7" s="4">
        <v>6316</v>
      </c>
      <c r="S7" s="4">
        <f>24655-R7-Q7-P7</f>
        <v>7046</v>
      </c>
      <c r="T7" s="4">
        <v>7707</v>
      </c>
      <c r="U7" s="4">
        <v>8690</v>
      </c>
      <c r="V7" s="4">
        <v>9170</v>
      </c>
      <c r="W7" s="4">
        <f>35338-V7-U7-T7</f>
        <v>9771</v>
      </c>
      <c r="X7" s="4">
        <v>9381</v>
      </c>
      <c r="Y7" s="4">
        <v>9344</v>
      </c>
      <c r="Z7" s="4">
        <v>9241</v>
      </c>
      <c r="AA7" s="4"/>
      <c r="AB7" s="4"/>
      <c r="AC7" s="13" t="s">
        <v>73</v>
      </c>
      <c r="AD7" s="4">
        <f>NPV(AD6,AR14:GA14)</f>
        <v>1130321.8705519533</v>
      </c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>
        <f t="shared" si="2"/>
        <v>10273</v>
      </c>
      <c r="AS7" s="4">
        <f t="shared" si="3"/>
        <v>13600</v>
      </c>
      <c r="AT7" s="4">
        <f t="shared" si="4"/>
        <v>18447</v>
      </c>
      <c r="AU7" s="4">
        <f t="shared" si="5"/>
        <v>24655</v>
      </c>
      <c r="AV7" s="4">
        <f t="shared" si="6"/>
        <v>35338</v>
      </c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</row>
    <row r="8" spans="1:183" x14ac:dyDescent="0.25">
      <c r="C8" t="s">
        <v>62</v>
      </c>
      <c r="D8" s="4">
        <v>1595</v>
      </c>
      <c r="E8" s="4">
        <v>1855</v>
      </c>
      <c r="F8" s="4">
        <v>1928</v>
      </c>
      <c r="G8" s="4">
        <f>7846-F8-E8-D8</f>
        <v>2468</v>
      </c>
      <c r="H8" s="4">
        <v>2020</v>
      </c>
      <c r="I8" s="4">
        <v>2414</v>
      </c>
      <c r="J8" s="4">
        <v>2416</v>
      </c>
      <c r="K8" s="4">
        <f>9876-J8-I8-H8</f>
        <v>3026</v>
      </c>
      <c r="L8" s="4">
        <v>2787</v>
      </c>
      <c r="M8" s="4">
        <v>2840</v>
      </c>
      <c r="N8" s="4">
        <v>2683</v>
      </c>
      <c r="O8" s="4">
        <f>11591-N8-M8-L8</f>
        <v>3281</v>
      </c>
      <c r="P8" s="4">
        <v>2843</v>
      </c>
      <c r="Q8" s="4">
        <v>3259</v>
      </c>
      <c r="R8" s="4">
        <v>3554</v>
      </c>
      <c r="S8" s="4">
        <f>14043-R8-Q8-P8</f>
        <v>4387</v>
      </c>
      <c r="T8" s="4">
        <v>3312</v>
      </c>
      <c r="U8" s="4">
        <v>3595</v>
      </c>
      <c r="V8" s="4">
        <v>3780</v>
      </c>
      <c r="W8" s="4">
        <f>15262-V8-U8-T8</f>
        <v>4575</v>
      </c>
      <c r="X8" s="4">
        <v>3044</v>
      </c>
      <c r="Y8" s="4">
        <v>3154</v>
      </c>
      <c r="Z8" s="4">
        <v>2877</v>
      </c>
      <c r="AA8" s="4"/>
      <c r="AB8" s="4"/>
      <c r="AC8" s="4" t="s">
        <v>76</v>
      </c>
      <c r="AD8" s="4">
        <f>Main!D20</f>
        <v>611200</v>
      </c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>
        <f t="shared" si="2"/>
        <v>7846</v>
      </c>
      <c r="AS8" s="4">
        <f t="shared" si="3"/>
        <v>9876</v>
      </c>
      <c r="AT8" s="4">
        <f t="shared" si="4"/>
        <v>11591</v>
      </c>
      <c r="AU8" s="4">
        <f t="shared" si="5"/>
        <v>14043</v>
      </c>
      <c r="AV8" s="4">
        <f t="shared" si="6"/>
        <v>15262</v>
      </c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</row>
    <row r="9" spans="1:183" x14ac:dyDescent="0.25">
      <c r="C9" t="s">
        <v>63</v>
      </c>
      <c r="D9" s="4">
        <v>757</v>
      </c>
      <c r="E9" s="4">
        <v>776</v>
      </c>
      <c r="F9" s="4">
        <v>943</v>
      </c>
      <c r="G9" s="4">
        <f>3451-F9-E9-D9</f>
        <v>975</v>
      </c>
      <c r="H9" s="4">
        <v>4064</v>
      </c>
      <c r="I9" s="4">
        <v>3224</v>
      </c>
      <c r="J9" s="4">
        <v>1348</v>
      </c>
      <c r="K9" s="4">
        <f>10465-J9-I9-H9</f>
        <v>1829</v>
      </c>
      <c r="L9" s="4">
        <v>1583</v>
      </c>
      <c r="M9" s="4">
        <v>1593</v>
      </c>
      <c r="N9" s="4">
        <v>1790</v>
      </c>
      <c r="O9" s="4">
        <f>6564-N9-M9-L9</f>
        <v>1598</v>
      </c>
      <c r="P9" s="4">
        <v>1622</v>
      </c>
      <c r="Q9" s="4">
        <v>1956</v>
      </c>
      <c r="R9" s="4">
        <v>2946</v>
      </c>
      <c r="S9" s="4">
        <f>9829-R9-Q9-P9</f>
        <v>3305</v>
      </c>
      <c r="T9" s="4">
        <v>2360</v>
      </c>
      <c r="U9" s="4">
        <v>2987</v>
      </c>
      <c r="V9" s="4">
        <v>3384</v>
      </c>
      <c r="W9" s="4">
        <f>11816-V9-U9-T9</f>
        <v>3085</v>
      </c>
      <c r="X9" s="4">
        <v>2885</v>
      </c>
      <c r="Y9" s="4">
        <v>4164</v>
      </c>
      <c r="Z9" s="4">
        <v>2070</v>
      </c>
      <c r="AA9" s="4"/>
      <c r="AB9" s="4"/>
      <c r="AC9" s="13" t="s">
        <v>77</v>
      </c>
      <c r="AD9" s="4">
        <f>(AD7+AD8)</f>
        <v>1741521.8705519533</v>
      </c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>
        <f t="shared" si="2"/>
        <v>3451</v>
      </c>
      <c r="AS9" s="4">
        <f t="shared" si="3"/>
        <v>10465</v>
      </c>
      <c r="AT9" s="4">
        <f t="shared" si="4"/>
        <v>6564</v>
      </c>
      <c r="AU9" s="4">
        <f t="shared" si="5"/>
        <v>9829</v>
      </c>
      <c r="AV9" s="4">
        <f t="shared" si="6"/>
        <v>11816</v>
      </c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</row>
    <row r="10" spans="1:183" x14ac:dyDescent="0.25">
      <c r="C10" s="1" t="s">
        <v>64</v>
      </c>
      <c r="D10" s="4">
        <f>SUM(D6:D9)</f>
        <v>6517</v>
      </c>
      <c r="E10" s="4">
        <f t="shared" ref="E10:AA10" si="7">SUM(E6:E9)</f>
        <v>7368</v>
      </c>
      <c r="F10" s="4">
        <f t="shared" si="7"/>
        <v>7946</v>
      </c>
      <c r="G10" s="4">
        <f t="shared" si="7"/>
        <v>9094</v>
      </c>
      <c r="H10" s="4">
        <f t="shared" si="7"/>
        <v>11760</v>
      </c>
      <c r="I10" s="4">
        <f t="shared" si="7"/>
        <v>12260</v>
      </c>
      <c r="J10" s="4">
        <f t="shared" si="7"/>
        <v>10467</v>
      </c>
      <c r="K10" s="4">
        <f t="shared" si="7"/>
        <v>12224</v>
      </c>
      <c r="L10" s="4">
        <f t="shared" si="7"/>
        <v>11844</v>
      </c>
      <c r="M10" s="4">
        <f t="shared" si="7"/>
        <v>12724</v>
      </c>
      <c r="N10" s="4">
        <f t="shared" si="7"/>
        <v>13430</v>
      </c>
      <c r="O10" s="4">
        <f t="shared" si="7"/>
        <v>15296</v>
      </c>
      <c r="P10" s="4">
        <f t="shared" si="7"/>
        <v>14793</v>
      </c>
      <c r="Q10" s="4">
        <f t="shared" si="7"/>
        <v>16710</v>
      </c>
      <c r="R10" s="4">
        <f t="shared" si="7"/>
        <v>18587</v>
      </c>
      <c r="S10" s="4">
        <f t="shared" si="7"/>
        <v>21086</v>
      </c>
      <c r="T10" s="4">
        <f t="shared" si="7"/>
        <v>19384</v>
      </c>
      <c r="U10" s="4">
        <f t="shared" si="7"/>
        <v>20464</v>
      </c>
      <c r="V10" s="4">
        <f t="shared" si="7"/>
        <v>22050</v>
      </c>
      <c r="W10" s="4">
        <f t="shared" si="7"/>
        <v>25767</v>
      </c>
      <c r="X10" s="4">
        <f t="shared" si="7"/>
        <v>21418</v>
      </c>
      <c r="Y10" s="4">
        <f t="shared" si="7"/>
        <v>22607</v>
      </c>
      <c r="Z10" s="4">
        <f t="shared" si="7"/>
        <v>20398</v>
      </c>
      <c r="AA10" s="4">
        <f t="shared" si="7"/>
        <v>0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>
        <f t="shared" si="2"/>
        <v>30925</v>
      </c>
      <c r="AS10" s="4">
        <f t="shared" si="3"/>
        <v>46711</v>
      </c>
      <c r="AT10" s="4">
        <f t="shared" si="4"/>
        <v>53294</v>
      </c>
      <c r="AU10" s="4">
        <f t="shared" si="5"/>
        <v>71176</v>
      </c>
      <c r="AV10" s="4">
        <f t="shared" si="6"/>
        <v>87665</v>
      </c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</row>
    <row r="11" spans="1:183" x14ac:dyDescent="0.25">
      <c r="C11" s="1" t="s">
        <v>65</v>
      </c>
      <c r="D11" s="4">
        <f>D5-D10</f>
        <v>5449</v>
      </c>
      <c r="E11" s="4">
        <f t="shared" ref="E11:AA11" si="8">E5-E10</f>
        <v>5863</v>
      </c>
      <c r="F11" s="4">
        <f t="shared" si="8"/>
        <v>5781</v>
      </c>
      <c r="G11" s="4">
        <f t="shared" si="8"/>
        <v>7820</v>
      </c>
      <c r="H11" s="4">
        <f t="shared" si="8"/>
        <v>3317</v>
      </c>
      <c r="I11" s="4">
        <f t="shared" si="8"/>
        <v>4626</v>
      </c>
      <c r="J11" s="4">
        <f t="shared" si="8"/>
        <v>7185</v>
      </c>
      <c r="K11" s="4">
        <f t="shared" si="8"/>
        <v>8858</v>
      </c>
      <c r="L11" s="4">
        <f t="shared" si="8"/>
        <v>5893</v>
      </c>
      <c r="M11" s="4">
        <f t="shared" si="8"/>
        <v>5963</v>
      </c>
      <c r="N11" s="4">
        <f t="shared" si="8"/>
        <v>8040</v>
      </c>
      <c r="O11" s="4">
        <f t="shared" si="8"/>
        <v>12775</v>
      </c>
      <c r="P11" s="4">
        <f t="shared" si="8"/>
        <v>11378</v>
      </c>
      <c r="Q11" s="4">
        <f t="shared" si="8"/>
        <v>12367</v>
      </c>
      <c r="R11" s="4">
        <f t="shared" si="8"/>
        <v>10423</v>
      </c>
      <c r="S11" s="4">
        <f t="shared" si="8"/>
        <v>12585</v>
      </c>
      <c r="T11" s="4">
        <f t="shared" si="8"/>
        <v>8524</v>
      </c>
      <c r="U11" s="4">
        <f t="shared" si="8"/>
        <v>8358</v>
      </c>
      <c r="V11" s="4">
        <f t="shared" si="8"/>
        <v>5664</v>
      </c>
      <c r="W11" s="4">
        <f t="shared" si="8"/>
        <v>6398</v>
      </c>
      <c r="X11" s="4">
        <f t="shared" si="8"/>
        <v>7227</v>
      </c>
      <c r="Y11" s="4">
        <f t="shared" si="8"/>
        <v>9392</v>
      </c>
      <c r="Z11" s="4">
        <f t="shared" si="8"/>
        <v>13748</v>
      </c>
      <c r="AA11" s="4">
        <f t="shared" si="8"/>
        <v>0</v>
      </c>
      <c r="AB11" s="4"/>
      <c r="AC11" s="4" t="s">
        <v>79</v>
      </c>
      <c r="AD11" s="4">
        <f>Main!D17</f>
        <v>338</v>
      </c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>
        <f t="shared" si="2"/>
        <v>24913</v>
      </c>
      <c r="AS11" s="4">
        <f t="shared" si="3"/>
        <v>23986</v>
      </c>
      <c r="AT11" s="4">
        <f t="shared" si="4"/>
        <v>32671</v>
      </c>
      <c r="AU11" s="4">
        <f t="shared" si="5"/>
        <v>46753</v>
      </c>
      <c r="AV11" s="4">
        <f t="shared" si="6"/>
        <v>28944</v>
      </c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</row>
    <row r="12" spans="1:183" x14ac:dyDescent="0.25">
      <c r="C12" t="s">
        <v>66</v>
      </c>
      <c r="D12" s="4">
        <v>161</v>
      </c>
      <c r="E12" s="4">
        <v>5</v>
      </c>
      <c r="F12" s="4">
        <v>131</v>
      </c>
      <c r="G12" s="4">
        <f>448-F12-E12-D12</f>
        <v>151</v>
      </c>
      <c r="H12" s="4">
        <v>165</v>
      </c>
      <c r="I12" s="4">
        <v>206</v>
      </c>
      <c r="J12" s="4">
        <v>144</v>
      </c>
      <c r="K12" s="4">
        <f>826-J12-I12-H12</f>
        <v>311</v>
      </c>
      <c r="L12" s="4">
        <v>-32</v>
      </c>
      <c r="M12" s="4">
        <v>168</v>
      </c>
      <c r="N12" s="4">
        <v>93</v>
      </c>
      <c r="O12" s="4">
        <f>509-N12-M12+L12</f>
        <v>216</v>
      </c>
      <c r="P12" s="4">
        <v>125</v>
      </c>
      <c r="Q12" s="4">
        <v>146</v>
      </c>
      <c r="R12" s="4">
        <v>142</v>
      </c>
      <c r="S12" s="4">
        <f>531-R12-Q12-P12</f>
        <v>118</v>
      </c>
      <c r="T12" s="4">
        <v>384</v>
      </c>
      <c r="U12" s="4">
        <v>-172</v>
      </c>
      <c r="V12" s="4">
        <v>-88</v>
      </c>
      <c r="W12" s="4">
        <f>-125+V12+U12+T12</f>
        <v>-1</v>
      </c>
      <c r="X12" s="4">
        <v>80</v>
      </c>
      <c r="Y12" s="4">
        <v>-99</v>
      </c>
      <c r="Z12" s="4">
        <v>272</v>
      </c>
      <c r="AA12" s="4"/>
      <c r="AB12" s="4"/>
      <c r="AC12" s="4" t="s">
        <v>80</v>
      </c>
      <c r="AD12" s="4">
        <f>Main!D18/AD9</f>
        <v>1.479166034925286E-3</v>
      </c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>
        <f t="shared" si="2"/>
        <v>448</v>
      </c>
      <c r="AS12" s="4">
        <f t="shared" si="3"/>
        <v>826</v>
      </c>
      <c r="AT12" s="4">
        <f t="shared" si="4"/>
        <v>445</v>
      </c>
      <c r="AU12" s="4">
        <f t="shared" si="5"/>
        <v>531</v>
      </c>
      <c r="AV12" s="4">
        <f t="shared" si="6"/>
        <v>123</v>
      </c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</row>
    <row r="13" spans="1:183" x14ac:dyDescent="0.25">
      <c r="C13" t="s">
        <v>67</v>
      </c>
      <c r="D13" s="4">
        <v>622</v>
      </c>
      <c r="E13" s="4">
        <v>762</v>
      </c>
      <c r="F13" s="4">
        <v>775</v>
      </c>
      <c r="G13" s="4">
        <f>3249-F13-E13-D13</f>
        <v>1090</v>
      </c>
      <c r="H13" s="4">
        <v>1053</v>
      </c>
      <c r="I13" s="4">
        <v>2216</v>
      </c>
      <c r="J13" s="4">
        <v>1238</v>
      </c>
      <c r="K13" s="4">
        <f>6327-J13-I13-H13</f>
        <v>1820</v>
      </c>
      <c r="L13" s="4">
        <v>959</v>
      </c>
      <c r="M13" s="4">
        <v>953</v>
      </c>
      <c r="N13" s="4">
        <v>287</v>
      </c>
      <c r="O13" s="4">
        <f>4034-N13-M13-L13</f>
        <v>1835</v>
      </c>
      <c r="P13" s="4">
        <v>2006</v>
      </c>
      <c r="Q13" s="4">
        <v>2119</v>
      </c>
      <c r="R13" s="4">
        <v>1371</v>
      </c>
      <c r="S13" s="4">
        <f>7914-R13-Q13-P13</f>
        <v>2418</v>
      </c>
      <c r="T13" s="4">
        <v>1443</v>
      </c>
      <c r="U13" s="4">
        <v>1499</v>
      </c>
      <c r="V13" s="4">
        <v>1181</v>
      </c>
      <c r="W13" s="4">
        <f>5619-V13-U13-T13</f>
        <v>1496</v>
      </c>
      <c r="X13" s="4">
        <v>1598</v>
      </c>
      <c r="Y13" s="4">
        <v>1505</v>
      </c>
      <c r="Z13" s="4">
        <v>2437</v>
      </c>
      <c r="AA13" s="4"/>
      <c r="AB13" s="4"/>
      <c r="AC13" s="4" t="s">
        <v>81</v>
      </c>
      <c r="AD13" s="10">
        <f>AD12/AD11-1</f>
        <v>-0.99999562376912743</v>
      </c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>
        <f t="shared" si="2"/>
        <v>3249</v>
      </c>
      <c r="AS13" s="4">
        <f t="shared" si="3"/>
        <v>6327</v>
      </c>
      <c r="AT13" s="4">
        <f t="shared" si="4"/>
        <v>4034</v>
      </c>
      <c r="AU13" s="4">
        <f t="shared" si="5"/>
        <v>7914</v>
      </c>
      <c r="AV13" s="4">
        <f t="shared" si="6"/>
        <v>5619</v>
      </c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</row>
    <row r="14" spans="1:183" x14ac:dyDescent="0.25">
      <c r="C14" s="1" t="s">
        <v>68</v>
      </c>
      <c r="D14" s="4">
        <f>D11+D12-D13</f>
        <v>4988</v>
      </c>
      <c r="E14" s="4">
        <f t="shared" ref="E14:AA14" si="9">E11+E12-E13</f>
        <v>5106</v>
      </c>
      <c r="F14" s="4">
        <f t="shared" si="9"/>
        <v>5137</v>
      </c>
      <c r="G14" s="4">
        <f t="shared" si="9"/>
        <v>6881</v>
      </c>
      <c r="H14" s="4">
        <f t="shared" si="9"/>
        <v>2429</v>
      </c>
      <c r="I14" s="4">
        <f t="shared" si="9"/>
        <v>2616</v>
      </c>
      <c r="J14" s="4">
        <f t="shared" si="9"/>
        <v>6091</v>
      </c>
      <c r="K14" s="4">
        <f t="shared" si="9"/>
        <v>7349</v>
      </c>
      <c r="L14" s="4">
        <f t="shared" si="9"/>
        <v>4902</v>
      </c>
      <c r="M14" s="4">
        <f t="shared" si="9"/>
        <v>5178</v>
      </c>
      <c r="N14" s="4">
        <f t="shared" si="9"/>
        <v>7846</v>
      </c>
      <c r="O14" s="4">
        <f t="shared" si="9"/>
        <v>11156</v>
      </c>
      <c r="P14" s="4">
        <f t="shared" si="9"/>
        <v>9497</v>
      </c>
      <c r="Q14" s="4">
        <f t="shared" si="9"/>
        <v>10394</v>
      </c>
      <c r="R14" s="4">
        <f t="shared" si="9"/>
        <v>9194</v>
      </c>
      <c r="S14" s="4">
        <f t="shared" si="9"/>
        <v>10285</v>
      </c>
      <c r="T14" s="4">
        <f t="shared" si="9"/>
        <v>7465</v>
      </c>
      <c r="U14" s="4">
        <f t="shared" si="9"/>
        <v>6687</v>
      </c>
      <c r="V14" s="4">
        <f t="shared" si="9"/>
        <v>4395</v>
      </c>
      <c r="W14" s="4">
        <f t="shared" si="9"/>
        <v>4901</v>
      </c>
      <c r="X14" s="4">
        <f t="shared" si="9"/>
        <v>5709</v>
      </c>
      <c r="Y14" s="4">
        <f t="shared" si="9"/>
        <v>7788</v>
      </c>
      <c r="Z14" s="4">
        <f t="shared" si="9"/>
        <v>11583</v>
      </c>
      <c r="AA14" s="4">
        <f t="shared" si="9"/>
        <v>0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>
        <f t="shared" si="2"/>
        <v>22112</v>
      </c>
      <c r="AS14" s="4">
        <f t="shared" si="3"/>
        <v>18485</v>
      </c>
      <c r="AT14" s="4">
        <f t="shared" si="4"/>
        <v>29082</v>
      </c>
      <c r="AU14" s="4">
        <f t="shared" si="5"/>
        <v>39370</v>
      </c>
      <c r="AV14" s="4">
        <f t="shared" si="6"/>
        <v>23448</v>
      </c>
      <c r="AW14" s="4">
        <f>AV14*($AD5+1)</f>
        <v>24620.400000000001</v>
      </c>
      <c r="AX14" s="4">
        <f>AW14*($AD5+1)</f>
        <v>25851.420000000002</v>
      </c>
      <c r="AY14" s="4">
        <f t="shared" ref="AY14:DJ14" si="10">AX14*($AD5+1)</f>
        <v>27143.991000000002</v>
      </c>
      <c r="AZ14" s="4">
        <f t="shared" si="10"/>
        <v>28501.190550000003</v>
      </c>
      <c r="BA14" s="4">
        <f t="shared" si="10"/>
        <v>29926.250077500004</v>
      </c>
      <c r="BB14" s="4">
        <f t="shared" si="10"/>
        <v>31422.562581375005</v>
      </c>
      <c r="BC14" s="4">
        <f t="shared" si="10"/>
        <v>32993.690710443756</v>
      </c>
      <c r="BD14" s="4">
        <f t="shared" si="10"/>
        <v>34643.375245965944</v>
      </c>
      <c r="BE14" s="4">
        <f t="shared" si="10"/>
        <v>36375.544008264245</v>
      </c>
      <c r="BF14" s="4">
        <f t="shared" si="10"/>
        <v>38194.321208677458</v>
      </c>
      <c r="BG14" s="4">
        <f t="shared" si="10"/>
        <v>40104.03726911133</v>
      </c>
      <c r="BH14" s="4">
        <f t="shared" si="10"/>
        <v>42109.239132566901</v>
      </c>
      <c r="BI14" s="4">
        <f t="shared" si="10"/>
        <v>44214.701089195245</v>
      </c>
      <c r="BJ14" s="4">
        <f t="shared" si="10"/>
        <v>46425.43614365501</v>
      </c>
      <c r="BK14" s="4">
        <f t="shared" si="10"/>
        <v>48746.707950837765</v>
      </c>
      <c r="BL14" s="4">
        <f t="shared" si="10"/>
        <v>51184.043348379651</v>
      </c>
      <c r="BM14" s="4">
        <f t="shared" si="10"/>
        <v>53743.245515798633</v>
      </c>
      <c r="BN14" s="4">
        <f t="shared" si="10"/>
        <v>56430.407791588565</v>
      </c>
      <c r="BO14" s="4">
        <f t="shared" si="10"/>
        <v>59251.928181167998</v>
      </c>
      <c r="BP14" s="4">
        <f t="shared" si="10"/>
        <v>62214.5245902264</v>
      </c>
      <c r="BQ14" s="4">
        <f t="shared" si="10"/>
        <v>65325.250819737725</v>
      </c>
      <c r="BR14" s="4">
        <f t="shared" si="10"/>
        <v>68591.51336072461</v>
      </c>
      <c r="BS14" s="4">
        <f t="shared" si="10"/>
        <v>72021.089028760849</v>
      </c>
      <c r="BT14" s="4">
        <f t="shared" si="10"/>
        <v>75622.143480198894</v>
      </c>
      <c r="BU14" s="4">
        <f t="shared" si="10"/>
        <v>79403.250654208838</v>
      </c>
      <c r="BV14" s="4">
        <f t="shared" si="10"/>
        <v>83373.413186919279</v>
      </c>
      <c r="BW14" s="4">
        <f t="shared" si="10"/>
        <v>87542.083846265246</v>
      </c>
      <c r="BX14" s="4">
        <f t="shared" si="10"/>
        <v>91919.188038578519</v>
      </c>
      <c r="BY14" s="4">
        <f t="shared" si="10"/>
        <v>96515.147440507455</v>
      </c>
      <c r="BZ14" s="4">
        <f t="shared" si="10"/>
        <v>101340.90481253283</v>
      </c>
      <c r="CA14" s="4">
        <f t="shared" si="10"/>
        <v>106407.95005315947</v>
      </c>
      <c r="CB14" s="4">
        <f t="shared" si="10"/>
        <v>111728.34755581744</v>
      </c>
      <c r="CC14" s="4">
        <f t="shared" si="10"/>
        <v>117314.76493360831</v>
      </c>
      <c r="CD14" s="4">
        <f t="shared" si="10"/>
        <v>123180.50318028874</v>
      </c>
      <c r="CE14" s="4">
        <f t="shared" si="10"/>
        <v>129339.52833930319</v>
      </c>
      <c r="CF14" s="4">
        <f t="shared" si="10"/>
        <v>135806.50475626835</v>
      </c>
      <c r="CG14" s="4">
        <f t="shared" si="10"/>
        <v>142596.82999408178</v>
      </c>
      <c r="CH14" s="4">
        <f t="shared" si="10"/>
        <v>149726.67149378586</v>
      </c>
      <c r="CI14" s="4">
        <f t="shared" si="10"/>
        <v>157213.00506847518</v>
      </c>
      <c r="CJ14" s="4">
        <f t="shared" si="10"/>
        <v>165073.65532189893</v>
      </c>
      <c r="CK14" s="4">
        <f t="shared" si="10"/>
        <v>173327.33808799388</v>
      </c>
      <c r="CL14" s="4">
        <f t="shared" si="10"/>
        <v>181993.70499239358</v>
      </c>
      <c r="CM14" s="4">
        <f t="shared" si="10"/>
        <v>191093.39024201327</v>
      </c>
      <c r="CN14" s="4">
        <f t="shared" si="10"/>
        <v>200648.05975411393</v>
      </c>
      <c r="CO14" s="4">
        <f t="shared" si="10"/>
        <v>210680.46274181965</v>
      </c>
      <c r="CP14" s="4">
        <f t="shared" si="10"/>
        <v>221214.48587891064</v>
      </c>
      <c r="CQ14" s="4">
        <f t="shared" si="10"/>
        <v>232275.21017285617</v>
      </c>
      <c r="CR14" s="4">
        <f t="shared" si="10"/>
        <v>243888.97068149899</v>
      </c>
      <c r="CS14" s="4">
        <f t="shared" si="10"/>
        <v>256083.41921557396</v>
      </c>
      <c r="CT14" s="4">
        <f t="shared" si="10"/>
        <v>268887.59017635265</v>
      </c>
      <c r="CU14" s="4">
        <f t="shared" si="10"/>
        <v>282331.96968517028</v>
      </c>
      <c r="CV14" s="4">
        <f t="shared" si="10"/>
        <v>296448.56816942879</v>
      </c>
      <c r="CW14" s="4">
        <f t="shared" si="10"/>
        <v>311270.99657790025</v>
      </c>
      <c r="CX14" s="4">
        <f t="shared" si="10"/>
        <v>326834.54640679527</v>
      </c>
      <c r="CY14" s="4">
        <f t="shared" si="10"/>
        <v>343176.27372713503</v>
      </c>
      <c r="CZ14" s="4">
        <f t="shared" si="10"/>
        <v>360335.0874134918</v>
      </c>
      <c r="DA14" s="4">
        <f t="shared" si="10"/>
        <v>378351.8417841664</v>
      </c>
      <c r="DB14" s="4">
        <f t="shared" si="10"/>
        <v>397269.43387337471</v>
      </c>
      <c r="DC14" s="4">
        <f t="shared" si="10"/>
        <v>417132.90556704346</v>
      </c>
      <c r="DD14" s="4">
        <f t="shared" si="10"/>
        <v>437989.55084539566</v>
      </c>
      <c r="DE14" s="4">
        <f t="shared" si="10"/>
        <v>459889.02838766546</v>
      </c>
      <c r="DF14" s="4">
        <f t="shared" si="10"/>
        <v>482883.47980704874</v>
      </c>
      <c r="DG14" s="4">
        <f t="shared" si="10"/>
        <v>507027.65379740123</v>
      </c>
      <c r="DH14" s="4">
        <f t="shared" si="10"/>
        <v>532379.03648727131</v>
      </c>
      <c r="DI14" s="4">
        <f t="shared" si="10"/>
        <v>558997.98831163486</v>
      </c>
      <c r="DJ14" s="4">
        <f t="shared" si="10"/>
        <v>586947.88772721658</v>
      </c>
      <c r="DK14" s="4">
        <f t="shared" ref="DK14:FV14" si="11">DJ14*($AD5+1)</f>
        <v>616295.28211357747</v>
      </c>
      <c r="DL14" s="4">
        <f t="shared" si="11"/>
        <v>647110.04621925636</v>
      </c>
      <c r="DM14" s="4">
        <f t="shared" si="11"/>
        <v>679465.54853021924</v>
      </c>
      <c r="DN14" s="4">
        <f t="shared" si="11"/>
        <v>713438.82595673029</v>
      </c>
      <c r="DO14" s="4">
        <f t="shared" si="11"/>
        <v>749110.76725456689</v>
      </c>
      <c r="DP14" s="4">
        <f t="shared" si="11"/>
        <v>786566.30561729532</v>
      </c>
      <c r="DQ14" s="4">
        <f t="shared" si="11"/>
        <v>825894.62089816015</v>
      </c>
      <c r="DR14" s="4">
        <f t="shared" si="11"/>
        <v>867189.35194306821</v>
      </c>
      <c r="DS14" s="4">
        <f t="shared" si="11"/>
        <v>910548.81954022171</v>
      </c>
      <c r="DT14" s="4">
        <f t="shared" si="11"/>
        <v>956076.26051723282</v>
      </c>
      <c r="DU14" s="4">
        <f t="shared" si="11"/>
        <v>1003880.0735430944</v>
      </c>
      <c r="DV14" s="4">
        <f t="shared" si="11"/>
        <v>1054074.0772202492</v>
      </c>
      <c r="DW14" s="4">
        <f t="shared" si="11"/>
        <v>1106777.7810812618</v>
      </c>
      <c r="DX14" s="4">
        <f t="shared" si="11"/>
        <v>1162116.6701353251</v>
      </c>
      <c r="DY14" s="4">
        <f t="shared" si="11"/>
        <v>1220222.5036420913</v>
      </c>
      <c r="DZ14" s="4">
        <f t="shared" si="11"/>
        <v>1281233.6288241958</v>
      </c>
      <c r="EA14" s="4">
        <f t="shared" si="11"/>
        <v>1345295.3102654056</v>
      </c>
      <c r="EB14" s="4">
        <f t="shared" si="11"/>
        <v>1412560.075778676</v>
      </c>
      <c r="EC14" s="4">
        <f t="shared" si="11"/>
        <v>1483188.0795676098</v>
      </c>
      <c r="ED14" s="4">
        <f t="shared" si="11"/>
        <v>1557347.4835459904</v>
      </c>
      <c r="EE14" s="4">
        <f t="shared" si="11"/>
        <v>1635214.8577232901</v>
      </c>
      <c r="EF14" s="4">
        <f t="shared" si="11"/>
        <v>1716975.6006094548</v>
      </c>
      <c r="EG14" s="4">
        <f t="shared" si="11"/>
        <v>1802824.3806399277</v>
      </c>
      <c r="EH14" s="4">
        <f t="shared" si="11"/>
        <v>1892965.5996719243</v>
      </c>
      <c r="EI14" s="4">
        <f t="shared" si="11"/>
        <v>1987613.8796555207</v>
      </c>
      <c r="EJ14" s="4">
        <f t="shared" si="11"/>
        <v>2086994.5736382967</v>
      </c>
      <c r="EK14" s="4">
        <f t="shared" si="11"/>
        <v>2191344.3023202117</v>
      </c>
      <c r="EL14" s="4">
        <f t="shared" si="11"/>
        <v>2300911.5174362222</v>
      </c>
      <c r="EM14" s="4">
        <f t="shared" si="11"/>
        <v>2415957.0933080334</v>
      </c>
      <c r="EN14" s="4">
        <f t="shared" si="11"/>
        <v>2536754.9479734353</v>
      </c>
      <c r="EO14" s="4">
        <f t="shared" si="11"/>
        <v>2663592.695372107</v>
      </c>
      <c r="EP14" s="4">
        <f t="shared" si="11"/>
        <v>2796772.3301407127</v>
      </c>
      <c r="EQ14" s="4">
        <f t="shared" si="11"/>
        <v>2936610.9466477484</v>
      </c>
      <c r="ER14" s="4">
        <f t="shared" si="11"/>
        <v>3083441.4939801358</v>
      </c>
      <c r="ES14" s="4">
        <f t="shared" si="11"/>
        <v>3237613.5686791427</v>
      </c>
      <c r="ET14" s="4">
        <f t="shared" si="11"/>
        <v>3399494.2471131003</v>
      </c>
      <c r="EU14" s="4">
        <f t="shared" si="11"/>
        <v>3569468.9594687554</v>
      </c>
      <c r="EV14" s="4">
        <f t="shared" si="11"/>
        <v>3747942.4074421935</v>
      </c>
      <c r="EW14" s="4">
        <f t="shared" si="11"/>
        <v>3935339.5278143035</v>
      </c>
      <c r="EX14" s="4">
        <f t="shared" si="11"/>
        <v>4132106.5042050187</v>
      </c>
      <c r="EY14" s="4">
        <f t="shared" si="11"/>
        <v>4338711.8294152701</v>
      </c>
      <c r="EZ14" s="4">
        <f t="shared" si="11"/>
        <v>4555647.4208860341</v>
      </c>
      <c r="FA14" s="4">
        <f t="shared" si="11"/>
        <v>4783429.7919303365</v>
      </c>
      <c r="FB14" s="4">
        <f t="shared" si="11"/>
        <v>5022601.2815268533</v>
      </c>
      <c r="FC14" s="4">
        <f t="shared" si="11"/>
        <v>5273731.345603196</v>
      </c>
      <c r="FD14" s="4">
        <f t="shared" si="11"/>
        <v>5537417.9128833562</v>
      </c>
      <c r="FE14" s="4">
        <f t="shared" si="11"/>
        <v>5814288.8085275246</v>
      </c>
      <c r="FF14" s="4">
        <f t="shared" si="11"/>
        <v>6105003.2489539012</v>
      </c>
      <c r="FG14" s="4">
        <f t="shared" si="11"/>
        <v>6410253.4114015969</v>
      </c>
      <c r="FH14" s="4">
        <f t="shared" si="11"/>
        <v>6730766.081971677</v>
      </c>
      <c r="FI14" s="4">
        <f t="shared" si="11"/>
        <v>7067304.3860702608</v>
      </c>
      <c r="FJ14" s="4">
        <f t="shared" si="11"/>
        <v>7420669.6053737737</v>
      </c>
      <c r="FK14" s="4">
        <f t="shared" si="11"/>
        <v>7791703.0856424626</v>
      </c>
      <c r="FL14" s="4">
        <f t="shared" si="11"/>
        <v>8181288.2399245864</v>
      </c>
      <c r="FM14" s="4">
        <f t="shared" si="11"/>
        <v>8590352.6519208159</v>
      </c>
      <c r="FN14" s="4">
        <f t="shared" si="11"/>
        <v>9019870.2845168579</v>
      </c>
      <c r="FO14" s="4">
        <f t="shared" si="11"/>
        <v>9470863.7987427004</v>
      </c>
      <c r="FP14" s="4">
        <f t="shared" si="11"/>
        <v>9944406.9886798356</v>
      </c>
      <c r="FQ14" s="4">
        <f t="shared" si="11"/>
        <v>10441627.338113828</v>
      </c>
      <c r="FR14" s="4">
        <f t="shared" si="11"/>
        <v>10963708.705019519</v>
      </c>
      <c r="FS14" s="4">
        <f t="shared" si="11"/>
        <v>11511894.140270496</v>
      </c>
      <c r="FT14" s="4">
        <f t="shared" si="11"/>
        <v>12087488.847284021</v>
      </c>
      <c r="FU14" s="4">
        <f t="shared" si="11"/>
        <v>12691863.289648222</v>
      </c>
      <c r="FV14" s="4">
        <f t="shared" si="11"/>
        <v>13326456.454130633</v>
      </c>
      <c r="FW14" s="4">
        <f t="shared" ref="FW14:GA14" si="12">FV14*($AD5+1)</f>
        <v>13992779.276837165</v>
      </c>
      <c r="FX14" s="4">
        <f t="shared" si="12"/>
        <v>14692418.240679024</v>
      </c>
      <c r="FY14" s="4">
        <f t="shared" si="12"/>
        <v>15427039.152712977</v>
      </c>
      <c r="FZ14" s="4">
        <f t="shared" si="12"/>
        <v>16198391.110348627</v>
      </c>
      <c r="GA14" s="4">
        <f t="shared" si="12"/>
        <v>17008310.665866058</v>
      </c>
    </row>
    <row r="15" spans="1:183" x14ac:dyDescent="0.25">
      <c r="AR15" s="4"/>
    </row>
    <row r="16" spans="1:183" x14ac:dyDescent="0.25">
      <c r="C16" s="1" t="s">
        <v>69</v>
      </c>
      <c r="D16">
        <v>1.69</v>
      </c>
      <c r="E16">
        <v>1.74</v>
      </c>
      <c r="F16">
        <v>1.76</v>
      </c>
      <c r="G16" s="9">
        <f>7.57/4</f>
        <v>1.8925000000000001</v>
      </c>
      <c r="H16">
        <v>0.85</v>
      </c>
      <c r="I16">
        <v>0.91</v>
      </c>
      <c r="J16">
        <v>2.12</v>
      </c>
      <c r="K16" s="9">
        <f>6.43/4</f>
        <v>1.6074999999999999</v>
      </c>
      <c r="L16" s="9">
        <v>1.71</v>
      </c>
      <c r="M16" s="9">
        <v>1.8</v>
      </c>
      <c r="N16" s="9">
        <v>2.71</v>
      </c>
      <c r="O16" s="9">
        <f>10.09/4</f>
        <v>2.5225</v>
      </c>
      <c r="P16" s="9">
        <v>3.3</v>
      </c>
      <c r="Q16" s="9">
        <v>3.61</v>
      </c>
      <c r="R16" s="9">
        <v>3.22</v>
      </c>
      <c r="S16" s="9">
        <f>13.77/4</f>
        <v>3.4424999999999999</v>
      </c>
      <c r="T16" s="9">
        <v>2.72</v>
      </c>
      <c r="U16" s="9">
        <v>2.46</v>
      </c>
      <c r="V16" s="9">
        <v>1.64</v>
      </c>
      <c r="W16" s="9">
        <f>8.59/4</f>
        <v>2.1475</v>
      </c>
      <c r="X16" s="9">
        <v>2.2000000000000002</v>
      </c>
      <c r="Y16" s="9">
        <v>2.98</v>
      </c>
      <c r="Z16" s="9">
        <v>2.5</v>
      </c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>
        <f>SUM(D16:G16)</f>
        <v>7.0824999999999996</v>
      </c>
      <c r="AS16" s="9">
        <f>SUM(H16:K16)</f>
        <v>5.4874999999999998</v>
      </c>
      <c r="AT16" s="9">
        <f>SUM(O16:R16)</f>
        <v>12.6525</v>
      </c>
      <c r="AU16" s="9">
        <f>SUM(S16:W16)</f>
        <v>12.41</v>
      </c>
      <c r="AV16" s="9">
        <f>SUM(T16:W16)</f>
        <v>8.9674999999999994</v>
      </c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</row>
    <row r="17" spans="3:79" x14ac:dyDescent="0.25">
      <c r="C17" s="1" t="s">
        <v>70</v>
      </c>
      <c r="D17" s="4">
        <v>2945</v>
      </c>
      <c r="E17" s="4">
        <v>2930</v>
      </c>
      <c r="F17" s="4">
        <v>2913</v>
      </c>
      <c r="G17" s="4">
        <v>2921</v>
      </c>
      <c r="H17" s="4">
        <v>2869</v>
      </c>
      <c r="I17" s="4">
        <v>2875</v>
      </c>
      <c r="J17" s="4">
        <v>2874</v>
      </c>
      <c r="K17" s="4">
        <v>2876</v>
      </c>
      <c r="L17" s="4">
        <v>2868</v>
      </c>
      <c r="M17" s="4">
        <v>2879</v>
      </c>
      <c r="N17" s="4">
        <v>2891</v>
      </c>
      <c r="O17" s="4">
        <v>2888</v>
      </c>
      <c r="P17" s="4">
        <v>2882</v>
      </c>
      <c r="Q17" s="4">
        <v>2877</v>
      </c>
      <c r="R17" s="4">
        <v>2859</v>
      </c>
      <c r="S17" s="4">
        <v>2859</v>
      </c>
      <c r="T17" s="4">
        <v>2742</v>
      </c>
      <c r="U17" s="4">
        <v>2713</v>
      </c>
      <c r="V17" s="4">
        <v>2687</v>
      </c>
      <c r="W17" s="4">
        <f>2702</f>
        <v>2702</v>
      </c>
      <c r="X17" s="4">
        <v>2596</v>
      </c>
      <c r="Y17" s="4">
        <v>2612</v>
      </c>
      <c r="Z17" s="4">
        <v>2576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>
        <v>2921</v>
      </c>
      <c r="AS17" s="4">
        <v>2876</v>
      </c>
      <c r="AT17" s="4">
        <v>2888</v>
      </c>
      <c r="AU17" s="4">
        <v>2859</v>
      </c>
      <c r="AV17" s="4">
        <f>2702</f>
        <v>2702</v>
      </c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</row>
    <row r="19" spans="3:79" x14ac:dyDescent="0.25">
      <c r="C19" s="1" t="s">
        <v>71</v>
      </c>
      <c r="D19" s="10"/>
      <c r="E19" s="10">
        <f>E5/D5-1</f>
        <v>0.10571619588835035</v>
      </c>
      <c r="F19" s="10">
        <f t="shared" ref="F19:Z19" si="13">F5/E5-1</f>
        <v>3.7487718237472656E-2</v>
      </c>
      <c r="G19" s="10">
        <f t="shared" si="13"/>
        <v>0.23217017556640207</v>
      </c>
      <c r="H19" s="10">
        <f t="shared" si="13"/>
        <v>-0.10860825351779591</v>
      </c>
      <c r="I19" s="10">
        <f t="shared" si="13"/>
        <v>0.11998408171386887</v>
      </c>
      <c r="J19" s="10">
        <f t="shared" si="13"/>
        <v>4.536302262229075E-2</v>
      </c>
      <c r="K19" s="10">
        <f t="shared" si="13"/>
        <v>0.19431225923408113</v>
      </c>
      <c r="L19" s="10">
        <f t="shared" si="13"/>
        <v>-0.15866616070581541</v>
      </c>
      <c r="M19" s="10">
        <f t="shared" si="13"/>
        <v>5.3560354062130111E-2</v>
      </c>
      <c r="N19" s="10">
        <f t="shared" si="13"/>
        <v>0.14892706159362112</v>
      </c>
      <c r="O19" s="10">
        <f t="shared" si="13"/>
        <v>0.30745225896599915</v>
      </c>
      <c r="P19" s="10">
        <f t="shared" si="13"/>
        <v>-6.7685511738092674E-2</v>
      </c>
      <c r="Q19" s="10">
        <f t="shared" si="13"/>
        <v>0.11103893622712158</v>
      </c>
      <c r="R19" s="10">
        <f t="shared" si="13"/>
        <v>-2.3042267083949186E-3</v>
      </c>
      <c r="S19" s="10">
        <f t="shared" si="13"/>
        <v>0.16066873491899347</v>
      </c>
      <c r="T19" s="10">
        <f t="shared" si="13"/>
        <v>-0.1711561878174096</v>
      </c>
      <c r="U19" s="10">
        <f t="shared" si="13"/>
        <v>3.2750465816253405E-2</v>
      </c>
      <c r="V19" s="10">
        <f t="shared" si="13"/>
        <v>-3.8442856151550853E-2</v>
      </c>
      <c r="W19" s="10">
        <f t="shared" si="13"/>
        <v>0.1606047485025619</v>
      </c>
      <c r="X19" s="10">
        <f t="shared" si="13"/>
        <v>-0.10943572205813767</v>
      </c>
      <c r="Y19" s="10">
        <f t="shared" si="13"/>
        <v>0.1170884971199162</v>
      </c>
      <c r="Z19" s="10">
        <f t="shared" si="13"/>
        <v>6.7095846745210741E-2</v>
      </c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>
        <f t="shared" ref="AS19:AV19" si="14">AS5/AR5-1</f>
        <v>0.26610910132884413</v>
      </c>
      <c r="AT19" s="10">
        <f t="shared" si="14"/>
        <v>0.21596390228722573</v>
      </c>
      <c r="AU19" s="10">
        <f t="shared" si="14"/>
        <v>0.37182574303495608</v>
      </c>
      <c r="AV19" s="10">
        <f t="shared" si="14"/>
        <v>-1.1193175554782941E-2</v>
      </c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</row>
    <row r="20" spans="3:79" x14ac:dyDescent="0.25">
      <c r="C20" s="1" t="s">
        <v>72</v>
      </c>
      <c r="D20" s="10"/>
      <c r="E20" s="10">
        <f>E14/D14-1</f>
        <v>2.3656776263031309E-2</v>
      </c>
      <c r="F20" s="10">
        <f t="shared" ref="F20:Z20" si="15">F14/E14-1</f>
        <v>6.0712886799842991E-3</v>
      </c>
      <c r="G20" s="10">
        <f t="shared" si="15"/>
        <v>0.33949776133930309</v>
      </c>
      <c r="H20" s="10">
        <f t="shared" si="15"/>
        <v>-0.64699898270600209</v>
      </c>
      <c r="I20" s="10">
        <f t="shared" si="15"/>
        <v>7.6986414162206751E-2</v>
      </c>
      <c r="J20" s="10">
        <f t="shared" si="15"/>
        <v>1.3283639143730888</v>
      </c>
      <c r="K20" s="10">
        <f t="shared" si="15"/>
        <v>0.20653423083237565</v>
      </c>
      <c r="L20" s="10">
        <f t="shared" si="15"/>
        <v>-0.33297047217308473</v>
      </c>
      <c r="M20" s="10">
        <f t="shared" si="15"/>
        <v>5.6303549571603329E-2</v>
      </c>
      <c r="N20" s="10">
        <f t="shared" si="15"/>
        <v>0.51525685592893011</v>
      </c>
      <c r="O20" s="10">
        <f t="shared" si="15"/>
        <v>0.42187101707876629</v>
      </c>
      <c r="P20" s="10">
        <f t="shared" si="15"/>
        <v>-0.1487092147723198</v>
      </c>
      <c r="Q20" s="10">
        <f t="shared" si="15"/>
        <v>9.4450879225018491E-2</v>
      </c>
      <c r="R20" s="10">
        <f t="shared" si="15"/>
        <v>-0.11545122185876466</v>
      </c>
      <c r="S20" s="10">
        <f t="shared" si="15"/>
        <v>0.11866434631281275</v>
      </c>
      <c r="T20" s="10">
        <f t="shared" si="15"/>
        <v>-0.27418570734078751</v>
      </c>
      <c r="U20" s="10">
        <f t="shared" si="15"/>
        <v>-0.10421969189551239</v>
      </c>
      <c r="V20" s="10">
        <f t="shared" si="15"/>
        <v>-0.34275459847465228</v>
      </c>
      <c r="W20" s="10">
        <f t="shared" si="15"/>
        <v>0.11513083048919226</v>
      </c>
      <c r="X20" s="10">
        <f t="shared" si="15"/>
        <v>0.16486431340542751</v>
      </c>
      <c r="Y20" s="10">
        <f t="shared" si="15"/>
        <v>0.36416184971098264</v>
      </c>
      <c r="Z20" s="10">
        <f t="shared" si="15"/>
        <v>0.48728813559322037</v>
      </c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>
        <f t="shared" ref="AS20:AV20" si="16">AS14/AR14-1</f>
        <v>-0.16402858176555712</v>
      </c>
      <c r="AT20" s="10">
        <f t="shared" si="16"/>
        <v>0.57327562888828787</v>
      </c>
      <c r="AU20" s="10">
        <f t="shared" si="16"/>
        <v>0.35375833849116289</v>
      </c>
      <c r="AV20" s="10">
        <f t="shared" si="16"/>
        <v>-0.40441960883921768</v>
      </c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</row>
    <row r="21" spans="3:79" x14ac:dyDescent="0.25">
      <c r="C21" s="1" t="s">
        <v>61</v>
      </c>
      <c r="E21" s="11">
        <f>E7/D7-1</f>
        <v>0.12734584450402142</v>
      </c>
      <c r="F21" s="11">
        <f t="shared" ref="F21:AA21" si="17">F7/E7-1</f>
        <v>5.311137534680932E-2</v>
      </c>
      <c r="G21" s="11">
        <f t="shared" si="17"/>
        <v>7.4520135491155548E-2</v>
      </c>
      <c r="H21" s="11">
        <f t="shared" si="17"/>
        <v>1.7513134851139256E-3</v>
      </c>
      <c r="I21" s="11">
        <f t="shared" si="17"/>
        <v>0.15909090909090917</v>
      </c>
      <c r="J21" s="11">
        <f t="shared" si="17"/>
        <v>7.0286576168929082E-2</v>
      </c>
      <c r="K21" s="11">
        <f t="shared" si="17"/>
        <v>9.2728297632469037E-2</v>
      </c>
      <c r="L21" s="11">
        <f t="shared" si="17"/>
        <v>3.5594531854526767E-2</v>
      </c>
      <c r="M21" s="11">
        <f t="shared" si="17"/>
        <v>0.11133250311332499</v>
      </c>
      <c r="N21" s="11">
        <f t="shared" si="17"/>
        <v>6.7458538771851151E-2</v>
      </c>
      <c r="O21" s="11">
        <f t="shared" si="17"/>
        <v>9.3218559731261807E-2</v>
      </c>
      <c r="P21" s="11">
        <f t="shared" si="17"/>
        <v>-1.9204916458613885E-3</v>
      </c>
      <c r="Q21" s="12">
        <f t="shared" si="17"/>
        <v>0.17298441408504917</v>
      </c>
      <c r="R21" s="11">
        <f t="shared" si="17"/>
        <v>3.6089238845144367E-2</v>
      </c>
      <c r="S21" s="11">
        <f t="shared" si="17"/>
        <v>0.11557948068397716</v>
      </c>
      <c r="T21" s="11">
        <f t="shared" si="17"/>
        <v>9.3812091967073519E-2</v>
      </c>
      <c r="U21" s="11">
        <f t="shared" si="17"/>
        <v>0.12754638640197213</v>
      </c>
      <c r="V21" s="11">
        <f t="shared" si="17"/>
        <v>5.5235903337169212E-2</v>
      </c>
      <c r="W21" s="11">
        <f t="shared" si="17"/>
        <v>6.5539803707742594E-2</v>
      </c>
      <c r="X21" s="11">
        <f t="shared" si="17"/>
        <v>-3.9914031317162979E-2</v>
      </c>
      <c r="Y21" s="11">
        <f t="shared" si="17"/>
        <v>-3.9441424155207683E-3</v>
      </c>
      <c r="Z21" s="11">
        <f t="shared" si="17"/>
        <v>-1.1023116438356184E-2</v>
      </c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>
        <f>AS7/AR7-1</f>
        <v>0.32385865861968277</v>
      </c>
      <c r="AT21" s="11">
        <f t="shared" ref="AT21:AV21" si="18">AT7/AS7-1</f>
        <v>0.35639705882352946</v>
      </c>
      <c r="AU21" s="11">
        <f t="shared" si="18"/>
        <v>0.33653168536889466</v>
      </c>
      <c r="AV21" s="11">
        <f t="shared" si="18"/>
        <v>0.43329953356317175</v>
      </c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</row>
  </sheetData>
  <conditionalFormatting sqref="A1:XFD6 A7:AC7 AE7:XFD7 A8:XFD1048576">
    <cfRule type="expression" dxfId="0" priority="1">
      <formula>MOD(ROW(),2)=0</formula>
    </cfRule>
  </conditionalFormatting>
  <hyperlinks>
    <hyperlink ref="A2" location="Main!A1" display="Main" xr:uid="{F07F6677-5EC1-4418-BBAF-4BD77D1277FB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Cratchley</dc:creator>
  <cp:lastModifiedBy>Ethan Cratchley</cp:lastModifiedBy>
  <dcterms:created xsi:type="dcterms:W3CDTF">2023-11-25T06:08:37Z</dcterms:created>
  <dcterms:modified xsi:type="dcterms:W3CDTF">2023-11-26T08:09:04Z</dcterms:modified>
</cp:coreProperties>
</file>