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240" yWindow="165" windowWidth="14805" windowHeight="7950" tabRatio="901" firstSheet="1" activeTab="1"/>
  </bookViews>
  <sheets>
    <sheet name="水轮机基本参数" sheetId="2" r:id="rId1"/>
    <sheet name="1#机 沿程水头损失及Tw" sheetId="21" r:id="rId2"/>
    <sheet name="1#机 局部水头损失" sheetId="22" r:id="rId3"/>
    <sheet name="4#机 沿程水头损失及Tw" sheetId="10" r:id="rId4"/>
    <sheet name="4#机 局部水头损失" sheetId="11" r:id="rId5"/>
    <sheet name="汇总" sheetId="14" r:id="rId6"/>
    <sheet name="调压室数据" sheetId="5" r:id="rId7"/>
  </sheets>
  <externalReferences>
    <externalReference r:id="rId8"/>
  </externalReferences>
  <calcPr calcId="162913"/>
</workbook>
</file>

<file path=xl/calcChain.xml><?xml version="1.0" encoding="utf-8"?>
<calcChain xmlns="http://schemas.openxmlformats.org/spreadsheetml/2006/main">
  <c r="N13" i="11" l="1"/>
  <c r="O13" i="22"/>
  <c r="N13" i="22"/>
  <c r="M13" i="22"/>
  <c r="O19" i="22"/>
  <c r="N19" i="22"/>
  <c r="O16" i="22"/>
  <c r="N16" i="22"/>
  <c r="O14" i="22"/>
  <c r="N14" i="22"/>
  <c r="M14" i="22"/>
  <c r="L14" i="22"/>
  <c r="K14" i="22"/>
  <c r="J14" i="22"/>
  <c r="I14" i="22"/>
  <c r="H14" i="22"/>
  <c r="E14" i="22"/>
  <c r="F14" i="22"/>
  <c r="F17" i="22"/>
  <c r="E17" i="22"/>
  <c r="E16" i="22"/>
  <c r="F16" i="22"/>
  <c r="I23" i="22" l="1"/>
  <c r="H23" i="22"/>
  <c r="I22" i="22"/>
  <c r="H22" i="22"/>
  <c r="I21" i="22"/>
  <c r="H21" i="22"/>
  <c r="I20" i="22"/>
  <c r="K20" i="22" s="1"/>
  <c r="T25" i="21"/>
  <c r="S25" i="21"/>
  <c r="R25" i="21"/>
  <c r="P25" i="21"/>
  <c r="O25" i="21"/>
  <c r="L25" i="21"/>
  <c r="K25" i="21"/>
  <c r="H20" i="22"/>
  <c r="J20" i="22" s="1"/>
  <c r="I19" i="22"/>
  <c r="H19" i="22"/>
  <c r="I18" i="22" l="1"/>
  <c r="H18" i="22"/>
  <c r="H17" i="22"/>
  <c r="I17" i="22"/>
  <c r="I16" i="22"/>
  <c r="H16" i="22"/>
  <c r="I15" i="22" l="1"/>
  <c r="K15" i="22" s="1"/>
  <c r="H15" i="22"/>
  <c r="J15" i="22" s="1"/>
  <c r="J16" i="22"/>
  <c r="K16" i="22"/>
  <c r="I13" i="22"/>
  <c r="K13" i="22" s="1"/>
  <c r="H13" i="22"/>
  <c r="J13" i="22" s="1"/>
  <c r="L13" i="22" s="1"/>
  <c r="N13" i="21"/>
  <c r="I8" i="22"/>
  <c r="K8" i="22" s="1"/>
  <c r="M8" i="22" s="1"/>
  <c r="O8" i="22" s="1"/>
  <c r="H8" i="22"/>
  <c r="J8" i="22" s="1"/>
  <c r="L8" i="22" s="1"/>
  <c r="N8" i="22" s="1"/>
  <c r="I12" i="22"/>
  <c r="H12" i="22"/>
  <c r="O2" i="11"/>
  <c r="I11" i="22"/>
  <c r="I10" i="22"/>
  <c r="H11" i="22"/>
  <c r="H10" i="22"/>
  <c r="F11" i="22"/>
  <c r="I9" i="22"/>
  <c r="J12" i="21"/>
  <c r="I7" i="22"/>
  <c r="H7" i="22"/>
  <c r="I6" i="22"/>
  <c r="H6" i="22"/>
  <c r="I5" i="22"/>
  <c r="H5" i="22" l="1"/>
  <c r="I4" i="22"/>
  <c r="H4" i="22"/>
  <c r="I3" i="22"/>
  <c r="H3" i="22"/>
  <c r="I2" i="22"/>
  <c r="H2" i="22"/>
  <c r="N27" i="21" l="1"/>
  <c r="N3" i="21"/>
  <c r="N4" i="21"/>
  <c r="N5" i="21"/>
  <c r="P5" i="21" s="1"/>
  <c r="N6" i="21"/>
  <c r="N7" i="21"/>
  <c r="N8" i="21"/>
  <c r="P8" i="21" s="1"/>
  <c r="N9" i="21"/>
  <c r="N10" i="21"/>
  <c r="P10" i="21" s="1"/>
  <c r="N11" i="21"/>
  <c r="P11" i="21" s="1"/>
  <c r="N12" i="21"/>
  <c r="N14" i="21"/>
  <c r="P14" i="21" s="1"/>
  <c r="N15" i="21"/>
  <c r="N16" i="21"/>
  <c r="N17" i="21"/>
  <c r="P17" i="21" s="1"/>
  <c r="N18" i="21"/>
  <c r="P18" i="21" s="1"/>
  <c r="N19" i="21"/>
  <c r="N20" i="21"/>
  <c r="N21" i="21"/>
  <c r="P21" i="21" s="1"/>
  <c r="N22" i="21"/>
  <c r="N23" i="21"/>
  <c r="N24" i="21"/>
  <c r="N25" i="21"/>
  <c r="N26" i="21"/>
  <c r="N2" i="21"/>
  <c r="J27" i="21"/>
  <c r="L27" i="21"/>
  <c r="J26" i="21"/>
  <c r="J24" i="21"/>
  <c r="J25" i="21"/>
  <c r="J23" i="21"/>
  <c r="J7" i="21"/>
  <c r="J6" i="21"/>
  <c r="J5" i="21"/>
  <c r="J4" i="21"/>
  <c r="J21" i="21"/>
  <c r="J22" i="21"/>
  <c r="J20" i="21"/>
  <c r="L20" i="21" s="1"/>
  <c r="J19" i="21"/>
  <c r="J18" i="21"/>
  <c r="J17" i="21"/>
  <c r="J16" i="21"/>
  <c r="J15" i="21"/>
  <c r="J14" i="21"/>
  <c r="J13" i="21"/>
  <c r="J11" i="21"/>
  <c r="J10" i="21"/>
  <c r="J9" i="21"/>
  <c r="J8" i="21"/>
  <c r="J3" i="21"/>
  <c r="J2" i="21"/>
  <c r="I15" i="21"/>
  <c r="I16" i="21"/>
  <c r="I17" i="21"/>
  <c r="I18" i="21"/>
  <c r="I19" i="21"/>
  <c r="I20" i="21"/>
  <c r="I21" i="21"/>
  <c r="I22" i="21"/>
  <c r="I23" i="21"/>
  <c r="I24" i="21"/>
  <c r="I25" i="21"/>
  <c r="I26" i="21"/>
  <c r="I27" i="21"/>
  <c r="I14" i="21"/>
  <c r="I3" i="21"/>
  <c r="I4" i="21"/>
  <c r="I5" i="21"/>
  <c r="I6" i="21"/>
  <c r="I7" i="21"/>
  <c r="I8" i="21"/>
  <c r="I9" i="21"/>
  <c r="I10" i="21"/>
  <c r="I11" i="21"/>
  <c r="I12" i="21"/>
  <c r="I13" i="21"/>
  <c r="I2" i="21"/>
  <c r="J23" i="22"/>
  <c r="K23" i="22"/>
  <c r="J22" i="22"/>
  <c r="F22" i="22"/>
  <c r="K22" i="22" s="1"/>
  <c r="F21" i="22"/>
  <c r="K21" i="22" s="1"/>
  <c r="E21" i="22"/>
  <c r="J21" i="22" s="1"/>
  <c r="K19" i="22"/>
  <c r="J19" i="22"/>
  <c r="K18" i="22"/>
  <c r="J18" i="22"/>
  <c r="K17" i="22"/>
  <c r="J17" i="22"/>
  <c r="K12" i="22"/>
  <c r="M12" i="22" s="1"/>
  <c r="O12" i="22" s="1"/>
  <c r="J12" i="22"/>
  <c r="L12" i="22" s="1"/>
  <c r="N12" i="22" s="1"/>
  <c r="K7" i="22"/>
  <c r="J7" i="22"/>
  <c r="K6" i="22"/>
  <c r="J6" i="22"/>
  <c r="K5" i="22"/>
  <c r="J5" i="22"/>
  <c r="K4" i="22"/>
  <c r="J4" i="22"/>
  <c r="K3" i="22"/>
  <c r="J3" i="22"/>
  <c r="F2" i="22"/>
  <c r="K2" i="22" s="1"/>
  <c r="E2" i="22"/>
  <c r="J2" i="22" s="1"/>
  <c r="C29" i="21"/>
  <c r="C28" i="21"/>
  <c r="D28" i="21"/>
  <c r="D25" i="21"/>
  <c r="C21" i="21"/>
  <c r="C20" i="21"/>
  <c r="D20" i="21" s="1"/>
  <c r="U20" i="21" s="1"/>
  <c r="C18" i="21"/>
  <c r="D18" i="21" s="1"/>
  <c r="C13" i="21"/>
  <c r="D11" i="21"/>
  <c r="D12" i="21"/>
  <c r="D13" i="21"/>
  <c r="D15" i="21"/>
  <c r="D16" i="21"/>
  <c r="D17" i="21"/>
  <c r="U17" i="21" s="1"/>
  <c r="D19" i="21"/>
  <c r="D22" i="21"/>
  <c r="D23" i="21"/>
  <c r="D24" i="21"/>
  <c r="D26" i="21"/>
  <c r="D10" i="21"/>
  <c r="U11" i="21"/>
  <c r="L11" i="21"/>
  <c r="C8" i="21"/>
  <c r="D8" i="21" s="1"/>
  <c r="L8" i="21"/>
  <c r="P27" i="21"/>
  <c r="C27" i="21"/>
  <c r="D27" i="21" s="1"/>
  <c r="P26" i="21"/>
  <c r="C26" i="21"/>
  <c r="P24" i="21"/>
  <c r="P23" i="21"/>
  <c r="P22" i="21"/>
  <c r="L21" i="21"/>
  <c r="D21" i="21"/>
  <c r="P20" i="21"/>
  <c r="S19" i="21"/>
  <c r="T19" i="21" s="1"/>
  <c r="P19" i="21"/>
  <c r="L19" i="21"/>
  <c r="K19" i="21"/>
  <c r="L17" i="21"/>
  <c r="P16" i="21"/>
  <c r="P15" i="21"/>
  <c r="D14" i="21"/>
  <c r="P13" i="21"/>
  <c r="L13" i="21"/>
  <c r="P12" i="21"/>
  <c r="P9" i="21"/>
  <c r="D9" i="21"/>
  <c r="L7" i="21"/>
  <c r="D7" i="21"/>
  <c r="P6" i="21"/>
  <c r="D6" i="21"/>
  <c r="D5" i="21"/>
  <c r="P4" i="21"/>
  <c r="D4" i="21"/>
  <c r="P3" i="21"/>
  <c r="D3" i="21"/>
  <c r="P2" i="21"/>
  <c r="L2" i="21"/>
  <c r="D2" i="21"/>
  <c r="L16" i="22" l="1"/>
  <c r="M16" i="22"/>
  <c r="F10" i="22"/>
  <c r="K10" i="22" s="1"/>
  <c r="K11" i="22"/>
  <c r="E11" i="22"/>
  <c r="J11" i="22" s="1"/>
  <c r="E10" i="22"/>
  <c r="J10" i="22" s="1"/>
  <c r="E9" i="22"/>
  <c r="F9" i="22"/>
  <c r="K9" i="22" s="1"/>
  <c r="M2" i="22"/>
  <c r="O2" i="22" s="1"/>
  <c r="M19" i="22"/>
  <c r="L7" i="22"/>
  <c r="N7" i="22" s="1"/>
  <c r="L2" i="22"/>
  <c r="N2" i="22" s="1"/>
  <c r="M7" i="22"/>
  <c r="O7" i="22" s="1"/>
  <c r="L19" i="22"/>
  <c r="K11" i="21"/>
  <c r="C30" i="21"/>
  <c r="D30" i="21" s="1"/>
  <c r="O11" i="21"/>
  <c r="S11" i="21"/>
  <c r="K12" i="21"/>
  <c r="O15" i="21"/>
  <c r="O2" i="21"/>
  <c r="O23" i="21"/>
  <c r="S9" i="21"/>
  <c r="T9" i="21" s="1"/>
  <c r="AB9" i="21" s="1"/>
  <c r="S16" i="21"/>
  <c r="T16" i="21" s="1"/>
  <c r="AB16" i="21" s="1"/>
  <c r="K17" i="21"/>
  <c r="O18" i="21"/>
  <c r="S18" i="21"/>
  <c r="T18" i="21" s="1"/>
  <c r="AC18" i="21" s="1"/>
  <c r="K2" i="21"/>
  <c r="K3" i="21"/>
  <c r="K4" i="21"/>
  <c r="K5" i="21"/>
  <c r="K6" i="21"/>
  <c r="O10" i="21"/>
  <c r="L18" i="21"/>
  <c r="K24" i="21"/>
  <c r="S8" i="21"/>
  <c r="T8" i="21" s="1"/>
  <c r="AB8" i="21" s="1"/>
  <c r="K8" i="21"/>
  <c r="K27" i="21"/>
  <c r="O8" i="21"/>
  <c r="O19" i="21"/>
  <c r="R19" i="21" s="1"/>
  <c r="S2" i="21"/>
  <c r="T2" i="21" s="1"/>
  <c r="AC2" i="21" s="1"/>
  <c r="S7" i="21"/>
  <c r="T7" i="21" s="1"/>
  <c r="O16" i="21"/>
  <c r="K18" i="21"/>
  <c r="O24" i="21"/>
  <c r="O12" i="21"/>
  <c r="L16" i="21"/>
  <c r="O26" i="21"/>
  <c r="O7" i="21"/>
  <c r="O9" i="21"/>
  <c r="O14" i="21"/>
  <c r="K15" i="21"/>
  <c r="O22" i="21"/>
  <c r="S3" i="21"/>
  <c r="T3" i="21" s="1"/>
  <c r="AB3" i="21" s="1"/>
  <c r="S4" i="21"/>
  <c r="T4" i="21" s="1"/>
  <c r="AA4" i="21" s="1"/>
  <c r="S5" i="21"/>
  <c r="T5" i="21" s="1"/>
  <c r="AA5" i="21" s="1"/>
  <c r="S6" i="21"/>
  <c r="T6" i="21" s="1"/>
  <c r="AB6" i="21" s="1"/>
  <c r="K21" i="21"/>
  <c r="U9" i="21"/>
  <c r="U18" i="21"/>
  <c r="AK2" i="21"/>
  <c r="O6" i="21"/>
  <c r="P7" i="21"/>
  <c r="S14" i="21"/>
  <c r="T14" i="21" s="1"/>
  <c r="AB14" i="21" s="1"/>
  <c r="L14" i="21"/>
  <c r="K23" i="21"/>
  <c r="K13" i="21"/>
  <c r="O13" i="21"/>
  <c r="K14" i="21"/>
  <c r="S17" i="21"/>
  <c r="T17" i="21" s="1"/>
  <c r="AC17" i="21" s="1"/>
  <c r="S22" i="21"/>
  <c r="T22" i="21" s="1"/>
  <c r="AB22" i="21" s="1"/>
  <c r="L22" i="21"/>
  <c r="S23" i="21"/>
  <c r="T23" i="21" s="1"/>
  <c r="AA23" i="21" s="1"/>
  <c r="L23" i="21"/>
  <c r="S24" i="21"/>
  <c r="AF24" i="21" s="1"/>
  <c r="L24" i="21"/>
  <c r="S26" i="21"/>
  <c r="T26" i="21" s="1"/>
  <c r="AB26" i="21" s="1"/>
  <c r="L26" i="21"/>
  <c r="K26" i="21"/>
  <c r="O27" i="21"/>
  <c r="S27" i="21"/>
  <c r="T27" i="21" s="1"/>
  <c r="AC27" i="21" s="1"/>
  <c r="U6" i="21"/>
  <c r="S15" i="21"/>
  <c r="L15" i="21"/>
  <c r="O3" i="21"/>
  <c r="AA3" i="21"/>
  <c r="O4" i="21"/>
  <c r="O5" i="21"/>
  <c r="K9" i="21"/>
  <c r="S10" i="21"/>
  <c r="L10" i="21"/>
  <c r="U12" i="21"/>
  <c r="O21" i="21"/>
  <c r="K22" i="21"/>
  <c r="U2" i="21"/>
  <c r="K7" i="21"/>
  <c r="L9" i="21"/>
  <c r="K10" i="21"/>
  <c r="L3" i="21"/>
  <c r="L4" i="21"/>
  <c r="L5" i="21"/>
  <c r="L6" i="21"/>
  <c r="S12" i="21"/>
  <c r="L12" i="21"/>
  <c r="S13" i="21"/>
  <c r="T13" i="21" s="1"/>
  <c r="AA13" i="21" s="1"/>
  <c r="U14" i="21"/>
  <c r="U16" i="21"/>
  <c r="AC19" i="21"/>
  <c r="U19" i="21"/>
  <c r="AB19" i="21"/>
  <c r="AF19" i="21"/>
  <c r="AG19" i="21" s="1"/>
  <c r="AA19" i="21"/>
  <c r="AD19" i="21" s="1"/>
  <c r="V19" i="21"/>
  <c r="O20" i="21"/>
  <c r="K20" i="21"/>
  <c r="S20" i="21"/>
  <c r="T20" i="21" s="1"/>
  <c r="AC20" i="21" s="1"/>
  <c r="U21" i="21"/>
  <c r="O17" i="21"/>
  <c r="K16" i="21"/>
  <c r="S21" i="21"/>
  <c r="T21" i="21" s="1"/>
  <c r="AA21" i="21" s="1"/>
  <c r="U24" i="21"/>
  <c r="M9" i="22" l="1"/>
  <c r="M24" i="22" s="1"/>
  <c r="P2" i="22"/>
  <c r="R11" i="21"/>
  <c r="R6" i="21"/>
  <c r="AC8" i="21"/>
  <c r="AC14" i="21"/>
  <c r="R2" i="21"/>
  <c r="R27" i="21"/>
  <c r="AA2" i="21"/>
  <c r="AD2" i="21" s="1"/>
  <c r="V8" i="21"/>
  <c r="R12" i="21"/>
  <c r="V11" i="21"/>
  <c r="T11" i="21"/>
  <c r="AF11" i="21"/>
  <c r="AG11" i="21" s="1"/>
  <c r="V26" i="21"/>
  <c r="R15" i="21"/>
  <c r="AF6" i="21"/>
  <c r="AA18" i="21"/>
  <c r="AD18" i="21" s="1"/>
  <c r="R22" i="21"/>
  <c r="V6" i="21"/>
  <c r="AC6" i="21"/>
  <c r="V5" i="21"/>
  <c r="AA6" i="21"/>
  <c r="AF16" i="21"/>
  <c r="AG16" i="21" s="1"/>
  <c r="AB18" i="21"/>
  <c r="AC16" i="21"/>
  <c r="AA16" i="21"/>
  <c r="AD16" i="21" s="1"/>
  <c r="AF26" i="21"/>
  <c r="AC9" i="21"/>
  <c r="R16" i="21"/>
  <c r="R18" i="21"/>
  <c r="AA8" i="21"/>
  <c r="AA26" i="21"/>
  <c r="R23" i="21"/>
  <c r="AA9" i="21"/>
  <c r="AC26" i="21"/>
  <c r="R3" i="21"/>
  <c r="AF9" i="21"/>
  <c r="AA7" i="21"/>
  <c r="AC7" i="21"/>
  <c r="AB7" i="21"/>
  <c r="AC4" i="21"/>
  <c r="R21" i="21"/>
  <c r="R5" i="21"/>
  <c r="AF7" i="21"/>
  <c r="R8" i="21"/>
  <c r="R17" i="21"/>
  <c r="V16" i="21"/>
  <c r="W16" i="21" s="1"/>
  <c r="AF3" i="21"/>
  <c r="R14" i="21"/>
  <c r="AB4" i="21"/>
  <c r="V7" i="21"/>
  <c r="AF18" i="21"/>
  <c r="AG18" i="21" s="1"/>
  <c r="R24" i="21"/>
  <c r="AF14" i="21"/>
  <c r="AC3" i="21"/>
  <c r="R10" i="21"/>
  <c r="R4" i="21"/>
  <c r="AF27" i="21"/>
  <c r="AF2" i="21"/>
  <c r="V18" i="21"/>
  <c r="W18" i="21" s="1"/>
  <c r="V9" i="21"/>
  <c r="AF8" i="21"/>
  <c r="V22" i="21"/>
  <c r="AB5" i="21"/>
  <c r="AB2" i="21"/>
  <c r="AA22" i="21"/>
  <c r="AD21" i="21" s="1"/>
  <c r="V14" i="21"/>
  <c r="R20" i="21"/>
  <c r="AA14" i="21"/>
  <c r="V2" i="21"/>
  <c r="AC22" i="21"/>
  <c r="V3" i="21"/>
  <c r="R26" i="21"/>
  <c r="V21" i="21"/>
  <c r="AF5" i="21"/>
  <c r="AF17" i="21"/>
  <c r="AG17" i="21" s="1"/>
  <c r="AB23" i="21"/>
  <c r="AC5" i="21"/>
  <c r="R9" i="21"/>
  <c r="V4" i="21"/>
  <c r="AF22" i="21"/>
  <c r="AA17" i="21"/>
  <c r="AD17" i="21" s="1"/>
  <c r="R7" i="21"/>
  <c r="V17" i="21"/>
  <c r="W17" i="21" s="1"/>
  <c r="Y17" i="21" s="1"/>
  <c r="AA27" i="21"/>
  <c r="AF4" i="21"/>
  <c r="AB13" i="21"/>
  <c r="T15" i="21"/>
  <c r="V15" i="21"/>
  <c r="AF20" i="21"/>
  <c r="AG20" i="21" s="1"/>
  <c r="V23" i="21"/>
  <c r="V12" i="21"/>
  <c r="AF12" i="21"/>
  <c r="T12" i="21"/>
  <c r="AB21" i="21"/>
  <c r="V10" i="21"/>
  <c r="T10" i="21"/>
  <c r="AF10" i="21"/>
  <c r="T24" i="21"/>
  <c r="V24" i="21"/>
  <c r="AA20" i="21"/>
  <c r="AD20" i="21" s="1"/>
  <c r="R13" i="21"/>
  <c r="V27" i="21"/>
  <c r="AC23" i="21"/>
  <c r="AB20" i="21"/>
  <c r="V13" i="21"/>
  <c r="V20" i="21"/>
  <c r="W20" i="21" s="1"/>
  <c r="AF13" i="21"/>
  <c r="AF21" i="21"/>
  <c r="W19" i="21"/>
  <c r="AF23" i="21"/>
  <c r="AF15" i="21"/>
  <c r="U28" i="21"/>
  <c r="AC21" i="21"/>
  <c r="AB17" i="21"/>
  <c r="AB27" i="21"/>
  <c r="AC13" i="21"/>
  <c r="H9" i="22" l="1"/>
  <c r="AG14" i="21"/>
  <c r="AG6" i="21"/>
  <c r="AD6" i="21"/>
  <c r="AA11" i="21"/>
  <c r="AB11" i="21"/>
  <c r="AC11" i="21"/>
  <c r="W6" i="21"/>
  <c r="AH6" i="21" s="1"/>
  <c r="W11" i="21"/>
  <c r="AG24" i="21"/>
  <c r="W14" i="21"/>
  <c r="AH14" i="21" s="1"/>
  <c r="AG29" i="21"/>
  <c r="W9" i="21"/>
  <c r="AH9" i="21" s="1"/>
  <c r="W21" i="21"/>
  <c r="Y21" i="21" s="1"/>
  <c r="Z17" i="21"/>
  <c r="AE17" i="21" s="1"/>
  <c r="AG2" i="21"/>
  <c r="W2" i="21"/>
  <c r="AH2" i="21" s="1"/>
  <c r="W12" i="21"/>
  <c r="Z12" i="21" s="1"/>
  <c r="W24" i="21"/>
  <c r="Y24" i="21" s="1"/>
  <c r="AJ2" i="21"/>
  <c r="AH17" i="21"/>
  <c r="AG12" i="21"/>
  <c r="Z20" i="21"/>
  <c r="Y20" i="21"/>
  <c r="AH20" i="21"/>
  <c r="AA15" i="21"/>
  <c r="AD14" i="21" s="1"/>
  <c r="AC15" i="21"/>
  <c r="AB15" i="21"/>
  <c r="Y19" i="21"/>
  <c r="Z19" i="21"/>
  <c r="AL2" i="21"/>
  <c r="AM2" i="21" s="1"/>
  <c r="Z16" i="21"/>
  <c r="Y16" i="21"/>
  <c r="AG9" i="21"/>
  <c r="AA10" i="21"/>
  <c r="AC10" i="21"/>
  <c r="AB10" i="21"/>
  <c r="Z18" i="21"/>
  <c r="Y18" i="21"/>
  <c r="AH18" i="21"/>
  <c r="AH19" i="21"/>
  <c r="AG21" i="21"/>
  <c r="AA24" i="21"/>
  <c r="AD24" i="21" s="1"/>
  <c r="AB24" i="21"/>
  <c r="AC24" i="21"/>
  <c r="AB12" i="21"/>
  <c r="AC12" i="21"/>
  <c r="AA12" i="21"/>
  <c r="AD12" i="21" s="1"/>
  <c r="AH16" i="21"/>
  <c r="J9" i="22" l="1"/>
  <c r="L9" i="22" s="1"/>
  <c r="Z24" i="21"/>
  <c r="X24" i="21" s="1"/>
  <c r="Y14" i="21"/>
  <c r="X17" i="21"/>
  <c r="Z6" i="21"/>
  <c r="X6" i="21" s="1"/>
  <c r="Z14" i="21"/>
  <c r="X14" i="21" s="1"/>
  <c r="Y6" i="21"/>
  <c r="AG30" i="21"/>
  <c r="Z11" i="21"/>
  <c r="Y11" i="21"/>
  <c r="AH11" i="21"/>
  <c r="AD11" i="21"/>
  <c r="Y9" i="21"/>
  <c r="Z2" i="21"/>
  <c r="AE2" i="21" s="1"/>
  <c r="Y2" i="21"/>
  <c r="AH24" i="21"/>
  <c r="AH21" i="21"/>
  <c r="Z21" i="21"/>
  <c r="AE21" i="21" s="1"/>
  <c r="V28" i="21"/>
  <c r="W28" i="21" s="1"/>
  <c r="Z9" i="21"/>
  <c r="X9" i="21" s="1"/>
  <c r="AH12" i="21"/>
  <c r="Y12" i="21"/>
  <c r="AG28" i="21"/>
  <c r="AP2" i="21"/>
  <c r="AQ2" i="21" s="1"/>
  <c r="X16" i="21"/>
  <c r="AE16" i="21"/>
  <c r="AR2" i="21"/>
  <c r="AS2" i="21" s="1"/>
  <c r="X18" i="21"/>
  <c r="AE18" i="21"/>
  <c r="AN2" i="21"/>
  <c r="AO2" i="21" s="1"/>
  <c r="AD9" i="21"/>
  <c r="X19" i="21"/>
  <c r="AE19" i="21"/>
  <c r="X20" i="21"/>
  <c r="AE20" i="21"/>
  <c r="X12" i="21"/>
  <c r="AE12" i="21"/>
  <c r="O9" i="22" l="1"/>
  <c r="N9" i="22"/>
  <c r="L24" i="22"/>
  <c r="AE24" i="21"/>
  <c r="X2" i="21"/>
  <c r="X21" i="21"/>
  <c r="AE14" i="21"/>
  <c r="AE6" i="21"/>
  <c r="X11" i="21"/>
  <c r="AE11" i="21"/>
  <c r="AE9" i="21"/>
  <c r="AE28" i="21" l="1"/>
  <c r="AE29" i="21" l="1"/>
  <c r="AE30" i="21" s="1"/>
  <c r="C8" i="10" l="1"/>
  <c r="D5" i="10"/>
  <c r="D4" i="10"/>
  <c r="D3" i="10"/>
  <c r="D2" i="10"/>
  <c r="E26" i="10" l="1"/>
  <c r="I24" i="10" l="1"/>
  <c r="I18" i="10"/>
  <c r="I19" i="10"/>
  <c r="I20" i="10"/>
  <c r="I21" i="10"/>
  <c r="I22" i="10"/>
  <c r="I23" i="10"/>
  <c r="I17" i="10"/>
  <c r="I13" i="10"/>
  <c r="I14" i="10"/>
  <c r="I15" i="10"/>
  <c r="I16" i="10"/>
  <c r="I11" i="10"/>
  <c r="I10" i="10"/>
  <c r="I3" i="10"/>
  <c r="I4" i="10"/>
  <c r="I5" i="10"/>
  <c r="I6" i="10"/>
  <c r="I7" i="10"/>
  <c r="I8" i="10"/>
  <c r="I2" i="10"/>
  <c r="E29" i="11" l="1"/>
  <c r="E32" i="11" l="1"/>
  <c r="E30" i="11"/>
  <c r="N16" i="10" l="1"/>
  <c r="J16" i="10"/>
  <c r="N15" i="10"/>
  <c r="J15" i="10"/>
  <c r="N13" i="10"/>
  <c r="J13" i="10"/>
  <c r="N11" i="10"/>
  <c r="J11" i="10"/>
  <c r="R25" i="11" l="1"/>
  <c r="N10" i="10" l="1"/>
  <c r="O10" i="10"/>
  <c r="P10" i="10"/>
  <c r="S10" i="10"/>
  <c r="T10" i="10" s="1"/>
  <c r="J10" i="10"/>
  <c r="L10" i="10" s="1"/>
  <c r="D10" i="10"/>
  <c r="E11" i="11" l="1"/>
  <c r="F9" i="11"/>
  <c r="E10" i="11"/>
  <c r="E9" i="11"/>
  <c r="F12" i="11"/>
  <c r="F10" i="11"/>
  <c r="E12" i="11"/>
  <c r="F11" i="11"/>
  <c r="AA10" i="10"/>
  <c r="AD10" i="10" s="1"/>
  <c r="K10" i="10"/>
  <c r="R10" i="10" s="1"/>
  <c r="AB10" i="10"/>
  <c r="AC10" i="10"/>
  <c r="U10" i="10"/>
  <c r="V10" i="10"/>
  <c r="AF10" i="10"/>
  <c r="AG10" i="10" s="1"/>
  <c r="I13" i="11" l="1"/>
  <c r="H13" i="11"/>
  <c r="W10" i="10"/>
  <c r="Y10" i="10" l="1"/>
  <c r="AH10" i="10"/>
  <c r="Z10" i="10"/>
  <c r="N14" i="10"/>
  <c r="J14" i="10"/>
  <c r="AE10" i="10" l="1"/>
  <c r="X10" i="10"/>
  <c r="G30" i="11" l="1"/>
  <c r="G31" i="11"/>
  <c r="C32" i="11"/>
  <c r="G32" i="11" s="1"/>
  <c r="D32" i="11"/>
  <c r="D30" i="11"/>
  <c r="D29" i="11"/>
  <c r="N24" i="10"/>
  <c r="J24" i="10"/>
  <c r="N23" i="10"/>
  <c r="P23" i="10" s="1"/>
  <c r="L23" i="10"/>
  <c r="J23" i="10"/>
  <c r="K23" i="10" s="1"/>
  <c r="D23" i="10"/>
  <c r="N22" i="10"/>
  <c r="J22" i="10"/>
  <c r="N21" i="10"/>
  <c r="J21" i="10"/>
  <c r="N20" i="10"/>
  <c r="N19" i="10"/>
  <c r="J20" i="10"/>
  <c r="J19" i="10"/>
  <c r="N18" i="10"/>
  <c r="J18" i="10"/>
  <c r="N17" i="10"/>
  <c r="J17" i="10"/>
  <c r="D16" i="10"/>
  <c r="E13" i="11" l="1"/>
  <c r="S23" i="10"/>
  <c r="AF23" i="10" s="1"/>
  <c r="T23" i="10"/>
  <c r="AA23" i="10" s="1"/>
  <c r="O23" i="10"/>
  <c r="R23" i="10" s="1"/>
  <c r="AC23" i="10"/>
  <c r="A34" i="11"/>
  <c r="E16" i="11"/>
  <c r="G29" i="11"/>
  <c r="F16" i="11"/>
  <c r="F13" i="11" l="1"/>
  <c r="V23" i="10"/>
  <c r="AB23" i="10"/>
  <c r="C13" i="10" l="1"/>
  <c r="F37" i="10"/>
  <c r="N8" i="10"/>
  <c r="J8" i="10"/>
  <c r="N7" i="10"/>
  <c r="J7" i="10"/>
  <c r="N6" i="10"/>
  <c r="J6" i="10"/>
  <c r="J5" i="10"/>
  <c r="N5" i="10"/>
  <c r="N4" i="10"/>
  <c r="N3" i="10"/>
  <c r="J4" i="10" s="1"/>
  <c r="N2" i="10"/>
  <c r="J2" i="10"/>
  <c r="J3" i="10" s="1"/>
  <c r="AJ3" i="10" s="1"/>
  <c r="C25" i="10" l="1"/>
  <c r="D26" i="10"/>
  <c r="AL3" i="10"/>
  <c r="AN3" i="10" s="1"/>
  <c r="K8" i="10"/>
  <c r="K7" i="10"/>
  <c r="F2" i="11"/>
  <c r="E2" i="11"/>
  <c r="P20" i="10"/>
  <c r="L20" i="10"/>
  <c r="D20" i="10"/>
  <c r="P19" i="10"/>
  <c r="L19" i="10"/>
  <c r="D19" i="10"/>
  <c r="L18" i="10"/>
  <c r="D18" i="10"/>
  <c r="P15" i="10"/>
  <c r="L15" i="10"/>
  <c r="D15" i="10"/>
  <c r="P8" i="10"/>
  <c r="L8" i="10"/>
  <c r="D8" i="10"/>
  <c r="P7" i="10"/>
  <c r="L7" i="10"/>
  <c r="D7" i="10"/>
  <c r="P6" i="10"/>
  <c r="L6" i="10"/>
  <c r="D6" i="10"/>
  <c r="P5" i="10"/>
  <c r="L5" i="10"/>
  <c r="P4" i="10"/>
  <c r="L4" i="10"/>
  <c r="P3" i="10"/>
  <c r="L3" i="10"/>
  <c r="P2" i="10"/>
  <c r="F19" i="11" l="1"/>
  <c r="E19" i="11"/>
  <c r="F8" i="11"/>
  <c r="E8" i="11"/>
  <c r="K18" i="10"/>
  <c r="K19" i="10"/>
  <c r="U2" i="10"/>
  <c r="S4" i="10"/>
  <c r="T4" i="10" s="1"/>
  <c r="AC4" i="10" s="1"/>
  <c r="S18" i="10"/>
  <c r="T18" i="10" s="1"/>
  <c r="AA18" i="10" s="1"/>
  <c r="S6" i="10"/>
  <c r="T6" i="10" s="1"/>
  <c r="AC6" i="10" s="1"/>
  <c r="O2" i="10"/>
  <c r="K20" i="10"/>
  <c r="K2" i="10"/>
  <c r="V18" i="10"/>
  <c r="U18" i="10"/>
  <c r="O18" i="10"/>
  <c r="S19" i="10"/>
  <c r="T19" i="10" s="1"/>
  <c r="AC19" i="10" s="1"/>
  <c r="P18" i="10"/>
  <c r="O19" i="10"/>
  <c r="O20" i="10"/>
  <c r="S20" i="10"/>
  <c r="T20" i="10" s="1"/>
  <c r="AB20" i="10" s="1"/>
  <c r="S15" i="10"/>
  <c r="T15" i="10" s="1"/>
  <c r="AC15" i="10" s="1"/>
  <c r="O15" i="10"/>
  <c r="K15" i="10"/>
  <c r="U15" i="10"/>
  <c r="O4" i="10"/>
  <c r="K4" i="10"/>
  <c r="K6" i="10"/>
  <c r="O6" i="10"/>
  <c r="S3" i="10"/>
  <c r="T3" i="10" s="1"/>
  <c r="AA3" i="10" s="1"/>
  <c r="S5" i="10"/>
  <c r="T5" i="10" s="1"/>
  <c r="AC5" i="10" s="1"/>
  <c r="S2" i="10"/>
  <c r="V2" i="10" s="1"/>
  <c r="L2" i="10"/>
  <c r="K3" i="10"/>
  <c r="O3" i="10"/>
  <c r="K5" i="10"/>
  <c r="O5" i="10"/>
  <c r="S8" i="10"/>
  <c r="T8" i="10" s="1"/>
  <c r="AA8" i="10" s="1"/>
  <c r="U6" i="10"/>
  <c r="O7" i="10"/>
  <c r="R7" i="10" s="1"/>
  <c r="O8" i="10"/>
  <c r="R8" i="10" s="1"/>
  <c r="S7" i="10"/>
  <c r="T7" i="10" s="1"/>
  <c r="AA7" i="10" s="1"/>
  <c r="J13" i="14"/>
  <c r="I13" i="14"/>
  <c r="H13" i="14"/>
  <c r="G13" i="14"/>
  <c r="J12" i="14"/>
  <c r="I12" i="14"/>
  <c r="H12" i="14"/>
  <c r="G12" i="14"/>
  <c r="J11" i="14"/>
  <c r="I11" i="14"/>
  <c r="H11" i="14"/>
  <c r="G11" i="14"/>
  <c r="J10" i="14"/>
  <c r="I10" i="14"/>
  <c r="H10" i="14"/>
  <c r="G10" i="14"/>
  <c r="J48" i="14"/>
  <c r="J47" i="14"/>
  <c r="F35" i="14"/>
  <c r="G35" i="14" s="1"/>
  <c r="F36" i="14"/>
  <c r="G36" i="14" s="1"/>
  <c r="F37" i="14"/>
  <c r="G37" i="14" s="1"/>
  <c r="F34" i="14"/>
  <c r="G34" i="14" s="1"/>
  <c r="B40" i="14"/>
  <c r="E37" i="14"/>
  <c r="E36" i="14"/>
  <c r="E35" i="14"/>
  <c r="E34" i="14"/>
  <c r="AJ34" i="10"/>
  <c r="AJ35" i="10"/>
  <c r="AJ36" i="10"/>
  <c r="AJ33" i="10"/>
  <c r="F18" i="11" l="1"/>
  <c r="E17" i="11"/>
  <c r="E18" i="11"/>
  <c r="F17" i="11"/>
  <c r="I12" i="11"/>
  <c r="K12" i="11" s="1"/>
  <c r="I11" i="11"/>
  <c r="K11" i="11" s="1"/>
  <c r="H12" i="11"/>
  <c r="J12" i="11" s="1"/>
  <c r="H11" i="11"/>
  <c r="J11" i="11" s="1"/>
  <c r="I5" i="11"/>
  <c r="R18" i="10"/>
  <c r="V19" i="10"/>
  <c r="AB4" i="10"/>
  <c r="AB19" i="10"/>
  <c r="I9" i="11"/>
  <c r="K9" i="11" s="1"/>
  <c r="H10" i="11"/>
  <c r="J10" i="11" s="1"/>
  <c r="H9" i="11"/>
  <c r="J9" i="11" s="1"/>
  <c r="I10" i="11"/>
  <c r="K10" i="11" s="1"/>
  <c r="H7" i="11"/>
  <c r="I7" i="11"/>
  <c r="AB15" i="10"/>
  <c r="AF4" i="10"/>
  <c r="V4" i="10"/>
  <c r="AB18" i="10"/>
  <c r="R19" i="10"/>
  <c r="H20" i="11" s="1"/>
  <c r="AF18" i="10"/>
  <c r="AA15" i="10"/>
  <c r="AC18" i="10"/>
  <c r="AB7" i="10"/>
  <c r="AC7" i="10"/>
  <c r="AF7" i="10"/>
  <c r="AA6" i="10"/>
  <c r="AD6" i="10" s="1"/>
  <c r="AF6" i="10"/>
  <c r="V6" i="10"/>
  <c r="AB6" i="10"/>
  <c r="R15" i="10"/>
  <c r="R20" i="10"/>
  <c r="AA4" i="10"/>
  <c r="AF3" i="10"/>
  <c r="AA20" i="10"/>
  <c r="AA19" i="10"/>
  <c r="AC20" i="10"/>
  <c r="AF20" i="10"/>
  <c r="AC3" i="10"/>
  <c r="AF19" i="10"/>
  <c r="AF5" i="10"/>
  <c r="R2" i="10"/>
  <c r="R4" i="10"/>
  <c r="V20" i="10"/>
  <c r="AF15" i="10"/>
  <c r="V15" i="10"/>
  <c r="AF8" i="10"/>
  <c r="R5" i="10"/>
  <c r="R6" i="10"/>
  <c r="V5" i="10"/>
  <c r="V3" i="10"/>
  <c r="AC8" i="10"/>
  <c r="AB5" i="10"/>
  <c r="AB3" i="10"/>
  <c r="V7" i="10"/>
  <c r="AA5" i="10"/>
  <c r="AB8" i="10"/>
  <c r="AF2" i="10"/>
  <c r="T2" i="10"/>
  <c r="V8" i="10"/>
  <c r="R3" i="10"/>
  <c r="I19" i="11" l="1"/>
  <c r="K19" i="11" s="1"/>
  <c r="H19" i="11"/>
  <c r="J19" i="11" s="1"/>
  <c r="M9" i="11"/>
  <c r="L9" i="11"/>
  <c r="H8" i="11"/>
  <c r="J8" i="11" s="1"/>
  <c r="I8" i="11"/>
  <c r="K8" i="11" s="1"/>
  <c r="W18" i="10"/>
  <c r="Y18" i="10" s="1"/>
  <c r="AD15" i="10"/>
  <c r="AG18" i="10"/>
  <c r="I6" i="11"/>
  <c r="H6" i="11"/>
  <c r="H5" i="11"/>
  <c r="H4" i="11"/>
  <c r="H3" i="11"/>
  <c r="I4" i="11"/>
  <c r="I3" i="11"/>
  <c r="I2" i="11"/>
  <c r="H2" i="11"/>
  <c r="AG6" i="10"/>
  <c r="AD18" i="10"/>
  <c r="AG2" i="10"/>
  <c r="W6" i="10"/>
  <c r="Y6" i="10" s="1"/>
  <c r="W15" i="10"/>
  <c r="AH15" i="10" s="1"/>
  <c r="W2" i="10"/>
  <c r="Z2" i="10" s="1"/>
  <c r="AG15" i="10"/>
  <c r="AC2" i="10"/>
  <c r="AB2" i="10"/>
  <c r="AA2" i="10"/>
  <c r="AD2" i="10" s="1"/>
  <c r="L11" i="10"/>
  <c r="D11" i="10"/>
  <c r="AH25" i="10" l="1"/>
  <c r="U11" i="10"/>
  <c r="O9" i="11"/>
  <c r="N9" i="11"/>
  <c r="AH18" i="10"/>
  <c r="Z18" i="10"/>
  <c r="X18" i="10" s="1"/>
  <c r="Y15" i="10"/>
  <c r="Z15" i="10"/>
  <c r="AE15" i="10" s="1"/>
  <c r="AH2" i="10"/>
  <c r="Y2" i="10"/>
  <c r="Z6" i="10"/>
  <c r="X6" i="10" s="1"/>
  <c r="K11" i="10"/>
  <c r="I14" i="11" s="1"/>
  <c r="S11" i="10"/>
  <c r="T11" i="10" s="1"/>
  <c r="AA11" i="10" s="1"/>
  <c r="AH6" i="10"/>
  <c r="X2" i="10"/>
  <c r="AE2" i="10"/>
  <c r="O11" i="10"/>
  <c r="P11" i="10"/>
  <c r="F23" i="11"/>
  <c r="F22" i="11"/>
  <c r="E22" i="11"/>
  <c r="P24" i="10"/>
  <c r="L24" i="10"/>
  <c r="D24" i="10"/>
  <c r="P22" i="10"/>
  <c r="D22" i="10"/>
  <c r="P21" i="10"/>
  <c r="L21" i="10"/>
  <c r="D21" i="10"/>
  <c r="P17" i="10"/>
  <c r="D17" i="10"/>
  <c r="L16" i="10"/>
  <c r="S14" i="10"/>
  <c r="T14" i="10" s="1"/>
  <c r="P14" i="10"/>
  <c r="O14" i="10"/>
  <c r="L14" i="10"/>
  <c r="K14" i="10"/>
  <c r="D14" i="10"/>
  <c r="U14" i="10" s="1"/>
  <c r="P13" i="10"/>
  <c r="D13" i="10"/>
  <c r="E14" i="11" l="1"/>
  <c r="F14" i="11"/>
  <c r="E15" i="11"/>
  <c r="F15" i="11"/>
  <c r="AE18" i="10"/>
  <c r="AB11" i="10"/>
  <c r="AE6" i="10"/>
  <c r="O22" i="10"/>
  <c r="AC11" i="10"/>
  <c r="X15" i="10"/>
  <c r="S22" i="10"/>
  <c r="T22" i="10" s="1"/>
  <c r="AA22" i="10" s="1"/>
  <c r="S13" i="10"/>
  <c r="T13" i="10" s="1"/>
  <c r="AA13" i="10" s="1"/>
  <c r="AD13" i="10" s="1"/>
  <c r="K16" i="10"/>
  <c r="AF11" i="10"/>
  <c r="S16" i="10"/>
  <c r="T16" i="10" s="1"/>
  <c r="AA16" i="10" s="1"/>
  <c r="O17" i="10"/>
  <c r="L22" i="10"/>
  <c r="O24" i="10"/>
  <c r="V11" i="10"/>
  <c r="AB14" i="10"/>
  <c r="K22" i="10"/>
  <c r="R11" i="10"/>
  <c r="L13" i="10"/>
  <c r="P16" i="10"/>
  <c r="S21" i="10"/>
  <c r="T21" i="10" s="1"/>
  <c r="AC21" i="10" s="1"/>
  <c r="K5" i="11"/>
  <c r="AD11" i="10"/>
  <c r="J5" i="11"/>
  <c r="S17" i="10"/>
  <c r="L17" i="10"/>
  <c r="AK2" i="10"/>
  <c r="O21" i="10"/>
  <c r="K21" i="10"/>
  <c r="K13" i="10"/>
  <c r="O13" i="10"/>
  <c r="AF14" i="10"/>
  <c r="AG14" i="10" s="1"/>
  <c r="V14" i="10"/>
  <c r="W14" i="10" s="1"/>
  <c r="AC14" i="10"/>
  <c r="AA14" i="10"/>
  <c r="AD14" i="10" s="1"/>
  <c r="K17" i="10"/>
  <c r="K24" i="10"/>
  <c r="S24" i="10"/>
  <c r="T24" i="10" s="1"/>
  <c r="AC24" i="10" s="1"/>
  <c r="O16" i="10"/>
  <c r="U16" i="10"/>
  <c r="U17" i="10"/>
  <c r="U21" i="10"/>
  <c r="U13" i="10"/>
  <c r="R14" i="10"/>
  <c r="H14" i="11" l="1"/>
  <c r="J14" i="11" s="1"/>
  <c r="K14" i="11"/>
  <c r="I21" i="11"/>
  <c r="K21" i="11" s="1"/>
  <c r="H21" i="11"/>
  <c r="J21" i="11" s="1"/>
  <c r="I16" i="11"/>
  <c r="K16" i="11" s="1"/>
  <c r="M16" i="11" s="1"/>
  <c r="H16" i="11"/>
  <c r="J16" i="11" s="1"/>
  <c r="L16" i="11" s="1"/>
  <c r="AC13" i="10"/>
  <c r="V22" i="10"/>
  <c r="AF22" i="10"/>
  <c r="R22" i="10"/>
  <c r="AB22" i="10"/>
  <c r="AC22" i="10"/>
  <c r="AF13" i="10"/>
  <c r="AG13" i="10" s="1"/>
  <c r="AB13" i="10"/>
  <c r="W11" i="10"/>
  <c r="AH11" i="10" s="1"/>
  <c r="AA21" i="10"/>
  <c r="V13" i="10"/>
  <c r="W13" i="10" s="1"/>
  <c r="AH13" i="10" s="1"/>
  <c r="R16" i="10"/>
  <c r="AB21" i="10"/>
  <c r="AG11" i="10"/>
  <c r="R24" i="10"/>
  <c r="AF16" i="10"/>
  <c r="AB16" i="10"/>
  <c r="AA24" i="10"/>
  <c r="V21" i="10"/>
  <c r="AF21" i="10"/>
  <c r="V16" i="10"/>
  <c r="R17" i="10"/>
  <c r="AC16" i="10"/>
  <c r="K4" i="11"/>
  <c r="J4" i="11"/>
  <c r="K7" i="11"/>
  <c r="J7" i="11"/>
  <c r="K6" i="11"/>
  <c r="J6" i="11"/>
  <c r="C81" i="14"/>
  <c r="C48" i="14"/>
  <c r="C47" i="14"/>
  <c r="C64" i="14"/>
  <c r="R13" i="10"/>
  <c r="R21" i="10"/>
  <c r="I20" i="11"/>
  <c r="K20" i="11" s="1"/>
  <c r="H18" i="11"/>
  <c r="J18" i="11" s="1"/>
  <c r="I17" i="11"/>
  <c r="K17" i="11" s="1"/>
  <c r="H17" i="11"/>
  <c r="J17" i="11" s="1"/>
  <c r="I18" i="11"/>
  <c r="K18" i="11" s="1"/>
  <c r="Z11" i="10"/>
  <c r="Y11" i="10"/>
  <c r="Z14" i="10"/>
  <c r="Y14" i="10"/>
  <c r="AB24" i="10"/>
  <c r="T17" i="10"/>
  <c r="AF17" i="10"/>
  <c r="AG17" i="10" s="1"/>
  <c r="V17" i="10"/>
  <c r="W17" i="10" s="1"/>
  <c r="V24" i="10"/>
  <c r="AF24" i="10"/>
  <c r="AH14" i="10"/>
  <c r="AL2" i="10"/>
  <c r="AM2" i="10" s="1"/>
  <c r="AH26" i="10" l="1"/>
  <c r="H15" i="11"/>
  <c r="J15" i="11" s="1"/>
  <c r="L14" i="11" s="1"/>
  <c r="N14" i="11" s="1"/>
  <c r="I15" i="11"/>
  <c r="K15" i="11" s="1"/>
  <c r="M14" i="11" s="1"/>
  <c r="O14" i="11" s="1"/>
  <c r="M7" i="11"/>
  <c r="O7" i="11" s="1"/>
  <c r="L7" i="11"/>
  <c r="N7" i="11" s="1"/>
  <c r="H24" i="11"/>
  <c r="J24" i="11" s="1"/>
  <c r="W16" i="10"/>
  <c r="AH16" i="10" s="1"/>
  <c r="AD21" i="10"/>
  <c r="I23" i="11"/>
  <c r="K23" i="11" s="1"/>
  <c r="I24" i="11"/>
  <c r="K24" i="11" s="1"/>
  <c r="H23" i="11"/>
  <c r="J23" i="11" s="1"/>
  <c r="I22" i="11"/>
  <c r="K22" i="11" s="1"/>
  <c r="H22" i="11"/>
  <c r="J22" i="11" s="1"/>
  <c r="AD16" i="10"/>
  <c r="W21" i="10"/>
  <c r="AH21" i="10" s="1"/>
  <c r="AG21" i="10"/>
  <c r="AG27" i="10" s="1"/>
  <c r="AG16" i="10"/>
  <c r="AG26" i="10" s="1"/>
  <c r="K3" i="11"/>
  <c r="J3" i="11"/>
  <c r="K2" i="11"/>
  <c r="J2" i="11"/>
  <c r="J20" i="11"/>
  <c r="L17" i="11" s="1"/>
  <c r="M17" i="11"/>
  <c r="J13" i="11"/>
  <c r="L13" i="11" s="1"/>
  <c r="K13" i="11"/>
  <c r="M13" i="11" s="1"/>
  <c r="O13" i="11" s="1"/>
  <c r="X11" i="10"/>
  <c r="AE11" i="10"/>
  <c r="Y17" i="10"/>
  <c r="N16" i="11" s="1"/>
  <c r="Z17" i="10"/>
  <c r="AH17" i="10"/>
  <c r="Z21" i="10"/>
  <c r="AC17" i="10"/>
  <c r="AB17" i="10"/>
  <c r="AA17" i="10"/>
  <c r="AD17" i="10" s="1"/>
  <c r="AJ2" i="10"/>
  <c r="X14" i="10"/>
  <c r="AE14" i="10"/>
  <c r="Z16" i="10"/>
  <c r="Y13" i="10"/>
  <c r="N15" i="11" s="1"/>
  <c r="Z13" i="10"/>
  <c r="O15" i="11" s="1"/>
  <c r="K23" i="5"/>
  <c r="M23" i="5" s="1"/>
  <c r="B17" i="5"/>
  <c r="B11" i="5"/>
  <c r="B23" i="5"/>
  <c r="D23" i="5" s="1"/>
  <c r="H23" i="5"/>
  <c r="J23" i="5" s="1"/>
  <c r="C26" i="5"/>
  <c r="F26" i="5"/>
  <c r="D26" i="5"/>
  <c r="G26" i="5"/>
  <c r="F23" i="5"/>
  <c r="G23" i="5"/>
  <c r="B14" i="5"/>
  <c r="B8" i="5"/>
  <c r="G5" i="5"/>
  <c r="F5" i="5"/>
  <c r="O16" i="11" l="1"/>
  <c r="Y16" i="10"/>
  <c r="Y21" i="10"/>
  <c r="AD25" i="10"/>
  <c r="AD27" i="10" s="1"/>
  <c r="L21" i="11"/>
  <c r="M21" i="11"/>
  <c r="L2" i="11"/>
  <c r="N2" i="11" s="1"/>
  <c r="M2" i="11"/>
  <c r="C82" i="14"/>
  <c r="D48" i="14"/>
  <c r="K48" i="14" s="1"/>
  <c r="D47" i="14"/>
  <c r="K47" i="14" s="1"/>
  <c r="C65" i="14"/>
  <c r="AG25" i="10"/>
  <c r="AG29" i="10" s="1"/>
  <c r="AI29" i="10" s="1"/>
  <c r="C74" i="14"/>
  <c r="C58" i="14"/>
  <c r="N17" i="11"/>
  <c r="O17" i="11"/>
  <c r="X16" i="10"/>
  <c r="AE16" i="10"/>
  <c r="X21" i="10"/>
  <c r="AE21" i="10"/>
  <c r="X13" i="10"/>
  <c r="AE13" i="10"/>
  <c r="X17" i="10"/>
  <c r="AE17" i="10"/>
  <c r="B5" i="5"/>
  <c r="O21" i="11" l="1"/>
  <c r="N21" i="11"/>
  <c r="C69" i="14"/>
  <c r="C70" i="14"/>
  <c r="C78" i="14" s="1"/>
  <c r="C83" i="14" s="1"/>
  <c r="C54" i="14"/>
  <c r="C62" i="14" s="1"/>
  <c r="C66" i="14" s="1"/>
  <c r="H2" i="14"/>
  <c r="C57" i="14"/>
  <c r="C53" i="14"/>
  <c r="C2" i="14"/>
  <c r="P2" i="11"/>
  <c r="AE25" i="10"/>
  <c r="D5" i="5"/>
  <c r="C17" i="5"/>
  <c r="C11" i="5"/>
  <c r="C14" i="5"/>
  <c r="C8" i="5"/>
  <c r="E5" i="5"/>
  <c r="G48" i="14" l="1"/>
  <c r="C73" i="14"/>
  <c r="C77" i="14" s="1"/>
  <c r="H48" i="14" s="1"/>
  <c r="G47" i="14"/>
  <c r="C61" i="14"/>
  <c r="H47" i="14" s="1"/>
  <c r="B5" i="14"/>
  <c r="G5" i="14"/>
  <c r="B4" i="14"/>
  <c r="G4" i="14"/>
  <c r="C4" i="14"/>
  <c r="B2" i="14"/>
  <c r="D2" i="14" s="1"/>
  <c r="G2" i="14"/>
  <c r="I2" i="14" s="1"/>
  <c r="H4" i="14"/>
  <c r="L25" i="11"/>
  <c r="M25" i="11"/>
  <c r="H5" i="5"/>
  <c r="D11" i="5"/>
  <c r="D17" i="5"/>
  <c r="F17" i="5" s="1"/>
  <c r="H5" i="14" l="1"/>
  <c r="I5" i="14" s="1"/>
  <c r="M27" i="11"/>
  <c r="C5" i="14"/>
  <c r="L27" i="11"/>
  <c r="I47" i="14"/>
  <c r="L47" i="14" s="1"/>
  <c r="I48" i="14"/>
  <c r="L48" i="14" s="1"/>
  <c r="E77" i="14"/>
  <c r="E61" i="14"/>
  <c r="D4" i="14"/>
  <c r="D5" i="14"/>
  <c r="I4" i="14"/>
  <c r="AN2" i="10"/>
  <c r="AO2" i="10" s="1"/>
  <c r="AR2" i="10"/>
  <c r="AS2" i="10" s="1"/>
  <c r="AP2" i="10"/>
  <c r="AQ2" i="10" s="1"/>
  <c r="B2" i="5"/>
  <c r="B3" i="14" l="1"/>
  <c r="G3" i="14"/>
  <c r="H3" i="14"/>
  <c r="C3" i="14"/>
  <c r="F11" i="5"/>
  <c r="D8" i="5"/>
  <c r="D14" i="5"/>
  <c r="F14" i="5" s="1"/>
  <c r="G11" i="5"/>
  <c r="E11" i="5"/>
  <c r="D3" i="14" l="1"/>
  <c r="I3" i="14"/>
  <c r="G8" i="5"/>
  <c r="G17" i="5"/>
  <c r="E17" i="5"/>
  <c r="F8" i="5" l="1"/>
  <c r="E8" i="5"/>
  <c r="G14" i="5" s="1"/>
  <c r="E14" i="5" l="1"/>
</calcChain>
</file>

<file path=xl/sharedStrings.xml><?xml version="1.0" encoding="utf-8"?>
<sst xmlns="http://schemas.openxmlformats.org/spreadsheetml/2006/main" count="576" uniqueCount="385">
  <si>
    <t>管道分段号</t>
    <phoneticPr fontId="1" type="noConversion"/>
  </si>
  <si>
    <t>管道类型</t>
    <phoneticPr fontId="1" type="noConversion"/>
  </si>
  <si>
    <t>钢筋混凝土衬砌</t>
  </si>
  <si>
    <t>进水口</t>
  </si>
  <si>
    <t>明渠</t>
    <phoneticPr fontId="1" type="noConversion"/>
  </si>
  <si>
    <t>文档中管道长度(m)</t>
    <phoneticPr fontId="1" type="noConversion"/>
  </si>
  <si>
    <t>管段（图纸）总长(m)</t>
    <phoneticPr fontId="1" type="noConversion"/>
  </si>
  <si>
    <t>文档中部位</t>
  </si>
  <si>
    <t>文档中部位</t>
    <phoneticPr fontId="1" type="noConversion"/>
  </si>
  <si>
    <t>计算用管道长度(m)</t>
    <phoneticPr fontId="1" type="noConversion"/>
  </si>
  <si>
    <t>当量面积(m)</t>
    <phoneticPr fontId="1" type="noConversion"/>
  </si>
  <si>
    <t>Tw(s)</t>
    <phoneticPr fontId="1" type="noConversion"/>
  </si>
  <si>
    <t>管段当量水力半径(m)</t>
    <phoneticPr fontId="1" type="noConversion"/>
  </si>
  <si>
    <t>形状</t>
    <phoneticPr fontId="1" type="noConversion"/>
  </si>
  <si>
    <t>拦污栅</t>
    <phoneticPr fontId="1" type="noConversion"/>
  </si>
  <si>
    <t>进水口</t>
    <phoneticPr fontId="1" type="noConversion"/>
  </si>
  <si>
    <t>圆弧弯道</t>
  </si>
  <si>
    <t>圆弧弯道</t>
    <phoneticPr fontId="1" type="noConversion"/>
  </si>
  <si>
    <t>矩形变圆</t>
    <phoneticPr fontId="1" type="noConversion"/>
  </si>
  <si>
    <t>管道平均流速(m/s)</t>
    <phoneticPr fontId="1" type="noConversion"/>
  </si>
  <si>
    <t>流速位置</t>
    <phoneticPr fontId="1" type="noConversion"/>
  </si>
  <si>
    <t>平均</t>
    <phoneticPr fontId="1" type="noConversion"/>
  </si>
  <si>
    <t>管道首断面流速(m/s)</t>
    <phoneticPr fontId="1" type="noConversion"/>
  </si>
  <si>
    <t>管道末断面流速(m/s)</t>
    <phoneticPr fontId="1" type="noConversion"/>
  </si>
  <si>
    <t>末断面</t>
    <phoneticPr fontId="1" type="noConversion"/>
  </si>
  <si>
    <t>渐变段(1)</t>
    <phoneticPr fontId="1" type="noConversion"/>
  </si>
  <si>
    <t>引水隧洞(1)</t>
  </si>
  <si>
    <t>渐变段(3)</t>
    <phoneticPr fontId="1" type="noConversion"/>
  </si>
  <si>
    <t>管段平均流速(m/s)</t>
    <phoneticPr fontId="1" type="noConversion"/>
  </si>
  <si>
    <t>方形</t>
    <phoneticPr fontId="1" type="noConversion"/>
  </si>
  <si>
    <t>管道长度/当量面积(1/m)</t>
    <phoneticPr fontId="1" type="noConversion"/>
  </si>
  <si>
    <t>管道流量(m3)</t>
    <phoneticPr fontId="1" type="noConversion"/>
  </si>
  <si>
    <t>首断面</t>
    <phoneticPr fontId="1" type="noConversion"/>
  </si>
  <si>
    <t>按调压室分段</t>
    <phoneticPr fontId="1" type="noConversion"/>
  </si>
  <si>
    <t>上游调压室前</t>
    <phoneticPr fontId="1" type="noConversion"/>
  </si>
  <si>
    <t>分段Tw(s)</t>
    <phoneticPr fontId="1" type="noConversion"/>
  </si>
  <si>
    <t>上游调压室设置条件</t>
    <phoneticPr fontId="1" type="noConversion"/>
  </si>
  <si>
    <t>上游Tw(s)</t>
    <phoneticPr fontId="1" type="noConversion"/>
  </si>
  <si>
    <t>Tw允许值(s)</t>
    <phoneticPr fontId="1" type="noConversion"/>
  </si>
  <si>
    <t>2~4</t>
    <phoneticPr fontId="1" type="noConversion"/>
  </si>
  <si>
    <t>下游调压室设置条件</t>
    <phoneticPr fontId="1" type="noConversion"/>
  </si>
  <si>
    <t>压力尾水道及尾水管各段长度Lwi(m)</t>
    <phoneticPr fontId="1" type="noConversion"/>
  </si>
  <si>
    <t>水轮机导叶有效关闭时间Ts(s)</t>
    <phoneticPr fontId="1" type="noConversion"/>
  </si>
  <si>
    <t>管道首断面面积(m2)</t>
    <phoneticPr fontId="1" type="noConversion"/>
  </si>
  <si>
    <t>管道首断面中心点高程(m)</t>
    <phoneticPr fontId="1" type="noConversion"/>
  </si>
  <si>
    <t>稳定运行时压力尾水道中的平均流速vw0(m/s)</t>
    <phoneticPr fontId="1" type="noConversion"/>
  </si>
  <si>
    <t>水轮机转轮后尾水管入口处的平均流速vwj(m/s)</t>
    <phoneticPr fontId="1" type="noConversion"/>
  </si>
  <si>
    <t>吸出高度(m)</t>
    <phoneticPr fontId="1" type="noConversion"/>
  </si>
  <si>
    <t>安装高程(m)</t>
    <phoneticPr fontId="1" type="noConversion"/>
  </si>
  <si>
    <t>计算公式(3.2.2-1)</t>
    <phoneticPr fontId="1" type="noConversion"/>
  </si>
  <si>
    <t>分段长度(m)</t>
    <phoneticPr fontId="1" type="noConversion"/>
  </si>
  <si>
    <t>分段当量面积(m2)</t>
    <phoneticPr fontId="1" type="noConversion"/>
  </si>
  <si>
    <t>上游托马断面积</t>
    <phoneticPr fontId="1" type="noConversion"/>
  </si>
  <si>
    <t>平均管道糙率</t>
    <phoneticPr fontId="1" type="noConversion"/>
  </si>
  <si>
    <t>发电最小毛水头(m)</t>
    <phoneticPr fontId="1" type="noConversion"/>
  </si>
  <si>
    <t>压力引水道长度L(m)</t>
  </si>
  <si>
    <t>压力引水道长度L(m)</t>
    <phoneticPr fontId="1" type="noConversion"/>
  </si>
  <si>
    <t>压力引水道断面积f(m2)</t>
    <phoneticPr fontId="1" type="noConversion"/>
  </si>
  <si>
    <t>分段平均流速(m/s)</t>
    <phoneticPr fontId="1" type="noConversion"/>
  </si>
  <si>
    <t>当量水力半径(m)</t>
    <phoneticPr fontId="1" type="noConversion"/>
  </si>
  <si>
    <t>最大管道糙率</t>
    <phoneticPr fontId="1" type="noConversion"/>
  </si>
  <si>
    <t>最小管道糙率</t>
    <phoneticPr fontId="1" type="noConversion"/>
  </si>
  <si>
    <t>分段平均总水头损失(m)</t>
    <phoneticPr fontId="1" type="noConversion"/>
  </si>
  <si>
    <t>分段平均水头损失系数</t>
    <phoneticPr fontId="1" type="noConversion"/>
  </si>
  <si>
    <t>平均沿程水头损失(m)</t>
    <phoneticPr fontId="1" type="noConversion"/>
  </si>
  <si>
    <t>最大沿程水头损失(m)</t>
    <phoneticPr fontId="1" type="noConversion"/>
  </si>
  <si>
    <t>最小沿程水头损失(m)</t>
    <phoneticPr fontId="1" type="noConversion"/>
  </si>
  <si>
    <t>分段最大总水头损失(m)</t>
    <phoneticPr fontId="1" type="noConversion"/>
  </si>
  <si>
    <t>分段最大水头损失系数</t>
    <phoneticPr fontId="1" type="noConversion"/>
  </si>
  <si>
    <t>分段最小总水头损失(m)</t>
    <phoneticPr fontId="1" type="noConversion"/>
  </si>
  <si>
    <t>分段最小水头损失系数</t>
    <phoneticPr fontId="1" type="noConversion"/>
  </si>
  <si>
    <t>平均稳定断面积Fth(m2)</t>
    <phoneticPr fontId="1" type="noConversion"/>
  </si>
  <si>
    <t>最大稳定断面积Fth(m2)</t>
    <phoneticPr fontId="1" type="noConversion"/>
  </si>
  <si>
    <t>最小稳定断面积Fth(m2)</t>
    <phoneticPr fontId="1" type="noConversion"/>
  </si>
  <si>
    <t>下游托马断面积</t>
    <phoneticPr fontId="1" type="noConversion"/>
  </si>
  <si>
    <t>压力尾水道长度Lw(m)</t>
    <phoneticPr fontId="1" type="noConversion"/>
  </si>
  <si>
    <t>压力尾水道断面积f(m2)</t>
    <phoneticPr fontId="1" type="noConversion"/>
  </si>
  <si>
    <t>上游调压室波动周期</t>
    <phoneticPr fontId="1" type="noConversion"/>
  </si>
  <si>
    <t>上游调压室面积(m2)</t>
    <phoneticPr fontId="1" type="noConversion"/>
  </si>
  <si>
    <t>下游调压室波动周期</t>
    <phoneticPr fontId="1" type="noConversion"/>
  </si>
  <si>
    <t>下游调压室面积(m2)</t>
    <phoneticPr fontId="1" type="noConversion"/>
  </si>
  <si>
    <t>压力尾水道长度L(m)</t>
    <phoneticPr fontId="1" type="noConversion"/>
  </si>
  <si>
    <t>压力尾水道断面积Aw(m2)</t>
    <phoneticPr fontId="1" type="noConversion"/>
  </si>
  <si>
    <t>波动周期Tth1(s)</t>
    <phoneticPr fontId="1" type="noConversion"/>
  </si>
  <si>
    <t>实际波动周期T1(s)</t>
    <phoneticPr fontId="1" type="noConversion"/>
  </si>
  <si>
    <t>波动周期Tth2(s)</t>
    <phoneticPr fontId="1" type="noConversion"/>
  </si>
  <si>
    <t>实际波动周期T2(s)</t>
    <phoneticPr fontId="1" type="noConversion"/>
  </si>
  <si>
    <t>压力引水道断面积Ay(m2)</t>
    <phoneticPr fontId="1" type="noConversion"/>
  </si>
  <si>
    <t>放大系数n</t>
    <phoneticPr fontId="1" type="noConversion"/>
  </si>
  <si>
    <t>干涉点、共振点</t>
    <phoneticPr fontId="1" type="noConversion"/>
  </si>
  <si>
    <t>说明</t>
    <phoneticPr fontId="1" type="noConversion"/>
  </si>
  <si>
    <t>见干涉点、共振点.mcd</t>
    <phoneticPr fontId="1" type="noConversion"/>
  </si>
  <si>
    <t>求和总沿程水头损失(m)</t>
    <phoneticPr fontId="1" type="noConversion"/>
  </si>
  <si>
    <t>当量总沿程水头损失(m)</t>
    <phoneticPr fontId="1" type="noConversion"/>
  </si>
  <si>
    <t>求和总Tw(s)</t>
    <phoneticPr fontId="1" type="noConversion"/>
  </si>
  <si>
    <t>当量总Tw(s)</t>
    <phoneticPr fontId="1" type="noConversion"/>
  </si>
  <si>
    <t>说明</t>
    <phoneticPr fontId="1" type="noConversion"/>
  </si>
  <si>
    <t>管段当量直径(m)</t>
    <phoneticPr fontId="1" type="noConversion"/>
  </si>
  <si>
    <t>管段当量面积(m2)</t>
    <phoneticPr fontId="1" type="noConversion"/>
  </si>
  <si>
    <t>上游调压室规格</t>
    <phoneticPr fontId="1" type="noConversion"/>
  </si>
  <si>
    <t>断面1直径(m)</t>
    <phoneticPr fontId="1" type="noConversion"/>
  </si>
  <si>
    <t>断面1高程(m)</t>
    <phoneticPr fontId="1" type="noConversion"/>
  </si>
  <si>
    <t>断面1面积(m2)</t>
    <phoneticPr fontId="1" type="noConversion"/>
  </si>
  <si>
    <t>断面2直径(m)</t>
    <phoneticPr fontId="1" type="noConversion"/>
  </si>
  <si>
    <t>断面2高程(m)</t>
    <phoneticPr fontId="1" type="noConversion"/>
  </si>
  <si>
    <t>断面2面积(m2)</t>
    <phoneticPr fontId="1" type="noConversion"/>
  </si>
  <si>
    <t>断面3直径(m)</t>
    <phoneticPr fontId="1" type="noConversion"/>
  </si>
  <si>
    <t>断面3高程(m)</t>
    <phoneticPr fontId="1" type="noConversion"/>
  </si>
  <si>
    <t>断面3面积(m2)</t>
    <phoneticPr fontId="1" type="noConversion"/>
  </si>
  <si>
    <t>下游调压室规格</t>
    <phoneticPr fontId="1" type="noConversion"/>
  </si>
  <si>
    <t>管道末断面（当量）直径(m)</t>
    <phoneticPr fontId="1" type="noConversion"/>
  </si>
  <si>
    <t>管道末断面中心点高程(m)</t>
    <phoneticPr fontId="1" type="noConversion"/>
  </si>
  <si>
    <t>管道首断面（当量）直径(m)</t>
    <phoneticPr fontId="1" type="noConversion"/>
  </si>
  <si>
    <t>管道末断面面积(m2)</t>
    <phoneticPr fontId="1" type="noConversion"/>
  </si>
  <si>
    <t>断面4直径(m)</t>
    <phoneticPr fontId="1" type="noConversion"/>
  </si>
  <si>
    <t>断面4高程(m)</t>
    <phoneticPr fontId="1" type="noConversion"/>
  </si>
  <si>
    <t>断面4面积(m2)</t>
    <phoneticPr fontId="1" type="noConversion"/>
  </si>
  <si>
    <t>矩形变城门洞</t>
    <phoneticPr fontId="1" type="noConversion"/>
  </si>
  <si>
    <t>矩形变城门洞段</t>
    <phoneticPr fontId="1" type="noConversion"/>
  </si>
  <si>
    <t>城门洞直线段至闸门井</t>
    <phoneticPr fontId="1" type="noConversion"/>
  </si>
  <si>
    <t>直线段</t>
    <phoneticPr fontId="1" type="noConversion"/>
  </si>
  <si>
    <t>L1上库进出水口至上库启闭机房中心线</t>
    <phoneticPr fontId="1" type="noConversion"/>
  </si>
  <si>
    <t>钢筋混凝土衬砌</t>
    <phoneticPr fontId="1" type="noConversion"/>
  </si>
  <si>
    <t>直管段</t>
    <phoneticPr fontId="1" type="noConversion"/>
  </si>
  <si>
    <t>钢衬</t>
    <phoneticPr fontId="1" type="noConversion"/>
  </si>
  <si>
    <t>尾水管段</t>
    <phoneticPr fontId="1" type="noConversion"/>
  </si>
  <si>
    <t>蜗壳段</t>
    <phoneticPr fontId="1" type="noConversion"/>
  </si>
  <si>
    <t>直管段段</t>
    <phoneticPr fontId="1" type="noConversion"/>
  </si>
  <si>
    <t>矩形渐缩</t>
    <phoneticPr fontId="1" type="noConversion"/>
  </si>
  <si>
    <t>渐变段（2）</t>
    <phoneticPr fontId="1" type="noConversion"/>
  </si>
  <si>
    <r>
      <t>进水口倾角9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°</t>
    </r>
    <phoneticPr fontId="1" type="noConversion"/>
  </si>
  <si>
    <t>拦污栅闸门槽</t>
    <phoneticPr fontId="1" type="noConversion"/>
  </si>
  <si>
    <t>前断面</t>
    <phoneticPr fontId="1" type="noConversion"/>
  </si>
  <si>
    <t>正向局部损失系数</t>
    <phoneticPr fontId="1" type="noConversion"/>
  </si>
  <si>
    <t>反向局部水头损失系数</t>
    <phoneticPr fontId="1" type="noConversion"/>
  </si>
  <si>
    <t>正向计算流速(m/s)</t>
    <phoneticPr fontId="1" type="noConversion"/>
  </si>
  <si>
    <t>反向计算流速</t>
    <phoneticPr fontId="1" type="noConversion"/>
  </si>
  <si>
    <t>正向局部水头损失(m)</t>
    <phoneticPr fontId="1" type="noConversion"/>
  </si>
  <si>
    <t>反向局部水头损失(m)</t>
    <phoneticPr fontId="1" type="noConversion"/>
  </si>
  <si>
    <t>正向总局部水头损失(m)</t>
    <phoneticPr fontId="1" type="noConversion"/>
  </si>
  <si>
    <t>反向总局部水头损失(m)</t>
    <phoneticPr fontId="1" type="noConversion"/>
  </si>
  <si>
    <t>正向当量局部水头损失系数</t>
    <phoneticPr fontId="1" type="noConversion"/>
  </si>
  <si>
    <t>反向向当量局部水头损失系数</t>
    <phoneticPr fontId="1" type="noConversion"/>
  </si>
  <si>
    <r>
      <t>引水隧洞(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)</t>
    </r>
    <phoneticPr fontId="1" type="noConversion"/>
  </si>
  <si>
    <r>
      <t>引水隧洞(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)</t>
    </r>
    <phoneticPr fontId="1" type="noConversion"/>
  </si>
  <si>
    <r>
      <t>引水隧洞(4</t>
    </r>
    <r>
      <rPr>
        <sz val="11"/>
        <color theme="1"/>
        <rFont val="宋体"/>
        <family val="3"/>
        <charset val="134"/>
        <scheme val="minor"/>
      </rPr>
      <t>)</t>
    </r>
    <phoneticPr fontId="1" type="noConversion"/>
  </si>
  <si>
    <t>支管段</t>
    <phoneticPr fontId="1" type="noConversion"/>
  </si>
  <si>
    <r>
      <t>尾水隧洞(1</t>
    </r>
    <r>
      <rPr>
        <sz val="11"/>
        <color theme="1"/>
        <rFont val="宋体"/>
        <family val="3"/>
        <charset val="134"/>
        <scheme val="minor"/>
      </rPr>
      <t>)</t>
    </r>
    <phoneticPr fontId="1" type="noConversion"/>
  </si>
  <si>
    <r>
      <t>尾水隧洞(2</t>
    </r>
    <r>
      <rPr>
        <sz val="11"/>
        <color theme="1"/>
        <rFont val="宋体"/>
        <family val="3"/>
        <charset val="134"/>
        <scheme val="minor"/>
      </rPr>
      <t>)</t>
    </r>
    <phoneticPr fontId="1" type="noConversion"/>
  </si>
  <si>
    <t>渐变段（8）</t>
    <phoneticPr fontId="1" type="noConversion"/>
  </si>
  <si>
    <r>
      <t>渐变段(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3"/>
        <charset val="134"/>
        <scheme val="minor"/>
      </rPr>
      <t>)</t>
    </r>
    <phoneticPr fontId="1" type="noConversion"/>
  </si>
  <si>
    <t>首末断面</t>
    <phoneticPr fontId="1" type="noConversion"/>
  </si>
  <si>
    <t>矩形渐扩</t>
    <phoneticPr fontId="1" type="noConversion"/>
  </si>
  <si>
    <t>下游进/出水口</t>
    <phoneticPr fontId="1" type="noConversion"/>
  </si>
  <si>
    <t>进出水口</t>
    <phoneticPr fontId="1" type="noConversion"/>
  </si>
  <si>
    <t>机组号</t>
    <phoneticPr fontId="10" type="noConversion"/>
  </si>
  <si>
    <t>沿程</t>
    <phoneticPr fontId="10" type="noConversion"/>
  </si>
  <si>
    <t>局部</t>
    <phoneticPr fontId="10" type="noConversion"/>
  </si>
  <si>
    <t>总</t>
    <phoneticPr fontId="10" type="noConversion"/>
  </si>
  <si>
    <t>发电双机</t>
    <phoneticPr fontId="10" type="noConversion"/>
  </si>
  <si>
    <t>发电单机</t>
    <phoneticPr fontId="10" type="noConversion"/>
  </si>
  <si>
    <t>供水双机</t>
    <phoneticPr fontId="10" type="noConversion"/>
  </si>
  <si>
    <t>供水单机</t>
    <phoneticPr fontId="10" type="noConversion"/>
  </si>
  <si>
    <r>
      <t>T</t>
    </r>
    <r>
      <rPr>
        <sz val="11"/>
        <color theme="1"/>
        <rFont val="宋体"/>
        <family val="3"/>
        <charset val="134"/>
        <scheme val="minor"/>
      </rPr>
      <t>w值</t>
    </r>
    <phoneticPr fontId="10" type="noConversion"/>
  </si>
  <si>
    <r>
      <t>T</t>
    </r>
    <r>
      <rPr>
        <sz val="11"/>
        <color theme="1"/>
        <rFont val="宋体"/>
        <family val="3"/>
        <charset val="134"/>
        <scheme val="minor"/>
      </rPr>
      <t>a值</t>
    </r>
    <phoneticPr fontId="10" type="noConversion"/>
  </si>
  <si>
    <t>托马断面校核</t>
    <phoneticPr fontId="10" type="noConversion"/>
  </si>
  <si>
    <t>1号水力单元</t>
    <phoneticPr fontId="10" type="noConversion"/>
  </si>
  <si>
    <t>L</t>
    <phoneticPr fontId="10" type="noConversion"/>
  </si>
  <si>
    <t>2号水力单元</t>
    <phoneticPr fontId="10" type="noConversion"/>
  </si>
  <si>
    <t>f</t>
    <phoneticPr fontId="10" type="noConversion"/>
  </si>
  <si>
    <t>a</t>
    <phoneticPr fontId="10" type="noConversion"/>
  </si>
  <si>
    <t>H1</t>
    <phoneticPr fontId="10" type="noConversion"/>
  </si>
  <si>
    <t>hwm</t>
    <phoneticPr fontId="10" type="noConversion"/>
  </si>
  <si>
    <t>hw0</t>
    <phoneticPr fontId="10" type="noConversion"/>
  </si>
  <si>
    <t>Fth</t>
    <phoneticPr fontId="10" type="noConversion"/>
  </si>
  <si>
    <t>F</t>
    <phoneticPr fontId="10" type="noConversion"/>
  </si>
  <si>
    <t>T</t>
    <phoneticPr fontId="10" type="noConversion"/>
  </si>
  <si>
    <t>F/Fth</t>
    <phoneticPr fontId="10" type="noConversion"/>
  </si>
  <si>
    <t>沿程上库到尾调</t>
    <phoneticPr fontId="10" type="noConversion"/>
  </si>
  <si>
    <t>沿程尾调到下库</t>
    <phoneticPr fontId="10" type="noConversion"/>
  </si>
  <si>
    <t>局部上库到尾调</t>
    <phoneticPr fontId="10" type="noConversion"/>
  </si>
  <si>
    <t>局部尾调到下库</t>
    <phoneticPr fontId="10" type="noConversion"/>
  </si>
  <si>
    <t>1号机</t>
    <phoneticPr fontId="10" type="noConversion"/>
  </si>
  <si>
    <t>3号机</t>
    <phoneticPr fontId="10" type="noConversion"/>
  </si>
  <si>
    <t>总上库到尾调</t>
    <phoneticPr fontId="10" type="noConversion"/>
  </si>
  <si>
    <t>总尾调到下库</t>
    <phoneticPr fontId="10" type="noConversion"/>
  </si>
  <si>
    <t>当量长度</t>
    <phoneticPr fontId="10" type="noConversion"/>
  </si>
  <si>
    <t>当量面积</t>
    <phoneticPr fontId="10" type="noConversion"/>
  </si>
  <si>
    <t>a</t>
    <phoneticPr fontId="10" type="noConversion"/>
  </si>
  <si>
    <t>正向局部</t>
    <phoneticPr fontId="10" type="noConversion"/>
  </si>
  <si>
    <t>反向局部</t>
    <phoneticPr fontId="10" type="noConversion"/>
  </si>
  <si>
    <r>
      <t>D</t>
    </r>
    <r>
      <rPr>
        <sz val="11"/>
        <color theme="1"/>
        <rFont val="宋体"/>
        <family val="3"/>
        <charset val="134"/>
        <scheme val="minor"/>
      </rPr>
      <t>1</t>
    </r>
    <phoneticPr fontId="10" type="noConversion"/>
  </si>
  <si>
    <r>
      <t>D</t>
    </r>
    <r>
      <rPr>
        <sz val="11"/>
        <color theme="1"/>
        <rFont val="宋体"/>
        <family val="3"/>
        <charset val="134"/>
        <scheme val="minor"/>
      </rPr>
      <t>2</t>
    </r>
    <phoneticPr fontId="10" type="noConversion"/>
  </si>
  <si>
    <t>D1/D2</t>
    <phoneticPr fontId="10" type="noConversion"/>
  </si>
  <si>
    <t>D1/D2=2.439 渐缩角35°</t>
    <phoneticPr fontId="1" type="noConversion"/>
  </si>
  <si>
    <t>竖井上弯段圆弧</t>
    <phoneticPr fontId="10" type="noConversion"/>
  </si>
  <si>
    <t>角度</t>
    <phoneticPr fontId="10" type="noConversion"/>
  </si>
  <si>
    <t>半径</t>
    <phoneticPr fontId="10" type="noConversion"/>
  </si>
  <si>
    <t>竖井段</t>
    <phoneticPr fontId="10" type="noConversion"/>
  </si>
  <si>
    <t>管线长度</t>
    <phoneticPr fontId="10" type="noConversion"/>
  </si>
  <si>
    <t>竖井下弯段圆弧</t>
    <phoneticPr fontId="10" type="noConversion"/>
  </si>
  <si>
    <t>直管段</t>
    <phoneticPr fontId="10" type="noConversion"/>
  </si>
  <si>
    <t>斜井上弯段圆弧</t>
    <phoneticPr fontId="10" type="noConversion"/>
  </si>
  <si>
    <t>斜井段</t>
    <phoneticPr fontId="10" type="noConversion"/>
  </si>
  <si>
    <t>斜井下弯段圆弧</t>
    <phoneticPr fontId="10" type="noConversion"/>
  </si>
  <si>
    <t>直钢管</t>
    <phoneticPr fontId="1" type="noConversion"/>
  </si>
  <si>
    <t>城门洞变矩形段</t>
    <phoneticPr fontId="1" type="noConversion"/>
  </si>
  <si>
    <t>矩形渐缩段</t>
    <phoneticPr fontId="1" type="noConversion"/>
  </si>
  <si>
    <t>卜形叉</t>
    <phoneticPr fontId="1" type="noConversion"/>
  </si>
  <si>
    <r>
      <t>t</t>
    </r>
    <r>
      <rPr>
        <sz val="11"/>
        <color theme="1"/>
        <rFont val="宋体"/>
        <family val="3"/>
        <charset val="134"/>
        <scheme val="minor"/>
      </rPr>
      <t>heta</t>
    </r>
    <phoneticPr fontId="10" type="noConversion"/>
  </si>
  <si>
    <r>
      <t>f</t>
    </r>
    <r>
      <rPr>
        <sz val="11"/>
        <color theme="1"/>
        <rFont val="宋体"/>
        <family val="3"/>
        <charset val="134"/>
        <scheme val="minor"/>
      </rPr>
      <t>i</t>
    </r>
    <phoneticPr fontId="10" type="noConversion"/>
  </si>
  <si>
    <t>支管段</t>
    <phoneticPr fontId="1" type="noConversion"/>
  </si>
  <si>
    <t>首/末断面</t>
    <phoneticPr fontId="1" type="noConversion"/>
  </si>
  <si>
    <t>1#引水岔点</t>
    <phoneticPr fontId="10" type="noConversion"/>
  </si>
  <si>
    <t>2#引水岔点</t>
    <phoneticPr fontId="10" type="noConversion"/>
  </si>
  <si>
    <r>
      <t>r</t>
    </r>
    <r>
      <rPr>
        <sz val="11"/>
        <color theme="1"/>
        <rFont val="宋体"/>
        <family val="3"/>
        <charset val="134"/>
        <scheme val="minor"/>
      </rPr>
      <t>ou</t>
    </r>
    <phoneticPr fontId="10" type="noConversion"/>
  </si>
  <si>
    <t>1#尾水岔点</t>
    <phoneticPr fontId="10" type="noConversion"/>
  </si>
  <si>
    <t>2#尾水岔点</t>
    <phoneticPr fontId="10" type="noConversion"/>
  </si>
  <si>
    <t>分流q2</t>
    <phoneticPr fontId="10" type="noConversion"/>
  </si>
  <si>
    <t>合流q2</t>
    <phoneticPr fontId="10" type="noConversion"/>
  </si>
  <si>
    <t>theta=60°，TOPSYS中填到岔管损失项里,合流23，分流2</t>
    <phoneticPr fontId="1" type="noConversion"/>
  </si>
  <si>
    <t>主管</t>
    <phoneticPr fontId="1" type="noConversion"/>
  </si>
  <si>
    <t>引水隧洞(5)</t>
    <phoneticPr fontId="1" type="noConversion"/>
  </si>
  <si>
    <t>引水支管水平方向圆弧</t>
    <phoneticPr fontId="10" type="noConversion"/>
  </si>
  <si>
    <t>圆变城门洞</t>
    <phoneticPr fontId="1" type="noConversion"/>
  </si>
  <si>
    <r>
      <t>水平方向，R=100m，</t>
    </r>
    <r>
      <rPr>
        <sz val="11"/>
        <color indexed="8"/>
        <rFont val="宋体"/>
        <family val="3"/>
        <charset val="134"/>
      </rPr>
      <t>theta=44</t>
    </r>
    <phoneticPr fontId="10" type="noConversion"/>
  </si>
  <si>
    <t xml:space="preserve"> </t>
    <phoneticPr fontId="10" type="noConversion"/>
  </si>
  <si>
    <t>theta=60°，TOPSYS中填到岔管损失项里,分流2,合流32</t>
    <phoneticPr fontId="1" type="noConversion"/>
  </si>
  <si>
    <t>L3 上游调压室至1#引水岔点</t>
  </si>
  <si>
    <t>L6 蜗壳段（4#机）</t>
    <phoneticPr fontId="1" type="noConversion"/>
  </si>
  <si>
    <t>L7 尾水管段（4#机）</t>
    <phoneticPr fontId="1" type="noConversion"/>
  </si>
  <si>
    <t>L10 2#尾水岔点至尾水调压室</t>
    <phoneticPr fontId="1" type="noConversion"/>
  </si>
  <si>
    <t>L11 尾水调压室至下库启闭机房</t>
    <phoneticPr fontId="1" type="noConversion"/>
  </si>
  <si>
    <t>L12 下库启闭机房至下库进出水口</t>
    <phoneticPr fontId="1" type="noConversion"/>
  </si>
  <si>
    <t>L8 尾水管末至尾闸洞中心线（4#机）</t>
    <phoneticPr fontId="1" type="noConversion"/>
  </si>
  <si>
    <t>L9 尾闸洞中心线至2#尾水岔点（4#机）</t>
    <phoneticPr fontId="1" type="noConversion"/>
  </si>
  <si>
    <r>
      <t>水平方向，R=15.2m，</t>
    </r>
    <r>
      <rPr>
        <sz val="11"/>
        <color indexed="8"/>
        <rFont val="宋体"/>
        <family val="3"/>
        <charset val="134"/>
      </rPr>
      <t>theta=60</t>
    </r>
    <phoneticPr fontId="1" type="noConversion"/>
  </si>
  <si>
    <r>
      <t>水平方向，R=15.2m，</t>
    </r>
    <r>
      <rPr>
        <sz val="11"/>
        <color indexed="8"/>
        <rFont val="宋体"/>
        <family val="3"/>
        <charset val="134"/>
      </rPr>
      <t>theta=17</t>
    </r>
    <phoneticPr fontId="10" type="noConversion"/>
  </si>
  <si>
    <t>L2 上库启闭机房中心线至上游调压室</t>
    <phoneticPr fontId="1" type="noConversion"/>
  </si>
  <si>
    <t>L2 上库启闭机房中心线至上游调压室</t>
    <phoneticPr fontId="1" type="noConversion"/>
  </si>
  <si>
    <t>L9 尾闸洞中心线至2#尾水岔点（4#机）</t>
    <phoneticPr fontId="1" type="noConversion"/>
  </si>
  <si>
    <t>垂直方向，R=32m，theta=45</t>
    <phoneticPr fontId="10" type="noConversion"/>
  </si>
  <si>
    <t>垂直方向，R=32m，theta=48</t>
    <phoneticPr fontId="10" type="noConversion"/>
  </si>
  <si>
    <t>L5 引水岔点2至蜗壳进口（4#机）</t>
    <phoneticPr fontId="10" type="noConversion"/>
  </si>
  <si>
    <t>水平方向，R=100m,theta=12°</t>
    <phoneticPr fontId="1" type="noConversion"/>
  </si>
  <si>
    <t>水平方向，R=100m,theta=5°</t>
    <phoneticPr fontId="10" type="noConversion"/>
  </si>
  <si>
    <t>尾水隧洞(3)</t>
    <phoneticPr fontId="1" type="noConversion"/>
  </si>
  <si>
    <t>垂直方向，R=32m,theta=6°</t>
    <phoneticPr fontId="10" type="noConversion"/>
  </si>
  <si>
    <t>项目</t>
    <phoneticPr fontId="1" type="noConversion"/>
  </si>
  <si>
    <t>值</t>
    <phoneticPr fontId="1" type="noConversion"/>
  </si>
  <si>
    <t>备注</t>
    <phoneticPr fontId="1" type="noConversion"/>
  </si>
  <si>
    <t>转轮直径(m)</t>
    <phoneticPr fontId="1" type="noConversion"/>
  </si>
  <si>
    <t>额定水头(m)</t>
    <phoneticPr fontId="1" type="noConversion"/>
  </si>
  <si>
    <t>水轮机额定出力(MW)</t>
    <phoneticPr fontId="1" type="noConversion"/>
  </si>
  <si>
    <t>额定流量(m3/s)</t>
    <phoneticPr fontId="1" type="noConversion"/>
  </si>
  <si>
    <t>额定转速(rpm)</t>
    <phoneticPr fontId="1" type="noConversion"/>
  </si>
  <si>
    <t>吸出高度(m)</t>
    <phoneticPr fontId="1" type="noConversion"/>
  </si>
  <si>
    <t>安装高程(m)</t>
    <phoneticPr fontId="1" type="noConversion"/>
  </si>
  <si>
    <t>最小水头(m)</t>
    <phoneticPr fontId="1" type="noConversion"/>
  </si>
  <si>
    <t>最小毛水头</t>
    <phoneticPr fontId="1" type="noConversion"/>
  </si>
  <si>
    <t>直线段</t>
    <phoneticPr fontId="10" type="noConversion"/>
  </si>
  <si>
    <t>渐缩段</t>
    <phoneticPr fontId="10" type="noConversion"/>
  </si>
  <si>
    <t>L4 钢衬起点至引水岔点</t>
    <phoneticPr fontId="1" type="noConversion"/>
  </si>
  <si>
    <t>渐缩段L5 引水岔点至球阀</t>
    <phoneticPr fontId="1" type="noConversion"/>
  </si>
  <si>
    <t>管道分段号</t>
    <phoneticPr fontId="1" type="noConversion"/>
  </si>
  <si>
    <t>文档中部位</t>
    <phoneticPr fontId="1" type="noConversion"/>
  </si>
  <si>
    <t>文档中管道长度(m)</t>
    <phoneticPr fontId="1" type="noConversion"/>
  </si>
  <si>
    <t>计算用管道长度(m)</t>
    <phoneticPr fontId="1" type="noConversion"/>
  </si>
  <si>
    <t>管道类型</t>
    <phoneticPr fontId="1" type="noConversion"/>
  </si>
  <si>
    <t>平均管道糙率</t>
    <phoneticPr fontId="1" type="noConversion"/>
  </si>
  <si>
    <t>最大管道糙率</t>
    <phoneticPr fontId="1" type="noConversion"/>
  </si>
  <si>
    <t>最小管道糙率</t>
    <phoneticPr fontId="1" type="noConversion"/>
  </si>
  <si>
    <t>管道流量(m3)</t>
    <phoneticPr fontId="1" type="noConversion"/>
  </si>
  <si>
    <t>管道首断面面积(m2)</t>
    <phoneticPr fontId="1" type="noConversion"/>
  </si>
  <si>
    <t>管道首断面流速(m/s)</t>
    <phoneticPr fontId="1" type="noConversion"/>
  </si>
  <si>
    <t>管道首断面中心点高程(m)</t>
    <phoneticPr fontId="1" type="noConversion"/>
  </si>
  <si>
    <t>管道末断面面积(m2)</t>
    <phoneticPr fontId="1" type="noConversion"/>
  </si>
  <si>
    <t>管道末断面流速(m/s)</t>
    <phoneticPr fontId="1" type="noConversion"/>
  </si>
  <si>
    <t>管道末断面（当量）直径(m)</t>
    <phoneticPr fontId="1" type="noConversion"/>
  </si>
  <si>
    <t>管道末断面中心点高程(m)</t>
    <phoneticPr fontId="1" type="noConversion"/>
  </si>
  <si>
    <t>管道平均流速(m/s)</t>
    <phoneticPr fontId="1" type="noConversion"/>
  </si>
  <si>
    <t>当量面积(m)</t>
    <phoneticPr fontId="1" type="noConversion"/>
  </si>
  <si>
    <t>当量水力半径(m)</t>
    <phoneticPr fontId="1" type="noConversion"/>
  </si>
  <si>
    <t>管段（图纸）总长(m)</t>
    <phoneticPr fontId="1" type="noConversion"/>
  </si>
  <si>
    <t>管道长度/当量面积(1/m)</t>
    <phoneticPr fontId="1" type="noConversion"/>
  </si>
  <si>
    <t>管段当量面积(m2)</t>
    <phoneticPr fontId="1" type="noConversion"/>
  </si>
  <si>
    <t>管段当量直径(m)</t>
    <phoneticPr fontId="1" type="noConversion"/>
  </si>
  <si>
    <t>管段平均流速(m/s)</t>
    <phoneticPr fontId="1" type="noConversion"/>
  </si>
  <si>
    <t>管段当量水力半径(m)</t>
    <phoneticPr fontId="1" type="noConversion"/>
  </si>
  <si>
    <t>平均沿程水头损失(m)</t>
    <phoneticPr fontId="1" type="noConversion"/>
  </si>
  <si>
    <t>最大沿程水头损失(m)</t>
    <phoneticPr fontId="1" type="noConversion"/>
  </si>
  <si>
    <t>最小沿程水头损失(m)</t>
    <phoneticPr fontId="1" type="noConversion"/>
  </si>
  <si>
    <t>求和总沿程水头损失(m)</t>
    <phoneticPr fontId="1" type="noConversion"/>
  </si>
  <si>
    <t>当量总沿程水头损失(m)</t>
    <phoneticPr fontId="1" type="noConversion"/>
  </si>
  <si>
    <t>Tw(s)</t>
    <phoneticPr fontId="1" type="noConversion"/>
  </si>
  <si>
    <t>求和总Tw(s)</t>
    <phoneticPr fontId="1" type="noConversion"/>
  </si>
  <si>
    <t>当量总Tw(s)</t>
    <phoneticPr fontId="1" type="noConversion"/>
  </si>
  <si>
    <t>按调压室分段</t>
    <phoneticPr fontId="1" type="noConversion"/>
  </si>
  <si>
    <t>分段Tw(s)</t>
    <phoneticPr fontId="1" type="noConversion"/>
  </si>
  <si>
    <t>分段长度(m)</t>
    <phoneticPr fontId="1" type="noConversion"/>
  </si>
  <si>
    <t>分段当量面积(m2)</t>
    <phoneticPr fontId="1" type="noConversion"/>
  </si>
  <si>
    <t>分段平均流速(m/s)</t>
    <phoneticPr fontId="1" type="noConversion"/>
  </si>
  <si>
    <t>分段平均总水头损失(m)</t>
    <phoneticPr fontId="1" type="noConversion"/>
  </si>
  <si>
    <t>分段平均水头损失系数</t>
    <phoneticPr fontId="1" type="noConversion"/>
  </si>
  <si>
    <t>分段最大总水头损失(m)</t>
    <phoneticPr fontId="1" type="noConversion"/>
  </si>
  <si>
    <t>分段最大水头损失系数</t>
    <phoneticPr fontId="1" type="noConversion"/>
  </si>
  <si>
    <t>分段最小总水头损失(m)</t>
    <phoneticPr fontId="1" type="noConversion"/>
  </si>
  <si>
    <t>分段最小水头损失系数</t>
    <phoneticPr fontId="1" type="noConversion"/>
  </si>
  <si>
    <t>L1上库进出水口至上库启闭机房中心线</t>
    <phoneticPr fontId="1" type="noConversion"/>
  </si>
  <si>
    <t>拦污栅</t>
    <phoneticPr fontId="1" type="noConversion"/>
  </si>
  <si>
    <t>明渠</t>
    <phoneticPr fontId="1" type="noConversion"/>
  </si>
  <si>
    <t>上游调压室前</t>
    <phoneticPr fontId="1" type="noConversion"/>
  </si>
  <si>
    <t>矩形渐缩段</t>
    <phoneticPr fontId="1" type="noConversion"/>
  </si>
  <si>
    <t>矩形变城门洞段</t>
    <phoneticPr fontId="1" type="noConversion"/>
  </si>
  <si>
    <t>城门洞直线段至闸门井</t>
    <phoneticPr fontId="1" type="noConversion"/>
  </si>
  <si>
    <t>直线段</t>
    <phoneticPr fontId="1" type="noConversion"/>
  </si>
  <si>
    <t>直线段</t>
    <phoneticPr fontId="1" type="noConversion"/>
  </si>
  <si>
    <t>减缩段</t>
    <phoneticPr fontId="1" type="noConversion"/>
  </si>
  <si>
    <t>钢筋混凝土衬砌</t>
    <phoneticPr fontId="1" type="noConversion"/>
  </si>
  <si>
    <t>渐变段</t>
    <phoneticPr fontId="1" type="noConversion"/>
  </si>
  <si>
    <t>大直管段</t>
    <phoneticPr fontId="1" type="noConversion"/>
  </si>
  <si>
    <t>钢衬</t>
    <phoneticPr fontId="1" type="noConversion"/>
  </si>
  <si>
    <t>钢衬</t>
    <phoneticPr fontId="1" type="noConversion"/>
  </si>
  <si>
    <t>减缩段前</t>
    <phoneticPr fontId="1" type="noConversion"/>
  </si>
  <si>
    <t>减缩段</t>
    <phoneticPr fontId="1" type="noConversion"/>
  </si>
  <si>
    <t>钢衬</t>
    <phoneticPr fontId="1" type="noConversion"/>
  </si>
  <si>
    <r>
      <t>L</t>
    </r>
    <r>
      <rPr>
        <sz val="11"/>
        <color theme="1"/>
        <rFont val="宋体"/>
        <family val="3"/>
        <charset val="134"/>
        <scheme val="minor"/>
      </rPr>
      <t>7 渐变段末至球阀</t>
    </r>
    <phoneticPr fontId="1" type="noConversion"/>
  </si>
  <si>
    <t>渐变段末至球阀段</t>
    <phoneticPr fontId="1" type="noConversion"/>
  </si>
  <si>
    <r>
      <t>L</t>
    </r>
    <r>
      <rPr>
        <sz val="11"/>
        <color theme="1"/>
        <rFont val="宋体"/>
        <family val="3"/>
        <charset val="134"/>
        <scheme val="minor"/>
      </rPr>
      <t>8 球阀到蜗壳进口</t>
    </r>
    <phoneticPr fontId="1" type="noConversion"/>
  </si>
  <si>
    <t>球阀到蜗壳进口</t>
  </si>
  <si>
    <r>
      <t>L</t>
    </r>
    <r>
      <rPr>
        <sz val="11"/>
        <color theme="1"/>
        <rFont val="宋体"/>
        <family val="3"/>
        <charset val="134"/>
        <scheme val="minor"/>
      </rPr>
      <t>9蜗壳段</t>
    </r>
    <phoneticPr fontId="1" type="noConversion"/>
  </si>
  <si>
    <t>蜗壳段</t>
    <phoneticPr fontId="1" type="noConversion"/>
  </si>
  <si>
    <t>钢衬</t>
    <phoneticPr fontId="1" type="noConversion"/>
  </si>
  <si>
    <r>
      <t>L</t>
    </r>
    <r>
      <rPr>
        <sz val="11"/>
        <color theme="1"/>
        <rFont val="宋体"/>
        <family val="3"/>
        <charset val="134"/>
        <scheme val="minor"/>
      </rPr>
      <t>10尾水管段</t>
    </r>
    <phoneticPr fontId="1" type="noConversion"/>
  </si>
  <si>
    <t>尾水管段</t>
    <phoneticPr fontId="1" type="noConversion"/>
  </si>
  <si>
    <t>钢衬</t>
    <phoneticPr fontId="1" type="noConversion"/>
  </si>
  <si>
    <t>钢筋混凝土衬砌</t>
    <phoneticPr fontId="1" type="noConversion"/>
  </si>
  <si>
    <t>直管段</t>
    <phoneticPr fontId="1" type="noConversion"/>
  </si>
  <si>
    <t>渐变段（城门洞变圆）</t>
    <phoneticPr fontId="1" type="noConversion"/>
  </si>
  <si>
    <t>L2 上库启闭机房中心线至引上游调压室</t>
    <phoneticPr fontId="1" type="noConversion"/>
  </si>
  <si>
    <t>直线段</t>
    <phoneticPr fontId="1" type="noConversion"/>
  </si>
  <si>
    <t>渐变段(圆变城门洞)</t>
    <phoneticPr fontId="1" type="noConversion"/>
  </si>
  <si>
    <t>渐变段(圆变城门洞)</t>
    <phoneticPr fontId="1" type="noConversion"/>
  </si>
  <si>
    <t>总长</t>
    <phoneticPr fontId="10" type="noConversion"/>
  </si>
  <si>
    <t>引水长度</t>
    <phoneticPr fontId="10" type="noConversion"/>
  </si>
  <si>
    <t>尾水长度</t>
    <phoneticPr fontId="1" type="noConversion"/>
  </si>
  <si>
    <t>矩形渐扩段</t>
    <phoneticPr fontId="1" type="noConversion"/>
  </si>
  <si>
    <t>进水口倾角90°</t>
    <phoneticPr fontId="1" type="noConversion"/>
  </si>
  <si>
    <t>管道分段号</t>
    <phoneticPr fontId="1" type="noConversion"/>
  </si>
  <si>
    <r>
      <t>垂直方向，R=3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m，theta=</t>
    </r>
    <r>
      <rPr>
        <sz val="11"/>
        <color theme="1"/>
        <rFont val="宋体"/>
        <family val="3"/>
        <charset val="134"/>
        <scheme val="minor"/>
      </rPr>
      <t>87</t>
    </r>
    <phoneticPr fontId="10" type="noConversion"/>
  </si>
  <si>
    <r>
      <t>垂直方向，R=3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m，theta=</t>
    </r>
    <r>
      <rPr>
        <sz val="11"/>
        <color theme="1"/>
        <rFont val="宋体"/>
        <family val="3"/>
        <charset val="134"/>
        <scheme val="minor"/>
      </rPr>
      <t>85</t>
    </r>
    <phoneticPr fontId="10" type="noConversion"/>
  </si>
  <si>
    <t>L3 上游调压室至竖井段起点</t>
  </si>
  <si>
    <t>L3 上游调压室至竖井段起点</t>
    <phoneticPr fontId="1" type="noConversion"/>
  </si>
  <si>
    <t>L4 竖井段起点至竖井段末</t>
    <phoneticPr fontId="1" type="noConversion"/>
  </si>
  <si>
    <t>L4 竖井段起点至竖井段末</t>
    <phoneticPr fontId="10" type="noConversion"/>
  </si>
  <si>
    <r>
      <t>渐变段(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)</t>
    </r>
    <phoneticPr fontId="1" type="noConversion"/>
  </si>
  <si>
    <t>城门洞变圆</t>
    <phoneticPr fontId="1" type="noConversion"/>
  </si>
  <si>
    <t>圆形渐缩</t>
    <phoneticPr fontId="10" type="noConversion"/>
  </si>
  <si>
    <t>D1/D2=1.091，渐缩角,1.432</t>
    <phoneticPr fontId="1" type="noConversion"/>
  </si>
  <si>
    <t>Y形叉</t>
    <phoneticPr fontId="1" type="noConversion"/>
  </si>
  <si>
    <r>
      <t>L</t>
    </r>
    <r>
      <rPr>
        <sz val="11"/>
        <color theme="1"/>
        <rFont val="宋体"/>
        <family val="3"/>
        <charset val="134"/>
        <scheme val="minor"/>
      </rPr>
      <t>6引水岔管至渐变段末</t>
    </r>
    <phoneticPr fontId="1" type="noConversion"/>
  </si>
  <si>
    <t>L6引水岔管至渐变段末</t>
  </si>
  <si>
    <t>L5竖井段末至引水岔点</t>
    <phoneticPr fontId="1" type="noConversion"/>
  </si>
  <si>
    <t>L5竖井段末至引水岔点</t>
    <phoneticPr fontId="10" type="noConversion"/>
  </si>
  <si>
    <t>渐缩段</t>
    <phoneticPr fontId="1" type="noConversion"/>
  </si>
  <si>
    <t>圆形渐缩</t>
    <phoneticPr fontId="1" type="noConversion"/>
  </si>
  <si>
    <t>D1/D2=1.2，渐缩角,2.6</t>
    <phoneticPr fontId="1" type="noConversion"/>
  </si>
  <si>
    <t>首/末段面</t>
    <phoneticPr fontId="1" type="noConversion"/>
  </si>
  <si>
    <t>首/末断面</t>
    <phoneticPr fontId="1" type="noConversion"/>
  </si>
  <si>
    <t>渐缩段</t>
    <phoneticPr fontId="10" type="noConversion"/>
  </si>
  <si>
    <t>主管段</t>
    <phoneticPr fontId="1" type="noConversion"/>
  </si>
  <si>
    <t>平均</t>
    <phoneticPr fontId="1" type="noConversion"/>
  </si>
  <si>
    <t>D1/D2=1.42，渐缩角,5.6</t>
    <phoneticPr fontId="1" type="noConversion"/>
  </si>
  <si>
    <t>城门洞变矩形</t>
    <phoneticPr fontId="1" type="noConversion"/>
  </si>
  <si>
    <t>L11 尾水岔管口至尾水调压室</t>
    <phoneticPr fontId="1" type="noConversion"/>
  </si>
  <si>
    <t>L12 尾水调压室至下库启闭机房</t>
    <phoneticPr fontId="1" type="noConversion"/>
  </si>
  <si>
    <t>L13 下库启闭机房至下库进出水口</t>
    <phoneticPr fontId="1" type="noConversion"/>
  </si>
  <si>
    <t>支管段</t>
    <phoneticPr fontId="10" type="noConversion"/>
  </si>
  <si>
    <t>平均</t>
    <phoneticPr fontId="10" type="noConversion"/>
  </si>
  <si>
    <t>圆弧弯道</t>
    <phoneticPr fontId="10" type="noConversion"/>
  </si>
  <si>
    <r>
      <t>水平方向，R=50m，</t>
    </r>
    <r>
      <rPr>
        <sz val="11"/>
        <color theme="1"/>
        <rFont val="宋体"/>
        <family val="3"/>
        <charset val="134"/>
      </rPr>
      <t>theta=32</t>
    </r>
    <phoneticPr fontId="10" type="noConversion"/>
  </si>
  <si>
    <r>
      <t>水平方向，R=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0m,theta=55°</t>
    </r>
    <phoneticPr fontId="1" type="noConversion"/>
  </si>
  <si>
    <r>
      <t>水平方向，R=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0m,theta=35°</t>
    </r>
    <phoneticPr fontId="10" type="noConversion"/>
  </si>
  <si>
    <r>
      <t>水平方向，R=34m,theta=33</t>
    </r>
    <r>
      <rPr>
        <sz val="11"/>
        <color theme="1"/>
        <rFont val="宋体"/>
        <charset val="134"/>
        <scheme val="minor"/>
      </rPr>
      <t>°</t>
    </r>
    <phoneticPr fontId="1" type="noConversion"/>
  </si>
  <si>
    <t>L3 上游调压室至钢衬起点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</si>
</sst>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0.000_ "/>
    <numFmt numFmtId="177" formatCode="0.000_);[Red]\(0.000\)"/>
    <numFmt numFmtId="178" formatCode="0.0000_ "/>
    <numFmt numFmtId="179" formatCode="0.00000000_ "/>
    <numFmt numFmtId="180" formatCode="0.00000_ "/>
    <numFmt numFmtId="181" formatCode="0_ "/>
    <numFmt numFmtId="182" formatCode="0.00000_);[Red]\(0.00000\)"/>
  </numFmts>
  <fonts count="1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0.5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0.5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Times New Roman"/>
      <family val="1"/>
    </font>
    <font>
      <sz val="11"/>
      <color theme="1"/>
      <name val="宋体"/>
      <family val="3"/>
      <charset val="134"/>
    </font>
    <font>
      <sz val="11"/>
      <color rgb="FF9C6500"/>
      <name val="宋体"/>
      <family val="2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0" fontId="13" fillId="13" borderId="0" applyNumberFormat="0" applyBorder="0" applyAlignment="0" applyProtection="0">
      <alignment vertical="center"/>
    </xf>
  </cellStyleXfs>
  <cellXfs count="169">
    <xf numFmtId="0" fontId="0" fillId="0" borderId="0" xfId="0"/>
    <xf numFmtId="176" fontId="0" fillId="0" borderId="0" xfId="0" applyNumberFormat="1" applyAlignment="1">
      <alignment vertical="center"/>
    </xf>
    <xf numFmtId="0" fontId="3" fillId="2" borderId="0" xfId="0" applyFont="1" applyFill="1" applyBorder="1" applyAlignment="1">
      <alignment horizontal="center" vertical="center" wrapText="1"/>
    </xf>
    <xf numFmtId="177" fontId="4" fillId="2" borderId="0" xfId="0" applyNumberFormat="1" applyFont="1" applyFill="1" applyBorder="1" applyAlignment="1">
      <alignment horizontal="center" vertical="center" wrapText="1"/>
    </xf>
    <xf numFmtId="177" fontId="3" fillId="2" borderId="0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176" fontId="3" fillId="2" borderId="0" xfId="0" applyNumberFormat="1" applyFont="1" applyFill="1" applyBorder="1" applyAlignment="1">
      <alignment horizontal="center" vertical="center" wrapText="1"/>
    </xf>
    <xf numFmtId="176" fontId="0" fillId="0" borderId="0" xfId="0" applyNumberFormat="1" applyBorder="1" applyAlignment="1">
      <alignment vertical="center"/>
    </xf>
    <xf numFmtId="177" fontId="4" fillId="4" borderId="0" xfId="0" applyNumberFormat="1" applyFont="1" applyFill="1" applyBorder="1" applyAlignment="1">
      <alignment horizontal="center" vertical="center" wrapText="1"/>
    </xf>
    <xf numFmtId="177" fontId="3" fillId="4" borderId="0" xfId="0" applyNumberFormat="1" applyFont="1" applyFill="1" applyBorder="1" applyAlignment="1">
      <alignment horizontal="center" vertical="center" wrapText="1"/>
    </xf>
    <xf numFmtId="0" fontId="6" fillId="0" borderId="0" xfId="0" applyFont="1"/>
    <xf numFmtId="176" fontId="0" fillId="2" borderId="0" xfId="0" applyNumberFormat="1" applyFill="1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176" fontId="6" fillId="0" borderId="0" xfId="0" applyNumberFormat="1" applyFont="1" applyAlignment="1">
      <alignment horizontal="center" vertical="center" wrapText="1"/>
    </xf>
    <xf numFmtId="179" fontId="0" fillId="0" borderId="0" xfId="0" applyNumberFormat="1"/>
    <xf numFmtId="177" fontId="4" fillId="3" borderId="0" xfId="0" applyNumberFormat="1" applyFont="1" applyFill="1" applyBorder="1" applyAlignment="1">
      <alignment horizontal="center" vertical="center" wrapText="1"/>
    </xf>
    <xf numFmtId="177" fontId="3" fillId="3" borderId="0" xfId="0" applyNumberFormat="1" applyFont="1" applyFill="1" applyBorder="1" applyAlignment="1">
      <alignment horizontal="center" vertical="center" wrapText="1"/>
    </xf>
    <xf numFmtId="177" fontId="0" fillId="0" borderId="0" xfId="0" applyNumberFormat="1" applyBorder="1" applyAlignment="1">
      <alignment vertical="center"/>
    </xf>
    <xf numFmtId="176" fontId="0" fillId="0" borderId="0" xfId="0" applyNumberFormat="1"/>
    <xf numFmtId="0" fontId="8" fillId="0" borderId="0" xfId="0" applyFont="1"/>
    <xf numFmtId="0" fontId="0" fillId="0" borderId="0" xfId="0" applyAlignment="1">
      <alignment vertical="center"/>
    </xf>
    <xf numFmtId="176" fontId="0" fillId="0" borderId="0" xfId="0" applyNumberFormat="1" applyFill="1" applyAlignment="1"/>
    <xf numFmtId="179" fontId="0" fillId="0" borderId="0" xfId="0" applyNumberFormat="1" applyFill="1" applyAlignment="1"/>
    <xf numFmtId="176" fontId="3" fillId="0" borderId="0" xfId="0" applyNumberFormat="1" applyFont="1" applyFill="1" applyAlignment="1"/>
    <xf numFmtId="176" fontId="8" fillId="0" borderId="0" xfId="0" applyNumberFormat="1" applyFont="1" applyFill="1" applyAlignment="1"/>
    <xf numFmtId="176" fontId="9" fillId="2" borderId="0" xfId="0" applyNumberFormat="1" applyFont="1" applyFill="1" applyBorder="1" applyAlignment="1">
      <alignment horizontal="center" vertical="center" wrapText="1"/>
    </xf>
    <xf numFmtId="179" fontId="9" fillId="2" borderId="0" xfId="0" applyNumberFormat="1" applyFont="1" applyFill="1" applyBorder="1" applyAlignment="1">
      <alignment horizontal="center" vertical="center" wrapText="1"/>
    </xf>
    <xf numFmtId="176" fontId="9" fillId="3" borderId="0" xfId="0" applyNumberFormat="1" applyFont="1" applyFill="1" applyBorder="1" applyAlignment="1">
      <alignment horizontal="center" vertical="center" wrapText="1"/>
    </xf>
    <xf numFmtId="176" fontId="0" fillId="0" borderId="0" xfId="0" applyNumberFormat="1" applyFill="1" applyBorder="1" applyAlignment="1">
      <alignment vertical="center"/>
    </xf>
    <xf numFmtId="176" fontId="0" fillId="0" borderId="0" xfId="0" applyNumberFormat="1" applyFill="1" applyAlignment="1">
      <alignment vertical="center"/>
    </xf>
    <xf numFmtId="176" fontId="8" fillId="0" borderId="0" xfId="0" applyNumberFormat="1" applyFont="1" applyFill="1" applyAlignment="1">
      <alignment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179" fontId="8" fillId="0" borderId="0" xfId="0" applyNumberFormat="1" applyFont="1" applyFill="1" applyAlignment="1"/>
    <xf numFmtId="179" fontId="8" fillId="0" borderId="0" xfId="0" applyNumberFormat="1" applyFont="1"/>
    <xf numFmtId="176" fontId="0" fillId="0" borderId="0" xfId="0" applyNumberFormat="1" applyAlignment="1">
      <alignment horizontal="center" vertical="center"/>
    </xf>
    <xf numFmtId="0" fontId="7" fillId="5" borderId="0" xfId="0" applyFont="1" applyFill="1" applyBorder="1" applyAlignment="1">
      <alignment vertical="center"/>
    </xf>
    <xf numFmtId="177" fontId="0" fillId="5" borderId="0" xfId="0" applyNumberFormat="1" applyFill="1" applyBorder="1" applyAlignment="1">
      <alignment vertical="center"/>
    </xf>
    <xf numFmtId="177" fontId="2" fillId="5" borderId="0" xfId="0" applyNumberFormat="1" applyFont="1" applyFill="1" applyBorder="1" applyAlignment="1">
      <alignment vertical="center"/>
    </xf>
    <xf numFmtId="180" fontId="0" fillId="5" borderId="0" xfId="0" applyNumberFormat="1" applyFill="1" applyBorder="1" applyAlignment="1">
      <alignment vertical="center"/>
    </xf>
    <xf numFmtId="177" fontId="0" fillId="5" borderId="0" xfId="0" applyNumberFormat="1" applyFill="1" applyBorder="1" applyAlignment="1">
      <alignment horizontal="center" vertical="center" wrapText="1"/>
    </xf>
    <xf numFmtId="0" fontId="0" fillId="5" borderId="0" xfId="0" applyFill="1" applyBorder="1" applyAlignment="1">
      <alignment vertical="center"/>
    </xf>
    <xf numFmtId="0" fontId="8" fillId="5" borderId="0" xfId="0" applyFont="1" applyFill="1" applyBorder="1" applyAlignment="1">
      <alignment vertical="center"/>
    </xf>
    <xf numFmtId="0" fontId="8" fillId="6" borderId="0" xfId="0" applyFont="1" applyFill="1" applyBorder="1" applyAlignment="1">
      <alignment vertical="center"/>
    </xf>
    <xf numFmtId="177" fontId="0" fillId="6" borderId="0" xfId="0" applyNumberFormat="1" applyFill="1" applyBorder="1" applyAlignment="1">
      <alignment vertical="center"/>
    </xf>
    <xf numFmtId="177" fontId="2" fillId="6" borderId="0" xfId="0" applyNumberFormat="1" applyFont="1" applyFill="1" applyBorder="1" applyAlignment="1">
      <alignment vertical="center"/>
    </xf>
    <xf numFmtId="180" fontId="0" fillId="6" borderId="0" xfId="0" applyNumberFormat="1" applyFill="1" applyBorder="1" applyAlignment="1">
      <alignment vertical="center"/>
    </xf>
    <xf numFmtId="177" fontId="0" fillId="6" borderId="0" xfId="0" applyNumberFormat="1" applyFill="1" applyBorder="1" applyAlignment="1">
      <alignment horizontal="center" vertical="center" wrapText="1"/>
    </xf>
    <xf numFmtId="0" fontId="0" fillId="6" borderId="0" xfId="0" applyFill="1" applyBorder="1" applyAlignment="1">
      <alignment vertical="center"/>
    </xf>
    <xf numFmtId="177" fontId="7" fillId="6" borderId="0" xfId="0" applyNumberFormat="1" applyFont="1" applyFill="1" applyBorder="1" applyAlignment="1">
      <alignment vertical="center"/>
    </xf>
    <xf numFmtId="177" fontId="7" fillId="5" borderId="0" xfId="0" applyNumberFormat="1" applyFont="1" applyFill="1" applyBorder="1" applyAlignment="1">
      <alignment vertical="center"/>
    </xf>
    <xf numFmtId="178" fontId="0" fillId="5" borderId="0" xfId="0" applyNumberFormat="1" applyFill="1" applyBorder="1" applyAlignment="1">
      <alignment vertical="center"/>
    </xf>
    <xf numFmtId="178" fontId="0" fillId="6" borderId="0" xfId="0" applyNumberFormat="1" applyFill="1" applyBorder="1" applyAlignment="1">
      <alignment vertical="center"/>
    </xf>
    <xf numFmtId="176" fontId="0" fillId="0" borderId="0" xfId="0" applyNumberFormat="1"/>
    <xf numFmtId="0" fontId="0" fillId="0" borderId="0" xfId="0"/>
    <xf numFmtId="177" fontId="0" fillId="6" borderId="0" xfId="0" applyNumberFormat="1" applyFill="1" applyBorder="1" applyAlignment="1">
      <alignment vertical="center"/>
    </xf>
    <xf numFmtId="177" fontId="0" fillId="5" borderId="0" xfId="0" applyNumberFormat="1" applyFill="1" applyBorder="1" applyAlignment="1">
      <alignment vertical="center"/>
    </xf>
    <xf numFmtId="0" fontId="8" fillId="6" borderId="0" xfId="0" applyFont="1" applyFill="1" applyBorder="1" applyAlignment="1">
      <alignment vertical="center"/>
    </xf>
    <xf numFmtId="0" fontId="8" fillId="5" borderId="0" xfId="0" applyFont="1" applyFill="1" applyBorder="1" applyAlignment="1">
      <alignment vertical="center"/>
    </xf>
    <xf numFmtId="176" fontId="8" fillId="0" borderId="0" xfId="0" applyNumberFormat="1" applyFont="1" applyFill="1" applyAlignment="1">
      <alignment vertical="center"/>
    </xf>
    <xf numFmtId="176" fontId="0" fillId="0" borderId="0" xfId="0" applyNumberFormat="1" applyFill="1" applyAlignment="1">
      <alignment vertical="center"/>
    </xf>
    <xf numFmtId="0" fontId="11" fillId="0" borderId="1" xfId="0" applyFont="1" applyBorder="1" applyAlignment="1">
      <alignment horizontal="right" vertical="center" wrapText="1"/>
    </xf>
    <xf numFmtId="0" fontId="11" fillId="0" borderId="2" xfId="0" applyFont="1" applyBorder="1" applyAlignment="1">
      <alignment horizontal="right" vertical="center" wrapText="1"/>
    </xf>
    <xf numFmtId="0" fontId="11" fillId="0" borderId="3" xfId="0" applyFont="1" applyBorder="1" applyAlignment="1">
      <alignment horizontal="right" vertical="center" wrapText="1"/>
    </xf>
    <xf numFmtId="0" fontId="11" fillId="0" borderId="4" xfId="0" applyFont="1" applyBorder="1" applyAlignment="1">
      <alignment horizontal="right" vertical="center" wrapText="1"/>
    </xf>
    <xf numFmtId="0" fontId="11" fillId="0" borderId="5" xfId="0" applyFont="1" applyBorder="1" applyAlignment="1">
      <alignment horizontal="right" vertical="center" wrapText="1"/>
    </xf>
    <xf numFmtId="0" fontId="11" fillId="0" borderId="6" xfId="0" applyFont="1" applyBorder="1" applyAlignment="1">
      <alignment horizontal="right" vertical="center" wrapText="1"/>
    </xf>
    <xf numFmtId="177" fontId="11" fillId="0" borderId="1" xfId="0" applyNumberFormat="1" applyFont="1" applyBorder="1" applyAlignment="1">
      <alignment horizontal="right" vertical="center" wrapText="1"/>
    </xf>
    <xf numFmtId="177" fontId="11" fillId="0" borderId="2" xfId="0" applyNumberFormat="1" applyFont="1" applyBorder="1" applyAlignment="1">
      <alignment horizontal="right" vertical="center" wrapText="1"/>
    </xf>
    <xf numFmtId="177" fontId="0" fillId="0" borderId="0" xfId="0" applyNumberFormat="1"/>
    <xf numFmtId="177" fontId="11" fillId="0" borderId="3" xfId="0" applyNumberFormat="1" applyFont="1" applyBorder="1" applyAlignment="1">
      <alignment horizontal="right" vertical="center" wrapText="1"/>
    </xf>
    <xf numFmtId="177" fontId="11" fillId="0" borderId="4" xfId="0" applyNumberFormat="1" applyFont="1" applyBorder="1" applyAlignment="1">
      <alignment horizontal="right" vertical="center" wrapText="1"/>
    </xf>
    <xf numFmtId="177" fontId="11" fillId="0" borderId="5" xfId="0" applyNumberFormat="1" applyFont="1" applyBorder="1" applyAlignment="1">
      <alignment horizontal="right" vertical="center" wrapText="1"/>
    </xf>
    <xf numFmtId="177" fontId="11" fillId="0" borderId="6" xfId="0" applyNumberFormat="1" applyFont="1" applyBorder="1" applyAlignment="1">
      <alignment horizontal="right" vertical="center" wrapText="1"/>
    </xf>
    <xf numFmtId="177" fontId="0" fillId="5" borderId="0" xfId="0" applyNumberFormat="1" applyFill="1" applyBorder="1" applyAlignment="1">
      <alignment vertical="center"/>
    </xf>
    <xf numFmtId="177" fontId="0" fillId="6" borderId="0" xfId="0" applyNumberFormat="1" applyFill="1" applyBorder="1" applyAlignment="1">
      <alignment vertical="center"/>
    </xf>
    <xf numFmtId="0" fontId="8" fillId="5" borderId="0" xfId="0" applyFont="1" applyFill="1" applyBorder="1" applyAlignment="1">
      <alignment vertical="center"/>
    </xf>
    <xf numFmtId="0" fontId="8" fillId="6" borderId="0" xfId="0" applyFont="1" applyFill="1" applyBorder="1" applyAlignment="1">
      <alignment vertical="center"/>
    </xf>
    <xf numFmtId="177" fontId="0" fillId="0" borderId="0" xfId="0" applyNumberFormat="1" applyFill="1" applyBorder="1" applyAlignment="1">
      <alignment horizontal="center" vertical="center" wrapText="1"/>
    </xf>
    <xf numFmtId="176" fontId="8" fillId="0" borderId="0" xfId="0" applyNumberFormat="1" applyFont="1" applyFill="1" applyAlignment="1">
      <alignment vertical="center"/>
    </xf>
    <xf numFmtId="176" fontId="0" fillId="0" borderId="0" xfId="0" applyNumberFormat="1" applyFill="1" applyAlignment="1">
      <alignment vertical="center"/>
    </xf>
    <xf numFmtId="177" fontId="0" fillId="7" borderId="0" xfId="0" applyNumberFormat="1" applyFill="1" applyBorder="1" applyAlignment="1">
      <alignment vertical="center"/>
    </xf>
    <xf numFmtId="177" fontId="8" fillId="7" borderId="0" xfId="0" applyNumberFormat="1" applyFont="1" applyFill="1" applyBorder="1" applyAlignment="1">
      <alignment vertical="center"/>
    </xf>
    <xf numFmtId="176" fontId="0" fillId="7" borderId="0" xfId="0" applyNumberFormat="1" applyFill="1" applyAlignment="1"/>
    <xf numFmtId="177" fontId="8" fillId="5" borderId="0" xfId="0" applyNumberFormat="1" applyFont="1" applyFill="1" applyBorder="1" applyAlignment="1">
      <alignment horizontal="center" vertical="center" wrapText="1"/>
    </xf>
    <xf numFmtId="179" fontId="0" fillId="7" borderId="0" xfId="0" applyNumberFormat="1" applyFill="1" applyAlignment="1"/>
    <xf numFmtId="176" fontId="8" fillId="7" borderId="0" xfId="0" applyNumberFormat="1" applyFont="1" applyFill="1" applyAlignment="1"/>
    <xf numFmtId="0" fontId="0" fillId="0" borderId="0" xfId="0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8" fillId="0" borderId="0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7" borderId="0" xfId="0" applyFill="1"/>
    <xf numFmtId="0" fontId="8" fillId="7" borderId="0" xfId="0" applyFont="1" applyFill="1"/>
    <xf numFmtId="177" fontId="0" fillId="8" borderId="0" xfId="0" applyNumberFormat="1" applyFill="1" applyBorder="1" applyAlignment="1">
      <alignment vertical="center"/>
    </xf>
    <xf numFmtId="180" fontId="0" fillId="8" borderId="0" xfId="0" applyNumberFormat="1" applyFill="1" applyBorder="1" applyAlignment="1">
      <alignment vertical="center"/>
    </xf>
    <xf numFmtId="177" fontId="0" fillId="9" borderId="0" xfId="0" applyNumberFormat="1" applyFill="1" applyBorder="1" applyAlignment="1">
      <alignment vertical="center"/>
    </xf>
    <xf numFmtId="0" fontId="2" fillId="6" borderId="0" xfId="0" applyFont="1" applyFill="1" applyBorder="1" applyAlignment="1">
      <alignment vertical="center"/>
    </xf>
    <xf numFmtId="176" fontId="6" fillId="7" borderId="0" xfId="0" applyNumberFormat="1" applyFont="1" applyFill="1" applyAlignment="1"/>
    <xf numFmtId="177" fontId="0" fillId="6" borderId="0" xfId="0" applyNumberFormat="1" applyFill="1" applyBorder="1" applyAlignment="1">
      <alignment vertical="center"/>
    </xf>
    <xf numFmtId="0" fontId="8" fillId="6" borderId="0" xfId="0" applyFont="1" applyFill="1" applyBorder="1" applyAlignment="1">
      <alignment vertical="center"/>
    </xf>
    <xf numFmtId="181" fontId="3" fillId="2" borderId="0" xfId="0" applyNumberFormat="1" applyFont="1" applyFill="1" applyBorder="1" applyAlignment="1">
      <alignment horizontal="center" vertical="center" wrapText="1"/>
    </xf>
    <xf numFmtId="181" fontId="0" fillId="0" borderId="0" xfId="0" applyNumberFormat="1" applyFill="1" applyAlignment="1"/>
    <xf numFmtId="181" fontId="0" fillId="0" borderId="0" xfId="0" applyNumberFormat="1"/>
    <xf numFmtId="176" fontId="8" fillId="0" borderId="0" xfId="0" applyNumberFormat="1" applyFont="1" applyFill="1" applyAlignment="1">
      <alignment vertical="center"/>
    </xf>
    <xf numFmtId="176" fontId="0" fillId="0" borderId="0" xfId="0" applyNumberFormat="1" applyFill="1" applyAlignment="1">
      <alignment vertical="center"/>
    </xf>
    <xf numFmtId="176" fontId="0" fillId="7" borderId="0" xfId="0" applyNumberFormat="1" applyFill="1" applyAlignment="1">
      <alignment vertical="center"/>
    </xf>
    <xf numFmtId="177" fontId="0" fillId="10" borderId="0" xfId="0" applyNumberFormat="1" applyFill="1" applyBorder="1" applyAlignment="1">
      <alignment vertical="center"/>
    </xf>
    <xf numFmtId="176" fontId="8" fillId="0" borderId="0" xfId="0" applyNumberFormat="1" applyFont="1" applyFill="1" applyAlignment="1">
      <alignment vertical="center"/>
    </xf>
    <xf numFmtId="176" fontId="0" fillId="0" borderId="0" xfId="0" applyNumberFormat="1" applyFill="1" applyAlignment="1">
      <alignment vertical="center"/>
    </xf>
    <xf numFmtId="176" fontId="0" fillId="0" borderId="0" xfId="0" applyNumberFormat="1" applyAlignment="1">
      <alignment horizontal="center" vertical="center"/>
    </xf>
    <xf numFmtId="177" fontId="0" fillId="5" borderId="0" xfId="0" applyNumberFormat="1" applyFill="1" applyBorder="1" applyAlignment="1">
      <alignment vertical="center"/>
    </xf>
    <xf numFmtId="177" fontId="0" fillId="6" borderId="0" xfId="0" applyNumberFormat="1" applyFill="1" applyBorder="1" applyAlignment="1">
      <alignment vertical="center"/>
    </xf>
    <xf numFmtId="0" fontId="0" fillId="6" borderId="0" xfId="0" applyFill="1" applyAlignment="1">
      <alignment vertical="center"/>
    </xf>
    <xf numFmtId="0" fontId="8" fillId="5" borderId="0" xfId="0" applyFont="1" applyFill="1" applyBorder="1" applyAlignment="1">
      <alignment vertical="center"/>
    </xf>
    <xf numFmtId="178" fontId="0" fillId="6" borderId="0" xfId="0" applyNumberFormat="1" applyFill="1" applyBorder="1" applyAlignment="1">
      <alignment vertical="center"/>
    </xf>
    <xf numFmtId="0" fontId="8" fillId="6" borderId="0" xfId="0" applyFont="1" applyFill="1" applyBorder="1" applyAlignment="1">
      <alignment vertical="center"/>
    </xf>
    <xf numFmtId="176" fontId="8" fillId="0" borderId="0" xfId="0" applyNumberFormat="1" applyFont="1" applyFill="1" applyAlignment="1">
      <alignment vertical="center"/>
    </xf>
    <xf numFmtId="0" fontId="0" fillId="0" borderId="0" xfId="0"/>
    <xf numFmtId="176" fontId="8" fillId="0" borderId="0" xfId="0" applyNumberFormat="1" applyFont="1" applyFill="1" applyAlignment="1">
      <alignment vertical="center"/>
    </xf>
    <xf numFmtId="176" fontId="0" fillId="0" borderId="0" xfId="0" applyNumberFormat="1" applyAlignment="1">
      <alignment horizontal="center" vertical="center"/>
    </xf>
    <xf numFmtId="0" fontId="2" fillId="5" borderId="0" xfId="0" applyFont="1" applyFill="1" applyBorder="1" applyAlignment="1">
      <alignment vertical="center"/>
    </xf>
    <xf numFmtId="182" fontId="0" fillId="0" borderId="0" xfId="0" applyNumberFormat="1" applyBorder="1" applyAlignment="1">
      <alignment vertical="center"/>
    </xf>
    <xf numFmtId="177" fontId="0" fillId="11" borderId="0" xfId="0" applyNumberFormat="1" applyFill="1" applyBorder="1" applyAlignment="1">
      <alignment vertical="center"/>
    </xf>
    <xf numFmtId="177" fontId="8" fillId="11" borderId="0" xfId="0" applyNumberFormat="1" applyFont="1" applyFill="1" applyBorder="1" applyAlignment="1">
      <alignment vertical="center"/>
    </xf>
    <xf numFmtId="177" fontId="8" fillId="10" borderId="0" xfId="0" applyNumberFormat="1" applyFont="1" applyFill="1" applyBorder="1" applyAlignment="1">
      <alignment vertical="center"/>
    </xf>
    <xf numFmtId="0" fontId="8" fillId="0" borderId="0" xfId="0" applyFont="1" applyBorder="1" applyAlignment="1">
      <alignment vertical="center"/>
    </xf>
    <xf numFmtId="177" fontId="3" fillId="12" borderId="0" xfId="0" applyNumberFormat="1" applyFont="1" applyFill="1" applyBorder="1" applyAlignment="1">
      <alignment horizontal="center" vertical="center" wrapText="1"/>
    </xf>
    <xf numFmtId="176" fontId="8" fillId="0" borderId="0" xfId="0" applyNumberFormat="1" applyFont="1" applyFill="1" applyAlignment="1">
      <alignment vertical="center"/>
    </xf>
    <xf numFmtId="176" fontId="8" fillId="0" borderId="0" xfId="0" applyNumberFormat="1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177" fontId="0" fillId="5" borderId="0" xfId="0" applyNumberFormat="1" applyFill="1" applyBorder="1" applyAlignment="1">
      <alignment vertical="center"/>
    </xf>
    <xf numFmtId="177" fontId="0" fillId="6" borderId="0" xfId="0" applyNumberFormat="1" applyFill="1" applyBorder="1" applyAlignment="1">
      <alignment vertical="center"/>
    </xf>
    <xf numFmtId="176" fontId="0" fillId="0" borderId="0" xfId="0" applyNumberFormat="1" applyAlignment="1">
      <alignment horizontal="center" vertical="center"/>
    </xf>
    <xf numFmtId="176" fontId="8" fillId="0" borderId="0" xfId="0" applyNumberFormat="1" applyFont="1" applyFill="1" applyAlignment="1">
      <alignment vertical="center"/>
    </xf>
    <xf numFmtId="0" fontId="8" fillId="5" borderId="0" xfId="0" applyFont="1" applyFill="1" applyBorder="1" applyAlignment="1">
      <alignment vertical="center" wrapText="1"/>
    </xf>
    <xf numFmtId="0" fontId="0" fillId="5" borderId="0" xfId="0" applyFill="1" applyAlignment="1">
      <alignment vertical="center" wrapText="1"/>
    </xf>
    <xf numFmtId="177" fontId="0" fillId="5" borderId="0" xfId="0" applyNumberFormat="1" applyFill="1" applyBorder="1" applyAlignment="1">
      <alignment vertical="center"/>
    </xf>
    <xf numFmtId="0" fontId="0" fillId="5" borderId="0" xfId="0" applyFill="1" applyAlignment="1">
      <alignment vertical="center"/>
    </xf>
    <xf numFmtId="0" fontId="8" fillId="6" borderId="0" xfId="0" applyFont="1" applyFill="1" applyBorder="1" applyAlignment="1">
      <alignment vertical="center" wrapText="1"/>
    </xf>
    <xf numFmtId="0" fontId="0" fillId="6" borderId="0" xfId="0" applyFill="1" applyAlignment="1">
      <alignment vertical="center"/>
    </xf>
    <xf numFmtId="177" fontId="0" fillId="6" borderId="0" xfId="0" applyNumberFormat="1" applyFill="1" applyBorder="1" applyAlignment="1">
      <alignment vertical="center"/>
    </xf>
    <xf numFmtId="177" fontId="0" fillId="5" borderId="0" xfId="0" applyNumberFormat="1" applyFill="1" applyAlignment="1">
      <alignment vertical="center"/>
    </xf>
    <xf numFmtId="0" fontId="8" fillId="5" borderId="0" xfId="0" applyFont="1" applyFill="1" applyBorder="1" applyAlignment="1">
      <alignment vertical="center"/>
    </xf>
    <xf numFmtId="0" fontId="8" fillId="6" borderId="0" xfId="0" applyFont="1" applyFill="1" applyBorder="1" applyAlignment="1">
      <alignment vertical="center"/>
    </xf>
    <xf numFmtId="178" fontId="0" fillId="6" borderId="0" xfId="0" applyNumberFormat="1" applyFill="1" applyBorder="1" applyAlignment="1">
      <alignment vertical="center"/>
    </xf>
    <xf numFmtId="178" fontId="0" fillId="6" borderId="0" xfId="0" applyNumberFormat="1" applyFill="1" applyAlignment="1">
      <alignment vertical="center"/>
    </xf>
    <xf numFmtId="176" fontId="8" fillId="0" borderId="0" xfId="0" applyNumberFormat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176" fontId="0" fillId="0" borderId="0" xfId="0" applyNumberFormat="1" applyAlignment="1">
      <alignment horizontal="center" vertical="center"/>
    </xf>
    <xf numFmtId="176" fontId="8" fillId="0" borderId="0" xfId="0" applyNumberFormat="1" applyFont="1" applyFill="1" applyAlignment="1">
      <alignment horizontal="left" vertical="center" wrapText="1"/>
    </xf>
    <xf numFmtId="176" fontId="8" fillId="0" borderId="0" xfId="0" applyNumberFormat="1" applyFont="1" applyFill="1" applyAlignment="1">
      <alignment vertical="center" wrapText="1"/>
    </xf>
    <xf numFmtId="0" fontId="8" fillId="0" borderId="0" xfId="0" applyFont="1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8" fillId="6" borderId="0" xfId="0" applyFont="1" applyFill="1" applyBorder="1" applyAlignment="1">
      <alignment horizontal="left" vertical="center" wrapText="1"/>
    </xf>
    <xf numFmtId="0" fontId="8" fillId="8" borderId="0" xfId="0" applyFont="1" applyFill="1" applyBorder="1" applyAlignment="1">
      <alignment vertical="center" wrapText="1"/>
    </xf>
    <xf numFmtId="0" fontId="0" fillId="8" borderId="0" xfId="0" applyFill="1" applyAlignment="1">
      <alignment vertical="center" wrapText="1"/>
    </xf>
    <xf numFmtId="176" fontId="0" fillId="7" borderId="0" xfId="0" applyNumberFormat="1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176" fontId="8" fillId="0" borderId="0" xfId="0" applyNumberFormat="1" applyFont="1" applyFill="1" applyAlignment="1">
      <alignment vertical="center"/>
    </xf>
    <xf numFmtId="176" fontId="8" fillId="0" borderId="0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176" fontId="0" fillId="0" borderId="0" xfId="0" applyNumberFormat="1" applyFill="1" applyBorder="1" applyAlignment="1">
      <alignment vertical="center"/>
    </xf>
    <xf numFmtId="176" fontId="0" fillId="0" borderId="0" xfId="0" applyNumberFormat="1" applyFill="1" applyBorder="1" applyAlignment="1">
      <alignment horizontal="center" vertical="center"/>
    </xf>
    <xf numFmtId="176" fontId="0" fillId="2" borderId="0" xfId="0" applyNumberFormat="1" applyFill="1" applyAlignment="1">
      <alignment horizontal="center" vertical="center" wrapText="1"/>
    </xf>
    <xf numFmtId="177" fontId="13" fillId="13" borderId="0" xfId="1" applyNumberFormat="1" applyBorder="1" applyAlignment="1">
      <alignment horizontal="center" vertical="center" wrapText="1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Medium9"/>
  <colors>
    <mruColors>
      <color rgb="FFCCC0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eskFile\&#39033;&#30446;\&#20113;&#38660;\&#35745;&#31639;\&#35745;&#31639;\&#26041;&#26696;&#20116;&#65306;&#19978;&#28216;&#24341;&#27700;&#38567;&#27934;&#21464;&#24452;\&#20113;&#38660;-&#31649;&#36947;&#24658;&#23450;&#27969;&#35745;&#31639;(2019-1-2%20&#26041;&#26696;&#20116;)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水轮机基本参数"/>
      <sheetName val="1#机 沿程水头损失及Tw"/>
      <sheetName val="1#机局部水头损失"/>
      <sheetName val="2#机 沿程水头损失及Tw"/>
      <sheetName val="2号机 局部水头损失"/>
      <sheetName val="3#机 沿程水头损失及Tw"/>
      <sheetName val="3#机 局部水头损失"/>
      <sheetName val="方案二和方案五对比"/>
      <sheetName val="4#机 沿程水头损失及Tw"/>
      <sheetName val="4#机 局部水头损失"/>
      <sheetName val="5#机 沿程水头损失及Tw"/>
      <sheetName val="5#机 局部水头损失"/>
      <sheetName val="6#机 沿程水头损失及Tw"/>
      <sheetName val="6#机 局部水头损失"/>
      <sheetName val="汇总"/>
      <sheetName val="水轮机特性曲线描点"/>
      <sheetName val="水轮机特性曲线-MATLAB"/>
      <sheetName val="水轮机特性曲线-TOPSYS"/>
      <sheetName val="调压室数据"/>
    </sheetNames>
    <sheetDataSet>
      <sheetData sheetId="0">
        <row r="3">
          <cell r="B3">
            <v>465</v>
          </cell>
        </row>
      </sheetData>
      <sheetData sheetId="1" refreshError="1"/>
      <sheetData sheetId="2" refreshError="1"/>
      <sheetData sheetId="3" refreshError="1"/>
      <sheetData sheetId="4">
        <row r="2">
          <cell r="J2">
            <v>2.4784854430729011E-4</v>
          </cell>
        </row>
        <row r="3">
          <cell r="J3">
            <v>4.8313408727642938E-4</v>
          </cell>
        </row>
        <row r="4">
          <cell r="J4">
            <v>2.415670436382147E-3</v>
          </cell>
        </row>
        <row r="5">
          <cell r="J5">
            <v>4.3482067854878643E-4</v>
          </cell>
        </row>
        <row r="6">
          <cell r="J6">
            <v>7.1393954323374026E-3</v>
          </cell>
        </row>
        <row r="7">
          <cell r="J7">
            <v>7.6336697930441009E-3</v>
          </cell>
        </row>
        <row r="8">
          <cell r="J8">
            <v>1.8994923299318484E-2</v>
          </cell>
        </row>
        <row r="9">
          <cell r="J9">
            <v>0</v>
          </cell>
        </row>
        <row r="10">
          <cell r="J10">
            <v>1.9212015185690413E-2</v>
          </cell>
        </row>
        <row r="11">
          <cell r="J11">
            <v>5.6181741547006378E-2</v>
          </cell>
        </row>
        <row r="12">
          <cell r="J12">
            <v>5.5042161984635879E-2</v>
          </cell>
        </row>
      </sheetData>
      <sheetData sheetId="5" refreshError="1"/>
      <sheetData sheetId="6">
        <row r="32">
          <cell r="L32">
            <v>8.9556288448699214E-2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"/>
  <sheetViews>
    <sheetView workbookViewId="0">
      <selection activeCell="B30" sqref="B30"/>
    </sheetView>
  </sheetViews>
  <sheetFormatPr defaultRowHeight="13.5" x14ac:dyDescent="0.15"/>
  <cols>
    <col min="1" max="1" width="19.5" bestFit="1" customWidth="1"/>
    <col min="3" max="3" width="23.5" bestFit="1" customWidth="1"/>
  </cols>
  <sheetData>
    <row r="1" spans="1:3" x14ac:dyDescent="0.15">
      <c r="A1" s="117" t="s">
        <v>248</v>
      </c>
      <c r="B1" s="117" t="s">
        <v>249</v>
      </c>
      <c r="C1" s="117" t="s">
        <v>250</v>
      </c>
    </row>
    <row r="2" spans="1:3" x14ac:dyDescent="0.15">
      <c r="A2" s="117" t="s">
        <v>251</v>
      </c>
      <c r="B2" s="91">
        <v>4.2</v>
      </c>
      <c r="C2" s="117"/>
    </row>
    <row r="3" spans="1:3" x14ac:dyDescent="0.15">
      <c r="A3" s="117" t="s">
        <v>252</v>
      </c>
      <c r="B3" s="91">
        <v>420</v>
      </c>
      <c r="C3" s="117"/>
    </row>
    <row r="4" spans="1:3" x14ac:dyDescent="0.15">
      <c r="A4" s="117" t="s">
        <v>253</v>
      </c>
      <c r="B4" s="91">
        <v>306.10000000000002</v>
      </c>
      <c r="C4" s="117"/>
    </row>
    <row r="5" spans="1:3" x14ac:dyDescent="0.15">
      <c r="A5" s="117" t="s">
        <v>254</v>
      </c>
      <c r="B5" s="91">
        <v>74.44</v>
      </c>
      <c r="C5" s="10"/>
    </row>
    <row r="6" spans="1:3" x14ac:dyDescent="0.15">
      <c r="A6" s="117" t="s">
        <v>255</v>
      </c>
      <c r="B6" s="91">
        <v>428.6</v>
      </c>
      <c r="C6" s="117"/>
    </row>
    <row r="7" spans="1:3" x14ac:dyDescent="0.15">
      <c r="A7" s="117" t="s">
        <v>256</v>
      </c>
      <c r="B7" s="92">
        <v>-70</v>
      </c>
      <c r="C7" s="117"/>
    </row>
    <row r="8" spans="1:3" x14ac:dyDescent="0.15">
      <c r="A8" s="117" t="s">
        <v>257</v>
      </c>
      <c r="B8" s="91">
        <v>2275</v>
      </c>
      <c r="C8" s="117"/>
    </row>
    <row r="9" spans="1:3" x14ac:dyDescent="0.15">
      <c r="A9" s="117" t="s">
        <v>258</v>
      </c>
      <c r="B9" s="91">
        <v>395.86</v>
      </c>
      <c r="C9" s="19" t="s">
        <v>259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S30"/>
  <sheetViews>
    <sheetView tabSelected="1" zoomScaleNormal="100" workbookViewId="0">
      <selection activeCell="C11" sqref="C11"/>
    </sheetView>
  </sheetViews>
  <sheetFormatPr defaultRowHeight="13.5" x14ac:dyDescent="0.15"/>
  <cols>
    <col min="1" max="1" width="32.5" customWidth="1"/>
    <col min="2" max="2" width="23.5" customWidth="1"/>
    <col min="3" max="3" width="11.875" customWidth="1"/>
    <col min="4" max="4" width="12.125" customWidth="1"/>
    <col min="9" max="10" width="9.5" bestFit="1" customWidth="1"/>
    <col min="14" max="14" width="9.5" bestFit="1" customWidth="1"/>
    <col min="21" max="21" width="10.875" customWidth="1"/>
  </cols>
  <sheetData>
    <row r="1" spans="1:45" ht="54" x14ac:dyDescent="0.15">
      <c r="A1" s="2" t="s">
        <v>264</v>
      </c>
      <c r="B1" s="2" t="s">
        <v>265</v>
      </c>
      <c r="C1" s="4" t="s">
        <v>266</v>
      </c>
      <c r="D1" s="4" t="s">
        <v>267</v>
      </c>
      <c r="E1" s="4" t="s">
        <v>268</v>
      </c>
      <c r="F1" s="168" t="s">
        <v>269</v>
      </c>
      <c r="G1" s="4" t="s">
        <v>270</v>
      </c>
      <c r="H1" s="4" t="s">
        <v>271</v>
      </c>
      <c r="I1" s="4" t="s">
        <v>272</v>
      </c>
      <c r="J1" s="4" t="s">
        <v>273</v>
      </c>
      <c r="K1" s="9" t="s">
        <v>274</v>
      </c>
      <c r="L1" s="126" t="s">
        <v>112</v>
      </c>
      <c r="M1" s="4" t="s">
        <v>275</v>
      </c>
      <c r="N1" s="4" t="s">
        <v>276</v>
      </c>
      <c r="O1" s="9" t="s">
        <v>277</v>
      </c>
      <c r="P1" s="126" t="s">
        <v>278</v>
      </c>
      <c r="Q1" s="4" t="s">
        <v>279</v>
      </c>
      <c r="R1" s="9" t="s">
        <v>280</v>
      </c>
      <c r="S1" s="126" t="s">
        <v>281</v>
      </c>
      <c r="T1" s="126" t="s">
        <v>282</v>
      </c>
      <c r="U1" s="168" t="s">
        <v>283</v>
      </c>
      <c r="V1" s="126" t="s">
        <v>284</v>
      </c>
      <c r="W1" s="126" t="s">
        <v>285</v>
      </c>
      <c r="X1" s="168" t="s">
        <v>286</v>
      </c>
      <c r="Y1" s="126" t="s">
        <v>287</v>
      </c>
      <c r="Z1" s="126" t="s">
        <v>288</v>
      </c>
      <c r="AA1" s="126" t="s">
        <v>289</v>
      </c>
      <c r="AB1" s="126" t="s">
        <v>290</v>
      </c>
      <c r="AC1" s="126" t="s">
        <v>291</v>
      </c>
      <c r="AD1" s="126" t="s">
        <v>292</v>
      </c>
      <c r="AE1" s="126" t="s">
        <v>293</v>
      </c>
      <c r="AF1" s="126" t="s">
        <v>294</v>
      </c>
      <c r="AG1" s="126" t="s">
        <v>295</v>
      </c>
      <c r="AH1" s="126" t="s">
        <v>296</v>
      </c>
      <c r="AI1" s="4" t="s">
        <v>297</v>
      </c>
      <c r="AJ1" s="4" t="s">
        <v>298</v>
      </c>
      <c r="AK1" s="4" t="s">
        <v>299</v>
      </c>
      <c r="AL1" s="4" t="s">
        <v>300</v>
      </c>
      <c r="AM1" s="4" t="s">
        <v>301</v>
      </c>
      <c r="AN1" s="4" t="s">
        <v>302</v>
      </c>
      <c r="AO1" s="4" t="s">
        <v>303</v>
      </c>
      <c r="AP1" s="4" t="s">
        <v>304</v>
      </c>
      <c r="AQ1" s="4" t="s">
        <v>305</v>
      </c>
      <c r="AR1" s="4" t="s">
        <v>306</v>
      </c>
      <c r="AS1" s="4" t="s">
        <v>307</v>
      </c>
    </row>
    <row r="2" spans="1:45" ht="27" x14ac:dyDescent="0.15">
      <c r="A2" s="135" t="s">
        <v>308</v>
      </c>
      <c r="B2" s="120" t="s">
        <v>309</v>
      </c>
      <c r="C2" s="110">
        <v>8.11</v>
      </c>
      <c r="D2" s="110">
        <f>C2</f>
        <v>8.11</v>
      </c>
      <c r="E2" s="38" t="s">
        <v>310</v>
      </c>
      <c r="F2" s="110">
        <v>1.4E-2</v>
      </c>
      <c r="G2" s="110">
        <v>1.6E-2</v>
      </c>
      <c r="H2" s="110">
        <v>1.2E-2</v>
      </c>
      <c r="I2" s="106">
        <f>74.44*2</f>
        <v>148.88</v>
      </c>
      <c r="J2" s="106">
        <f>4*6.5*13.45</f>
        <v>349.7</v>
      </c>
      <c r="K2" s="110">
        <f>I2/J2</f>
        <v>0.42573634543894767</v>
      </c>
      <c r="L2" s="110">
        <f>SQRT(4*J2/PI())</f>
        <v>21.100992128188818</v>
      </c>
      <c r="M2" s="110"/>
      <c r="N2" s="106">
        <f>J3</f>
        <v>349.7</v>
      </c>
      <c r="O2" s="110">
        <f>I2/N2</f>
        <v>0.42573634543894767</v>
      </c>
      <c r="P2" s="110">
        <f>SQRT(4*N2/PI())</f>
        <v>21.100992128188818</v>
      </c>
      <c r="Q2" s="110"/>
      <c r="R2" s="110">
        <f>(K2+O2)/2</f>
        <v>0.42573634543894767</v>
      </c>
      <c r="S2" s="110">
        <f>(J2+N2)/2</f>
        <v>349.7</v>
      </c>
      <c r="T2" s="110">
        <f>SQRT(S2/PI())/2</f>
        <v>5.2752480320472044</v>
      </c>
      <c r="U2" s="137">
        <f>SUM(D2:D5)</f>
        <v>140.07499999999999</v>
      </c>
      <c r="V2" s="110">
        <f t="shared" ref="V2:V14" si="0">D2/S2</f>
        <v>2.319130683442951E-2</v>
      </c>
      <c r="W2" s="137">
        <f>U2/SUM(V2:V5)</f>
        <v>65.224455414811999</v>
      </c>
      <c r="X2" s="137">
        <f>Z2*4</f>
        <v>9.1129773355338788</v>
      </c>
      <c r="Y2" s="137">
        <f>AVERAGE(I2:I5)/W2</f>
        <v>2.2825794259708059</v>
      </c>
      <c r="Z2" s="137">
        <f>SQRT(W2/PI())/2</f>
        <v>2.2782443338834697</v>
      </c>
      <c r="AA2" s="39">
        <f>F2^2*D2*(I2)^2/(T2^(4/3)*S2^2)</f>
        <v>3.1373853840998237E-5</v>
      </c>
      <c r="AB2" s="39">
        <f>G2^2*D2*(I2)^2/(T2^(4/3)*S2^2)</f>
        <v>4.0978094812732379E-5</v>
      </c>
      <c r="AC2" s="39">
        <f>H2^2*D2*(I2)^2/(T2^(4/3)*S2^2)</f>
        <v>2.3050178332161963E-5</v>
      </c>
      <c r="AD2" s="137">
        <f>SUM(AA2:AA5)</f>
        <v>7.5093456711788548E-2</v>
      </c>
      <c r="AE2" s="137">
        <f>AVERAGE(F2:F5)^2*U2*(AVERAGE(I2:I5))^2/(Z2^(4/3)*W2^2)</f>
        <v>4.7716447284502993E-2</v>
      </c>
      <c r="AF2" s="110">
        <f>D2*I2/S2/9.81/[1]水轮机基本参数!B$3</f>
        <v>7.5690194589893257E-4</v>
      </c>
      <c r="AG2" s="137">
        <f>SUM(AF2:AF5)</f>
        <v>7.0091373317299796E-2</v>
      </c>
      <c r="AH2" s="137">
        <f>U2*AVERAGE(I2:I5)/W2/9.81/[1]水轮机基本参数!B$3</f>
        <v>7.0091373317299796E-2</v>
      </c>
      <c r="AI2" s="40" t="s">
        <v>311</v>
      </c>
      <c r="AJ2" s="40">
        <f>SUM(AF2:AF16)</f>
        <v>2.9350700314493214</v>
      </c>
      <c r="AK2" s="40">
        <f>SUM(D2:D16)</f>
        <v>2870.1090000000004</v>
      </c>
      <c r="AL2" s="40">
        <f>AK2/SUM(V2:V16)</f>
        <v>30.153039046936428</v>
      </c>
      <c r="AM2" s="40">
        <f>I2/AL2</f>
        <v>4.9374790968251112</v>
      </c>
      <c r="AN2" s="40">
        <f>SUM(AA2:AA16)+SUM('[1]2号机 局部水头损失'!J2:J12)</f>
        <v>7.8623212441116204</v>
      </c>
      <c r="AO2" s="40">
        <f>AN2/AM2^2</f>
        <v>0.32250781618489915</v>
      </c>
      <c r="AP2" s="40">
        <f>SUM(AB2:AB16)+SUM('[1]2号机 局部水头损失'!J2:J12)</f>
        <v>9.4259279958861661</v>
      </c>
      <c r="AQ2" s="40">
        <f>AP2/AM2^2</f>
        <v>0.38664605007663216</v>
      </c>
      <c r="AR2" s="40">
        <f>SUM(AC2:AC16)+SUM('[1]2号机 局部水头损失'!J2:J12)</f>
        <v>6.4518637603314071</v>
      </c>
      <c r="AS2" s="40">
        <f>AR2/AM2^2</f>
        <v>0.26465167563909237</v>
      </c>
    </row>
    <row r="3" spans="1:45" x14ac:dyDescent="0.15">
      <c r="A3" s="136"/>
      <c r="B3" s="113" t="s">
        <v>312</v>
      </c>
      <c r="C3" s="110">
        <v>42.85</v>
      </c>
      <c r="D3" s="110">
        <f t="shared" ref="D3:D5" si="1">C3</f>
        <v>42.85</v>
      </c>
      <c r="E3" s="38" t="s">
        <v>2</v>
      </c>
      <c r="F3" s="110">
        <v>1.4E-2</v>
      </c>
      <c r="G3" s="110">
        <v>1.6E-2</v>
      </c>
      <c r="H3" s="110">
        <v>1.2E-2</v>
      </c>
      <c r="I3" s="106">
        <f t="shared" ref="I3:I13" si="2">74.44*2</f>
        <v>148.88</v>
      </c>
      <c r="J3" s="106">
        <f>4*6.5*13.45</f>
        <v>349.7</v>
      </c>
      <c r="K3" s="110">
        <f t="shared" ref="K3:K27" si="3">I3/J3</f>
        <v>0.42573634543894767</v>
      </c>
      <c r="L3" s="110">
        <f t="shared" ref="L3:L27" si="4">SQRT(4*J3/PI())</f>
        <v>21.100992128188818</v>
      </c>
      <c r="M3" s="110"/>
      <c r="N3" s="106">
        <f t="shared" ref="N3:N26" si="5">J4</f>
        <v>51.84</v>
      </c>
      <c r="O3" s="110">
        <f t="shared" ref="O3:O27" si="6">I3/N3</f>
        <v>2.8719135802469133</v>
      </c>
      <c r="P3" s="110">
        <f t="shared" ref="P3:P27" si="7">SQRT(4*N3/PI())</f>
        <v>8.1243300030876906</v>
      </c>
      <c r="Q3" s="110"/>
      <c r="R3" s="110">
        <f t="shared" ref="R3:R27" si="8">(K3+O3)/2</f>
        <v>1.6488249628429306</v>
      </c>
      <c r="S3" s="110">
        <f t="shared" ref="S3:S27" si="9">(J3+N3)/2</f>
        <v>200.76999999999998</v>
      </c>
      <c r="T3" s="110">
        <f t="shared" ref="T3:T27" si="10">SQRT(S3/PI())/2</f>
        <v>3.9970950654544</v>
      </c>
      <c r="U3" s="138"/>
      <c r="V3" s="110">
        <f t="shared" si="0"/>
        <v>0.2134283010409922</v>
      </c>
      <c r="W3" s="138"/>
      <c r="X3" s="138"/>
      <c r="Y3" s="138"/>
      <c r="Z3" s="138"/>
      <c r="AA3" s="39">
        <f t="shared" ref="AA3:AA27" si="11">F3^2*D3*(I3)^2/(T3^(4/3)*S3^2)</f>
        <v>7.2804128897532253E-4</v>
      </c>
      <c r="AB3" s="39">
        <f>G3^2*D3*(I3)^2/(T3^(4/3)*S3^2)</f>
        <v>9.5091107131470677E-4</v>
      </c>
      <c r="AC3" s="39">
        <f t="shared" ref="AC3:AC27" si="12">H3^2*D3*(I3)^2/(T3^(4/3)*S3^2)</f>
        <v>5.3488747761452264E-4</v>
      </c>
      <c r="AD3" s="138"/>
      <c r="AE3" s="138"/>
      <c r="AF3" s="110">
        <f>D3*I3/S3/9.81/[1]水轮机基本参数!B$3</f>
        <v>6.9657263181048335E-3</v>
      </c>
      <c r="AG3" s="138"/>
      <c r="AH3" s="138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</row>
    <row r="4" spans="1:45" x14ac:dyDescent="0.15">
      <c r="A4" s="136"/>
      <c r="B4" s="113" t="s">
        <v>313</v>
      </c>
      <c r="C4" s="110">
        <v>12</v>
      </c>
      <c r="D4" s="110">
        <f t="shared" si="1"/>
        <v>12</v>
      </c>
      <c r="E4" s="38" t="s">
        <v>2</v>
      </c>
      <c r="F4" s="110">
        <v>1.4E-2</v>
      </c>
      <c r="G4" s="110">
        <v>1.6E-2</v>
      </c>
      <c r="H4" s="110">
        <v>1.2E-2</v>
      </c>
      <c r="I4" s="106">
        <f t="shared" si="2"/>
        <v>148.88</v>
      </c>
      <c r="J4" s="106">
        <f>7.2*7.2</f>
        <v>51.84</v>
      </c>
      <c r="K4" s="110">
        <f t="shared" si="3"/>
        <v>2.8719135802469133</v>
      </c>
      <c r="L4" s="110">
        <f t="shared" si="4"/>
        <v>8.1243300030876906</v>
      </c>
      <c r="M4" s="110"/>
      <c r="N4" s="106">
        <f t="shared" si="5"/>
        <v>46.27752039526186</v>
      </c>
      <c r="O4" s="110">
        <f t="shared" si="6"/>
        <v>3.2171127305092848</v>
      </c>
      <c r="P4" s="110">
        <f t="shared" si="7"/>
        <v>7.6760907367966551</v>
      </c>
      <c r="Q4" s="110"/>
      <c r="R4" s="110">
        <f t="shared" si="8"/>
        <v>3.0445131553780991</v>
      </c>
      <c r="S4" s="110">
        <f t="shared" si="9"/>
        <v>49.058760197630932</v>
      </c>
      <c r="T4" s="110">
        <f t="shared" si="10"/>
        <v>1.9758471837939404</v>
      </c>
      <c r="U4" s="138"/>
      <c r="V4" s="110">
        <f t="shared" si="0"/>
        <v>0.2446046323155856</v>
      </c>
      <c r="W4" s="138"/>
      <c r="X4" s="138"/>
      <c r="Y4" s="138"/>
      <c r="Z4" s="138"/>
      <c r="AA4" s="39">
        <f t="shared" si="11"/>
        <v>8.7365325107083818E-3</v>
      </c>
      <c r="AB4" s="39">
        <f t="shared" ref="AB4:AB27" si="13">G4^2*D4*(I4)^2/(T4^(4/3)*S4^2)</f>
        <v>1.1410981238476253E-2</v>
      </c>
      <c r="AC4" s="39">
        <f t="shared" si="12"/>
        <v>6.4186769466428924E-3</v>
      </c>
      <c r="AD4" s="138"/>
      <c r="AE4" s="138"/>
      <c r="AF4" s="110">
        <f>D4*I4/S4/9.81/[1]水轮机基本参数!B$3</f>
        <v>7.9832380079892969E-3</v>
      </c>
      <c r="AG4" s="138"/>
      <c r="AH4" s="138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</row>
    <row r="5" spans="1:45" x14ac:dyDescent="0.15">
      <c r="A5" s="136"/>
      <c r="B5" s="113" t="s">
        <v>314</v>
      </c>
      <c r="C5" s="110">
        <v>77.114999999999995</v>
      </c>
      <c r="D5" s="110">
        <f t="shared" si="1"/>
        <v>77.114999999999995</v>
      </c>
      <c r="E5" s="38" t="s">
        <v>2</v>
      </c>
      <c r="F5" s="110">
        <v>1.4E-2</v>
      </c>
      <c r="G5" s="110">
        <v>1.6E-2</v>
      </c>
      <c r="H5" s="110">
        <v>1.2E-2</v>
      </c>
      <c r="I5" s="106">
        <f t="shared" si="2"/>
        <v>148.88</v>
      </c>
      <c r="J5" s="106">
        <f>7.2*3.6+0.5*PI()*(7.2/2)^2</f>
        <v>46.27752039526186</v>
      </c>
      <c r="K5" s="110">
        <f t="shared" si="3"/>
        <v>3.2171127305092848</v>
      </c>
      <c r="L5" s="110">
        <f t="shared" si="4"/>
        <v>7.6760907367966551</v>
      </c>
      <c r="M5" s="110"/>
      <c r="N5" s="106">
        <f t="shared" si="5"/>
        <v>46.27752039526186</v>
      </c>
      <c r="O5" s="110">
        <f t="shared" si="6"/>
        <v>3.2171127305092848</v>
      </c>
      <c r="P5" s="110">
        <f t="shared" si="7"/>
        <v>7.6760907367966551</v>
      </c>
      <c r="Q5" s="110"/>
      <c r="R5" s="110">
        <f t="shared" si="8"/>
        <v>3.2171127305092848</v>
      </c>
      <c r="S5" s="110">
        <f t="shared" si="9"/>
        <v>46.27752039526186</v>
      </c>
      <c r="T5" s="110">
        <f t="shared" si="10"/>
        <v>1.9190226841991638</v>
      </c>
      <c r="U5" s="138"/>
      <c r="V5" s="110">
        <f t="shared" si="0"/>
        <v>1.6663598079877988</v>
      </c>
      <c r="W5" s="138"/>
      <c r="X5" s="138"/>
      <c r="Y5" s="138"/>
      <c r="Z5" s="138"/>
      <c r="AA5" s="39">
        <f t="shared" si="11"/>
        <v>6.559750905826385E-2</v>
      </c>
      <c r="AB5" s="39">
        <f t="shared" si="13"/>
        <v>8.5678379178140529E-2</v>
      </c>
      <c r="AC5" s="39">
        <f t="shared" si="12"/>
        <v>4.8194088287704051E-2</v>
      </c>
      <c r="AD5" s="138"/>
      <c r="AE5" s="138"/>
      <c r="AF5" s="110">
        <f>D5*I5/S5/9.81/[1]水轮机基本参数!B$3</f>
        <v>5.438550704530673E-2</v>
      </c>
      <c r="AG5" s="138"/>
      <c r="AH5" s="138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</row>
    <row r="6" spans="1:45" x14ac:dyDescent="0.15">
      <c r="A6" s="139" t="s">
        <v>339</v>
      </c>
      <c r="B6" s="115" t="s">
        <v>315</v>
      </c>
      <c r="C6" s="111">
        <v>9</v>
      </c>
      <c r="D6" s="111">
        <f>C6</f>
        <v>9</v>
      </c>
      <c r="E6" s="45" t="s">
        <v>2</v>
      </c>
      <c r="F6" s="111">
        <v>1.4E-2</v>
      </c>
      <c r="G6" s="111">
        <v>1.6E-2</v>
      </c>
      <c r="H6" s="111">
        <v>1.2E-2</v>
      </c>
      <c r="I6" s="111">
        <f t="shared" si="2"/>
        <v>148.88</v>
      </c>
      <c r="J6" s="122">
        <f>7.2*3.6+0.5*PI()*(7.2/2)^2</f>
        <v>46.27752039526186</v>
      </c>
      <c r="K6" s="111">
        <f t="shared" si="3"/>
        <v>3.2171127305092848</v>
      </c>
      <c r="L6" s="111">
        <f t="shared" si="4"/>
        <v>7.6760907367966551</v>
      </c>
      <c r="M6" s="111"/>
      <c r="N6" s="106">
        <f t="shared" si="5"/>
        <v>46.27752039526186</v>
      </c>
      <c r="O6" s="111">
        <f t="shared" si="6"/>
        <v>3.2171127305092848</v>
      </c>
      <c r="P6" s="111">
        <f t="shared" si="7"/>
        <v>7.6760907367966551</v>
      </c>
      <c r="Q6" s="111"/>
      <c r="R6" s="111">
        <f t="shared" si="8"/>
        <v>3.2171127305092848</v>
      </c>
      <c r="S6" s="111">
        <f t="shared" si="9"/>
        <v>46.27752039526186</v>
      </c>
      <c r="T6" s="111">
        <f t="shared" si="10"/>
        <v>1.9190226841991638</v>
      </c>
      <c r="U6" s="141">
        <f>SUM(D6:D8)</f>
        <v>1342.8030000000001</v>
      </c>
      <c r="V6" s="111">
        <f t="shared" si="0"/>
        <v>0.19447887274706854</v>
      </c>
      <c r="W6" s="141">
        <f>U6/SUM(V6:V8)</f>
        <v>40.771184205193059</v>
      </c>
      <c r="X6" s="141">
        <f>Z6*4</f>
        <v>7.2049624576213773</v>
      </c>
      <c r="Y6" s="141">
        <f>AVERAGE(I6:I8)/W6</f>
        <v>3.6515986205040627</v>
      </c>
      <c r="Z6" s="141">
        <f>SQRT(W6/PI())/2</f>
        <v>1.8012406144053443</v>
      </c>
      <c r="AA6" s="46">
        <f t="shared" si="11"/>
        <v>7.6558073205520933E-3</v>
      </c>
      <c r="AB6" s="46">
        <f t="shared" si="13"/>
        <v>9.9994218064353851E-3</v>
      </c>
      <c r="AC6" s="46">
        <f t="shared" si="12"/>
        <v>5.624674766119905E-3</v>
      </c>
      <c r="AD6" s="141">
        <f>SUM(AA6:AA8)</f>
        <v>1.6017562770061116</v>
      </c>
      <c r="AE6" s="141">
        <f>AVERAGE(F6:F8)^2*U6*(AVERAGE(I6:I8))^2/(Z6^(4/3)*W6^2)</f>
        <v>1.6012979034701347</v>
      </c>
      <c r="AF6" s="111">
        <f>D6*I6/S6/9.81/[1]水轮机基本参数!B$3</f>
        <v>6.3472678909130605E-3</v>
      </c>
      <c r="AG6" s="141">
        <f>SUM(AF6:AF8)</f>
        <v>1.0749131525673203</v>
      </c>
      <c r="AH6" s="141">
        <f>U6*AVERAGE(I6:I8)/W6/9.81/[1]水轮机基本参数!B$3</f>
        <v>1.0749131525673203</v>
      </c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</row>
    <row r="7" spans="1:45" x14ac:dyDescent="0.15">
      <c r="A7" s="140"/>
      <c r="B7" s="115" t="s">
        <v>338</v>
      </c>
      <c r="C7" s="111">
        <v>12</v>
      </c>
      <c r="D7" s="111">
        <f t="shared" ref="D7:D8" si="14">C7</f>
        <v>12</v>
      </c>
      <c r="E7" s="45" t="s">
        <v>2</v>
      </c>
      <c r="F7" s="111">
        <v>1.4E-2</v>
      </c>
      <c r="G7" s="111">
        <v>1.6E-2</v>
      </c>
      <c r="H7" s="111">
        <v>1.2E-2</v>
      </c>
      <c r="I7" s="111">
        <f t="shared" si="2"/>
        <v>148.88</v>
      </c>
      <c r="J7" s="122">
        <f>7.2*3.6+0.5*PI()*(7.2/2)^2</f>
        <v>46.27752039526186</v>
      </c>
      <c r="K7" s="111">
        <f t="shared" si="3"/>
        <v>3.2171127305092848</v>
      </c>
      <c r="L7" s="111">
        <f t="shared" si="4"/>
        <v>7.6760907367966551</v>
      </c>
      <c r="M7" s="111"/>
      <c r="N7" s="106">
        <f t="shared" si="5"/>
        <v>40.715040790523723</v>
      </c>
      <c r="O7" s="111">
        <f t="shared" si="6"/>
        <v>3.6566339394323109</v>
      </c>
      <c r="P7" s="111">
        <f t="shared" si="7"/>
        <v>7.2</v>
      </c>
      <c r="Q7" s="111"/>
      <c r="R7" s="111">
        <f t="shared" si="8"/>
        <v>3.4368733349707981</v>
      </c>
      <c r="S7" s="111">
        <f t="shared" si="9"/>
        <v>43.496280592892788</v>
      </c>
      <c r="T7" s="111">
        <f t="shared" si="10"/>
        <v>1.8604633915332711</v>
      </c>
      <c r="U7" s="140"/>
      <c r="V7" s="111">
        <f t="shared" si="0"/>
        <v>0.27588565818569732</v>
      </c>
      <c r="W7" s="140"/>
      <c r="X7" s="140"/>
      <c r="Y7" s="140"/>
      <c r="Z7" s="140"/>
      <c r="AA7" s="46">
        <f t="shared" si="11"/>
        <v>1.2042341974800934E-2</v>
      </c>
      <c r="AB7" s="46">
        <f t="shared" si="13"/>
        <v>1.5728773191576728E-2</v>
      </c>
      <c r="AC7" s="46">
        <f t="shared" si="12"/>
        <v>8.8474349202619096E-3</v>
      </c>
      <c r="AD7" s="140"/>
      <c r="AE7" s="140"/>
      <c r="AF7" s="111">
        <f>D7*I7/S7/9.81/[1]水轮机基本参数!B$3</f>
        <v>9.0041666481835789E-3</v>
      </c>
      <c r="AG7" s="140"/>
      <c r="AH7" s="140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</row>
    <row r="8" spans="1:45" x14ac:dyDescent="0.15">
      <c r="A8" s="140"/>
      <c r="B8" s="115" t="s">
        <v>316</v>
      </c>
      <c r="C8" s="123">
        <f>20+1333.803-32</f>
        <v>1321.8030000000001</v>
      </c>
      <c r="D8" s="111">
        <f t="shared" si="14"/>
        <v>1321.8030000000001</v>
      </c>
      <c r="E8" s="45" t="s">
        <v>122</v>
      </c>
      <c r="F8" s="111">
        <v>1.4E-2</v>
      </c>
      <c r="G8" s="111">
        <v>1.6E-2</v>
      </c>
      <c r="H8" s="111">
        <v>1.2E-2</v>
      </c>
      <c r="I8" s="111">
        <f t="shared" si="2"/>
        <v>148.88</v>
      </c>
      <c r="J8" s="111">
        <f>0.25*PI()*(7.2)^2</f>
        <v>40.715040790523723</v>
      </c>
      <c r="K8" s="111">
        <f t="shared" si="3"/>
        <v>3.6566339394323109</v>
      </c>
      <c r="L8" s="111">
        <f t="shared" si="4"/>
        <v>7.2</v>
      </c>
      <c r="M8" s="111"/>
      <c r="N8" s="106">
        <f t="shared" si="5"/>
        <v>40.715040790523723</v>
      </c>
      <c r="O8" s="111">
        <f t="shared" si="6"/>
        <v>3.6566339394323109</v>
      </c>
      <c r="P8" s="111">
        <f t="shared" si="7"/>
        <v>7.2</v>
      </c>
      <c r="Q8" s="111"/>
      <c r="R8" s="111">
        <f t="shared" si="8"/>
        <v>3.6566339394323109</v>
      </c>
      <c r="S8" s="111">
        <f t="shared" si="9"/>
        <v>40.715040790523723</v>
      </c>
      <c r="T8" s="111">
        <f t="shared" si="10"/>
        <v>1.8</v>
      </c>
      <c r="U8" s="140"/>
      <c r="V8" s="111">
        <f t="shared" si="0"/>
        <v>32.46473475982971</v>
      </c>
      <c r="W8" s="140"/>
      <c r="X8" s="140"/>
      <c r="Y8" s="140"/>
      <c r="Z8" s="140"/>
      <c r="AA8" s="46">
        <f t="shared" si="11"/>
        <v>1.5820581277107586</v>
      </c>
      <c r="AB8" s="46">
        <f t="shared" si="13"/>
        <v>2.0663616361936437</v>
      </c>
      <c r="AC8" s="46">
        <f t="shared" si="12"/>
        <v>1.1623284203589244</v>
      </c>
      <c r="AD8" s="140"/>
      <c r="AE8" s="140"/>
      <c r="AF8" s="111">
        <f>D8*I8/S8/9.81/[1]水轮机基本参数!B$3</f>
        <v>1.0595617180282237</v>
      </c>
      <c r="AG8" s="140"/>
      <c r="AH8" s="140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</row>
    <row r="9" spans="1:45" x14ac:dyDescent="0.15">
      <c r="A9" s="135" t="s">
        <v>352</v>
      </c>
      <c r="B9" s="113" t="s">
        <v>340</v>
      </c>
      <c r="C9" s="124">
        <v>20</v>
      </c>
      <c r="D9" s="110">
        <f>C9</f>
        <v>20</v>
      </c>
      <c r="E9" s="38" t="s">
        <v>2</v>
      </c>
      <c r="F9" s="110">
        <v>1.4E-2</v>
      </c>
      <c r="G9" s="110">
        <v>1.6E-2</v>
      </c>
      <c r="H9" s="110">
        <v>1.2E-2</v>
      </c>
      <c r="I9" s="106">
        <f t="shared" si="2"/>
        <v>148.88</v>
      </c>
      <c r="J9" s="106">
        <f>0.25*PI()*(7.2)^2</f>
        <v>40.715040790523723</v>
      </c>
      <c r="K9" s="110">
        <f t="shared" si="3"/>
        <v>3.6566339394323109</v>
      </c>
      <c r="L9" s="110">
        <f t="shared" si="4"/>
        <v>7.2</v>
      </c>
      <c r="M9" s="110"/>
      <c r="N9" s="106">
        <f t="shared" si="5"/>
        <v>40.715040790523723</v>
      </c>
      <c r="O9" s="110">
        <f t="shared" si="6"/>
        <v>3.6566339394323109</v>
      </c>
      <c r="P9" s="110">
        <f t="shared" si="7"/>
        <v>7.2</v>
      </c>
      <c r="Q9" s="110"/>
      <c r="R9" s="110">
        <f t="shared" si="8"/>
        <v>3.6566339394323109</v>
      </c>
      <c r="S9" s="110">
        <f t="shared" si="9"/>
        <v>40.715040790523723</v>
      </c>
      <c r="T9" s="110">
        <f t="shared" si="10"/>
        <v>1.8</v>
      </c>
      <c r="U9" s="137">
        <f>SUM(D9:D10)</f>
        <v>32</v>
      </c>
      <c r="V9" s="110">
        <f t="shared" si="0"/>
        <v>0.49121896016017075</v>
      </c>
      <c r="W9" s="138">
        <f>U9/SUM(V9:V10)</f>
        <v>39.43165211325276</v>
      </c>
      <c r="X9" s="137">
        <f>Z9*4</f>
        <v>7.0856149193159847</v>
      </c>
      <c r="Y9" s="137">
        <f>AVERAGE(I9:I10)/W9</f>
        <v>3.7756470251968532</v>
      </c>
      <c r="Z9" s="137">
        <f>SQRT(W9/PI())/2</f>
        <v>1.7714037298289962</v>
      </c>
      <c r="AA9" s="39">
        <f t="shared" si="11"/>
        <v>2.3937880723689665E-2</v>
      </c>
      <c r="AB9" s="39">
        <f t="shared" si="13"/>
        <v>3.1265803394206898E-2</v>
      </c>
      <c r="AC9" s="39">
        <f t="shared" si="12"/>
        <v>1.7587014409241382E-2</v>
      </c>
      <c r="AD9" s="137">
        <f>SUM(AA9:AA10)</f>
        <v>4.186984723978554E-2</v>
      </c>
      <c r="AE9" s="137">
        <f>AVERAGE(F9:F10)^2*U9*(AVERAGE(I9:I10))^2/(Z9^(4/3)*W9^2)</f>
        <v>4.1715624515642674E-2</v>
      </c>
      <c r="AF9" s="110">
        <f>D9*I9/S9/9.81/[1]水轮机基本参数!B$3</f>
        <v>1.6032067078501466E-2</v>
      </c>
      <c r="AG9" s="142">
        <f>SUM(AF9:AF10)</f>
        <v>2.6486184781011106E-2</v>
      </c>
      <c r="AH9" s="137">
        <f>U9*AVERAGE(I9:I10)/W9/9.81/[1]水轮机基本参数!B$3</f>
        <v>2.6486184781011102E-2</v>
      </c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</row>
    <row r="10" spans="1:45" x14ac:dyDescent="0.15">
      <c r="A10" s="138"/>
      <c r="B10" s="113" t="s">
        <v>317</v>
      </c>
      <c r="C10" s="124">
        <v>12</v>
      </c>
      <c r="D10" s="110">
        <f>C10</f>
        <v>12</v>
      </c>
      <c r="E10" s="38" t="s">
        <v>318</v>
      </c>
      <c r="F10" s="110">
        <v>1.4E-2</v>
      </c>
      <c r="G10" s="110">
        <v>1.6E-2</v>
      </c>
      <c r="H10" s="110">
        <v>1.2E-2</v>
      </c>
      <c r="I10" s="106">
        <f t="shared" si="2"/>
        <v>148.88</v>
      </c>
      <c r="J10" s="106">
        <f>0.25*PI()*(7.2)^2</f>
        <v>40.715040790523723</v>
      </c>
      <c r="K10" s="110">
        <f t="shared" si="3"/>
        <v>3.6566339394323109</v>
      </c>
      <c r="L10" s="110">
        <f t="shared" si="4"/>
        <v>7.2</v>
      </c>
      <c r="M10" s="110"/>
      <c r="N10" s="106">
        <f t="shared" si="5"/>
        <v>34.21194399759284</v>
      </c>
      <c r="O10" s="110">
        <f t="shared" si="6"/>
        <v>4.3516965890764707</v>
      </c>
      <c r="P10" s="110">
        <f t="shared" si="7"/>
        <v>6.5999999999999988</v>
      </c>
      <c r="Q10" s="110"/>
      <c r="R10" s="110">
        <f t="shared" si="8"/>
        <v>4.0041652642543912</v>
      </c>
      <c r="S10" s="110">
        <f t="shared" si="9"/>
        <v>37.463492394058278</v>
      </c>
      <c r="T10" s="110">
        <f t="shared" si="10"/>
        <v>1.7266296649832007</v>
      </c>
      <c r="U10" s="138"/>
      <c r="V10" s="110">
        <f t="shared" si="0"/>
        <v>0.32031183515350009</v>
      </c>
      <c r="W10" s="138"/>
      <c r="X10" s="138"/>
      <c r="Y10" s="138"/>
      <c r="Z10" s="138"/>
      <c r="AA10" s="39">
        <f t="shared" si="11"/>
        <v>1.7931966516095871E-2</v>
      </c>
      <c r="AB10" s="39">
        <f t="shared" si="13"/>
        <v>2.3421344021023176E-2</v>
      </c>
      <c r="AC10" s="39">
        <f t="shared" si="12"/>
        <v>1.3174506011825536E-2</v>
      </c>
      <c r="AD10" s="138"/>
      <c r="AE10" s="138"/>
      <c r="AF10" s="110">
        <f>D10*I10/S10/9.81/[1]水轮机基本参数!B$3</f>
        <v>1.0454117702509638E-2</v>
      </c>
      <c r="AG10" s="138"/>
      <c r="AH10" s="138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</row>
    <row r="11" spans="1:45" x14ac:dyDescent="0.15">
      <c r="A11" s="115" t="s">
        <v>353</v>
      </c>
      <c r="B11" s="115" t="s">
        <v>340</v>
      </c>
      <c r="C11" s="122">
        <v>390.15699999999998</v>
      </c>
      <c r="D11" s="122">
        <f t="shared" ref="D11:D28" si="15">C11</f>
        <v>390.15699999999998</v>
      </c>
      <c r="E11" s="45" t="s">
        <v>322</v>
      </c>
      <c r="F11" s="111">
        <v>1.2E-2</v>
      </c>
      <c r="G11" s="111">
        <v>1.2999999999999999E-2</v>
      </c>
      <c r="H11" s="111">
        <v>1.0999999999999999E-2</v>
      </c>
      <c r="I11" s="111">
        <f t="shared" si="2"/>
        <v>148.88</v>
      </c>
      <c r="J11" s="111">
        <f>0.25*PI()*(6.6)^2</f>
        <v>34.21194399759284</v>
      </c>
      <c r="K11" s="111">
        <f t="shared" si="3"/>
        <v>4.3516965890764707</v>
      </c>
      <c r="L11" s="111">
        <f t="shared" si="4"/>
        <v>6.5999999999999988</v>
      </c>
      <c r="M11" s="111"/>
      <c r="N11" s="106">
        <f t="shared" si="5"/>
        <v>34.21194399759284</v>
      </c>
      <c r="O11" s="111">
        <f t="shared" si="6"/>
        <v>4.3516965890764707</v>
      </c>
      <c r="P11" s="111">
        <f t="shared" si="7"/>
        <v>6.5999999999999988</v>
      </c>
      <c r="Q11" s="111"/>
      <c r="R11" s="111">
        <f t="shared" si="8"/>
        <v>4.3516965890764707</v>
      </c>
      <c r="S11" s="111">
        <f t="shared" si="9"/>
        <v>34.21194399759284</v>
      </c>
      <c r="T11" s="111">
        <f t="shared" si="10"/>
        <v>1.6499999999999997</v>
      </c>
      <c r="U11" s="111">
        <f>SUM(D11:D11)</f>
        <v>390.15699999999998</v>
      </c>
      <c r="V11" s="111">
        <f t="shared" si="0"/>
        <v>11.404116644977892</v>
      </c>
      <c r="W11" s="111">
        <f>U11/SUM(V11:V11)</f>
        <v>34.21194399759284</v>
      </c>
      <c r="X11" s="111">
        <f>Z11*4</f>
        <v>6.5999999999999988</v>
      </c>
      <c r="Y11" s="111">
        <f>AVERAGE(I11:I11)/W11</f>
        <v>4.3516965890764707</v>
      </c>
      <c r="Z11" s="111">
        <f>SQRT(W11/PI())/2</f>
        <v>1.6499999999999997</v>
      </c>
      <c r="AA11" s="46">
        <f t="shared" si="11"/>
        <v>0.54568311838599826</v>
      </c>
      <c r="AB11" s="46">
        <f t="shared" si="13"/>
        <v>0.64041977088356739</v>
      </c>
      <c r="AC11" s="46">
        <f t="shared" si="12"/>
        <v>0.45852539808823467</v>
      </c>
      <c r="AD11" s="111">
        <f>SUM(AA11:AA11)</f>
        <v>0.54568311838599826</v>
      </c>
      <c r="AE11" s="111">
        <f>AVERAGE(F11:F11)^2*U11*(AVERAGE(I11:I11))^2/(Z11^(4/3)*W11^2)</f>
        <v>0.54568311838599826</v>
      </c>
      <c r="AF11" s="111">
        <f>D11*I11/S11/9.81/[1]水轮机基本参数!B$3</f>
        <v>0.37219972731452622</v>
      </c>
      <c r="AG11" s="111">
        <f>SUM(AF11:AF11)</f>
        <v>0.37219972731452622</v>
      </c>
      <c r="AH11" s="111">
        <f>U11*AVERAGE(I11:I11)/W11/9.81/[1]水轮机基本参数!B$3</f>
        <v>0.37219972731452622</v>
      </c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</row>
    <row r="12" spans="1:45" x14ac:dyDescent="0.15">
      <c r="A12" s="143" t="s">
        <v>362</v>
      </c>
      <c r="B12" s="113" t="s">
        <v>319</v>
      </c>
      <c r="C12" s="110">
        <v>12</v>
      </c>
      <c r="D12" s="110">
        <f t="shared" si="15"/>
        <v>12</v>
      </c>
      <c r="E12" s="38" t="s">
        <v>124</v>
      </c>
      <c r="F12" s="110">
        <v>1.2E-2</v>
      </c>
      <c r="G12" s="110">
        <v>1.2999999999999999E-2</v>
      </c>
      <c r="H12" s="110">
        <v>1.0999999999999999E-2</v>
      </c>
      <c r="I12" s="106">
        <f t="shared" si="2"/>
        <v>148.88</v>
      </c>
      <c r="J12" s="110">
        <f>0.25*PI()*(6.6)^2</f>
        <v>34.21194399759284</v>
      </c>
      <c r="K12" s="110">
        <f t="shared" si="3"/>
        <v>4.3516965890764707</v>
      </c>
      <c r="L12" s="110">
        <f t="shared" si="4"/>
        <v>6.5999999999999988</v>
      </c>
      <c r="M12" s="110"/>
      <c r="N12" s="106">
        <f t="shared" si="5"/>
        <v>23.758294442772812</v>
      </c>
      <c r="O12" s="110">
        <f t="shared" si="6"/>
        <v>6.2664430882701163</v>
      </c>
      <c r="P12" s="110">
        <f t="shared" si="7"/>
        <v>5.5</v>
      </c>
      <c r="Q12" s="110"/>
      <c r="R12" s="110">
        <f t="shared" si="8"/>
        <v>5.3090698386732935</v>
      </c>
      <c r="S12" s="110">
        <f t="shared" si="9"/>
        <v>28.985119220182824</v>
      </c>
      <c r="T12" s="110">
        <f t="shared" si="10"/>
        <v>1.5187371398632483</v>
      </c>
      <c r="U12" s="137">
        <f>SUM(D12:D13)</f>
        <v>890.17100000000005</v>
      </c>
      <c r="V12" s="110">
        <f t="shared" si="0"/>
        <v>0.41400554225232233</v>
      </c>
      <c r="W12" s="137">
        <f>U12/SUM(V12:V13)</f>
        <v>23.816189692986839</v>
      </c>
      <c r="X12" s="137">
        <f>Z12*4</f>
        <v>5.5066972426332681</v>
      </c>
      <c r="Y12" s="137">
        <f>AVERAGE(I12:I13)/W12</f>
        <v>6.2512098668680292</v>
      </c>
      <c r="Z12" s="137">
        <f>SQRT(W12/PI())/2</f>
        <v>1.376674310658317</v>
      </c>
      <c r="AA12" s="39">
        <f t="shared" si="11"/>
        <v>2.611496561362877E-2</v>
      </c>
      <c r="AB12" s="39">
        <f t="shared" si="13"/>
        <v>3.0648813810439317E-2</v>
      </c>
      <c r="AC12" s="39">
        <f t="shared" si="12"/>
        <v>2.1943825272563056E-2</v>
      </c>
      <c r="AD12" s="137">
        <f>SUM(AA12:AA13)</f>
        <v>3.2738469719603076</v>
      </c>
      <c r="AE12" s="137">
        <f>AVERAGE(F12:F13)^2*U12*(AVERAGE(I12:I13))^2/(Z12^(4/3)*W12^2)</f>
        <v>3.2708137496010909</v>
      </c>
      <c r="AF12" s="110">
        <f>D12*I12/S12/9.81/[1]水轮机基本参数!B$3</f>
        <v>1.3512028570917484E-2</v>
      </c>
      <c r="AG12" s="137">
        <f>SUM(AF12:AF13)</f>
        <v>1.2198756455229536</v>
      </c>
      <c r="AH12" s="137">
        <f>U12*AVERAGE(I12:I13)/W12/9.81/[1]水轮机基本参数!B$3</f>
        <v>1.2198756455229536</v>
      </c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</row>
    <row r="13" spans="1:45" x14ac:dyDescent="0.15">
      <c r="A13" s="138"/>
      <c r="B13" s="113" t="s">
        <v>320</v>
      </c>
      <c r="C13" s="110">
        <f>890.171-12</f>
        <v>878.17100000000005</v>
      </c>
      <c r="D13" s="110">
        <f t="shared" si="15"/>
        <v>878.17100000000005</v>
      </c>
      <c r="E13" s="38" t="s">
        <v>321</v>
      </c>
      <c r="F13" s="110">
        <v>1.2E-2</v>
      </c>
      <c r="G13" s="110">
        <v>1.2999999999999999E-2</v>
      </c>
      <c r="H13" s="110">
        <v>1.0999999999999999E-2</v>
      </c>
      <c r="I13" s="106">
        <f t="shared" si="2"/>
        <v>148.88</v>
      </c>
      <c r="J13" s="110">
        <f>0.25*PI()*(5.5)^2</f>
        <v>23.758294442772812</v>
      </c>
      <c r="K13" s="110">
        <f t="shared" si="3"/>
        <v>6.2664430882701163</v>
      </c>
      <c r="L13" s="110">
        <f t="shared" si="4"/>
        <v>5.5</v>
      </c>
      <c r="M13" s="110"/>
      <c r="N13" s="106">
        <f>0.25*PI()*(5.5)^2</f>
        <v>23.758294442772812</v>
      </c>
      <c r="O13" s="110">
        <f t="shared" si="6"/>
        <v>6.2664430882701163</v>
      </c>
      <c r="P13" s="110">
        <f t="shared" si="7"/>
        <v>5.5</v>
      </c>
      <c r="Q13" s="110"/>
      <c r="R13" s="110">
        <f t="shared" si="8"/>
        <v>6.2664430882701163</v>
      </c>
      <c r="S13" s="110">
        <f t="shared" si="9"/>
        <v>23.758294442772812</v>
      </c>
      <c r="T13" s="110">
        <f t="shared" si="10"/>
        <v>1.375</v>
      </c>
      <c r="U13" s="138"/>
      <c r="V13" s="110">
        <f t="shared" si="0"/>
        <v>36.962712206268513</v>
      </c>
      <c r="W13" s="138"/>
      <c r="X13" s="138"/>
      <c r="Y13" s="138"/>
      <c r="Z13" s="138"/>
      <c r="AA13" s="39">
        <f t="shared" si="11"/>
        <v>3.2477320063466788</v>
      </c>
      <c r="AB13" s="39">
        <f t="shared" si="13"/>
        <v>3.811574368559643</v>
      </c>
      <c r="AC13" s="39">
        <f t="shared" si="12"/>
        <v>2.7289970331107503</v>
      </c>
      <c r="AD13" s="138"/>
      <c r="AE13" s="138"/>
      <c r="AF13" s="110">
        <f>D13*I13/S13/9.81/[1]水轮机基本参数!B$3</f>
        <v>1.2063636169520362</v>
      </c>
      <c r="AG13" s="138"/>
      <c r="AH13" s="138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</row>
    <row r="14" spans="1:45" x14ac:dyDescent="0.15">
      <c r="A14" s="144" t="s">
        <v>360</v>
      </c>
      <c r="B14" s="96" t="s">
        <v>323</v>
      </c>
      <c r="C14" s="111">
        <v>48.521000000000001</v>
      </c>
      <c r="D14" s="122">
        <f t="shared" si="15"/>
        <v>48.521000000000001</v>
      </c>
      <c r="E14" s="45" t="s">
        <v>322</v>
      </c>
      <c r="F14" s="111">
        <v>1.2E-2</v>
      </c>
      <c r="G14" s="111">
        <v>1.2999999999999999E-2</v>
      </c>
      <c r="H14" s="111">
        <v>1.0999999999999999E-2</v>
      </c>
      <c r="I14" s="111">
        <f>74.44*1</f>
        <v>74.44</v>
      </c>
      <c r="J14" s="111">
        <f>0.25*PI()*(3.4)^2</f>
        <v>9.0792027688745005</v>
      </c>
      <c r="K14" s="111">
        <f t="shared" si="3"/>
        <v>8.198957760388021</v>
      </c>
      <c r="L14" s="111">
        <f t="shared" si="4"/>
        <v>3.4</v>
      </c>
      <c r="M14" s="111"/>
      <c r="N14" s="106">
        <f t="shared" si="5"/>
        <v>9.0792027688745005</v>
      </c>
      <c r="O14" s="111">
        <f t="shared" si="6"/>
        <v>8.198957760388021</v>
      </c>
      <c r="P14" s="111">
        <f t="shared" si="7"/>
        <v>3.4</v>
      </c>
      <c r="Q14" s="111"/>
      <c r="R14" s="111">
        <f t="shared" si="8"/>
        <v>8.198957760388021</v>
      </c>
      <c r="S14" s="111">
        <f t="shared" si="9"/>
        <v>9.0792027688745005</v>
      </c>
      <c r="T14" s="111">
        <f t="shared" si="10"/>
        <v>0.85</v>
      </c>
      <c r="U14" s="141">
        <f>SUM(D14:D15)</f>
        <v>57.521000000000001</v>
      </c>
      <c r="V14" s="111">
        <f t="shared" si="0"/>
        <v>5.3441916911846752</v>
      </c>
      <c r="W14" s="141">
        <f>U14/SUM(V14:V15)</f>
        <v>8.6271753162362259</v>
      </c>
      <c r="X14" s="141">
        <f>Z14*4</f>
        <v>3.3142813356737002</v>
      </c>
      <c r="Y14" s="141">
        <f>AVERAGE(I14:I15)/W14</f>
        <v>8.6285484264942358</v>
      </c>
      <c r="Z14" s="141">
        <f>SQRT(W14/PI())/2</f>
        <v>0.82857033391842505</v>
      </c>
      <c r="AA14" s="46">
        <f t="shared" si="11"/>
        <v>0.58333445908797532</v>
      </c>
      <c r="AB14" s="46">
        <f t="shared" si="13"/>
        <v>0.68460780267963761</v>
      </c>
      <c r="AC14" s="46">
        <f t="shared" si="12"/>
        <v>0.49016298298364586</v>
      </c>
      <c r="AD14" s="141">
        <f>SUM(AA14:AA15)</f>
        <v>0.81707654253308415</v>
      </c>
      <c r="AE14" s="141">
        <f>AVERAGE(F14:F15)^2*U14*(AVERAGE(I14:I15))^2/(Z14^(4/3)*W14^2)</f>
        <v>0.79242571746397827</v>
      </c>
      <c r="AF14" s="111">
        <f>D14*I14/S14/9.81/[1]水轮机基本参数!B$3</f>
        <v>8.7210029154316346E-2</v>
      </c>
      <c r="AG14" s="141">
        <f>SUM(AF14:AF15)</f>
        <v>0.10880333520554511</v>
      </c>
      <c r="AH14" s="141">
        <f>U14*AVERAGE(I14:I15)/W14/9.81/[1]水轮机基本参数!B$3</f>
        <v>0.10880333520554512</v>
      </c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</row>
    <row r="15" spans="1:45" x14ac:dyDescent="0.15">
      <c r="A15" s="140"/>
      <c r="B15" s="115" t="s">
        <v>324</v>
      </c>
      <c r="C15" s="111">
        <v>9</v>
      </c>
      <c r="D15" s="122">
        <f t="shared" si="15"/>
        <v>9</v>
      </c>
      <c r="E15" s="45" t="s">
        <v>325</v>
      </c>
      <c r="F15" s="111">
        <v>1.2E-2</v>
      </c>
      <c r="G15" s="111">
        <v>1.2999999999999999E-2</v>
      </c>
      <c r="H15" s="111">
        <v>1.0999999999999999E-2</v>
      </c>
      <c r="I15" s="111">
        <f t="shared" ref="I15:I27" si="16">74.44*1</f>
        <v>74.44</v>
      </c>
      <c r="J15" s="111">
        <f>0.25*PI()*(3.4)^2</f>
        <v>9.0792027688745005</v>
      </c>
      <c r="K15" s="111">
        <f t="shared" si="3"/>
        <v>8.198957760388021</v>
      </c>
      <c r="L15" s="111">
        <f t="shared" si="4"/>
        <v>3.4</v>
      </c>
      <c r="M15" s="111"/>
      <c r="N15" s="106">
        <f t="shared" si="5"/>
        <v>4.5238934211693023</v>
      </c>
      <c r="O15" s="111">
        <f t="shared" si="6"/>
        <v>16.454852727445399</v>
      </c>
      <c r="P15" s="111">
        <f t="shared" si="7"/>
        <v>2.4</v>
      </c>
      <c r="Q15" s="111"/>
      <c r="R15" s="111">
        <f t="shared" si="8"/>
        <v>12.326905243916709</v>
      </c>
      <c r="S15" s="111">
        <f t="shared" si="9"/>
        <v>6.8015480950219018</v>
      </c>
      <c r="T15" s="111">
        <f t="shared" si="10"/>
        <v>0.73569694847810807</v>
      </c>
      <c r="U15" s="140"/>
      <c r="V15" s="111">
        <f>D15/S15</f>
        <v>1.3232281642744186</v>
      </c>
      <c r="W15" s="140"/>
      <c r="X15" s="140"/>
      <c r="Y15" s="140"/>
      <c r="Z15" s="140"/>
      <c r="AA15" s="46">
        <f t="shared" si="11"/>
        <v>0.23374208344510883</v>
      </c>
      <c r="AB15" s="46">
        <f t="shared" si="13"/>
        <v>0.27432230626544019</v>
      </c>
      <c r="AC15" s="46">
        <f t="shared" si="12"/>
        <v>0.1964082784504039</v>
      </c>
      <c r="AD15" s="140"/>
      <c r="AE15" s="140"/>
      <c r="AF15" s="111">
        <f>D15*I15/S15/9.81/[1]水轮机基本参数!B$3</f>
        <v>2.1593306051228767E-2</v>
      </c>
      <c r="AG15" s="140"/>
      <c r="AH15" s="140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</row>
    <row r="16" spans="1:45" x14ac:dyDescent="0.15">
      <c r="A16" s="113" t="s">
        <v>326</v>
      </c>
      <c r="B16" s="113" t="s">
        <v>327</v>
      </c>
      <c r="C16" s="110">
        <v>17.382000000000001</v>
      </c>
      <c r="D16" s="110">
        <f t="shared" si="15"/>
        <v>17.382000000000001</v>
      </c>
      <c r="E16" s="38" t="s">
        <v>325</v>
      </c>
      <c r="F16" s="110">
        <v>1.2E-2</v>
      </c>
      <c r="G16" s="110">
        <v>1.2999999999999999E-2</v>
      </c>
      <c r="H16" s="110">
        <v>1.0999999999999999E-2</v>
      </c>
      <c r="I16" s="106">
        <f t="shared" si="16"/>
        <v>74.44</v>
      </c>
      <c r="J16" s="110">
        <f>0.25*PI()*(2.4)^2</f>
        <v>4.5238934211693023</v>
      </c>
      <c r="K16" s="110">
        <f t="shared" si="3"/>
        <v>16.454852727445399</v>
      </c>
      <c r="L16" s="110">
        <f t="shared" si="4"/>
        <v>2.4</v>
      </c>
      <c r="M16" s="110"/>
      <c r="N16" s="106">
        <f t="shared" si="5"/>
        <v>4.5238934211693023</v>
      </c>
      <c r="O16" s="110">
        <f t="shared" si="6"/>
        <v>16.454852727445399</v>
      </c>
      <c r="P16" s="110">
        <f t="shared" si="7"/>
        <v>2.4</v>
      </c>
      <c r="Q16" s="110"/>
      <c r="R16" s="110">
        <f t="shared" si="8"/>
        <v>16.454852727445399</v>
      </c>
      <c r="S16" s="110">
        <f t="shared" si="9"/>
        <v>4.5238934211693023</v>
      </c>
      <c r="T16" s="110">
        <f t="shared" si="10"/>
        <v>0.6</v>
      </c>
      <c r="U16" s="110">
        <f>SUM(D16:D16)</f>
        <v>17.382000000000001</v>
      </c>
      <c r="V16" s="110">
        <f>D16/S16</f>
        <v>3.8422655844768401</v>
      </c>
      <c r="W16" s="110">
        <f>U16/SUM(V16:V16)</f>
        <v>4.5238934211693023</v>
      </c>
      <c r="X16" s="110">
        <f t="shared" ref="X16:X21" si="17">Z16*4</f>
        <v>2.4</v>
      </c>
      <c r="Y16" s="110">
        <f>AVERAGE(I16:I16)/W16</f>
        <v>16.454852727445399</v>
      </c>
      <c r="Z16" s="110">
        <f t="shared" ref="Z16:Z21" si="18">SQRT(W16/PI())/2</f>
        <v>0.6</v>
      </c>
      <c r="AA16" s="39">
        <f t="shared" si="11"/>
        <v>1.3392096492859968</v>
      </c>
      <c r="AB16" s="39">
        <f t="shared" si="13"/>
        <v>1.5717113245092602</v>
      </c>
      <c r="AC16" s="39">
        <f t="shared" si="12"/>
        <v>1.1253081080805947</v>
      </c>
      <c r="AD16" s="110">
        <f>SUM(AA16:AA16)</f>
        <v>1.3392096492859968</v>
      </c>
      <c r="AE16" s="110">
        <f>AVERAGE(F16:F16)^2*U16*(AVERAGE(I16:I16))^2/(Z16^(4/3)*W16^2)</f>
        <v>1.3392096492859968</v>
      </c>
      <c r="AF16" s="110">
        <f>D16*I16/S16/9.81/[1]水轮机基本参数!B$3</f>
        <v>6.270061274066531E-2</v>
      </c>
      <c r="AG16" s="110">
        <f>SUM(AF16:AF16)</f>
        <v>6.270061274066531E-2</v>
      </c>
      <c r="AH16" s="110">
        <f>U16*AVERAGE(I16:I16)/W16/9.81/[1]水轮机基本参数!B$3</f>
        <v>6.270061274066531E-2</v>
      </c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</row>
    <row r="17" spans="1:45" x14ac:dyDescent="0.15">
      <c r="A17" s="115" t="s">
        <v>328</v>
      </c>
      <c r="B17" s="48" t="s">
        <v>329</v>
      </c>
      <c r="C17" s="111">
        <v>6.5309999999999997</v>
      </c>
      <c r="D17" s="122">
        <f t="shared" si="15"/>
        <v>6.5309999999999997</v>
      </c>
      <c r="E17" s="45" t="s">
        <v>325</v>
      </c>
      <c r="F17" s="111">
        <v>1.2E-2</v>
      </c>
      <c r="G17" s="111">
        <v>1.2999999999999999E-2</v>
      </c>
      <c r="H17" s="111">
        <v>1.0999999999999999E-2</v>
      </c>
      <c r="I17" s="111">
        <f t="shared" si="16"/>
        <v>74.44</v>
      </c>
      <c r="J17" s="111">
        <f>0.25*PI()*(2.4)^2</f>
        <v>4.5238934211693023</v>
      </c>
      <c r="K17" s="111">
        <f t="shared" si="3"/>
        <v>16.454852727445399</v>
      </c>
      <c r="L17" s="111">
        <f t="shared" si="4"/>
        <v>2.4</v>
      </c>
      <c r="M17" s="111"/>
      <c r="N17" s="106">
        <f t="shared" si="5"/>
        <v>4.5238934211693023</v>
      </c>
      <c r="O17" s="111">
        <f t="shared" si="6"/>
        <v>16.454852727445399</v>
      </c>
      <c r="P17" s="111">
        <f t="shared" si="7"/>
        <v>2.4</v>
      </c>
      <c r="Q17" s="111"/>
      <c r="R17" s="111">
        <f t="shared" si="8"/>
        <v>16.454852727445399</v>
      </c>
      <c r="S17" s="111">
        <f t="shared" si="9"/>
        <v>4.5238934211693023</v>
      </c>
      <c r="T17" s="111">
        <f t="shared" si="10"/>
        <v>0.6</v>
      </c>
      <c r="U17" s="111">
        <f>SUM(D17:D17)</f>
        <v>6.5309999999999997</v>
      </c>
      <c r="V17" s="111">
        <f>D17/S17</f>
        <v>1.4436679629627338</v>
      </c>
      <c r="W17" s="111">
        <f>U17/SUM(V17:V17)</f>
        <v>4.5238934211693023</v>
      </c>
      <c r="X17" s="111">
        <f t="shared" si="17"/>
        <v>2.4</v>
      </c>
      <c r="Y17" s="111">
        <f>AVERAGE(I17:I17)/W17</f>
        <v>16.454852727445399</v>
      </c>
      <c r="Z17" s="111">
        <f t="shared" si="18"/>
        <v>0.6</v>
      </c>
      <c r="AA17" s="46">
        <f t="shared" si="11"/>
        <v>0.50318595210486972</v>
      </c>
      <c r="AB17" s="46">
        <f t="shared" si="13"/>
        <v>0.59054462434529842</v>
      </c>
      <c r="AC17" s="46">
        <f t="shared" si="12"/>
        <v>0.42281597364367518</v>
      </c>
      <c r="AD17" s="111">
        <f>SUM(AA17:AA17)</f>
        <v>0.50318595210486972</v>
      </c>
      <c r="AE17" s="111">
        <f>AVERAGE(F17:F17)^2*U17*(AVERAGE(I17:I17))^2/(Z17^(4/3)*W17^2)</f>
        <v>0.50318595210486972</v>
      </c>
      <c r="AF17" s="111">
        <f>D17*I17/S17/9.81/[1]水轮机基本参数!B$3</f>
        <v>2.3558721770180945E-2</v>
      </c>
      <c r="AG17" s="111">
        <f>SUM(AF17:AF17)</f>
        <v>2.3558721770180945E-2</v>
      </c>
      <c r="AH17" s="111">
        <f>U17*AVERAGE(I17:I17)/W17/9.81/[1]水轮机基本参数!B$3</f>
        <v>2.3558721770180945E-2</v>
      </c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</row>
    <row r="18" spans="1:45" x14ac:dyDescent="0.15">
      <c r="A18" s="113" t="s">
        <v>330</v>
      </c>
      <c r="B18" s="113" t="s">
        <v>331</v>
      </c>
      <c r="C18" s="110">
        <f>3.2*5.1+2.8</f>
        <v>19.12</v>
      </c>
      <c r="D18" s="110">
        <f t="shared" si="15"/>
        <v>19.12</v>
      </c>
      <c r="E18" s="38" t="s">
        <v>332</v>
      </c>
      <c r="F18" s="51">
        <v>1E-4</v>
      </c>
      <c r="G18" s="51">
        <v>1E-4</v>
      </c>
      <c r="H18" s="51">
        <v>1E-4</v>
      </c>
      <c r="I18" s="106">
        <f t="shared" si="16"/>
        <v>74.44</v>
      </c>
      <c r="J18" s="110">
        <f>0.25*PI()*(2.4)^2</f>
        <v>4.5238934211693023</v>
      </c>
      <c r="K18" s="110">
        <f t="shared" si="3"/>
        <v>16.454852727445399</v>
      </c>
      <c r="L18" s="110">
        <f t="shared" si="4"/>
        <v>2.4</v>
      </c>
      <c r="M18" s="110"/>
      <c r="N18" s="106">
        <f t="shared" si="5"/>
        <v>7.5476763502494792</v>
      </c>
      <c r="O18" s="110">
        <f t="shared" si="6"/>
        <v>9.8626380551597812</v>
      </c>
      <c r="P18" s="110">
        <f t="shared" si="7"/>
        <v>3.1</v>
      </c>
      <c r="Q18" s="110"/>
      <c r="R18" s="110">
        <f t="shared" si="8"/>
        <v>13.15874539130259</v>
      </c>
      <c r="S18" s="110">
        <f t="shared" si="9"/>
        <v>6.0357848857093908</v>
      </c>
      <c r="T18" s="110">
        <f t="shared" si="10"/>
        <v>0.69304581378145558</v>
      </c>
      <c r="U18" s="110">
        <f>SUM(D18:D18)</f>
        <v>19.12</v>
      </c>
      <c r="V18" s="110">
        <f>D18/S18</f>
        <v>3.1677735973111658</v>
      </c>
      <c r="W18" s="110">
        <f>U18/SUM(V18:V18)</f>
        <v>6.0357848857093908</v>
      </c>
      <c r="X18" s="110">
        <f t="shared" si="17"/>
        <v>2.7721832551258223</v>
      </c>
      <c r="Y18" s="110">
        <f>AVERAGE(I18:I18)/W18</f>
        <v>12.333110176979245</v>
      </c>
      <c r="Z18" s="110">
        <f t="shared" si="18"/>
        <v>0.69304581378145558</v>
      </c>
      <c r="AA18" s="39">
        <f t="shared" si="11"/>
        <v>4.7418795449551373E-5</v>
      </c>
      <c r="AB18" s="39">
        <f t="shared" si="13"/>
        <v>4.7418795449551373E-5</v>
      </c>
      <c r="AC18" s="39">
        <f t="shared" si="12"/>
        <v>4.7418795449551373E-5</v>
      </c>
      <c r="AD18" s="51">
        <f>SUM(AA18:AA18)</f>
        <v>4.7418795449551373E-5</v>
      </c>
      <c r="AE18" s="51">
        <f>AVERAGE(F18:F18)^2*U18*(AVERAGE(I18:I18))^2/(Z18^(4/3)*W18^2)</f>
        <v>4.7418795449551373E-5</v>
      </c>
      <c r="AF18" s="110">
        <f>D18*I18/S18/9.81/[1]水轮机基本参数!B$3</f>
        <v>5.1693809604823511E-2</v>
      </c>
      <c r="AG18" s="110">
        <f>SUM(AF18:AF18)</f>
        <v>5.1693809604823511E-2</v>
      </c>
      <c r="AH18" s="110">
        <f>U18*AVERAGE(I18:I18)/W18/9.81/[1]水轮机基本参数!B$3</f>
        <v>5.1693809604823511E-2</v>
      </c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</row>
    <row r="19" spans="1:45" x14ac:dyDescent="0.15">
      <c r="A19" s="115" t="s">
        <v>333</v>
      </c>
      <c r="B19" s="115" t="s">
        <v>334</v>
      </c>
      <c r="C19" s="111">
        <v>25.521999999999998</v>
      </c>
      <c r="D19" s="122">
        <f t="shared" si="15"/>
        <v>25.521999999999998</v>
      </c>
      <c r="E19" s="45" t="s">
        <v>335</v>
      </c>
      <c r="F19" s="114">
        <v>1E-4</v>
      </c>
      <c r="G19" s="114">
        <v>1E-4</v>
      </c>
      <c r="H19" s="114">
        <v>1E-4</v>
      </c>
      <c r="I19" s="111">
        <f t="shared" si="16"/>
        <v>74.44</v>
      </c>
      <c r="J19" s="110">
        <f>0.25*PI()*(3.1)^2</f>
        <v>7.5476763502494792</v>
      </c>
      <c r="K19" s="111">
        <f t="shared" si="3"/>
        <v>9.8626380551597812</v>
      </c>
      <c r="L19" s="111">
        <f t="shared" si="4"/>
        <v>3.1</v>
      </c>
      <c r="M19" s="111"/>
      <c r="N19" s="106">
        <f t="shared" si="5"/>
        <v>26.420794216690162</v>
      </c>
      <c r="O19" s="111">
        <f t="shared" si="6"/>
        <v>2.817477755947845</v>
      </c>
      <c r="P19" s="111">
        <f t="shared" si="7"/>
        <v>5.8</v>
      </c>
      <c r="Q19" s="111"/>
      <c r="R19" s="111">
        <f t="shared" si="8"/>
        <v>6.3400579055538131</v>
      </c>
      <c r="S19" s="111">
        <f t="shared" si="9"/>
        <v>16.984235283469822</v>
      </c>
      <c r="T19" s="111">
        <f t="shared" si="10"/>
        <v>1.1625672023586422</v>
      </c>
      <c r="U19" s="111">
        <f>SUM(D19:D19)</f>
        <v>25.521999999999998</v>
      </c>
      <c r="V19" s="111">
        <f>D19/S19</f>
        <v>1.5026876143690551</v>
      </c>
      <c r="W19" s="111">
        <f>U19/SUM(V19:V19)</f>
        <v>16.984235283469822</v>
      </c>
      <c r="X19" s="111">
        <f t="shared" si="17"/>
        <v>4.6502688094345688</v>
      </c>
      <c r="Y19" s="111">
        <f>AVERAGE(I19:I19)/W19</f>
        <v>4.3828879403507743</v>
      </c>
      <c r="Z19" s="111">
        <f t="shared" si="18"/>
        <v>1.1625672023586422</v>
      </c>
      <c r="AA19" s="46">
        <f t="shared" si="11"/>
        <v>4.0106184675078906E-6</v>
      </c>
      <c r="AB19" s="46">
        <f t="shared" si="13"/>
        <v>4.0106184675078906E-6</v>
      </c>
      <c r="AC19" s="46">
        <f t="shared" si="12"/>
        <v>4.0106184675078906E-6</v>
      </c>
      <c r="AD19" s="114">
        <f>SUM(AA19:AA19)</f>
        <v>4.0106184675078906E-6</v>
      </c>
      <c r="AE19" s="114">
        <f>AVERAGE(F19:F19)^2*U19*(AVERAGE(I19:I19))^2/(Z19^(4/3)*W19^2)</f>
        <v>4.0106184675078906E-6</v>
      </c>
      <c r="AF19" s="111">
        <f>D19*I19/S19/9.81/[1]水轮机基本参数!B$3</f>
        <v>2.4521843195692887E-2</v>
      </c>
      <c r="AG19" s="111">
        <f>SUM(AF19:AF19)</f>
        <v>2.4521843195692887E-2</v>
      </c>
      <c r="AH19" s="111">
        <f>U19*AVERAGE(I19:I19)/W19/9.81/[1]水轮机基本参数!B$3</f>
        <v>2.4521843195692887E-2</v>
      </c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</row>
    <row r="20" spans="1:45" x14ac:dyDescent="0.15">
      <c r="A20" s="115" t="s">
        <v>374</v>
      </c>
      <c r="B20" s="115" t="s">
        <v>337</v>
      </c>
      <c r="C20" s="111">
        <f>130+293.761</f>
        <v>423.76100000000002</v>
      </c>
      <c r="D20" s="122">
        <f t="shared" si="15"/>
        <v>423.76100000000002</v>
      </c>
      <c r="E20" s="45" t="s">
        <v>124</v>
      </c>
      <c r="F20" s="131">
        <v>1.2E-2</v>
      </c>
      <c r="G20" s="132">
        <v>1.2999999999999999E-2</v>
      </c>
      <c r="H20" s="131">
        <v>1.0999999999999999E-2</v>
      </c>
      <c r="I20" s="111">
        <f t="shared" si="16"/>
        <v>74.44</v>
      </c>
      <c r="J20" s="111">
        <f>0.25*PI()*(5.8)^2</f>
        <v>26.420794216690162</v>
      </c>
      <c r="K20" s="111">
        <f t="shared" si="3"/>
        <v>2.817477755947845</v>
      </c>
      <c r="L20" s="111">
        <f t="shared" si="4"/>
        <v>5.8</v>
      </c>
      <c r="M20" s="111"/>
      <c r="N20" s="106">
        <f t="shared" si="5"/>
        <v>26.420794216690162</v>
      </c>
      <c r="O20" s="111">
        <f t="shared" si="6"/>
        <v>2.817477755947845</v>
      </c>
      <c r="P20" s="111">
        <f t="shared" si="7"/>
        <v>5.8</v>
      </c>
      <c r="Q20" s="111"/>
      <c r="R20" s="111">
        <f t="shared" si="8"/>
        <v>2.817477755947845</v>
      </c>
      <c r="S20" s="111">
        <f t="shared" si="9"/>
        <v>26.420794216690162</v>
      </c>
      <c r="T20" s="111">
        <f t="shared" si="10"/>
        <v>1.45</v>
      </c>
      <c r="U20" s="111">
        <f>SUM(D20:D20)</f>
        <v>423.76100000000002</v>
      </c>
      <c r="V20" s="111">
        <f t="shared" ref="V20:V27" si="19">D20/S20</f>
        <v>16.038919819159254</v>
      </c>
      <c r="W20" s="111">
        <f>U20/SUM(V20:V20)</f>
        <v>26.420794216690162</v>
      </c>
      <c r="X20" s="111">
        <f t="shared" si="17"/>
        <v>5.8</v>
      </c>
      <c r="Y20" s="111">
        <f>AVERAGE(I20:I20)/W20</f>
        <v>2.817477755947845</v>
      </c>
      <c r="Z20" s="111">
        <f t="shared" si="18"/>
        <v>1.45</v>
      </c>
      <c r="AA20" s="46">
        <f t="shared" si="11"/>
        <v>0.29515295287341875</v>
      </c>
      <c r="AB20" s="46">
        <f t="shared" si="13"/>
        <v>0.34639478496949833</v>
      </c>
      <c r="AC20" s="46">
        <f t="shared" si="12"/>
        <v>0.24801046734502544</v>
      </c>
      <c r="AD20" s="111">
        <f>SUM(AA20:AA20)</f>
        <v>0.29515295287341875</v>
      </c>
      <c r="AE20" s="111">
        <f>AVERAGE(F20:F20)^2*U20*(AVERAGE(I20:I20))^2/(Z20^(4/3)*W20^2)</f>
        <v>0.29515295287341875</v>
      </c>
      <c r="AF20" s="111">
        <f>D20*I20/S20/9.81/[1]水轮机基本参数!B$3</f>
        <v>0.26173362518786286</v>
      </c>
      <c r="AG20" s="111">
        <f>SUM(AF20:AF20)</f>
        <v>0.26173362518786286</v>
      </c>
      <c r="AH20" s="111">
        <f>U20*AVERAGE(I20:I20)/W20/9.81/[1]水轮机基本参数!B$3</f>
        <v>0.26173362518786286</v>
      </c>
      <c r="AI20" s="78"/>
      <c r="AJ20" s="78"/>
      <c r="AK20" s="78"/>
      <c r="AL20" s="78"/>
      <c r="AM20" s="78"/>
      <c r="AN20" s="78"/>
      <c r="AO20" s="78"/>
      <c r="AP20" s="78"/>
      <c r="AQ20" s="78"/>
      <c r="AR20" s="78"/>
      <c r="AS20" s="78"/>
    </row>
    <row r="21" spans="1:45" x14ac:dyDescent="0.15">
      <c r="A21" s="143" t="s">
        <v>375</v>
      </c>
      <c r="B21" s="113" t="s">
        <v>337</v>
      </c>
      <c r="C21" s="110">
        <f>360.869-21</f>
        <v>339.86900000000003</v>
      </c>
      <c r="D21" s="110">
        <f t="shared" si="15"/>
        <v>339.86900000000003</v>
      </c>
      <c r="E21" s="45" t="s">
        <v>124</v>
      </c>
      <c r="F21" s="131">
        <v>1.2E-2</v>
      </c>
      <c r="G21" s="132">
        <v>1.2999999999999999E-2</v>
      </c>
      <c r="H21" s="131">
        <v>1.0999999999999999E-2</v>
      </c>
      <c r="I21" s="106">
        <f t="shared" si="16"/>
        <v>74.44</v>
      </c>
      <c r="J21" s="106">
        <f t="shared" ref="J21:J22" si="20">0.25*PI()*(5.8)^2</f>
        <v>26.420794216690162</v>
      </c>
      <c r="K21" s="106">
        <f t="shared" si="3"/>
        <v>2.817477755947845</v>
      </c>
      <c r="L21" s="110">
        <f t="shared" si="4"/>
        <v>5.8</v>
      </c>
      <c r="M21" s="110"/>
      <c r="N21" s="106">
        <f t="shared" si="5"/>
        <v>26.420794216690162</v>
      </c>
      <c r="O21" s="110">
        <f t="shared" si="6"/>
        <v>2.817477755947845</v>
      </c>
      <c r="P21" s="110">
        <f t="shared" si="7"/>
        <v>5.8</v>
      </c>
      <c r="Q21" s="110"/>
      <c r="R21" s="110">
        <f t="shared" si="8"/>
        <v>2.817477755947845</v>
      </c>
      <c r="S21" s="110">
        <f t="shared" si="9"/>
        <v>26.420794216690162</v>
      </c>
      <c r="T21" s="110">
        <f t="shared" si="10"/>
        <v>1.45</v>
      </c>
      <c r="U21" s="137">
        <f>SUM(D21:D23)</f>
        <v>360.86900000000003</v>
      </c>
      <c r="V21" s="110">
        <f t="shared" si="19"/>
        <v>12.863693544280471</v>
      </c>
      <c r="W21" s="137">
        <f>U21/SUM(V21:V23)</f>
        <v>26.556871344387819</v>
      </c>
      <c r="X21" s="137">
        <f t="shared" si="17"/>
        <v>5.8149169194510968</v>
      </c>
      <c r="Y21" s="137">
        <f>AVERAGE(I21:I23)/W21</f>
        <v>2.8030410297458164</v>
      </c>
      <c r="Z21" s="137">
        <f t="shared" si="18"/>
        <v>1.4537292298627742</v>
      </c>
      <c r="AA21" s="39">
        <f t="shared" si="11"/>
        <v>0.2367214985336922</v>
      </c>
      <c r="AB21" s="39">
        <f t="shared" si="13"/>
        <v>0.27781898091801377</v>
      </c>
      <c r="AC21" s="39">
        <f t="shared" si="12"/>
        <v>0.19891181474011635</v>
      </c>
      <c r="AD21" s="137">
        <f>SUM(AA21:AA23)</f>
        <v>0.24818443458022715</v>
      </c>
      <c r="AE21" s="137">
        <f>AVERAGE(F21:F23)^2*U21*(AVERAGE(I21:I23))^2/(Z21^(4/3)*W21^2)</f>
        <v>0.24792840177794784</v>
      </c>
      <c r="AF21" s="110">
        <f>D21*I21/S21/9.81/[1]水轮机基本参数!B$3</f>
        <v>0.20991819789686583</v>
      </c>
      <c r="AG21" s="137">
        <f>SUM(AF21:AF23)</f>
        <v>0.22174665162021259</v>
      </c>
      <c r="AH21" s="137">
        <f>U21*AVERAGE(I21:I23)/W21/9.81/[1]水轮机基本参数!B$3</f>
        <v>0.22174665162021265</v>
      </c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</row>
    <row r="22" spans="1:45" x14ac:dyDescent="0.15">
      <c r="A22" s="138"/>
      <c r="B22" s="113" t="s">
        <v>342</v>
      </c>
      <c r="C22" s="110">
        <v>12</v>
      </c>
      <c r="D22" s="110">
        <f t="shared" si="15"/>
        <v>12</v>
      </c>
      <c r="E22" s="45" t="s">
        <v>124</v>
      </c>
      <c r="F22" s="131">
        <v>1.2E-2</v>
      </c>
      <c r="G22" s="132">
        <v>1.2999999999999999E-2</v>
      </c>
      <c r="H22" s="131">
        <v>1.0999999999999999E-2</v>
      </c>
      <c r="I22" s="106">
        <f t="shared" si="16"/>
        <v>74.44</v>
      </c>
      <c r="J22" s="106">
        <f t="shared" si="20"/>
        <v>26.420794216690162</v>
      </c>
      <c r="K22" s="106">
        <f t="shared" si="3"/>
        <v>2.817477755947845</v>
      </c>
      <c r="L22" s="110">
        <f t="shared" si="4"/>
        <v>5.8</v>
      </c>
      <c r="M22" s="110"/>
      <c r="N22" s="106">
        <f t="shared" si="5"/>
        <v>30.030397108345081</v>
      </c>
      <c r="O22" s="110">
        <f t="shared" si="6"/>
        <v>2.4788216996076295</v>
      </c>
      <c r="P22" s="110">
        <f t="shared" si="7"/>
        <v>6.1835175379750833</v>
      </c>
      <c r="Q22" s="110"/>
      <c r="R22" s="110">
        <f t="shared" si="8"/>
        <v>2.6481497277777373</v>
      </c>
      <c r="S22" s="110">
        <f t="shared" si="9"/>
        <v>28.22559566251762</v>
      </c>
      <c r="T22" s="110">
        <f t="shared" si="10"/>
        <v>1.4987066209573572</v>
      </c>
      <c r="U22" s="138"/>
      <c r="V22" s="110">
        <f t="shared" si="19"/>
        <v>0.42514603211493907</v>
      </c>
      <c r="W22" s="138"/>
      <c r="X22" s="138"/>
      <c r="Y22" s="138"/>
      <c r="Z22" s="138"/>
      <c r="AA22" s="39">
        <f t="shared" si="11"/>
        <v>7.0077951912066918E-3</v>
      </c>
      <c r="AB22" s="39">
        <f t="shared" si="13"/>
        <v>8.2244263007911853E-3</v>
      </c>
      <c r="AC22" s="39">
        <f t="shared" si="12"/>
        <v>5.8884945703889541E-3</v>
      </c>
      <c r="AD22" s="138"/>
      <c r="AE22" s="138"/>
      <c r="AF22" s="110">
        <f>D22*I22/S22/9.81/[1]水轮机基本参数!B$3</f>
        <v>6.9378121141771198E-3</v>
      </c>
      <c r="AG22" s="138"/>
      <c r="AH22" s="138"/>
      <c r="AI22" s="110"/>
      <c r="AJ22" s="110"/>
      <c r="AK22" s="110"/>
      <c r="AL22" s="110"/>
      <c r="AM22" s="110"/>
      <c r="AN22" s="110"/>
      <c r="AO22" s="110"/>
      <c r="AP22" s="110"/>
      <c r="AQ22" s="110"/>
      <c r="AR22" s="110"/>
      <c r="AS22" s="110"/>
    </row>
    <row r="23" spans="1:45" x14ac:dyDescent="0.15">
      <c r="A23" s="138"/>
      <c r="B23" s="113" t="s">
        <v>337</v>
      </c>
      <c r="C23" s="110">
        <v>9</v>
      </c>
      <c r="D23" s="110">
        <f t="shared" si="15"/>
        <v>9</v>
      </c>
      <c r="E23" s="45" t="s">
        <v>124</v>
      </c>
      <c r="F23" s="131">
        <v>1.2E-2</v>
      </c>
      <c r="G23" s="132">
        <v>1.2999999999999999E-2</v>
      </c>
      <c r="H23" s="131">
        <v>1.0999999999999999E-2</v>
      </c>
      <c r="I23" s="106">
        <f t="shared" si="16"/>
        <v>74.44</v>
      </c>
      <c r="J23" s="106">
        <f>5.8*2.9+0.5*PI()*(5.8/2)^2</f>
        <v>30.030397108345081</v>
      </c>
      <c r="K23" s="106">
        <f t="shared" si="3"/>
        <v>2.4788216996076295</v>
      </c>
      <c r="L23" s="110">
        <f t="shared" si="4"/>
        <v>6.1835175379750833</v>
      </c>
      <c r="M23" s="110"/>
      <c r="N23" s="106">
        <f t="shared" si="5"/>
        <v>30.030397108345081</v>
      </c>
      <c r="O23" s="110">
        <f t="shared" si="6"/>
        <v>2.4788216996076295</v>
      </c>
      <c r="P23" s="110">
        <f t="shared" si="7"/>
        <v>6.1835175379750833</v>
      </c>
      <c r="Q23" s="110"/>
      <c r="R23" s="110">
        <f t="shared" si="8"/>
        <v>2.4788216996076295</v>
      </c>
      <c r="S23" s="110">
        <f t="shared" si="9"/>
        <v>30.030397108345081</v>
      </c>
      <c r="T23" s="110">
        <f t="shared" si="10"/>
        <v>1.5458793844937708</v>
      </c>
      <c r="U23" s="138"/>
      <c r="V23" s="110">
        <f t="shared" si="19"/>
        <v>0.29969633659952533</v>
      </c>
      <c r="W23" s="138"/>
      <c r="X23" s="138"/>
      <c r="Y23" s="138"/>
      <c r="Z23" s="138"/>
      <c r="AA23" s="39">
        <f t="shared" si="11"/>
        <v>4.4551408553282525E-3</v>
      </c>
      <c r="AB23" s="39">
        <f t="shared" si="13"/>
        <v>5.2286028093782959E-3</v>
      </c>
      <c r="AC23" s="39">
        <f t="shared" si="12"/>
        <v>3.7435558576022114E-3</v>
      </c>
      <c r="AD23" s="138"/>
      <c r="AE23" s="138"/>
      <c r="AF23" s="110">
        <f>D23*I23/S23/9.81/[1]水轮机基本参数!B$3</f>
        <v>4.890641609169636E-3</v>
      </c>
      <c r="AG23" s="138"/>
      <c r="AH23" s="138"/>
      <c r="AI23" s="110"/>
      <c r="AJ23" s="110"/>
      <c r="AK23" s="110"/>
      <c r="AL23" s="110"/>
      <c r="AM23" s="110"/>
      <c r="AN23" s="110"/>
      <c r="AO23" s="110"/>
      <c r="AP23" s="110"/>
      <c r="AQ23" s="110"/>
      <c r="AR23" s="110"/>
      <c r="AS23" s="110"/>
    </row>
    <row r="24" spans="1:45" x14ac:dyDescent="0.15">
      <c r="A24" s="144" t="s">
        <v>376</v>
      </c>
      <c r="B24" s="115" t="s">
        <v>123</v>
      </c>
      <c r="C24" s="122">
        <v>190.453</v>
      </c>
      <c r="D24" s="122">
        <f t="shared" si="15"/>
        <v>190.453</v>
      </c>
      <c r="E24" s="45" t="s">
        <v>336</v>
      </c>
      <c r="F24" s="111">
        <v>1.4E-2</v>
      </c>
      <c r="G24" s="111">
        <v>1.6E-2</v>
      </c>
      <c r="H24" s="111">
        <v>1.2E-2</v>
      </c>
      <c r="I24" s="111">
        <f t="shared" si="16"/>
        <v>74.44</v>
      </c>
      <c r="J24" s="122">
        <f t="shared" ref="J24:J25" si="21">5.8*2.9+0.5*PI()*(5.8/2)^2</f>
        <v>30.030397108345081</v>
      </c>
      <c r="K24" s="111">
        <f t="shared" si="3"/>
        <v>2.4788216996076295</v>
      </c>
      <c r="L24" s="111">
        <f t="shared" si="4"/>
        <v>6.1835175379750833</v>
      </c>
      <c r="M24" s="111"/>
      <c r="N24" s="106">
        <f t="shared" si="5"/>
        <v>30.030397108345081</v>
      </c>
      <c r="O24" s="111">
        <f t="shared" si="6"/>
        <v>2.4788216996076295</v>
      </c>
      <c r="P24" s="111">
        <f t="shared" si="7"/>
        <v>6.1835175379750833</v>
      </c>
      <c r="Q24" s="111"/>
      <c r="R24" s="111">
        <f t="shared" si="8"/>
        <v>2.4788216996076295</v>
      </c>
      <c r="S24" s="111">
        <f t="shared" si="9"/>
        <v>30.030397108345081</v>
      </c>
      <c r="T24" s="111">
        <f t="shared" si="10"/>
        <v>1.5458793844937708</v>
      </c>
      <c r="U24" s="141">
        <f>SUM(D24:D27)</f>
        <v>253.41300000000001</v>
      </c>
      <c r="V24" s="111">
        <f t="shared" si="19"/>
        <v>6.3420073771543777</v>
      </c>
      <c r="W24" s="141">
        <f>U24/SUM(V24:V27)</f>
        <v>37.212709265486012</v>
      </c>
      <c r="X24" s="141">
        <f>Z24*4</f>
        <v>6.8833634949455762</v>
      </c>
      <c r="Y24" s="141">
        <f>AVERAGE(I24:I27)/W24</f>
        <v>2.0003918411025636</v>
      </c>
      <c r="Z24" s="141">
        <f>SQRT(W24/PI())/2</f>
        <v>1.720840873736394</v>
      </c>
      <c r="AA24" s="46">
        <f t="shared" si="11"/>
        <v>0.12832176581688812</v>
      </c>
      <c r="AB24" s="46">
        <f t="shared" si="13"/>
        <v>0.16760393902613957</v>
      </c>
      <c r="AC24" s="46">
        <f t="shared" si="12"/>
        <v>9.4277215702203515E-2</v>
      </c>
      <c r="AD24" s="141">
        <f>SUM(AA24:AA27)</f>
        <v>0.12948360472613746</v>
      </c>
      <c r="AE24" s="145">
        <f>AVERAGE(F24:F27)^2*U24*(AVERAGE(I24:I27))^2/(Z24^(4/3)*W24^2)</f>
        <v>9.6381606329032199E-2</v>
      </c>
      <c r="AF24" s="111">
        <f>D24*I24/S24/9.81/[1]水轮机基本参数!B$3</f>
        <v>0.1034930407101316</v>
      </c>
      <c r="AG24" s="141">
        <f>SUM(AF24:AF27)</f>
        <v>0.11112761777631426</v>
      </c>
      <c r="AH24" s="141">
        <f>U24*AVERAGE(I24:I27)/W24/9.81/[1]水轮机基本参数!B$3</f>
        <v>0.11112761777631427</v>
      </c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</row>
    <row r="25" spans="1:45" s="117" customFormat="1" x14ac:dyDescent="0.15">
      <c r="A25" s="144"/>
      <c r="B25" s="115" t="s">
        <v>206</v>
      </c>
      <c r="C25" s="122">
        <v>12</v>
      </c>
      <c r="D25" s="122">
        <f t="shared" si="15"/>
        <v>12</v>
      </c>
      <c r="E25" s="45" t="s">
        <v>122</v>
      </c>
      <c r="F25" s="111"/>
      <c r="G25" s="111"/>
      <c r="H25" s="111"/>
      <c r="I25" s="111">
        <f t="shared" si="16"/>
        <v>74.44</v>
      </c>
      <c r="J25" s="122">
        <f t="shared" si="21"/>
        <v>30.030397108345081</v>
      </c>
      <c r="K25" s="132">
        <f t="shared" si="3"/>
        <v>2.4788216996076295</v>
      </c>
      <c r="L25" s="132">
        <f t="shared" si="4"/>
        <v>6.1835175379750833</v>
      </c>
      <c r="M25" s="111"/>
      <c r="N25" s="106">
        <f t="shared" si="5"/>
        <v>33.64</v>
      </c>
      <c r="O25" s="132">
        <f t="shared" si="6"/>
        <v>2.2128418549346014</v>
      </c>
      <c r="P25" s="132">
        <f t="shared" si="7"/>
        <v>6.5445991691539733</v>
      </c>
      <c r="Q25" s="111"/>
      <c r="R25" s="132">
        <f t="shared" si="8"/>
        <v>2.3458317772711155</v>
      </c>
      <c r="S25" s="132">
        <f t="shared" si="9"/>
        <v>31.835198554172543</v>
      </c>
      <c r="T25" s="132">
        <f t="shared" si="10"/>
        <v>1.5916546758340075</v>
      </c>
      <c r="U25" s="141"/>
      <c r="V25" s="111"/>
      <c r="W25" s="141"/>
      <c r="X25" s="141"/>
      <c r="Y25" s="141"/>
      <c r="Z25" s="141"/>
      <c r="AA25" s="46"/>
      <c r="AB25" s="46"/>
      <c r="AC25" s="46"/>
      <c r="AD25" s="141"/>
      <c r="AE25" s="145"/>
      <c r="AF25" s="111"/>
      <c r="AG25" s="141"/>
      <c r="AH25" s="141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</row>
    <row r="26" spans="1:45" x14ac:dyDescent="0.15">
      <c r="A26" s="140"/>
      <c r="B26" s="115" t="s">
        <v>346</v>
      </c>
      <c r="C26" s="122">
        <f>35.99+6.86</f>
        <v>42.85</v>
      </c>
      <c r="D26" s="122">
        <f t="shared" si="15"/>
        <v>42.85</v>
      </c>
      <c r="E26" s="45" t="s">
        <v>336</v>
      </c>
      <c r="F26" s="111">
        <v>1.4E-2</v>
      </c>
      <c r="G26" s="111">
        <v>1.6E-2</v>
      </c>
      <c r="H26" s="111">
        <v>1.2E-2</v>
      </c>
      <c r="I26" s="111">
        <f t="shared" si="16"/>
        <v>74.44</v>
      </c>
      <c r="J26" s="111">
        <f>5.8*5.8</f>
        <v>33.64</v>
      </c>
      <c r="K26" s="111">
        <f t="shared" si="3"/>
        <v>2.2128418549346014</v>
      </c>
      <c r="L26" s="111">
        <f t="shared" si="4"/>
        <v>6.5445991691539733</v>
      </c>
      <c r="M26" s="111"/>
      <c r="N26" s="106">
        <f t="shared" si="5"/>
        <v>170.29999999999998</v>
      </c>
      <c r="O26" s="111">
        <f t="shared" si="6"/>
        <v>0.43711098062243103</v>
      </c>
      <c r="P26" s="111">
        <f t="shared" si="7"/>
        <v>14.725240047904082</v>
      </c>
      <c r="Q26" s="111"/>
      <c r="R26" s="111">
        <f t="shared" si="8"/>
        <v>1.3249764177785162</v>
      </c>
      <c r="S26" s="111">
        <f t="shared" si="9"/>
        <v>101.97</v>
      </c>
      <c r="T26" s="111">
        <f t="shared" si="10"/>
        <v>2.8485987385976785</v>
      </c>
      <c r="U26" s="140"/>
      <c r="V26" s="111">
        <f t="shared" si="19"/>
        <v>0.42022163381386685</v>
      </c>
      <c r="W26" s="140"/>
      <c r="X26" s="140"/>
      <c r="Y26" s="140"/>
      <c r="Z26" s="140"/>
      <c r="AA26" s="46">
        <f t="shared" si="11"/>
        <v>1.1084082537055622E-3</v>
      </c>
      <c r="AB26" s="46">
        <f t="shared" si="13"/>
        <v>1.4477169027991015E-3</v>
      </c>
      <c r="AC26" s="46">
        <f t="shared" si="12"/>
        <v>8.1434075782449466E-4</v>
      </c>
      <c r="AD26" s="140"/>
      <c r="AE26" s="146"/>
      <c r="AF26" s="111">
        <f>D26*I26/S26/9.81/[1]水轮机基本参数!B$3</f>
        <v>6.8574525492100984E-3</v>
      </c>
      <c r="AG26" s="140"/>
      <c r="AH26" s="140"/>
      <c r="AI26" s="48"/>
      <c r="AJ26" s="48"/>
      <c r="AK26" s="48"/>
      <c r="AL26" s="48"/>
      <c r="AM26" s="48"/>
      <c r="AN26" s="48"/>
      <c r="AO26" s="48"/>
      <c r="AP26" s="48"/>
      <c r="AQ26" s="48"/>
      <c r="AR26" s="48"/>
      <c r="AS26" s="48"/>
    </row>
    <row r="27" spans="1:45" x14ac:dyDescent="0.15">
      <c r="A27" s="140"/>
      <c r="B27" s="115" t="s">
        <v>14</v>
      </c>
      <c r="C27" s="122">
        <f>8.11</f>
        <v>8.11</v>
      </c>
      <c r="D27" s="122">
        <f t="shared" si="15"/>
        <v>8.11</v>
      </c>
      <c r="E27" s="45" t="s">
        <v>336</v>
      </c>
      <c r="F27" s="111">
        <v>1.4E-2</v>
      </c>
      <c r="G27" s="111">
        <v>1.6E-2</v>
      </c>
      <c r="H27" s="111">
        <v>1.2E-2</v>
      </c>
      <c r="I27" s="111">
        <f t="shared" si="16"/>
        <v>74.44</v>
      </c>
      <c r="J27" s="106">
        <f>4*3.275*13</f>
        <v>170.29999999999998</v>
      </c>
      <c r="K27" s="111">
        <f t="shared" si="3"/>
        <v>0.43711098062243103</v>
      </c>
      <c r="L27" s="111">
        <f t="shared" si="4"/>
        <v>14.725240047904082</v>
      </c>
      <c r="M27" s="111"/>
      <c r="N27" s="106">
        <f>4*3.275*13</f>
        <v>170.29999999999998</v>
      </c>
      <c r="O27" s="111">
        <f t="shared" si="6"/>
        <v>0.43711098062243103</v>
      </c>
      <c r="P27" s="111">
        <f t="shared" si="7"/>
        <v>14.725240047904082</v>
      </c>
      <c r="Q27" s="111"/>
      <c r="R27" s="111">
        <f t="shared" si="8"/>
        <v>0.43711098062243103</v>
      </c>
      <c r="S27" s="111">
        <f t="shared" si="9"/>
        <v>170.29999999999998</v>
      </c>
      <c r="T27" s="111">
        <f t="shared" si="10"/>
        <v>3.6813100119760205</v>
      </c>
      <c r="U27" s="140"/>
      <c r="V27" s="111">
        <f t="shared" si="19"/>
        <v>4.7621843805049913E-2</v>
      </c>
      <c r="W27" s="140"/>
      <c r="X27" s="140"/>
      <c r="Y27" s="140"/>
      <c r="Z27" s="140"/>
      <c r="AA27" s="46">
        <f t="shared" si="11"/>
        <v>5.3430655543783741E-5</v>
      </c>
      <c r="AB27" s="46">
        <f t="shared" si="13"/>
        <v>6.9786978669431803E-5</v>
      </c>
      <c r="AC27" s="46">
        <f t="shared" si="12"/>
        <v>3.9255175501555389E-5</v>
      </c>
      <c r="AD27" s="140"/>
      <c r="AE27" s="146"/>
      <c r="AF27" s="111">
        <f>D27*I27/S27/9.81/[1]水轮机基本参数!B$3</f>
        <v>7.7712451697256808E-4</v>
      </c>
      <c r="AG27" s="140"/>
      <c r="AH27" s="140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</row>
    <row r="28" spans="1:45" x14ac:dyDescent="0.15">
      <c r="A28" s="5"/>
      <c r="B28" s="117" t="s">
        <v>344</v>
      </c>
      <c r="C28" s="69">
        <f>SUM(C2:C15)</f>
        <v>2852.7270000000003</v>
      </c>
      <c r="D28" s="117">
        <f t="shared" si="15"/>
        <v>2852.7270000000003</v>
      </c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>
        <f>SUM(U21:U27)</f>
        <v>614.28200000000004</v>
      </c>
      <c r="V28" s="17">
        <f>U21/W21+U24/W24</f>
        <v>20.398386767768233</v>
      </c>
      <c r="W28" s="17">
        <f>U28/V28</f>
        <v>30.114244179869917</v>
      </c>
      <c r="X28" s="17"/>
      <c r="Y28" s="17"/>
      <c r="Z28" s="17"/>
      <c r="AA28" s="17"/>
      <c r="AB28" s="17"/>
      <c r="AC28" s="17"/>
      <c r="AD28" s="17"/>
      <c r="AE28" s="17">
        <f>SUM(AE2:AE27)</f>
        <v>8.7815625525065304</v>
      </c>
      <c r="AF28" s="17"/>
      <c r="AG28" s="17">
        <f>SUM(AG2:AG18)</f>
        <v>3.0103225628243258</v>
      </c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</row>
    <row r="29" spans="1:45" x14ac:dyDescent="0.15">
      <c r="A29" s="5"/>
      <c r="B29" s="125" t="s">
        <v>345</v>
      </c>
      <c r="C29" s="17">
        <f>SUM(C19:C27)</f>
        <v>1063.5649999999998</v>
      </c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>
        <f>SUM(AE21:AE27)+'[1]3#机 局部水头损失'!L32</f>
        <v>0.43386629655567927</v>
      </c>
      <c r="AF29" s="17"/>
      <c r="AG29" s="17">
        <f>SUM(AG19:AG20)</f>
        <v>0.28625546838355576</v>
      </c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</row>
    <row r="30" spans="1:45" x14ac:dyDescent="0.15">
      <c r="A30" s="5"/>
      <c r="B30" s="125" t="s">
        <v>343</v>
      </c>
      <c r="C30" s="17">
        <f>SUM(C2:C27)</f>
        <v>3959.3250000000003</v>
      </c>
      <c r="D30" s="17">
        <f>C30</f>
        <v>3959.3250000000003</v>
      </c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21">
        <f>AE29/(I27)^2*W28^2</f>
        <v>7.1004703931646304E-2</v>
      </c>
      <c r="AF30" s="17"/>
      <c r="AG30" s="17">
        <f>SUM(AG20:AG24)</f>
        <v>0.59460789458438978</v>
      </c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</row>
  </sheetData>
  <mergeCells count="70">
    <mergeCell ref="AE24:AE27"/>
    <mergeCell ref="AG24:AG27"/>
    <mergeCell ref="AH24:AH27"/>
    <mergeCell ref="AE21:AE23"/>
    <mergeCell ref="AG21:AG23"/>
    <mergeCell ref="AH21:AH23"/>
    <mergeCell ref="Z24:Z27"/>
    <mergeCell ref="AD24:AD27"/>
    <mergeCell ref="A21:A23"/>
    <mergeCell ref="U21:U23"/>
    <mergeCell ref="W21:W23"/>
    <mergeCell ref="X21:X23"/>
    <mergeCell ref="Y21:Y23"/>
    <mergeCell ref="Z21:Z23"/>
    <mergeCell ref="AD21:AD23"/>
    <mergeCell ref="A24:A27"/>
    <mergeCell ref="U24:U27"/>
    <mergeCell ref="W24:W27"/>
    <mergeCell ref="X24:X27"/>
    <mergeCell ref="Y24:Y27"/>
    <mergeCell ref="AD14:AD15"/>
    <mergeCell ref="AE14:AE15"/>
    <mergeCell ref="AG14:AG15"/>
    <mergeCell ref="AH14:AH15"/>
    <mergeCell ref="AD12:AD13"/>
    <mergeCell ref="AE12:AE13"/>
    <mergeCell ref="AG12:AG13"/>
    <mergeCell ref="AH12:AH13"/>
    <mergeCell ref="Z14:Z15"/>
    <mergeCell ref="A12:A13"/>
    <mergeCell ref="U12:U13"/>
    <mergeCell ref="W12:W13"/>
    <mergeCell ref="X12:X13"/>
    <mergeCell ref="Y12:Y13"/>
    <mergeCell ref="Z12:Z13"/>
    <mergeCell ref="A14:A15"/>
    <mergeCell ref="U14:U15"/>
    <mergeCell ref="W14:W15"/>
    <mergeCell ref="X14:X15"/>
    <mergeCell ref="Y14:Y15"/>
    <mergeCell ref="A9:A10"/>
    <mergeCell ref="U9:U10"/>
    <mergeCell ref="W9:W10"/>
    <mergeCell ref="X9:X10"/>
    <mergeCell ref="Y9:Y10"/>
    <mergeCell ref="Z9:Z10"/>
    <mergeCell ref="AD2:AD5"/>
    <mergeCell ref="AE2:AE5"/>
    <mergeCell ref="AG2:AG5"/>
    <mergeCell ref="AH2:AH5"/>
    <mergeCell ref="Z6:Z8"/>
    <mergeCell ref="Z2:Z5"/>
    <mergeCell ref="AD9:AD10"/>
    <mergeCell ref="AE9:AE10"/>
    <mergeCell ref="AG9:AG10"/>
    <mergeCell ref="AH9:AH10"/>
    <mergeCell ref="AD6:AD8"/>
    <mergeCell ref="AE6:AE8"/>
    <mergeCell ref="AG6:AG8"/>
    <mergeCell ref="AH6:AH8"/>
    <mergeCell ref="A6:A8"/>
    <mergeCell ref="U6:U8"/>
    <mergeCell ref="W6:W8"/>
    <mergeCell ref="X6:X8"/>
    <mergeCell ref="Y6:Y8"/>
    <mergeCell ref="A2:A5"/>
    <mergeCell ref="U2:U5"/>
    <mergeCell ref="W2:W5"/>
    <mergeCell ref="X2:X5"/>
    <mergeCell ref="Y2:Y5"/>
  </mergeCells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P24"/>
  <sheetViews>
    <sheetView workbookViewId="0">
      <selection activeCell="N19" sqref="N19:N23"/>
    </sheetView>
  </sheetViews>
  <sheetFormatPr defaultRowHeight="13.5" x14ac:dyDescent="0.15"/>
  <cols>
    <col min="1" max="1" width="25.125" style="130" customWidth="1"/>
    <col min="5" max="5" width="14.75" customWidth="1"/>
    <col min="6" max="6" width="20.5" customWidth="1"/>
    <col min="7" max="7" width="27.875" customWidth="1"/>
  </cols>
  <sheetData>
    <row r="1" spans="1:16" ht="54" x14ac:dyDescent="0.15">
      <c r="A1" s="6" t="s">
        <v>348</v>
      </c>
      <c r="B1" s="6" t="s">
        <v>7</v>
      </c>
      <c r="C1" s="6" t="s">
        <v>20</v>
      </c>
      <c r="D1" s="6" t="s">
        <v>13</v>
      </c>
      <c r="E1" s="26" t="s">
        <v>133</v>
      </c>
      <c r="F1" s="26" t="s">
        <v>134</v>
      </c>
      <c r="G1" s="6" t="s">
        <v>96</v>
      </c>
      <c r="H1" s="25" t="s">
        <v>135</v>
      </c>
      <c r="I1" s="25" t="s">
        <v>136</v>
      </c>
      <c r="J1" s="25" t="s">
        <v>137</v>
      </c>
      <c r="K1" s="25" t="s">
        <v>138</v>
      </c>
      <c r="L1" s="25" t="s">
        <v>139</v>
      </c>
      <c r="M1" s="25" t="s">
        <v>140</v>
      </c>
      <c r="N1" s="27" t="s">
        <v>141</v>
      </c>
      <c r="O1" s="27" t="s">
        <v>142</v>
      </c>
      <c r="P1" s="6"/>
    </row>
    <row r="2" spans="1:16" x14ac:dyDescent="0.15">
      <c r="A2" s="147" t="s">
        <v>121</v>
      </c>
      <c r="B2" s="108" t="s">
        <v>3</v>
      </c>
      <c r="C2" s="108" t="s">
        <v>21</v>
      </c>
      <c r="D2" s="21" t="s">
        <v>14</v>
      </c>
      <c r="E2" s="117">
        <f>2.42*(0.01/0.18)^(4/3)*SIN(90/180*PI())</f>
        <v>5.1300156795908589E-2</v>
      </c>
      <c r="F2" s="117">
        <f>2.42*(0.01/0.18)^(4/3)*SIN(90/180*PI())</f>
        <v>5.1300156795908589E-2</v>
      </c>
      <c r="G2" s="117" t="s">
        <v>347</v>
      </c>
      <c r="H2" s="53">
        <f>'1#机 沿程水头损失及Tw'!R2</f>
        <v>0.42573634543894767</v>
      </c>
      <c r="I2" s="53">
        <f>'1#机 沿程水头损失及Tw'!R2</f>
        <v>0.42573634543894767</v>
      </c>
      <c r="J2" s="53">
        <f t="shared" ref="J2:K16" si="0">E2*H2^2/2/9.8</f>
        <v>4.7439934068597631E-4</v>
      </c>
      <c r="K2" s="53">
        <f t="shared" si="0"/>
        <v>4.7439934068597631E-4</v>
      </c>
      <c r="L2" s="149">
        <f>SUM(J2:J6)</f>
        <v>3.1175820932525716E-2</v>
      </c>
      <c r="M2" s="149">
        <f>SUM(K2:K6)</f>
        <v>0.30284956286916448</v>
      </c>
      <c r="N2" s="149">
        <f>L2*2*9.8/('1#机 沿程水头损失及Tw'!Y2)^2</f>
        <v>0.11727951809761886</v>
      </c>
      <c r="O2" s="149">
        <f>M2*2*9.8/('1#机 沿程水头损失及Tw'!Y2)^2</f>
        <v>1.1392819732395298</v>
      </c>
      <c r="P2" s="21">
        <f>L2-0.035</f>
        <v>-3.824179067474287E-3</v>
      </c>
    </row>
    <row r="3" spans="1:16" x14ac:dyDescent="0.15">
      <c r="A3" s="148"/>
      <c r="B3" s="116" t="s">
        <v>131</v>
      </c>
      <c r="C3" s="116" t="s">
        <v>21</v>
      </c>
      <c r="D3" s="21"/>
      <c r="E3" s="117">
        <v>0.1</v>
      </c>
      <c r="F3" s="117">
        <v>0.1</v>
      </c>
      <c r="G3" s="117"/>
      <c r="H3" s="53">
        <f>'1#机 沿程水头损失及Tw'!R2</f>
        <v>0.42573634543894767</v>
      </c>
      <c r="I3" s="53">
        <f>'1#机 沿程水头损失及Tw'!R2</f>
        <v>0.42573634543894767</v>
      </c>
      <c r="J3" s="53">
        <f t="shared" si="0"/>
        <v>9.2475222361077024E-4</v>
      </c>
      <c r="K3" s="53">
        <f t="shared" si="0"/>
        <v>9.2475222361077024E-4</v>
      </c>
      <c r="L3" s="149"/>
      <c r="M3" s="149"/>
      <c r="N3" s="149"/>
      <c r="O3" s="149"/>
      <c r="P3" s="21"/>
    </row>
    <row r="4" spans="1:16" x14ac:dyDescent="0.15">
      <c r="A4" s="148"/>
      <c r="B4" s="108" t="s">
        <v>3</v>
      </c>
      <c r="C4" s="108" t="s">
        <v>24</v>
      </c>
      <c r="D4" s="21" t="s">
        <v>15</v>
      </c>
      <c r="E4" s="117">
        <v>0.5</v>
      </c>
      <c r="F4" s="117">
        <v>1</v>
      </c>
      <c r="G4" s="117" t="s">
        <v>29</v>
      </c>
      <c r="H4" s="53">
        <f>'1#机 沿程水头损失及Tw'!R2</f>
        <v>0.42573634543894767</v>
      </c>
      <c r="I4" s="53">
        <f>'1#机 沿程水头损失及Tw'!R2</f>
        <v>0.42573634543894767</v>
      </c>
      <c r="J4" s="53">
        <f t="shared" si="0"/>
        <v>4.6237611180538511E-3</v>
      </c>
      <c r="K4" s="53">
        <f t="shared" si="0"/>
        <v>9.2475222361077022E-3</v>
      </c>
      <c r="L4" s="149"/>
      <c r="M4" s="149"/>
      <c r="N4" s="149"/>
      <c r="O4" s="149"/>
      <c r="P4" s="21"/>
    </row>
    <row r="5" spans="1:16" x14ac:dyDescent="0.15">
      <c r="A5" s="148"/>
      <c r="B5" s="108" t="s">
        <v>25</v>
      </c>
      <c r="C5" s="116" t="s">
        <v>132</v>
      </c>
      <c r="D5" s="24" t="s">
        <v>128</v>
      </c>
      <c r="E5" s="117">
        <v>0.16300000000000001</v>
      </c>
      <c r="F5" s="117">
        <v>0.58199999999999996</v>
      </c>
      <c r="G5" s="117" t="s">
        <v>194</v>
      </c>
      <c r="H5" s="53">
        <f>'1#机 沿程水头损失及Tw'!K3</f>
        <v>0.42573634543894767</v>
      </c>
      <c r="I5" s="53">
        <f>'1#机 沿程水头损失及Tw'!O3</f>
        <v>2.8719135802469133</v>
      </c>
      <c r="J5" s="53">
        <f t="shared" si="0"/>
        <v>1.5073461244855554E-3</v>
      </c>
      <c r="K5" s="53">
        <f t="shared" si="0"/>
        <v>0.24491176481738092</v>
      </c>
      <c r="L5" s="149"/>
      <c r="M5" s="149"/>
      <c r="N5" s="149"/>
      <c r="O5" s="149"/>
      <c r="P5" s="21"/>
    </row>
    <row r="6" spans="1:16" x14ac:dyDescent="0.15">
      <c r="A6" s="148"/>
      <c r="B6" s="116" t="s">
        <v>129</v>
      </c>
      <c r="C6" s="108" t="s">
        <v>21</v>
      </c>
      <c r="D6" s="24" t="s">
        <v>117</v>
      </c>
      <c r="E6" s="117">
        <v>0.05</v>
      </c>
      <c r="F6" s="117">
        <v>0.1</v>
      </c>
      <c r="G6" s="117"/>
      <c r="H6" s="53">
        <f>'1#机 沿程水头损失及Tw'!R4</f>
        <v>3.0445131553780991</v>
      </c>
      <c r="I6" s="53">
        <f>'1#机 沿程水头损失及Tw'!R4</f>
        <v>3.0445131553780991</v>
      </c>
      <c r="J6" s="53">
        <f t="shared" si="0"/>
        <v>2.3645562125689561E-2</v>
      </c>
      <c r="K6" s="53">
        <f t="shared" si="0"/>
        <v>4.7291124251379123E-2</v>
      </c>
      <c r="L6" s="149"/>
      <c r="M6" s="149"/>
      <c r="N6" s="149"/>
      <c r="O6" s="149"/>
      <c r="P6" s="21"/>
    </row>
    <row r="7" spans="1:16" ht="13.5" customHeight="1" x14ac:dyDescent="0.15">
      <c r="A7" s="128" t="s">
        <v>239</v>
      </c>
      <c r="B7" s="108" t="s">
        <v>27</v>
      </c>
      <c r="C7" s="108" t="s">
        <v>21</v>
      </c>
      <c r="D7" s="24" t="s">
        <v>356</v>
      </c>
      <c r="E7" s="117">
        <v>0.05</v>
      </c>
      <c r="F7" s="117">
        <v>0.1</v>
      </c>
      <c r="G7" s="117"/>
      <c r="H7" s="53">
        <f>'1#机 沿程水头损失及Tw'!R7</f>
        <v>3.4368733349707981</v>
      </c>
      <c r="I7" s="53">
        <f>'1#机 沿程水头损失及Tw'!R7</f>
        <v>3.4368733349707981</v>
      </c>
      <c r="J7" s="53">
        <f t="shared" si="0"/>
        <v>3.0132903879166568E-2</v>
      </c>
      <c r="K7" s="53">
        <f t="shared" si="0"/>
        <v>6.0265807758333137E-2</v>
      </c>
      <c r="L7" s="119">
        <f>SUM(J7:J7)</f>
        <v>3.0132903879166568E-2</v>
      </c>
      <c r="M7" s="119">
        <f>SUM(K7:K7)</f>
        <v>6.0265807758333137E-2</v>
      </c>
      <c r="N7" s="119">
        <f>L7*2*9.8/('1#机 沿程水头损失及Tw'!Y6)^2</f>
        <v>4.4292581086994312E-2</v>
      </c>
      <c r="O7" s="119">
        <f>M7*2*9.8/('1#机 沿程水头损失及Tw'!Y6)^2</f>
        <v>8.8585162173988624E-2</v>
      </c>
      <c r="P7" s="21"/>
    </row>
    <row r="8" spans="1:16" s="117" customFormat="1" ht="13.5" customHeight="1" x14ac:dyDescent="0.15">
      <c r="A8" s="128" t="s">
        <v>351</v>
      </c>
      <c r="B8" s="118" t="s">
        <v>355</v>
      </c>
      <c r="C8" s="118" t="s">
        <v>368</v>
      </c>
      <c r="D8" s="118" t="s">
        <v>357</v>
      </c>
      <c r="E8" s="117">
        <v>0.01</v>
      </c>
      <c r="F8" s="117">
        <v>0.01</v>
      </c>
      <c r="G8" s="24" t="s">
        <v>358</v>
      </c>
      <c r="H8" s="53">
        <f>'1#机 沿程水头损失及Tw'!K7</f>
        <v>3.2171127305092848</v>
      </c>
      <c r="I8" s="53">
        <f>'1#机 沿程水头损失及Tw'!O7</f>
        <v>3.6566339394323109</v>
      </c>
      <c r="J8" s="53">
        <f t="shared" si="0"/>
        <v>5.2805175106147477E-3</v>
      </c>
      <c r="K8" s="53">
        <f t="shared" si="0"/>
        <v>6.8219243709225818E-3</v>
      </c>
      <c r="L8" s="119">
        <f>SUM(J8:J8)</f>
        <v>5.2805175106147477E-3</v>
      </c>
      <c r="M8" s="119">
        <f>SUM(K8:K8)</f>
        <v>6.8219243709225818E-3</v>
      </c>
      <c r="N8" s="119">
        <f>L8*2*9.8/('1#机 沿程水头损失及Tw'!Y9)^2</f>
        <v>7.2602200746584942E-3</v>
      </c>
      <c r="O8" s="119">
        <f>M8*2*9.8/('1#机 沿程水头损失及Tw'!Y9)^2</f>
        <v>9.3795110358052981E-3</v>
      </c>
      <c r="P8" s="21"/>
    </row>
    <row r="9" spans="1:16" x14ac:dyDescent="0.15">
      <c r="A9" s="151" t="s">
        <v>354</v>
      </c>
      <c r="B9" s="116" t="s">
        <v>143</v>
      </c>
      <c r="C9" s="108" t="s">
        <v>21</v>
      </c>
      <c r="D9" s="21" t="s">
        <v>16</v>
      </c>
      <c r="E9" s="117">
        <f>(0.131+0.1632*('1#机 沿程水头损失及Tw'!P11/100)^3.5)*(32/90)^0.5</f>
        <v>7.8120495510774657E-2</v>
      </c>
      <c r="F9" s="117">
        <f>(0.131+0.1632*('1#机 沿程水头损失及Tw'!P11/100)^3.5)*(32/90)^0.5</f>
        <v>7.8120495510774657E-2</v>
      </c>
      <c r="G9" s="19" t="s">
        <v>380</v>
      </c>
      <c r="H9" s="53">
        <f>'1#机 沿程水头损失及Tw'!R11</f>
        <v>4.3516965890764707</v>
      </c>
      <c r="I9" s="53">
        <f>'1#机 沿程水头损失及Tw'!R11</f>
        <v>4.3516965890764707</v>
      </c>
      <c r="J9" s="53">
        <f t="shared" si="0"/>
        <v>7.5478999238060659E-2</v>
      </c>
      <c r="K9" s="53">
        <f t="shared" si="0"/>
        <v>7.5478999238060659E-2</v>
      </c>
      <c r="L9" s="149">
        <f>SUM(J9:J11)</f>
        <v>0.32382412699364121</v>
      </c>
      <c r="M9" s="149">
        <f>SUM(K9:K11)</f>
        <v>0.32382412699364121</v>
      </c>
      <c r="N9" s="149">
        <f>L9*2*9.8/('1#机 沿程水头损失及Tw'!Y11)^2</f>
        <v>0.33515681864434393</v>
      </c>
      <c r="O9" s="149">
        <f>L9*2*9.8/('1#机 沿程水头损失及Tw'!Y11)^2</f>
        <v>0.33515681864434393</v>
      </c>
      <c r="P9" s="21"/>
    </row>
    <row r="10" spans="1:16" s="117" customFormat="1" x14ac:dyDescent="0.15">
      <c r="A10" s="151"/>
      <c r="B10" s="108" t="s">
        <v>26</v>
      </c>
      <c r="C10" s="108" t="s">
        <v>21</v>
      </c>
      <c r="D10" s="21" t="s">
        <v>16</v>
      </c>
      <c r="E10" s="117">
        <f>(0.131+0.1632*('1#机 沿程水头损失及Tw'!P11/35)^3.5)*(87/90)^0.5</f>
        <v>0.12926538543910138</v>
      </c>
      <c r="F10" s="117">
        <f>(0.131+0.1632*('1#机 沿程水头损失及Tw'!P11/35)^3.5)*(87/90)^0.5</f>
        <v>0.12926538543910138</v>
      </c>
      <c r="G10" s="19" t="s">
        <v>349</v>
      </c>
      <c r="H10" s="53">
        <f>'1#机 沿程水头损失及Tw'!R11</f>
        <v>4.3516965890764707</v>
      </c>
      <c r="I10" s="53">
        <f>'1#机 沿程水头损失及Tw'!R11</f>
        <v>4.3516965890764707</v>
      </c>
      <c r="J10" s="53">
        <f t="shared" si="0"/>
        <v>0.12489452179319388</v>
      </c>
      <c r="K10" s="53">
        <f t="shared" si="0"/>
        <v>0.12489452179319388</v>
      </c>
      <c r="L10" s="149"/>
      <c r="M10" s="149"/>
      <c r="N10" s="149"/>
      <c r="O10" s="149"/>
      <c r="P10" s="21"/>
    </row>
    <row r="11" spans="1:16" x14ac:dyDescent="0.15">
      <c r="A11" s="151"/>
      <c r="B11" s="116" t="s">
        <v>144</v>
      </c>
      <c r="C11" s="108" t="s">
        <v>21</v>
      </c>
      <c r="D11" s="21" t="s">
        <v>16</v>
      </c>
      <c r="E11" s="117">
        <f>(0.131+0.1632*('1#机 沿程水头损失及Tw'!P11/35)^3.5)*(85/90)^0.5</f>
        <v>0.1277709376944679</v>
      </c>
      <c r="F11" s="117">
        <f>(0.131+0.1632*('1#机 沿程水头损失及Tw'!P11/35)^3.5)*(85/90)^0.5</f>
        <v>0.1277709376944679</v>
      </c>
      <c r="G11" s="19" t="s">
        <v>350</v>
      </c>
      <c r="H11" s="53">
        <f>'1#机 沿程水头损失及Tw'!R11</f>
        <v>4.3516965890764707</v>
      </c>
      <c r="I11" s="53">
        <f>'1#机 沿程水头损失及Tw'!R11</f>
        <v>4.3516965890764707</v>
      </c>
      <c r="J11" s="53">
        <f t="shared" si="0"/>
        <v>0.12345060596238666</v>
      </c>
      <c r="K11" s="53">
        <f t="shared" si="0"/>
        <v>0.12345060596238666</v>
      </c>
      <c r="L11" s="149"/>
      <c r="M11" s="149"/>
      <c r="N11" s="149"/>
      <c r="O11" s="149"/>
      <c r="P11" s="21"/>
    </row>
    <row r="12" spans="1:16" x14ac:dyDescent="0.15">
      <c r="A12" s="128" t="s">
        <v>363</v>
      </c>
      <c r="B12" s="116" t="s">
        <v>364</v>
      </c>
      <c r="C12" s="116" t="s">
        <v>367</v>
      </c>
      <c r="D12" s="24" t="s">
        <v>365</v>
      </c>
      <c r="E12" s="117">
        <v>0.01</v>
      </c>
      <c r="F12" s="117">
        <v>0.01</v>
      </c>
      <c r="G12" s="24" t="s">
        <v>366</v>
      </c>
      <c r="H12" s="53">
        <f>'1#机 沿程水头损失及Tw'!K12</f>
        <v>4.3516965890764707</v>
      </c>
      <c r="I12" s="53">
        <f>'1#机 沿程水头损失及Tw'!O12</f>
        <v>6.2664430882701163</v>
      </c>
      <c r="J12" s="53">
        <f t="shared" si="0"/>
        <v>9.6618689813162181E-3</v>
      </c>
      <c r="K12" s="53">
        <f t="shared" si="0"/>
        <v>2.0034851519657299E-2</v>
      </c>
      <c r="L12" s="119">
        <f>SUM(J12:J12)</f>
        <v>9.6618689813162181E-3</v>
      </c>
      <c r="M12" s="119">
        <f>SUM(K12:K12)</f>
        <v>2.0034851519657299E-2</v>
      </c>
      <c r="N12" s="119">
        <f>L12*2*9.8/('1#机 沿程水头损失及Tw'!Y12)^2</f>
        <v>4.8460630093259821E-3</v>
      </c>
      <c r="O12" s="119">
        <f>M12*2*9.8/('1#机 沿程水头损失及Tw'!Y12)^2</f>
        <v>1.0048796256138352E-2</v>
      </c>
      <c r="P12" s="21"/>
    </row>
    <row r="13" spans="1:16" s="117" customFormat="1" x14ac:dyDescent="0.15">
      <c r="A13" s="150" t="s">
        <v>361</v>
      </c>
      <c r="B13" s="118" t="s">
        <v>370</v>
      </c>
      <c r="C13" s="118" t="s">
        <v>371</v>
      </c>
      <c r="D13" s="24" t="s">
        <v>359</v>
      </c>
      <c r="E13" s="117">
        <v>0.75</v>
      </c>
      <c r="F13" s="117">
        <v>0.75</v>
      </c>
      <c r="G13" s="19"/>
      <c r="H13" s="53">
        <f>'1#机 沿程水头损失及Tw'!R13</f>
        <v>6.2664430882701163</v>
      </c>
      <c r="I13" s="53">
        <f>'1#机 沿程水头损失及Tw'!R13</f>
        <v>6.2664430882701163</v>
      </c>
      <c r="J13" s="53">
        <f t="shared" ref="J13:J14" si="1">E13*H13^2/2/9.8</f>
        <v>1.5026138639742974</v>
      </c>
      <c r="K13" s="53">
        <f t="shared" ref="K13:K14" si="2">F13*I13^2/2/9.8</f>
        <v>1.5026138639742974</v>
      </c>
      <c r="L13" s="133">
        <f>SUM(J13:J13)</f>
        <v>1.5026138639742974</v>
      </c>
      <c r="M13" s="133">
        <f>SUM(K13:K13)</f>
        <v>1.5026138639742974</v>
      </c>
      <c r="N13" s="133">
        <f>L13*2*9.8/('1#机 沿程水头损失及Tw'!Y12)^2</f>
        <v>0.75365971921037633</v>
      </c>
      <c r="O13" s="133">
        <f>M13*2*9.8/('1#机 沿程水头损失及Tw'!Y12)^2</f>
        <v>0.75365971921037633</v>
      </c>
      <c r="P13" s="21"/>
    </row>
    <row r="14" spans="1:16" s="117" customFormat="1" x14ac:dyDescent="0.15">
      <c r="A14" s="150"/>
      <c r="B14" s="134" t="s">
        <v>377</v>
      </c>
      <c r="C14" s="134" t="s">
        <v>378</v>
      </c>
      <c r="D14" s="24" t="s">
        <v>379</v>
      </c>
      <c r="E14" s="117">
        <f>(0.131+0.1632*('1#机 沿程水头损失及Tw'!P19/34)^3.5)*(33/90)^0.5</f>
        <v>7.9527057096917791E-2</v>
      </c>
      <c r="F14" s="117">
        <f>(0.131+0.1632*('1#机 沿程水头损失及Tw'!P19/34)^3.5)*(33/90)^0.5</f>
        <v>7.9527057096917791E-2</v>
      </c>
      <c r="G14" s="19" t="s">
        <v>383</v>
      </c>
      <c r="H14" s="53">
        <f>'1#机 沿程水头损失及Tw'!R14</f>
        <v>8.198957760388021</v>
      </c>
      <c r="I14" s="53">
        <f>'1#机 沿程水头损失及Tw'!R14</f>
        <v>8.198957760388021</v>
      </c>
      <c r="J14" s="53">
        <f t="shared" si="1"/>
        <v>0.27275714648460941</v>
      </c>
      <c r="K14" s="53">
        <f t="shared" si="2"/>
        <v>0.27275714648460941</v>
      </c>
      <c r="L14" s="149">
        <f>SUM(J14:J15)</f>
        <v>0.37564935315291598</v>
      </c>
      <c r="M14" s="149">
        <f>SUM(K14:K15)</f>
        <v>0.96347698904052081</v>
      </c>
      <c r="N14" s="149">
        <f>L14*2*9.8/('1#机 沿程水头损失及Tw'!Y14)^2</f>
        <v>9.8892472446141869E-2</v>
      </c>
      <c r="O14" s="149">
        <f>M14*2*9.8/('1#机 沿程水头损失及Tw'!Y14)^2</f>
        <v>0.2536424481806453</v>
      </c>
      <c r="P14" s="21"/>
    </row>
    <row r="15" spans="1:16" s="117" customFormat="1" x14ac:dyDescent="0.15">
      <c r="A15" s="150"/>
      <c r="B15" s="118" t="s">
        <v>369</v>
      </c>
      <c r="C15" s="118" t="s">
        <v>367</v>
      </c>
      <c r="D15" s="24" t="s">
        <v>357</v>
      </c>
      <c r="E15" s="117">
        <v>0.03</v>
      </c>
      <c r="F15" s="117">
        <v>0.05</v>
      </c>
      <c r="G15" s="24" t="s">
        <v>372</v>
      </c>
      <c r="H15" s="53">
        <f>'1#机 沿程水头损失及Tw'!K15</f>
        <v>8.198957760388021</v>
      </c>
      <c r="I15" s="53">
        <f>'1#机 沿程水头损失及Tw'!O15</f>
        <v>16.454852727445399</v>
      </c>
      <c r="J15" s="53">
        <f t="shared" ref="J15" si="3">E15*H15^2/2/9.8</f>
        <v>0.10289220666830655</v>
      </c>
      <c r="K15" s="53">
        <f t="shared" ref="K15" si="4">F15*I15^2/2/9.8</f>
        <v>0.69071984255591146</v>
      </c>
      <c r="L15" s="149"/>
      <c r="M15" s="149"/>
      <c r="N15" s="149"/>
      <c r="O15" s="149"/>
      <c r="P15" s="21"/>
    </row>
    <row r="16" spans="1:16" x14ac:dyDescent="0.15">
      <c r="A16" s="152" t="s">
        <v>232</v>
      </c>
      <c r="B16" s="116" t="s">
        <v>147</v>
      </c>
      <c r="C16" s="108" t="s">
        <v>21</v>
      </c>
      <c r="D16" s="21" t="s">
        <v>17</v>
      </c>
      <c r="E16" s="117">
        <f>(0.131+0.1632*('1#机 沿程水头损失及Tw'!P21/50)^3.5)*(55/90)^0.5</f>
        <v>0.10247523472608448</v>
      </c>
      <c r="F16" s="117">
        <f>(0.131+0.1632*('1#机 沿程水头损失及Tw'!P21/50)^3.5)*(55/90)^0.5</f>
        <v>0.10247523472608448</v>
      </c>
      <c r="G16" s="19" t="s">
        <v>381</v>
      </c>
      <c r="H16" s="53">
        <f>'1#机 沿程水头损失及Tw'!R21</f>
        <v>2.817477755947845</v>
      </c>
      <c r="I16" s="53">
        <f>'1#机 沿程水头损失及Tw'!R21</f>
        <v>2.817477755947845</v>
      </c>
      <c r="J16" s="53">
        <f t="shared" si="0"/>
        <v>4.1503415896159843E-2</v>
      </c>
      <c r="K16" s="53">
        <f t="shared" si="0"/>
        <v>4.1503415896159843E-2</v>
      </c>
      <c r="L16" s="149">
        <f>SUM(J16:J18)</f>
        <v>0.11039075452836392</v>
      </c>
      <c r="M16" s="149">
        <f>SUM(K16:K18)</f>
        <v>9.2501221414258539E-2</v>
      </c>
      <c r="N16" s="149">
        <f>L16*2*9.8/('1#机 沿程水头损失及Tw'!Y21)^2</f>
        <v>0.27537839442821727</v>
      </c>
      <c r="O16" s="149">
        <f>M16*2*9.8/('1#机 沿程水头损失及Tw'!Y21)^2</f>
        <v>0.23075155111076379</v>
      </c>
      <c r="P16" s="21"/>
    </row>
    <row r="17" spans="1:16" x14ac:dyDescent="0.15">
      <c r="A17" s="153"/>
      <c r="B17" s="116" t="s">
        <v>148</v>
      </c>
      <c r="C17" s="116" t="s">
        <v>21</v>
      </c>
      <c r="D17" s="21" t="s">
        <v>17</v>
      </c>
      <c r="E17" s="117">
        <f>(0.131+0.1632*('1#机 沿程水头损失及Tw'!P21/50)^3.5)*(35/90)^0.5</f>
        <v>8.1746957755549063E-2</v>
      </c>
      <c r="F17" s="117">
        <f>(0.131+0.1632*('1#机 沿程水头损失及Tw'!P21/50)^3.5)*(35/90)^0.5</f>
        <v>8.1746957755549063E-2</v>
      </c>
      <c r="G17" s="19" t="s">
        <v>382</v>
      </c>
      <c r="H17" s="53">
        <f>'1#机 沿程水头损失及Tw'!R21</f>
        <v>2.817477755947845</v>
      </c>
      <c r="I17" s="53">
        <f>'1#机 沿程水头损失及Tw'!R21</f>
        <v>2.817477755947845</v>
      </c>
      <c r="J17" s="53">
        <f t="shared" ref="J17:K23" si="5">E17*H17^2/2/9.8</f>
        <v>3.3108272403993333E-2</v>
      </c>
      <c r="K17" s="53">
        <f t="shared" si="5"/>
        <v>3.3108272403993333E-2</v>
      </c>
      <c r="L17" s="149"/>
      <c r="M17" s="149"/>
      <c r="N17" s="149"/>
      <c r="O17" s="149"/>
      <c r="P17" s="21"/>
    </row>
    <row r="18" spans="1:16" x14ac:dyDescent="0.15">
      <c r="A18" s="153"/>
      <c r="B18" s="116" t="s">
        <v>149</v>
      </c>
      <c r="C18" s="108" t="s">
        <v>21</v>
      </c>
      <c r="D18" s="24" t="s">
        <v>224</v>
      </c>
      <c r="E18" s="117">
        <v>0.1</v>
      </c>
      <c r="F18" s="117">
        <v>0.05</v>
      </c>
      <c r="G18" s="117"/>
      <c r="H18" s="53">
        <f>'1#机 沿程水头损失及Tw'!R22</f>
        <v>2.6481497277777373</v>
      </c>
      <c r="I18" s="53">
        <f>'1#机 沿程水头损失及Tw'!R22</f>
        <v>2.6481497277777373</v>
      </c>
      <c r="J18" s="53">
        <f t="shared" si="5"/>
        <v>3.577906622821074E-2</v>
      </c>
      <c r="K18" s="53">
        <f t="shared" si="5"/>
        <v>1.788953311410537E-2</v>
      </c>
      <c r="L18" s="149"/>
      <c r="M18" s="149"/>
      <c r="N18" s="149"/>
      <c r="O18" s="149"/>
      <c r="P18" s="21"/>
    </row>
    <row r="19" spans="1:16" x14ac:dyDescent="0.15">
      <c r="A19" s="152" t="s">
        <v>233</v>
      </c>
      <c r="B19" s="116" t="s">
        <v>150</v>
      </c>
      <c r="C19" s="116" t="s">
        <v>151</v>
      </c>
      <c r="D19" s="24" t="s">
        <v>152</v>
      </c>
      <c r="E19" s="117">
        <v>0.58199999999999996</v>
      </c>
      <c r="F19" s="117">
        <v>0.16300000000000001</v>
      </c>
      <c r="G19" s="117" t="s">
        <v>194</v>
      </c>
      <c r="H19" s="53">
        <f>'1#机 沿程水头损失及Tw'!K26</f>
        <v>2.2128418549346014</v>
      </c>
      <c r="I19" s="53">
        <f>'1#机 沿程水头损失及Tw'!O26</f>
        <v>0.43711098062243103</v>
      </c>
      <c r="J19" s="53">
        <f>E19*H19^2/2/9.8</f>
        <v>0.14540109191944575</v>
      </c>
      <c r="K19" s="53">
        <f>F19*I19^2/2/9.8</f>
        <v>1.5889673229109507E-3</v>
      </c>
      <c r="L19" s="149">
        <f>SUM(J19:J23)</f>
        <v>0.1847004286176023</v>
      </c>
      <c r="M19" s="149">
        <f>SUM(K19:K23)</f>
        <v>2.1976092742848126E-2</v>
      </c>
      <c r="N19" s="149">
        <f>L19*2*9.8/('1#机 沿程水头损失及Tw'!Y24)^2</f>
        <v>0.9046775756416231</v>
      </c>
      <c r="O19" s="149">
        <f>M19*2*9.8/('1#机 沿程水头损失及Tw'!Y24)^2</f>
        <v>0.10764067226848106</v>
      </c>
      <c r="P19" s="21"/>
    </row>
    <row r="20" spans="1:16" s="117" customFormat="1" x14ac:dyDescent="0.15">
      <c r="A20" s="152"/>
      <c r="B20" s="127" t="s">
        <v>129</v>
      </c>
      <c r="C20" s="108" t="s">
        <v>21</v>
      </c>
      <c r="D20" s="24" t="s">
        <v>373</v>
      </c>
      <c r="E20" s="117">
        <v>0.1</v>
      </c>
      <c r="F20" s="117">
        <v>0.05</v>
      </c>
      <c r="H20" s="53">
        <f>'1#机 沿程水头损失及Tw'!R25</f>
        <v>2.3458317772711155</v>
      </c>
      <c r="I20" s="53">
        <f>'1#机 沿程水头损失及Tw'!R25</f>
        <v>2.3458317772711155</v>
      </c>
      <c r="J20" s="53">
        <f>E20*H20^2/2/9.8</f>
        <v>2.8076156771708983E-2</v>
      </c>
      <c r="K20" s="53">
        <f>F20*I20^2/2/9.8</f>
        <v>1.4038078385854491E-2</v>
      </c>
      <c r="L20" s="149"/>
      <c r="M20" s="149"/>
      <c r="N20" s="149"/>
      <c r="O20" s="149"/>
      <c r="P20" s="21"/>
    </row>
    <row r="21" spans="1:16" x14ac:dyDescent="0.15">
      <c r="A21" s="153"/>
      <c r="B21" s="116" t="s">
        <v>153</v>
      </c>
      <c r="C21" s="108" t="s">
        <v>21</v>
      </c>
      <c r="D21" s="21" t="s">
        <v>14</v>
      </c>
      <c r="E21" s="117">
        <f>2.42*(0.01/0.18)^(4/3)*SIN(90/180*PI())</f>
        <v>5.1300156795908589E-2</v>
      </c>
      <c r="F21" s="117">
        <f>2.42*(0.01/0.18)^(4/3)*SIN(90/180*PI())</f>
        <v>5.1300156795908589E-2</v>
      </c>
      <c r="G21" s="117" t="s">
        <v>347</v>
      </c>
      <c r="H21" s="53">
        <f>'1#机 沿程水头损失及Tw'!R27</f>
        <v>0.43711098062243103</v>
      </c>
      <c r="I21" s="53">
        <f>'1#机 沿程水头损失及Tw'!R27</f>
        <v>0.43711098062243103</v>
      </c>
      <c r="J21" s="53">
        <f t="shared" si="5"/>
        <v>5.0008756324482749E-4</v>
      </c>
      <c r="K21" s="53">
        <f t="shared" si="5"/>
        <v>5.0008756324482749E-4</v>
      </c>
      <c r="L21" s="149"/>
      <c r="M21" s="149"/>
      <c r="N21" s="149"/>
      <c r="O21" s="149"/>
      <c r="P21" s="21"/>
    </row>
    <row r="22" spans="1:16" x14ac:dyDescent="0.15">
      <c r="A22" s="153"/>
      <c r="B22" s="116" t="s">
        <v>153</v>
      </c>
      <c r="C22" s="108" t="s">
        <v>21</v>
      </c>
      <c r="D22" s="24" t="s">
        <v>131</v>
      </c>
      <c r="E22" s="117">
        <v>0.1</v>
      </c>
      <c r="F22" s="117">
        <f>E22</f>
        <v>0.1</v>
      </c>
      <c r="G22" s="117"/>
      <c r="H22" s="53">
        <f>'1#机 沿程水头损失及Tw'!R27</f>
        <v>0.43711098062243103</v>
      </c>
      <c r="I22" s="53">
        <f>'1#机 沿程水头损失及Tw'!R27</f>
        <v>0.43711098062243103</v>
      </c>
      <c r="J22" s="53">
        <f t="shared" si="5"/>
        <v>9.7482657847297604E-4</v>
      </c>
      <c r="K22" s="53">
        <f t="shared" si="5"/>
        <v>9.7482657847297604E-4</v>
      </c>
      <c r="L22" s="149"/>
      <c r="M22" s="149"/>
      <c r="N22" s="149"/>
      <c r="O22" s="149"/>
      <c r="P22" s="21"/>
    </row>
    <row r="23" spans="1:16" x14ac:dyDescent="0.15">
      <c r="A23" s="153"/>
      <c r="B23" s="116" t="s">
        <v>153</v>
      </c>
      <c r="C23" s="116" t="s">
        <v>32</v>
      </c>
      <c r="D23" s="24" t="s">
        <v>154</v>
      </c>
      <c r="E23" s="117">
        <v>1</v>
      </c>
      <c r="F23" s="117">
        <v>0.5</v>
      </c>
      <c r="G23" s="117" t="s">
        <v>29</v>
      </c>
      <c r="H23" s="53">
        <f>'1#机 沿程水头损失及Tw'!R27</f>
        <v>0.43711098062243103</v>
      </c>
      <c r="I23" s="53">
        <f>'1#机 沿程水头损失及Tw'!R27</f>
        <v>0.43711098062243103</v>
      </c>
      <c r="J23" s="53">
        <f t="shared" si="5"/>
        <v>9.7482657847297594E-3</v>
      </c>
      <c r="K23" s="53">
        <f t="shared" si="5"/>
        <v>4.8741328923648797E-3</v>
      </c>
      <c r="L23" s="149"/>
      <c r="M23" s="149"/>
      <c r="N23" s="149"/>
      <c r="O23" s="149"/>
      <c r="P23" s="21"/>
    </row>
    <row r="24" spans="1:16" x14ac:dyDescent="0.15">
      <c r="A24" s="129"/>
      <c r="B24" s="116"/>
      <c r="C24" s="116"/>
      <c r="D24" s="24"/>
      <c r="E24" s="22"/>
      <c r="F24" s="22"/>
      <c r="G24" s="21"/>
      <c r="H24" s="21"/>
      <c r="I24" s="21"/>
      <c r="J24" s="21"/>
      <c r="K24" s="21"/>
      <c r="L24" s="119">
        <f>SUM(L2:L23)</f>
        <v>2.573429638570444</v>
      </c>
      <c r="M24" s="119">
        <f>SUM(M2:M23)</f>
        <v>3.2943644406836432</v>
      </c>
      <c r="N24" s="119"/>
      <c r="O24" s="119"/>
      <c r="P24" s="21"/>
    </row>
  </sheetData>
  <mergeCells count="25">
    <mergeCell ref="A16:A18"/>
    <mergeCell ref="L16:L18"/>
    <mergeCell ref="M16:M18"/>
    <mergeCell ref="N16:N18"/>
    <mergeCell ref="O16:O18"/>
    <mergeCell ref="A19:A23"/>
    <mergeCell ref="L19:L23"/>
    <mergeCell ref="M19:M23"/>
    <mergeCell ref="N19:N23"/>
    <mergeCell ref="O19:O23"/>
    <mergeCell ref="A9:A11"/>
    <mergeCell ref="L9:L11"/>
    <mergeCell ref="M9:M11"/>
    <mergeCell ref="N9:N11"/>
    <mergeCell ref="O9:O11"/>
    <mergeCell ref="A13:A15"/>
    <mergeCell ref="L14:L15"/>
    <mergeCell ref="M14:M15"/>
    <mergeCell ref="N14:N15"/>
    <mergeCell ref="O14:O15"/>
    <mergeCell ref="A2:A6"/>
    <mergeCell ref="L2:L6"/>
    <mergeCell ref="M2:M6"/>
    <mergeCell ref="N2:N6"/>
    <mergeCell ref="O2:O6"/>
  </mergeCells>
  <phoneticPr fontId="1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S41"/>
  <sheetViews>
    <sheetView topLeftCell="F1" workbookViewId="0">
      <selection activeCell="Y11" sqref="S11:Y14"/>
    </sheetView>
  </sheetViews>
  <sheetFormatPr defaultRowHeight="13.5" x14ac:dyDescent="0.15"/>
  <cols>
    <col min="1" max="1" width="33" style="5" customWidth="1"/>
    <col min="2" max="2" width="18.5" style="5" customWidth="1"/>
    <col min="3" max="4" width="10.5" style="17" bestFit="1" customWidth="1"/>
    <col min="5" max="5" width="15.125" style="17" bestFit="1" customWidth="1"/>
    <col min="6" max="6" width="9.625" style="17" customWidth="1"/>
    <col min="7" max="7" width="9.5" style="17" customWidth="1"/>
    <col min="8" max="8" width="11" style="17" customWidth="1"/>
    <col min="9" max="10" width="9.5" style="17" bestFit="1" customWidth="1"/>
    <col min="11" max="11" width="9" style="17"/>
    <col min="12" max="12" width="18" style="17" customWidth="1"/>
    <col min="13" max="14" width="9.5" style="17" bestFit="1" customWidth="1"/>
    <col min="15" max="15" width="9" style="17"/>
    <col min="16" max="16" width="14.375" style="17" customWidth="1"/>
    <col min="17" max="17" width="9.5" style="17" bestFit="1" customWidth="1"/>
    <col min="18" max="18" width="22" style="17" customWidth="1"/>
    <col min="19" max="19" width="33.625" style="17" customWidth="1"/>
    <col min="20" max="20" width="19.75" style="17" customWidth="1"/>
    <col min="21" max="21" width="10.5" style="17" bestFit="1" customWidth="1"/>
    <col min="22" max="22" width="23.25" style="17" customWidth="1"/>
    <col min="23" max="23" width="9.5" style="17" bestFit="1" customWidth="1"/>
    <col min="24" max="24" width="8.5" style="17" customWidth="1"/>
    <col min="25" max="25" width="8.5" style="17" bestFit="1" customWidth="1"/>
    <col min="26" max="26" width="8.25" style="17" bestFit="1" customWidth="1"/>
    <col min="27" max="27" width="11.75" style="17" customWidth="1"/>
    <col min="28" max="29" width="9.5" style="17" bestFit="1" customWidth="1"/>
    <col min="30" max="30" width="11.75" style="17" customWidth="1"/>
    <col min="31" max="31" width="10.125" style="17" customWidth="1"/>
    <col min="32" max="32" width="7.5" style="17" bestFit="1" customWidth="1"/>
    <col min="33" max="34" width="8.375" style="17" bestFit="1" customWidth="1"/>
    <col min="35" max="36" width="9" style="17"/>
    <col min="37" max="37" width="10.5" style="17" bestFit="1" customWidth="1"/>
    <col min="38" max="39" width="10.5" style="17" customWidth="1"/>
    <col min="40" max="40" width="13.375" style="17" customWidth="1"/>
    <col min="41" max="43" width="9" style="17"/>
    <col min="44" max="44" width="10.5" style="17" customWidth="1"/>
    <col min="45" max="45" width="9" style="17"/>
    <col min="46" max="16384" width="9" style="5"/>
  </cols>
  <sheetData>
    <row r="1" spans="1:45" s="2" customFormat="1" ht="40.5" x14ac:dyDescent="0.15">
      <c r="A1" s="2" t="s">
        <v>0</v>
      </c>
      <c r="B1" s="2" t="s">
        <v>8</v>
      </c>
      <c r="C1" s="3" t="s">
        <v>5</v>
      </c>
      <c r="D1" s="3" t="s">
        <v>9</v>
      </c>
      <c r="E1" s="4" t="s">
        <v>1</v>
      </c>
      <c r="F1" s="15" t="s">
        <v>53</v>
      </c>
      <c r="G1" s="3" t="s">
        <v>60</v>
      </c>
      <c r="H1" s="3" t="s">
        <v>61</v>
      </c>
      <c r="I1" s="3" t="s">
        <v>31</v>
      </c>
      <c r="J1" s="3" t="s">
        <v>43</v>
      </c>
      <c r="K1" s="8" t="s">
        <v>22</v>
      </c>
      <c r="L1" s="3" t="s">
        <v>112</v>
      </c>
      <c r="M1" s="3" t="s">
        <v>44</v>
      </c>
      <c r="N1" s="3" t="s">
        <v>113</v>
      </c>
      <c r="O1" s="8" t="s">
        <v>23</v>
      </c>
      <c r="P1" s="3" t="s">
        <v>110</v>
      </c>
      <c r="Q1" s="3" t="s">
        <v>111</v>
      </c>
      <c r="R1" s="8" t="s">
        <v>19</v>
      </c>
      <c r="S1" s="3" t="s">
        <v>10</v>
      </c>
      <c r="T1" s="3" t="s">
        <v>59</v>
      </c>
      <c r="U1" s="16" t="s">
        <v>6</v>
      </c>
      <c r="V1" s="4" t="s">
        <v>30</v>
      </c>
      <c r="W1" s="4" t="s">
        <v>98</v>
      </c>
      <c r="X1" s="16" t="s">
        <v>97</v>
      </c>
      <c r="Y1" s="9" t="s">
        <v>28</v>
      </c>
      <c r="Z1" s="4" t="s">
        <v>12</v>
      </c>
      <c r="AA1" s="4" t="s">
        <v>64</v>
      </c>
      <c r="AB1" s="4" t="s">
        <v>65</v>
      </c>
      <c r="AC1" s="4" t="s">
        <v>66</v>
      </c>
      <c r="AD1" s="4" t="s">
        <v>92</v>
      </c>
      <c r="AE1" s="4" t="s">
        <v>93</v>
      </c>
      <c r="AF1" s="4" t="s">
        <v>11</v>
      </c>
      <c r="AG1" s="4" t="s">
        <v>94</v>
      </c>
      <c r="AH1" s="4" t="s">
        <v>95</v>
      </c>
      <c r="AI1" s="4" t="s">
        <v>33</v>
      </c>
      <c r="AJ1" s="4" t="s">
        <v>35</v>
      </c>
      <c r="AK1" s="4" t="s">
        <v>50</v>
      </c>
      <c r="AL1" s="4" t="s">
        <v>51</v>
      </c>
      <c r="AM1" s="4" t="s">
        <v>58</v>
      </c>
      <c r="AN1" s="4" t="s">
        <v>62</v>
      </c>
      <c r="AO1" s="4" t="s">
        <v>63</v>
      </c>
      <c r="AP1" s="4" t="s">
        <v>67</v>
      </c>
      <c r="AQ1" s="4" t="s">
        <v>68</v>
      </c>
      <c r="AR1" s="4" t="s">
        <v>69</v>
      </c>
      <c r="AS1" s="4" t="s">
        <v>70</v>
      </c>
    </row>
    <row r="2" spans="1:45" s="41" customFormat="1" ht="27" x14ac:dyDescent="0.15">
      <c r="A2" s="155" t="s">
        <v>121</v>
      </c>
      <c r="B2" s="36" t="s">
        <v>14</v>
      </c>
      <c r="C2" s="110">
        <v>8.11</v>
      </c>
      <c r="D2" s="110">
        <f>C2</f>
        <v>8.11</v>
      </c>
      <c r="E2" s="38" t="s">
        <v>4</v>
      </c>
      <c r="F2" s="56">
        <v>1.4E-2</v>
      </c>
      <c r="G2" s="56">
        <v>1.6E-2</v>
      </c>
      <c r="H2" s="56">
        <v>1.2E-2</v>
      </c>
      <c r="I2" s="81">
        <f>75.78*3</f>
        <v>227.34</v>
      </c>
      <c r="J2" s="81">
        <f>4*6.8*14</f>
        <v>380.8</v>
      </c>
      <c r="K2" s="56">
        <f>I2/J2</f>
        <v>0.59700630252100839</v>
      </c>
      <c r="L2" s="56">
        <f>SQRT(4*J2/PI())</f>
        <v>22.019301047834148</v>
      </c>
      <c r="M2" s="56"/>
      <c r="N2" s="81">
        <f>4*6.8*14</f>
        <v>380.8</v>
      </c>
      <c r="O2" s="56">
        <f>I2/N2</f>
        <v>0.59700630252100839</v>
      </c>
      <c r="P2" s="56">
        <f>SQRT(4*N2/PI())</f>
        <v>22.019301047834148</v>
      </c>
      <c r="Q2" s="56"/>
      <c r="R2" s="56">
        <f>(K2+O2)/2</f>
        <v>0.59700630252100839</v>
      </c>
      <c r="S2" s="56">
        <f>(J2+N2)/2</f>
        <v>380.8</v>
      </c>
      <c r="T2" s="56">
        <f>SQRT(S2/PI())/2</f>
        <v>5.5048252619585369</v>
      </c>
      <c r="U2" s="137">
        <f>SUM(D2:D5)</f>
        <v>140.07499999999999</v>
      </c>
      <c r="V2" s="56">
        <f t="shared" ref="V2:V10" si="0">D2/S2</f>
        <v>2.1297268907563022E-2</v>
      </c>
      <c r="W2" s="137">
        <f>U2/SUM(V2:V5)</f>
        <v>79.50452839825067</v>
      </c>
      <c r="X2" s="137">
        <f>Z2*4</f>
        <v>10.061228033504285</v>
      </c>
      <c r="Y2" s="137">
        <f>AVERAGE(I2:I5)/W2</f>
        <v>2.8594597638667603</v>
      </c>
      <c r="Z2" s="137">
        <f>SQRT(W2/PI())/2</f>
        <v>2.5153070083760714</v>
      </c>
      <c r="AA2" s="39">
        <f>F2^2*D2*(I2)^2/(T2^(4/3)*S2^2)</f>
        <v>5.8287671595203609E-5</v>
      </c>
      <c r="AB2" s="39">
        <f>G2^2*D2*(I2)^2/(T2^(4/3)*S2^2)</f>
        <v>7.6130836369245512E-5</v>
      </c>
      <c r="AC2" s="39">
        <f>H2^2*D2*(I2)^2/(T2^(4/3)*S2^2)</f>
        <v>4.2823595457700603E-5</v>
      </c>
      <c r="AD2" s="137">
        <f>SUM(AA2:AA5)</f>
        <v>0.1001664057674348</v>
      </c>
      <c r="AE2" s="137">
        <f>AVERAGE(F2:F5)^2*U2*(AVERAGE(I2:I5))^2/(Z2^(4/3)*W2^2)</f>
        <v>6.5624098092837008E-2</v>
      </c>
      <c r="AF2" s="56">
        <f>D2*I2/S2/9.81/水轮机基本参数!B$3</f>
        <v>1.1751179829730056E-3</v>
      </c>
      <c r="AG2" s="137">
        <f>SUM(AF2:AF5)</f>
        <v>9.7213442654151827E-2</v>
      </c>
      <c r="AH2" s="137">
        <f>U2*AVERAGE(I2:I5)/W2/9.81/水轮机基本参数!B$3</f>
        <v>9.7213442654151841E-2</v>
      </c>
      <c r="AI2" s="40" t="s">
        <v>34</v>
      </c>
      <c r="AJ2" s="40">
        <f>SUM(AF2:AF11)</f>
        <v>2.2304508718242246</v>
      </c>
      <c r="AK2" s="40">
        <f>SUM(D2:D11)</f>
        <v>1744.078</v>
      </c>
      <c r="AL2" s="40">
        <f>AK2/SUM(V2:V11)</f>
        <v>27.290531246486694</v>
      </c>
      <c r="AM2" s="40">
        <f>I2/AL2</f>
        <v>8.3303618367365821</v>
      </c>
      <c r="AN2" s="40" t="e">
        <f>SUM(AA2:AA11)+SUM(#REF!)</f>
        <v>#REF!</v>
      </c>
      <c r="AO2" s="40" t="e">
        <f>AN2/AM2^2</f>
        <v>#REF!</v>
      </c>
      <c r="AP2" s="40" t="e">
        <f>SUM(AB2:AB11)+SUM(#REF!)</f>
        <v>#REF!</v>
      </c>
      <c r="AQ2" s="40" t="e">
        <f>AP2/AM2^2</f>
        <v>#REF!</v>
      </c>
      <c r="AR2" s="40" t="e">
        <f>SUM(AC2:AC11)+SUM(#REF!)</f>
        <v>#REF!</v>
      </c>
      <c r="AS2" s="40" t="e">
        <f>AR2/AM2^2</f>
        <v>#REF!</v>
      </c>
    </row>
    <row r="3" spans="1:45" s="41" customFormat="1" x14ac:dyDescent="0.15">
      <c r="A3" s="156"/>
      <c r="B3" s="58" t="s">
        <v>207</v>
      </c>
      <c r="C3" s="110">
        <v>42.85</v>
      </c>
      <c r="D3" s="110">
        <f t="shared" ref="D3:D5" si="1">C3</f>
        <v>42.85</v>
      </c>
      <c r="E3" s="38" t="s">
        <v>2</v>
      </c>
      <c r="F3" s="56">
        <v>1.4E-2</v>
      </c>
      <c r="G3" s="56">
        <v>1.6E-2</v>
      </c>
      <c r="H3" s="56">
        <v>1.2E-2</v>
      </c>
      <c r="I3" s="81">
        <f t="shared" ref="I3:I10" si="2">75.78*3</f>
        <v>227.34</v>
      </c>
      <c r="J3" s="82">
        <f>J2</f>
        <v>380.8</v>
      </c>
      <c r="K3" s="56">
        <f t="shared" ref="K3:K8" si="3">I3/J3</f>
        <v>0.59700630252100839</v>
      </c>
      <c r="L3" s="56">
        <f t="shared" ref="L3:L8" si="4">SQRT(4*J3/PI())</f>
        <v>22.019301047834148</v>
      </c>
      <c r="M3" s="56"/>
      <c r="N3" s="81">
        <f>8*8</f>
        <v>64</v>
      </c>
      <c r="O3" s="56">
        <f t="shared" ref="O3:O8" si="5">I3/N3</f>
        <v>3.5521875000000001</v>
      </c>
      <c r="P3" s="56">
        <f t="shared" ref="P3:P8" si="6">SQRT(4*N3/PI())</f>
        <v>9.0270333367641005</v>
      </c>
      <c r="Q3" s="56"/>
      <c r="R3" s="56">
        <f t="shared" ref="R3:R8" si="7">(K3+O3)/2</f>
        <v>2.0745969012605041</v>
      </c>
      <c r="S3" s="56">
        <f t="shared" ref="S3:S8" si="8">(J3+N3)/2</f>
        <v>222.4</v>
      </c>
      <c r="T3" s="56">
        <f t="shared" ref="T3:T8" si="9">SQRT(S3/PI())/2</f>
        <v>4.2069026220984442</v>
      </c>
      <c r="U3" s="138"/>
      <c r="V3" s="56">
        <f t="shared" si="0"/>
        <v>0.19267086330935251</v>
      </c>
      <c r="W3" s="138"/>
      <c r="X3" s="138"/>
      <c r="Y3" s="138"/>
      <c r="Z3" s="138"/>
      <c r="AA3" s="39">
        <f t="shared" ref="AA3:AA11" si="10">F3^2*D3*(I3)^2/(T3^(4/3)*S3^2)</f>
        <v>1.2922278514870132E-3</v>
      </c>
      <c r="AB3" s="39">
        <f>G3^2*D3*(I3)^2/(T3^(4/3)*S3^2)</f>
        <v>1.6878078060238537E-3</v>
      </c>
      <c r="AC3" s="39">
        <f t="shared" ref="AC3:AC8" si="11">H3^2*D3*(I3)^2/(T3^(4/3)*S3^2)</f>
        <v>9.4939189088841789E-4</v>
      </c>
      <c r="AD3" s="138"/>
      <c r="AE3" s="138"/>
      <c r="AF3" s="56">
        <f>D3*I3/S3/9.81/水轮机基本参数!B$3</f>
        <v>1.063098734642692E-2</v>
      </c>
      <c r="AG3" s="138"/>
      <c r="AH3" s="138"/>
      <c r="AI3" s="84" t="s">
        <v>191</v>
      </c>
      <c r="AJ3" s="40">
        <f>SQRT((J3*4/PI()))</f>
        <v>22.019301047834148</v>
      </c>
      <c r="AK3" s="84" t="s">
        <v>192</v>
      </c>
      <c r="AL3" s="84">
        <f>SQRT((N3*4/PI()))</f>
        <v>9.0270333367641005</v>
      </c>
      <c r="AM3" s="84" t="s">
        <v>193</v>
      </c>
      <c r="AN3" s="40">
        <f>AJ3/AL3</f>
        <v>2.4392621835300936</v>
      </c>
      <c r="AO3" s="40"/>
      <c r="AP3" s="40"/>
      <c r="AQ3" s="40"/>
      <c r="AR3" s="40"/>
      <c r="AS3" s="40"/>
    </row>
    <row r="4" spans="1:45" s="41" customFormat="1" x14ac:dyDescent="0.15">
      <c r="A4" s="156"/>
      <c r="B4" s="58" t="s">
        <v>118</v>
      </c>
      <c r="C4" s="110">
        <v>12</v>
      </c>
      <c r="D4" s="110">
        <f t="shared" si="1"/>
        <v>12</v>
      </c>
      <c r="E4" s="38" t="s">
        <v>2</v>
      </c>
      <c r="F4" s="56">
        <v>1.4E-2</v>
      </c>
      <c r="G4" s="56">
        <v>1.6E-2</v>
      </c>
      <c r="H4" s="56">
        <v>1.2E-2</v>
      </c>
      <c r="I4" s="81">
        <f t="shared" si="2"/>
        <v>227.34</v>
      </c>
      <c r="J4" s="81">
        <f>N3</f>
        <v>64</v>
      </c>
      <c r="K4" s="56">
        <f t="shared" si="3"/>
        <v>3.5521875000000001</v>
      </c>
      <c r="L4" s="56">
        <f t="shared" si="4"/>
        <v>9.0270333367641005</v>
      </c>
      <c r="M4" s="56"/>
      <c r="N4" s="81">
        <f>8*4+0.5*PI()*(8/2)^2</f>
        <v>57.132741228718345</v>
      </c>
      <c r="O4" s="56">
        <f t="shared" si="5"/>
        <v>3.9791544237286707</v>
      </c>
      <c r="P4" s="56">
        <f t="shared" si="6"/>
        <v>8.5289897075518386</v>
      </c>
      <c r="Q4" s="56"/>
      <c r="R4" s="56">
        <f t="shared" si="7"/>
        <v>3.7656709618643354</v>
      </c>
      <c r="S4" s="56">
        <f t="shared" si="8"/>
        <v>60.566370614359172</v>
      </c>
      <c r="T4" s="56">
        <f t="shared" si="9"/>
        <v>2.1953857597710451</v>
      </c>
      <c r="U4" s="138"/>
      <c r="V4" s="56">
        <f t="shared" si="0"/>
        <v>0.19812975217562434</v>
      </c>
      <c r="W4" s="138"/>
      <c r="X4" s="138"/>
      <c r="Y4" s="138"/>
      <c r="Z4" s="138"/>
      <c r="AA4" s="39">
        <f t="shared" si="10"/>
        <v>1.1613901510969785E-2</v>
      </c>
      <c r="AB4" s="39">
        <f t="shared" ref="AB4:AB8" si="12">G4^2*D4*(I4)^2/(T4^(4/3)*S4^2)</f>
        <v>1.5169177483715638E-2</v>
      </c>
      <c r="AC4" s="39">
        <f t="shared" si="11"/>
        <v>8.5326623345900465E-3</v>
      </c>
      <c r="AD4" s="138"/>
      <c r="AE4" s="138"/>
      <c r="AF4" s="56">
        <f>D4*I4/S4/9.81/水轮机基本参数!B$3</f>
        <v>1.0932192092521342E-2</v>
      </c>
      <c r="AG4" s="138"/>
      <c r="AH4" s="138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</row>
    <row r="5" spans="1:45" s="41" customFormat="1" x14ac:dyDescent="0.15">
      <c r="A5" s="156"/>
      <c r="B5" s="58" t="s">
        <v>119</v>
      </c>
      <c r="C5" s="110">
        <v>77.114999999999995</v>
      </c>
      <c r="D5" s="110">
        <f t="shared" si="1"/>
        <v>77.114999999999995</v>
      </c>
      <c r="E5" s="38" t="s">
        <v>2</v>
      </c>
      <c r="F5" s="56">
        <v>1.4E-2</v>
      </c>
      <c r="G5" s="56">
        <v>1.6E-2</v>
      </c>
      <c r="H5" s="56">
        <v>1.2E-2</v>
      </c>
      <c r="I5" s="81">
        <f t="shared" si="2"/>
        <v>227.34</v>
      </c>
      <c r="J5" s="81">
        <f>8*4+0.5*PI()*(8/2)^2</f>
        <v>57.132741228718345</v>
      </c>
      <c r="K5" s="56">
        <f t="shared" si="3"/>
        <v>3.9791544237286707</v>
      </c>
      <c r="L5" s="56">
        <f t="shared" si="4"/>
        <v>8.5289897075518386</v>
      </c>
      <c r="M5" s="56"/>
      <c r="N5" s="81">
        <f>8*4+0.5*PI()*(8/2)^2</f>
        <v>57.132741228718345</v>
      </c>
      <c r="O5" s="56">
        <f t="shared" si="5"/>
        <v>3.9791544237286707</v>
      </c>
      <c r="P5" s="56">
        <f t="shared" si="6"/>
        <v>8.5289897075518386</v>
      </c>
      <c r="Q5" s="56"/>
      <c r="R5" s="56">
        <f t="shared" si="7"/>
        <v>3.9791544237286707</v>
      </c>
      <c r="S5" s="56">
        <f t="shared" si="8"/>
        <v>57.132741228718345</v>
      </c>
      <c r="T5" s="56">
        <f t="shared" si="9"/>
        <v>2.1322474268879597</v>
      </c>
      <c r="U5" s="138"/>
      <c r="V5" s="56">
        <f t="shared" si="0"/>
        <v>1.3497514444701171</v>
      </c>
      <c r="W5" s="138"/>
      <c r="X5" s="138"/>
      <c r="Y5" s="138"/>
      <c r="Z5" s="138"/>
      <c r="AA5" s="39">
        <f t="shared" si="10"/>
        <v>8.7201988733382793E-2</v>
      </c>
      <c r="AB5" s="39">
        <f t="shared" si="12"/>
        <v>0.11389647508033671</v>
      </c>
      <c r="AC5" s="39">
        <f t="shared" si="11"/>
        <v>6.4066767232689392E-2</v>
      </c>
      <c r="AD5" s="138"/>
      <c r="AE5" s="138"/>
      <c r="AF5" s="56">
        <f>D5*I5/S5/9.81/水轮机基本参数!B$3</f>
        <v>7.4475145232230561E-2</v>
      </c>
      <c r="AG5" s="138"/>
      <c r="AH5" s="138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</row>
    <row r="6" spans="1:45" s="48" customFormat="1" ht="20.25" customHeight="1" x14ac:dyDescent="0.15">
      <c r="A6" s="154" t="s">
        <v>238</v>
      </c>
      <c r="B6" s="57" t="s">
        <v>120</v>
      </c>
      <c r="C6" s="111">
        <v>9.1999999999999993</v>
      </c>
      <c r="D6" s="55">
        <f>C6</f>
        <v>9.1999999999999993</v>
      </c>
      <c r="E6" s="45" t="s">
        <v>2</v>
      </c>
      <c r="F6" s="55">
        <v>1.4E-2</v>
      </c>
      <c r="G6" s="55">
        <v>1.6E-2</v>
      </c>
      <c r="H6" s="55">
        <v>1.2E-2</v>
      </c>
      <c r="I6" s="81">
        <f t="shared" si="2"/>
        <v>227.34</v>
      </c>
      <c r="J6" s="81">
        <f>8*4+0.5*PI()*(8/2)^2</f>
        <v>57.132741228718345</v>
      </c>
      <c r="K6" s="55">
        <f t="shared" si="3"/>
        <v>3.9791544237286707</v>
      </c>
      <c r="L6" s="55">
        <f t="shared" si="4"/>
        <v>8.5289897075518386</v>
      </c>
      <c r="M6" s="55"/>
      <c r="N6" s="81">
        <f>8*4+0.5*PI()*(8/2)^2</f>
        <v>57.132741228718345</v>
      </c>
      <c r="O6" s="55">
        <f t="shared" si="5"/>
        <v>3.9791544237286707</v>
      </c>
      <c r="P6" s="55">
        <f t="shared" si="6"/>
        <v>8.5289897075518386</v>
      </c>
      <c r="Q6" s="55"/>
      <c r="R6" s="55">
        <f t="shared" si="7"/>
        <v>3.9791544237286707</v>
      </c>
      <c r="S6" s="55">
        <f t="shared" si="8"/>
        <v>57.132741228718345</v>
      </c>
      <c r="T6" s="55">
        <f t="shared" si="9"/>
        <v>2.1322474268879597</v>
      </c>
      <c r="U6" s="141">
        <f>SUM(D6:D8)</f>
        <v>1343.0030000000002</v>
      </c>
      <c r="V6" s="55">
        <f t="shared" si="0"/>
        <v>0.16102850663457274</v>
      </c>
      <c r="W6" s="141">
        <f>U6/SUM(V6:V8)</f>
        <v>50.335687226336482</v>
      </c>
      <c r="X6" s="141">
        <f>Z6*4</f>
        <v>8.0055847686469601</v>
      </c>
      <c r="Y6" s="141">
        <f>AVERAGE(I6:I8)/W6</f>
        <v>4.5164775237448609</v>
      </c>
      <c r="Z6" s="141">
        <f>SQRT(W6/PI())/2</f>
        <v>2.00139619216174</v>
      </c>
      <c r="AA6" s="46">
        <f t="shared" si="10"/>
        <v>1.0403401366104152E-2</v>
      </c>
      <c r="AB6" s="46">
        <f t="shared" si="12"/>
        <v>1.3588116070013583E-2</v>
      </c>
      <c r="AC6" s="46">
        <f t="shared" si="11"/>
        <v>7.6433152893826406E-3</v>
      </c>
      <c r="AD6" s="141">
        <f>SUM(AA6:AA8)</f>
        <v>2.1295194042913455</v>
      </c>
      <c r="AE6" s="141">
        <f>AVERAGE(F6:F8)^2*U6*(AVERAGE(I6:I8))^2/(Z6^(4/3)*W6^2)</f>
        <v>2.1289003590398936</v>
      </c>
      <c r="AF6" s="55">
        <f>D6*I6/S6/9.81/水轮机基本参数!B$3</f>
        <v>8.8850591472025061E-3</v>
      </c>
      <c r="AG6" s="141">
        <f>SUM(AF6:AF8)</f>
        <v>1.4721719488912963</v>
      </c>
      <c r="AH6" s="141">
        <f>U6*AVERAGE(I6:I8)/W6/9.81/水轮机基本参数!B$3</f>
        <v>1.4721719488912965</v>
      </c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</row>
    <row r="7" spans="1:45" s="48" customFormat="1" ht="18.75" customHeight="1" x14ac:dyDescent="0.15">
      <c r="A7" s="154"/>
      <c r="B7" s="57" t="s">
        <v>338</v>
      </c>
      <c r="C7" s="111">
        <v>12</v>
      </c>
      <c r="D7" s="55">
        <f t="shared" ref="D7:D10" si="13">C7</f>
        <v>12</v>
      </c>
      <c r="E7" s="45" t="s">
        <v>2</v>
      </c>
      <c r="F7" s="55">
        <v>1.4E-2</v>
      </c>
      <c r="G7" s="55">
        <v>1.6E-2</v>
      </c>
      <c r="H7" s="55">
        <v>1.2E-2</v>
      </c>
      <c r="I7" s="81">
        <f t="shared" si="2"/>
        <v>227.34</v>
      </c>
      <c r="J7" s="81">
        <f>8*4+0.5*PI()*(8/2)^2</f>
        <v>57.132741228718345</v>
      </c>
      <c r="K7" s="55">
        <f t="shared" si="3"/>
        <v>3.9791544237286707</v>
      </c>
      <c r="L7" s="55">
        <f t="shared" si="4"/>
        <v>8.5289897075518386</v>
      </c>
      <c r="M7" s="55"/>
      <c r="N7" s="81">
        <f>0.25*PI()*(8)^2</f>
        <v>50.26548245743669</v>
      </c>
      <c r="O7" s="55">
        <f t="shared" si="5"/>
        <v>4.5227855953139358</v>
      </c>
      <c r="P7" s="55">
        <f t="shared" si="6"/>
        <v>8</v>
      </c>
      <c r="Q7" s="55"/>
      <c r="R7" s="55">
        <f t="shared" si="7"/>
        <v>4.2509700095213034</v>
      </c>
      <c r="S7" s="55">
        <f t="shared" si="8"/>
        <v>53.699111843077517</v>
      </c>
      <c r="T7" s="55">
        <f t="shared" si="9"/>
        <v>2.0671815461480789</v>
      </c>
      <c r="U7" s="140"/>
      <c r="V7" s="55">
        <f t="shared" si="0"/>
        <v>0.22346738313041484</v>
      </c>
      <c r="W7" s="140"/>
      <c r="X7" s="140"/>
      <c r="Y7" s="140"/>
      <c r="Z7" s="140"/>
      <c r="AA7" s="46">
        <f t="shared" si="10"/>
        <v>1.6008476301705574E-2</v>
      </c>
      <c r="AB7" s="46">
        <f t="shared" si="12"/>
        <v>2.0909030271615441E-2</v>
      </c>
      <c r="AC7" s="46">
        <f t="shared" si="11"/>
        <v>1.1761329527783686E-2</v>
      </c>
      <c r="AD7" s="140"/>
      <c r="AE7" s="140"/>
      <c r="AF7" s="55">
        <f>D7*I7/S7/9.81/水轮机基本参数!B$3</f>
        <v>1.2330244862110701E-2</v>
      </c>
      <c r="AG7" s="140"/>
      <c r="AH7" s="140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</row>
    <row r="8" spans="1:45" s="48" customFormat="1" ht="19.5" customHeight="1" x14ac:dyDescent="0.15">
      <c r="A8" s="154"/>
      <c r="B8" s="57" t="s">
        <v>120</v>
      </c>
      <c r="C8" s="82">
        <f>20+1333.803-32</f>
        <v>1321.8030000000001</v>
      </c>
      <c r="D8" s="55">
        <f t="shared" si="13"/>
        <v>1321.8030000000001</v>
      </c>
      <c r="E8" s="49" t="s">
        <v>122</v>
      </c>
      <c r="F8" s="55">
        <v>1.4E-2</v>
      </c>
      <c r="G8" s="55">
        <v>1.6E-2</v>
      </c>
      <c r="H8" s="55">
        <v>1.2E-2</v>
      </c>
      <c r="I8" s="81">
        <f t="shared" si="2"/>
        <v>227.34</v>
      </c>
      <c r="J8" s="81">
        <f>0.25*PI()*(8)^2</f>
        <v>50.26548245743669</v>
      </c>
      <c r="K8" s="55">
        <f t="shared" si="3"/>
        <v>4.5227855953139358</v>
      </c>
      <c r="L8" s="55">
        <f t="shared" si="4"/>
        <v>8</v>
      </c>
      <c r="M8" s="55"/>
      <c r="N8" s="81">
        <f>0.25*PI()*(8)^2</f>
        <v>50.26548245743669</v>
      </c>
      <c r="O8" s="55">
        <f t="shared" si="5"/>
        <v>4.5227855953139358</v>
      </c>
      <c r="P8" s="55">
        <f t="shared" si="6"/>
        <v>8</v>
      </c>
      <c r="Q8" s="55"/>
      <c r="R8" s="55">
        <f t="shared" si="7"/>
        <v>4.5227855953139358</v>
      </c>
      <c r="S8" s="55">
        <f t="shared" si="8"/>
        <v>50.26548245743669</v>
      </c>
      <c r="T8" s="55">
        <f t="shared" si="9"/>
        <v>2</v>
      </c>
      <c r="U8" s="140"/>
      <c r="V8" s="55">
        <f t="shared" si="0"/>
        <v>26.296435155462071</v>
      </c>
      <c r="W8" s="140"/>
      <c r="X8" s="140"/>
      <c r="Y8" s="140"/>
      <c r="Z8" s="140"/>
      <c r="AA8" s="46">
        <f t="shared" si="10"/>
        <v>2.1031075266235359</v>
      </c>
      <c r="AB8" s="46">
        <f t="shared" si="12"/>
        <v>2.7469159531409444</v>
      </c>
      <c r="AC8" s="46">
        <f t="shared" si="11"/>
        <v>1.5451402236417813</v>
      </c>
      <c r="AD8" s="140"/>
      <c r="AE8" s="140"/>
      <c r="AF8" s="55">
        <f>D8*I8/S8/9.81/水轮机基本参数!B$3</f>
        <v>1.4509566448819831</v>
      </c>
      <c r="AG8" s="140"/>
      <c r="AH8" s="140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</row>
    <row r="9" spans="1:45" s="48" customFormat="1" ht="19.5" customHeight="1" x14ac:dyDescent="0.15">
      <c r="A9" s="154" t="s">
        <v>384</v>
      </c>
      <c r="B9" s="115" t="s">
        <v>260</v>
      </c>
      <c r="C9" s="82">
        <v>20</v>
      </c>
      <c r="D9" s="111"/>
      <c r="E9" s="49"/>
      <c r="F9" s="111"/>
      <c r="G9" s="111"/>
      <c r="H9" s="111"/>
      <c r="I9" s="81"/>
      <c r="J9" s="81"/>
      <c r="K9" s="111"/>
      <c r="L9" s="111"/>
      <c r="M9" s="111"/>
      <c r="N9" s="81"/>
      <c r="O9" s="111"/>
      <c r="P9" s="111"/>
      <c r="Q9" s="111"/>
      <c r="R9" s="111"/>
      <c r="S9" s="111"/>
      <c r="T9" s="111"/>
      <c r="U9" s="112"/>
      <c r="V9" s="111"/>
      <c r="W9" s="112"/>
      <c r="X9" s="112"/>
      <c r="Y9" s="112"/>
      <c r="Z9" s="112"/>
      <c r="AA9" s="46"/>
      <c r="AB9" s="46"/>
      <c r="AC9" s="46"/>
      <c r="AD9" s="112"/>
      <c r="AE9" s="112"/>
      <c r="AF9" s="111"/>
      <c r="AG9" s="112"/>
      <c r="AH9" s="112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</row>
    <row r="10" spans="1:45" s="48" customFormat="1" ht="19.5" customHeight="1" x14ac:dyDescent="0.15">
      <c r="A10" s="154"/>
      <c r="B10" s="99" t="s">
        <v>261</v>
      </c>
      <c r="C10" s="82">
        <v>12</v>
      </c>
      <c r="D10" s="98">
        <f t="shared" si="13"/>
        <v>12</v>
      </c>
      <c r="E10" s="49" t="s">
        <v>122</v>
      </c>
      <c r="F10" s="98">
        <v>1.4E-2</v>
      </c>
      <c r="G10" s="98">
        <v>1.6E-2</v>
      </c>
      <c r="H10" s="98">
        <v>1.2E-2</v>
      </c>
      <c r="I10" s="81">
        <f t="shared" si="2"/>
        <v>227.34</v>
      </c>
      <c r="J10" s="81">
        <f>0.25*PI()*(8)^2</f>
        <v>50.26548245743669</v>
      </c>
      <c r="K10" s="98">
        <f t="shared" ref="K10" si="14">I10/J10</f>
        <v>4.5227855953139358</v>
      </c>
      <c r="L10" s="98">
        <f t="shared" ref="L10" si="15">SQRT(4*J10/PI())</f>
        <v>8</v>
      </c>
      <c r="M10" s="98"/>
      <c r="N10" s="81">
        <f>0.25*PI()*(8)^2</f>
        <v>50.26548245743669</v>
      </c>
      <c r="O10" s="98">
        <f t="shared" ref="O10" si="16">I10/N10</f>
        <v>4.5227855953139358</v>
      </c>
      <c r="P10" s="98">
        <f t="shared" ref="P10" si="17">SQRT(4*N10/PI())</f>
        <v>8</v>
      </c>
      <c r="Q10" s="98"/>
      <c r="R10" s="98">
        <f t="shared" ref="R10" si="18">(K10+O10)/2</f>
        <v>4.5227855953139358</v>
      </c>
      <c r="S10" s="98">
        <f t="shared" ref="S10" si="19">(J10+N10)/2</f>
        <v>50.26548245743669</v>
      </c>
      <c r="T10" s="98">
        <f t="shared" ref="T10" si="20">SQRT(S10/PI())/2</f>
        <v>2</v>
      </c>
      <c r="U10" s="93">
        <f t="shared" ref="U10:U17" si="21">SUM(D10:D10)</f>
        <v>12</v>
      </c>
      <c r="V10" s="93">
        <f t="shared" si="0"/>
        <v>0.238732414637843</v>
      </c>
      <c r="W10" s="93">
        <f t="shared" ref="W10" si="22">U10/SUM(V10:V10)</f>
        <v>50.26548245743669</v>
      </c>
      <c r="X10" s="93">
        <f t="shared" ref="X10" si="23">Z10*4</f>
        <v>8</v>
      </c>
      <c r="Y10" s="93">
        <f t="shared" ref="Y10" si="24">AVERAGE(I10:I10)/W10</f>
        <v>4.5227855953139358</v>
      </c>
      <c r="Z10" s="93">
        <f t="shared" ref="Z10" si="25">SQRT(W10/PI())/2</f>
        <v>2</v>
      </c>
      <c r="AA10" s="94">
        <f t="shared" ref="AA10" si="26">F10^2*D10*(I10)^2/(T10^(4/3)*S10^2)</f>
        <v>1.9093079921503001E-2</v>
      </c>
      <c r="AB10" s="94">
        <f t="shared" ref="AB10" si="27">G10^2*D10*(I10)^2/(T10^(4/3)*S10^2)</f>
        <v>2.4937900305636571E-2</v>
      </c>
      <c r="AC10" s="94">
        <f t="shared" ref="AC10" si="28">H10^2*D10*(I10)^2/(T10^(4/3)*S10^2)</f>
        <v>1.402756892192057E-2</v>
      </c>
      <c r="AD10" s="93">
        <f t="shared" ref="AD10" si="29">SUM(AA10:AA10)</f>
        <v>1.9093079921503001E-2</v>
      </c>
      <c r="AE10" s="93">
        <f t="shared" ref="AE10" si="30">AVERAGE(F10:F10)^2*U10*(AVERAGE(I10:I10))^2/(Z10^(4/3)*W10^2)</f>
        <v>1.9093079921503001E-2</v>
      </c>
      <c r="AF10" s="93">
        <f>D10*I10/S10/9.81/水轮机基本参数!B$3</f>
        <v>1.3172522485259752E-2</v>
      </c>
      <c r="AG10" s="93">
        <f t="shared" ref="AG10" si="31">SUM(AF10:AF10)</f>
        <v>1.3172522485259752E-2</v>
      </c>
      <c r="AH10" s="93">
        <f>U10*AVERAGE(I10:I10)/W10/9.81/水轮机基本参数!B$3</f>
        <v>1.3172522485259752E-2</v>
      </c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</row>
    <row r="11" spans="1:45" s="48" customFormat="1" x14ac:dyDescent="0.15">
      <c r="A11" s="77" t="s">
        <v>262</v>
      </c>
      <c r="B11" s="96" t="s">
        <v>205</v>
      </c>
      <c r="C11" s="95">
        <v>249</v>
      </c>
      <c r="D11" s="44">
        <f t="shared" ref="D11" si="32">C11</f>
        <v>249</v>
      </c>
      <c r="E11" s="49" t="s">
        <v>124</v>
      </c>
      <c r="F11" s="44">
        <v>1.2E-2</v>
      </c>
      <c r="G11" s="44">
        <v>1.2999999999999999E-2</v>
      </c>
      <c r="H11" s="44">
        <v>1.0999999999999999E-2</v>
      </c>
      <c r="I11" s="81">
        <f>75.78*1</f>
        <v>75.78</v>
      </c>
      <c r="J11" s="81">
        <f>0.25*PI()*(3)^2</f>
        <v>7.0685834705770345</v>
      </c>
      <c r="K11" s="44">
        <f t="shared" ref="K11:K24" si="33">I11/J11</f>
        <v>10.720676966670071</v>
      </c>
      <c r="L11" s="44">
        <f t="shared" ref="L11:L24" si="34">SQRT(4*J11/PI())</f>
        <v>3</v>
      </c>
      <c r="M11" s="44"/>
      <c r="N11" s="81">
        <f>0.25*PI()*(3)^2</f>
        <v>7.0685834705770345</v>
      </c>
      <c r="O11" s="44">
        <f t="shared" ref="O11:O24" si="35">I11/N11</f>
        <v>10.720676966670071</v>
      </c>
      <c r="P11" s="44">
        <f t="shared" ref="P11:P24" si="36">SQRT(4*N11/PI())</f>
        <v>3</v>
      </c>
      <c r="Q11" s="44"/>
      <c r="R11" s="44">
        <f t="shared" ref="R11:R24" si="37">(K11+O11)/2</f>
        <v>10.720676966670071</v>
      </c>
      <c r="S11" s="44">
        <f t="shared" ref="S11:S24" si="38">(J11+N11)/2</f>
        <v>7.0685834705770345</v>
      </c>
      <c r="T11" s="44">
        <f t="shared" ref="T11:T24" si="39">SQRT(S11/PI())/2</f>
        <v>0.75</v>
      </c>
      <c r="U11" s="75">
        <f t="shared" si="21"/>
        <v>249</v>
      </c>
      <c r="V11" s="44">
        <f t="shared" ref="V11" si="40">D11/S11</f>
        <v>35.226294071006166</v>
      </c>
      <c r="W11" s="75">
        <f t="shared" ref="W11:W17" si="41">U11/SUM(V11:V11)</f>
        <v>7.0685834705770354</v>
      </c>
      <c r="X11" s="75">
        <f t="shared" ref="X11:X18" si="42">Z11*4</f>
        <v>3.0000000000000004</v>
      </c>
      <c r="Y11" s="75">
        <f t="shared" ref="Y11:Y17" si="43">AVERAGE(I11:I11)/W11</f>
        <v>10.720676966670069</v>
      </c>
      <c r="Z11" s="75">
        <f t="shared" ref="Z11:Z18" si="44">SQRT(W11/PI())/2</f>
        <v>0.75000000000000011</v>
      </c>
      <c r="AA11" s="94">
        <f t="shared" si="10"/>
        <v>6.047713953607663</v>
      </c>
      <c r="AB11" s="46">
        <f t="shared" ref="AB11:AB24" si="45">G11^2*D11*(I11)^2/(T11^(4/3)*S11^2)</f>
        <v>7.0976642927756597</v>
      </c>
      <c r="AC11" s="46">
        <f t="shared" ref="AC11:AC24" si="46">H11^2*D11*(I11)^2/(T11^(4/3)*S11^2)</f>
        <v>5.0817596415731048</v>
      </c>
      <c r="AD11" s="75">
        <f t="shared" ref="AD11:AD17" si="47">SUM(AA11:AA11)</f>
        <v>6.047713953607663</v>
      </c>
      <c r="AE11" s="75">
        <f t="shared" ref="AE11:AE17" si="48">AVERAGE(F11:F11)^2*U11*(AVERAGE(I11:I11))^2/(Z11^(4/3)*W11^2)</f>
        <v>6.0477139536076585</v>
      </c>
      <c r="AF11" s="44">
        <f>D11*I11/S11/9.81/水轮机基本参数!B$3</f>
        <v>0.64789295779351674</v>
      </c>
      <c r="AG11" s="75">
        <f t="shared" ref="AG11:AG17" si="49">SUM(AF11:AF11)</f>
        <v>0.64789295779351674</v>
      </c>
      <c r="AH11" s="75">
        <f>U11*AVERAGE(I11:I11)/W11/9.81/水轮机基本参数!B$3</f>
        <v>0.64789295779351663</v>
      </c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</row>
    <row r="12" spans="1:45" s="48" customFormat="1" x14ac:dyDescent="0.15">
      <c r="A12" s="115" t="s">
        <v>263</v>
      </c>
      <c r="B12" s="96"/>
      <c r="C12" s="95"/>
      <c r="D12" s="111"/>
      <c r="E12" s="49"/>
      <c r="F12" s="111"/>
      <c r="G12" s="111"/>
      <c r="H12" s="111"/>
      <c r="I12" s="81"/>
      <c r="J12" s="81"/>
      <c r="K12" s="111"/>
      <c r="L12" s="111"/>
      <c r="M12" s="111"/>
      <c r="N12" s="81"/>
      <c r="O12" s="111"/>
      <c r="P12" s="111"/>
      <c r="Q12" s="111"/>
      <c r="R12" s="111"/>
      <c r="S12" s="111"/>
      <c r="T12" s="111"/>
      <c r="U12" s="111"/>
      <c r="V12" s="111"/>
      <c r="W12" s="111"/>
      <c r="X12" s="111"/>
      <c r="Y12" s="111"/>
      <c r="Z12" s="111"/>
      <c r="AA12" s="94"/>
      <c r="AB12" s="46"/>
      <c r="AC12" s="46"/>
      <c r="AD12" s="111"/>
      <c r="AE12" s="111"/>
      <c r="AF12" s="111"/>
      <c r="AG12" s="111"/>
      <c r="AH12" s="111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</row>
    <row r="13" spans="1:45" s="41" customFormat="1" x14ac:dyDescent="0.15">
      <c r="A13" s="42" t="s">
        <v>229</v>
      </c>
      <c r="B13" s="42" t="s">
        <v>126</v>
      </c>
      <c r="C13" s="95">
        <f>3.14*4.33+3.8</f>
        <v>17.3962</v>
      </c>
      <c r="D13" s="37">
        <f t="shared" ref="D13:D24" si="50">C13</f>
        <v>17.3962</v>
      </c>
      <c r="E13" s="50" t="s">
        <v>124</v>
      </c>
      <c r="F13" s="51">
        <v>1E-4</v>
      </c>
      <c r="G13" s="51">
        <v>1E-4</v>
      </c>
      <c r="H13" s="51">
        <v>1E-4</v>
      </c>
      <c r="I13" s="81">
        <f t="shared" ref="I13:I16" si="51">75.78*1</f>
        <v>75.78</v>
      </c>
      <c r="J13" s="81">
        <f>0.25*PI()*(3)^2</f>
        <v>7.0685834705770345</v>
      </c>
      <c r="K13" s="37">
        <f t="shared" si="33"/>
        <v>10.720676966670071</v>
      </c>
      <c r="L13" s="37">
        <f t="shared" si="34"/>
        <v>3</v>
      </c>
      <c r="M13" s="37"/>
      <c r="N13" s="81">
        <f>0.25*PI()*(3)^2</f>
        <v>7.0685834705770345</v>
      </c>
      <c r="O13" s="37">
        <f t="shared" si="35"/>
        <v>10.720676966670071</v>
      </c>
      <c r="P13" s="37">
        <f t="shared" si="36"/>
        <v>3</v>
      </c>
      <c r="Q13" s="37"/>
      <c r="R13" s="37">
        <f t="shared" si="37"/>
        <v>10.720676966670071</v>
      </c>
      <c r="S13" s="37">
        <f t="shared" si="38"/>
        <v>7.0685834705770345</v>
      </c>
      <c r="T13" s="37">
        <f t="shared" si="39"/>
        <v>0.75</v>
      </c>
      <c r="U13" s="37">
        <f t="shared" si="21"/>
        <v>17.3962</v>
      </c>
      <c r="V13" s="37">
        <f>D13/S13</f>
        <v>2.4610588631246486</v>
      </c>
      <c r="W13" s="37">
        <f t="shared" si="41"/>
        <v>7.0685834705770345</v>
      </c>
      <c r="X13" s="37">
        <f t="shared" si="42"/>
        <v>3</v>
      </c>
      <c r="Y13" s="37">
        <f t="shared" si="43"/>
        <v>10.720676966670071</v>
      </c>
      <c r="Z13" s="37">
        <f t="shared" si="44"/>
        <v>0.75</v>
      </c>
      <c r="AA13" s="39">
        <f t="shared" ref="AA13:AA24" si="52">F13^2*D13*(I13)^2/(T13^(4/3)*S13^2)</f>
        <v>2.9341600144954714E-5</v>
      </c>
      <c r="AB13" s="39">
        <f t="shared" si="45"/>
        <v>2.9341600144954714E-5</v>
      </c>
      <c r="AC13" s="39">
        <f t="shared" si="46"/>
        <v>2.9341600144954714E-5</v>
      </c>
      <c r="AD13" s="51">
        <f t="shared" si="47"/>
        <v>2.9341600144954714E-5</v>
      </c>
      <c r="AE13" s="51">
        <f t="shared" si="48"/>
        <v>2.9341600144954714E-5</v>
      </c>
      <c r="AF13" s="37">
        <f>D13*I13/S13/9.81/水轮机基本参数!B$3</f>
        <v>4.5264560129990257E-2</v>
      </c>
      <c r="AG13" s="37">
        <f t="shared" si="49"/>
        <v>4.5264560129990257E-2</v>
      </c>
      <c r="AH13" s="37">
        <f>U13*AVERAGE(I13:I13)/W13/9.81/水轮机基本参数!B$3</f>
        <v>4.5264560129990257E-2</v>
      </c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</row>
    <row r="14" spans="1:45" s="48" customFormat="1" x14ac:dyDescent="0.15">
      <c r="A14" s="43" t="s">
        <v>230</v>
      </c>
      <c r="B14" s="43" t="s">
        <v>125</v>
      </c>
      <c r="C14" s="81">
        <v>20.152000000000001</v>
      </c>
      <c r="D14" s="44">
        <f t="shared" si="50"/>
        <v>20.152000000000001</v>
      </c>
      <c r="E14" s="49" t="s">
        <v>124</v>
      </c>
      <c r="F14" s="52">
        <v>1E-4</v>
      </c>
      <c r="G14" s="52">
        <v>1E-4</v>
      </c>
      <c r="H14" s="52">
        <v>1E-4</v>
      </c>
      <c r="I14" s="81">
        <f t="shared" si="51"/>
        <v>75.78</v>
      </c>
      <c r="J14" s="81">
        <f>PI()*3.0688*3.0688/4</f>
        <v>7.3965134675100526</v>
      </c>
      <c r="K14" s="44">
        <f t="shared" si="33"/>
        <v>10.245367676658937</v>
      </c>
      <c r="L14" s="44">
        <f t="shared" si="34"/>
        <v>3.0688</v>
      </c>
      <c r="M14" s="44"/>
      <c r="N14" s="81">
        <f>PI()*3.0688*3.0688/4</f>
        <v>7.3965134675100526</v>
      </c>
      <c r="O14" s="44">
        <f t="shared" si="35"/>
        <v>10.245367676658937</v>
      </c>
      <c r="P14" s="44">
        <f t="shared" si="36"/>
        <v>3.0688</v>
      </c>
      <c r="Q14" s="44"/>
      <c r="R14" s="44">
        <f t="shared" si="37"/>
        <v>10.245367676658937</v>
      </c>
      <c r="S14" s="44">
        <f t="shared" si="38"/>
        <v>7.3965134675100526</v>
      </c>
      <c r="T14" s="44">
        <f t="shared" si="39"/>
        <v>0.76719999999999999</v>
      </c>
      <c r="U14" s="44">
        <f t="shared" si="21"/>
        <v>20.152000000000001</v>
      </c>
      <c r="V14" s="44">
        <f>D14/S14</f>
        <v>2.724526912378344</v>
      </c>
      <c r="W14" s="44">
        <f t="shared" si="41"/>
        <v>7.3965134675100517</v>
      </c>
      <c r="X14" s="44">
        <f t="shared" si="42"/>
        <v>3.0687999999999995</v>
      </c>
      <c r="Y14" s="44">
        <f t="shared" si="43"/>
        <v>10.245367676658939</v>
      </c>
      <c r="Z14" s="44">
        <f t="shared" si="44"/>
        <v>0.76719999999999988</v>
      </c>
      <c r="AA14" s="46">
        <f t="shared" si="52"/>
        <v>3.0118161618905259E-5</v>
      </c>
      <c r="AB14" s="46">
        <f t="shared" si="45"/>
        <v>3.0118161618905259E-5</v>
      </c>
      <c r="AC14" s="46">
        <f t="shared" si="46"/>
        <v>3.0118161618905259E-5</v>
      </c>
      <c r="AD14" s="52">
        <f t="shared" si="47"/>
        <v>3.0118161618905259E-5</v>
      </c>
      <c r="AE14" s="52">
        <f t="shared" si="48"/>
        <v>3.0118161618905273E-5</v>
      </c>
      <c r="AF14" s="44">
        <f>D14*I14/S14/9.81/水轮机基本参数!B$3</f>
        <v>5.0110346444354859E-2</v>
      </c>
      <c r="AG14" s="44">
        <f t="shared" si="49"/>
        <v>5.0110346444354859E-2</v>
      </c>
      <c r="AH14" s="44">
        <f>U14*AVERAGE(I14:I14)/W14/9.81/水轮机基本参数!B$3</f>
        <v>5.0110346444354859E-2</v>
      </c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</row>
    <row r="15" spans="1:45" s="41" customFormat="1" x14ac:dyDescent="0.15">
      <c r="A15" s="76" t="s">
        <v>234</v>
      </c>
      <c r="B15" s="58" t="s">
        <v>127</v>
      </c>
      <c r="C15" s="81">
        <v>92.441999999999993</v>
      </c>
      <c r="D15" s="56">
        <f t="shared" si="50"/>
        <v>92.441999999999993</v>
      </c>
      <c r="E15" s="50" t="s">
        <v>124</v>
      </c>
      <c r="F15" s="56">
        <v>1.2E-2</v>
      </c>
      <c r="G15" s="56">
        <v>1.2999999999999999E-2</v>
      </c>
      <c r="H15" s="56">
        <v>1.0999999999999999E-2</v>
      </c>
      <c r="I15" s="81">
        <f t="shared" si="51"/>
        <v>75.78</v>
      </c>
      <c r="J15" s="81">
        <f>0.25*PI()*(4.6)^2</f>
        <v>16.619025137490002</v>
      </c>
      <c r="K15" s="56">
        <f t="shared" si="33"/>
        <v>4.5598342485836794</v>
      </c>
      <c r="L15" s="56">
        <f t="shared" si="34"/>
        <v>4.5999999999999996</v>
      </c>
      <c r="M15" s="56"/>
      <c r="N15" s="81">
        <f>0.25*PI()*(4.6)^2</f>
        <v>16.619025137490002</v>
      </c>
      <c r="O15" s="56">
        <f t="shared" si="35"/>
        <v>4.5598342485836794</v>
      </c>
      <c r="P15" s="56">
        <f t="shared" si="36"/>
        <v>4.5999999999999996</v>
      </c>
      <c r="Q15" s="56"/>
      <c r="R15" s="56">
        <f t="shared" si="37"/>
        <v>4.5598342485836794</v>
      </c>
      <c r="S15" s="56">
        <f t="shared" si="38"/>
        <v>16.619025137490002</v>
      </c>
      <c r="T15" s="56">
        <f t="shared" si="39"/>
        <v>1.1499999999999999</v>
      </c>
      <c r="U15" s="74">
        <f t="shared" si="21"/>
        <v>92.441999999999993</v>
      </c>
      <c r="V15" s="56">
        <f t="shared" ref="V15" si="53">D15/S15</f>
        <v>5.5624201320608666</v>
      </c>
      <c r="W15" s="74">
        <f t="shared" si="41"/>
        <v>16.619025137490002</v>
      </c>
      <c r="X15" s="74">
        <f t="shared" si="42"/>
        <v>4.5999999999999996</v>
      </c>
      <c r="Y15" s="74">
        <f t="shared" si="43"/>
        <v>4.5598342485836794</v>
      </c>
      <c r="Z15" s="74">
        <f t="shared" si="44"/>
        <v>1.1499999999999999</v>
      </c>
      <c r="AA15" s="39">
        <f t="shared" si="52"/>
        <v>0.2297203575978084</v>
      </c>
      <c r="AB15" s="39">
        <f t="shared" si="45"/>
        <v>0.26960236412520566</v>
      </c>
      <c r="AC15" s="39">
        <f t="shared" si="46"/>
        <v>0.19302891159260288</v>
      </c>
      <c r="AD15" s="74">
        <f t="shared" si="47"/>
        <v>0.2297203575978084</v>
      </c>
      <c r="AE15" s="74">
        <f t="shared" si="48"/>
        <v>0.2297203575978084</v>
      </c>
      <c r="AF15" s="56">
        <f>D15*I15/S15/9.81/水轮机基本参数!B$3</f>
        <v>0.10230576127556246</v>
      </c>
      <c r="AG15" s="74">
        <f t="shared" si="49"/>
        <v>0.10230576127556246</v>
      </c>
      <c r="AH15" s="74">
        <f>U15*AVERAGE(I15:I15)/W15/9.81/水轮机基本参数!B$3</f>
        <v>0.10230576127556246</v>
      </c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</row>
    <row r="16" spans="1:45" s="48" customFormat="1" x14ac:dyDescent="0.15">
      <c r="A16" s="77" t="s">
        <v>235</v>
      </c>
      <c r="B16" s="43" t="s">
        <v>123</v>
      </c>
      <c r="C16" s="81">
        <v>72.269000000000005</v>
      </c>
      <c r="D16" s="44">
        <f>C16</f>
        <v>72.269000000000005</v>
      </c>
      <c r="E16" s="49" t="s">
        <v>124</v>
      </c>
      <c r="F16" s="44">
        <v>1.2E-2</v>
      </c>
      <c r="G16" s="44">
        <v>1.2999999999999999E-2</v>
      </c>
      <c r="H16" s="44">
        <v>1.0999999999999999E-2</v>
      </c>
      <c r="I16" s="81">
        <f t="shared" si="51"/>
        <v>75.78</v>
      </c>
      <c r="J16" s="81">
        <f>0.25*PI()*(4.6)^2</f>
        <v>16.619025137490002</v>
      </c>
      <c r="K16" s="44">
        <f t="shared" si="33"/>
        <v>4.5598342485836794</v>
      </c>
      <c r="L16" s="44">
        <f t="shared" si="34"/>
        <v>4.5999999999999996</v>
      </c>
      <c r="M16" s="44"/>
      <c r="N16" s="81">
        <f>0.25*PI()*(4.6)^2</f>
        <v>16.619025137490002</v>
      </c>
      <c r="O16" s="44">
        <f t="shared" si="35"/>
        <v>4.5598342485836794</v>
      </c>
      <c r="P16" s="44">
        <f t="shared" si="36"/>
        <v>4.5999999999999996</v>
      </c>
      <c r="Q16" s="44"/>
      <c r="R16" s="44">
        <f t="shared" si="37"/>
        <v>4.5598342485836794</v>
      </c>
      <c r="S16" s="44">
        <f t="shared" si="38"/>
        <v>16.619025137490002</v>
      </c>
      <c r="T16" s="44">
        <f t="shared" si="39"/>
        <v>1.1499999999999999</v>
      </c>
      <c r="U16" s="75">
        <f t="shared" si="21"/>
        <v>72.269000000000005</v>
      </c>
      <c r="V16" s="44">
        <f t="shared" ref="V16:V24" si="54">D16/S16</f>
        <v>4.3485703524794657</v>
      </c>
      <c r="W16" s="75">
        <f t="shared" si="41"/>
        <v>16.619025137490002</v>
      </c>
      <c r="X16" s="75">
        <f t="shared" si="42"/>
        <v>4.5999999999999996</v>
      </c>
      <c r="Y16" s="75">
        <f t="shared" si="43"/>
        <v>4.5598342485836794</v>
      </c>
      <c r="Z16" s="75">
        <f t="shared" si="44"/>
        <v>1.1499999999999999</v>
      </c>
      <c r="AA16" s="46">
        <f t="shared" si="52"/>
        <v>0.17959001885761905</v>
      </c>
      <c r="AB16" s="46">
        <f t="shared" si="45"/>
        <v>0.21076884157595566</v>
      </c>
      <c r="AC16" s="46">
        <f t="shared" si="46"/>
        <v>0.15090550195674929</v>
      </c>
      <c r="AD16" s="75">
        <f t="shared" si="47"/>
        <v>0.17959001885761905</v>
      </c>
      <c r="AE16" s="75">
        <f t="shared" si="48"/>
        <v>0.17959001885761905</v>
      </c>
      <c r="AF16" s="44">
        <f>D16*I16/S16/9.81/水轮机基本参数!B$3</f>
        <v>7.9980258558053949E-2</v>
      </c>
      <c r="AG16" s="75">
        <f t="shared" si="49"/>
        <v>7.9980258558053949E-2</v>
      </c>
      <c r="AH16" s="75">
        <f>U16*AVERAGE(I16:I16)/W16/9.81/水轮机基本参数!B$3</f>
        <v>7.9980258558053949E-2</v>
      </c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</row>
    <row r="17" spans="1:45" s="48" customFormat="1" x14ac:dyDescent="0.15">
      <c r="A17" s="43" t="s">
        <v>231</v>
      </c>
      <c r="B17" s="43" t="s">
        <v>123</v>
      </c>
      <c r="C17" s="81">
        <v>25</v>
      </c>
      <c r="D17" s="44">
        <f t="shared" si="50"/>
        <v>25</v>
      </c>
      <c r="E17" s="49" t="s">
        <v>122</v>
      </c>
      <c r="F17" s="44">
        <v>1.4E-2</v>
      </c>
      <c r="G17" s="44">
        <v>1.6E-2</v>
      </c>
      <c r="H17" s="44">
        <v>1.2E-2</v>
      </c>
      <c r="I17" s="81">
        <f t="shared" ref="I17:I24" si="55">75.78*3</f>
        <v>227.34</v>
      </c>
      <c r="J17" s="81">
        <f>0.25*PI()*(8)^2</f>
        <v>50.26548245743669</v>
      </c>
      <c r="K17" s="44">
        <f t="shared" si="33"/>
        <v>4.5227855953139358</v>
      </c>
      <c r="L17" s="44">
        <f t="shared" si="34"/>
        <v>8</v>
      </c>
      <c r="M17" s="44"/>
      <c r="N17" s="81">
        <f>0.25*PI()*(8)^2</f>
        <v>50.26548245743669</v>
      </c>
      <c r="O17" s="44">
        <f t="shared" si="35"/>
        <v>4.5227855953139358</v>
      </c>
      <c r="P17" s="44">
        <f t="shared" si="36"/>
        <v>8</v>
      </c>
      <c r="Q17" s="44"/>
      <c r="R17" s="44">
        <f t="shared" si="37"/>
        <v>4.5227855953139358</v>
      </c>
      <c r="S17" s="44">
        <f t="shared" si="38"/>
        <v>50.26548245743669</v>
      </c>
      <c r="T17" s="44">
        <f t="shared" si="39"/>
        <v>2</v>
      </c>
      <c r="U17" s="44">
        <f t="shared" si="21"/>
        <v>25</v>
      </c>
      <c r="V17" s="44">
        <f t="shared" si="54"/>
        <v>0.49735919716217292</v>
      </c>
      <c r="W17" s="44">
        <f t="shared" si="41"/>
        <v>50.26548245743669</v>
      </c>
      <c r="X17" s="44">
        <f t="shared" si="42"/>
        <v>8</v>
      </c>
      <c r="Y17" s="44">
        <f t="shared" si="43"/>
        <v>4.5227855953139358</v>
      </c>
      <c r="Z17" s="44">
        <f t="shared" si="44"/>
        <v>2</v>
      </c>
      <c r="AA17" s="46">
        <f t="shared" si="52"/>
        <v>3.9777249836464579E-2</v>
      </c>
      <c r="AB17" s="46">
        <f t="shared" si="45"/>
        <v>5.1953958970076174E-2</v>
      </c>
      <c r="AC17" s="46">
        <f t="shared" si="46"/>
        <v>2.922410192066785E-2</v>
      </c>
      <c r="AD17" s="44">
        <f t="shared" si="47"/>
        <v>3.9777249836464579E-2</v>
      </c>
      <c r="AE17" s="44">
        <f t="shared" si="48"/>
        <v>3.9777249836464579E-2</v>
      </c>
      <c r="AF17" s="44">
        <f>D17*I17/S17/9.81/水轮机基本参数!B$3</f>
        <v>2.7442755177624484E-2</v>
      </c>
      <c r="AG17" s="44">
        <f t="shared" si="49"/>
        <v>2.7442755177624484E-2</v>
      </c>
      <c r="AH17" s="44">
        <f>U17*AVERAGE(I17:I17)/W17/9.81/水轮机基本参数!B$3</f>
        <v>2.7442755177624484E-2</v>
      </c>
      <c r="AI17" s="78"/>
      <c r="AJ17" s="78"/>
      <c r="AK17" s="78"/>
      <c r="AL17" s="78"/>
      <c r="AM17" s="78"/>
      <c r="AN17" s="78"/>
      <c r="AO17" s="78"/>
      <c r="AP17" s="78"/>
      <c r="AQ17" s="78"/>
      <c r="AR17" s="78"/>
      <c r="AS17" s="78"/>
    </row>
    <row r="18" spans="1:45" s="41" customFormat="1" x14ac:dyDescent="0.15">
      <c r="A18" s="143" t="s">
        <v>232</v>
      </c>
      <c r="B18" s="58" t="s">
        <v>123</v>
      </c>
      <c r="C18" s="81">
        <v>685.4</v>
      </c>
      <c r="D18" s="56">
        <f t="shared" si="50"/>
        <v>685.4</v>
      </c>
      <c r="E18" s="50" t="s">
        <v>122</v>
      </c>
      <c r="F18" s="56">
        <v>1.4E-2</v>
      </c>
      <c r="G18" s="56">
        <v>1.6E-2</v>
      </c>
      <c r="H18" s="56">
        <v>1.2E-2</v>
      </c>
      <c r="I18" s="81">
        <f t="shared" si="55"/>
        <v>227.34</v>
      </c>
      <c r="J18" s="81">
        <f>0.25*PI()*(8)^2</f>
        <v>50.26548245743669</v>
      </c>
      <c r="K18" s="56">
        <f t="shared" si="33"/>
        <v>4.5227855953139358</v>
      </c>
      <c r="L18" s="56">
        <f t="shared" si="34"/>
        <v>8</v>
      </c>
      <c r="M18" s="56"/>
      <c r="N18" s="81">
        <f>0.25*PI()*(8)^2</f>
        <v>50.26548245743669</v>
      </c>
      <c r="O18" s="56">
        <f t="shared" si="35"/>
        <v>4.5227855953139358</v>
      </c>
      <c r="P18" s="56">
        <f t="shared" si="36"/>
        <v>8</v>
      </c>
      <c r="Q18" s="56"/>
      <c r="R18" s="56">
        <f t="shared" si="37"/>
        <v>4.5227855953139358</v>
      </c>
      <c r="S18" s="56">
        <f t="shared" si="38"/>
        <v>50.26548245743669</v>
      </c>
      <c r="T18" s="56">
        <f t="shared" si="39"/>
        <v>2</v>
      </c>
      <c r="U18" s="137">
        <f>SUM(D18:D20)</f>
        <v>704</v>
      </c>
      <c r="V18" s="56">
        <f t="shared" si="54"/>
        <v>13.635599749398134</v>
      </c>
      <c r="W18" s="137">
        <f>U18/SUM(V18:V20)</f>
        <v>50.377157524091714</v>
      </c>
      <c r="X18" s="137">
        <f t="shared" si="42"/>
        <v>8.0088818889421827</v>
      </c>
      <c r="Y18" s="137">
        <f>AVERAGE(I18:I20)/W18</f>
        <v>4.5127595754341616</v>
      </c>
      <c r="Z18" s="137">
        <f t="shared" si="44"/>
        <v>2.0022204722355457</v>
      </c>
      <c r="AA18" s="39">
        <f t="shared" si="52"/>
        <v>1.0905330815165128</v>
      </c>
      <c r="AB18" s="39">
        <f t="shared" si="45"/>
        <v>1.4243697391236088</v>
      </c>
      <c r="AC18" s="39">
        <f t="shared" si="46"/>
        <v>0.80120797825702983</v>
      </c>
      <c r="AD18" s="137">
        <f>SUM(AA18:AA20)</f>
        <v>1.1140048674939018</v>
      </c>
      <c r="AE18" s="137">
        <f>AVERAGE(F18:F20)^2*U18*(AVERAGE(I18:I20))^2/(Z18^(4/3)*W18^2)</f>
        <v>1.1135180461658007</v>
      </c>
      <c r="AF18" s="56">
        <f>D18*I18/S18/9.81/水轮机基本参数!B$3</f>
        <v>0.75237057594975287</v>
      </c>
      <c r="AG18" s="137">
        <f>SUM(AF18:AF20)</f>
        <v>0.77107488498268273</v>
      </c>
      <c r="AH18" s="137">
        <f>U18*AVERAGE(I18:I20)/W18/9.81/水轮机基本参数!B$3</f>
        <v>0.77107488498268273</v>
      </c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</row>
    <row r="19" spans="1:45" s="41" customFormat="1" x14ac:dyDescent="0.15">
      <c r="A19" s="138"/>
      <c r="B19" s="58" t="s">
        <v>341</v>
      </c>
      <c r="C19" s="56">
        <v>12</v>
      </c>
      <c r="D19" s="56">
        <f t="shared" si="50"/>
        <v>12</v>
      </c>
      <c r="E19" s="50" t="s">
        <v>122</v>
      </c>
      <c r="F19" s="56">
        <v>1.4E-2</v>
      </c>
      <c r="G19" s="56">
        <v>1.6E-2</v>
      </c>
      <c r="H19" s="56">
        <v>1.2E-2</v>
      </c>
      <c r="I19" s="81">
        <f t="shared" si="55"/>
        <v>227.34</v>
      </c>
      <c r="J19" s="81">
        <f>0.25*PI()*(8)^2</f>
        <v>50.26548245743669</v>
      </c>
      <c r="K19" s="56">
        <f t="shared" si="33"/>
        <v>4.5227855953139358</v>
      </c>
      <c r="L19" s="56">
        <f t="shared" si="34"/>
        <v>8</v>
      </c>
      <c r="M19" s="56"/>
      <c r="N19" s="81">
        <f>8*4+0.5*PI()*(8/2)^2</f>
        <v>57.132741228718345</v>
      </c>
      <c r="O19" s="56">
        <f t="shared" si="35"/>
        <v>3.9791544237286707</v>
      </c>
      <c r="P19" s="56">
        <f t="shared" si="36"/>
        <v>8.5289897075518386</v>
      </c>
      <c r="Q19" s="56"/>
      <c r="R19" s="56">
        <f t="shared" si="37"/>
        <v>4.2509700095213034</v>
      </c>
      <c r="S19" s="56">
        <f t="shared" si="38"/>
        <v>53.699111843077517</v>
      </c>
      <c r="T19" s="56">
        <f t="shared" si="39"/>
        <v>2.0671815461480789</v>
      </c>
      <c r="U19" s="138"/>
      <c r="V19" s="56">
        <f t="shared" si="54"/>
        <v>0.22346738313041484</v>
      </c>
      <c r="W19" s="138"/>
      <c r="X19" s="138"/>
      <c r="Y19" s="138"/>
      <c r="Z19" s="138"/>
      <c r="AA19" s="39">
        <f t="shared" si="52"/>
        <v>1.6008476301705574E-2</v>
      </c>
      <c r="AB19" s="39">
        <f t="shared" si="45"/>
        <v>2.0909030271615441E-2</v>
      </c>
      <c r="AC19" s="39">
        <f t="shared" si="46"/>
        <v>1.1761329527783686E-2</v>
      </c>
      <c r="AD19" s="138"/>
      <c r="AE19" s="138"/>
      <c r="AF19" s="56">
        <f>D19*I19/S19/9.81/水轮机基本参数!B$3</f>
        <v>1.2330244862110701E-2</v>
      </c>
      <c r="AG19" s="138"/>
      <c r="AH19" s="138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</row>
    <row r="20" spans="1:45" s="41" customFormat="1" x14ac:dyDescent="0.15">
      <c r="A20" s="138"/>
      <c r="B20" s="58" t="s">
        <v>123</v>
      </c>
      <c r="C20" s="81">
        <v>6.6</v>
      </c>
      <c r="D20" s="56">
        <f t="shared" si="50"/>
        <v>6.6</v>
      </c>
      <c r="E20" s="50" t="s">
        <v>122</v>
      </c>
      <c r="F20" s="56">
        <v>1.4E-2</v>
      </c>
      <c r="G20" s="56">
        <v>1.6E-2</v>
      </c>
      <c r="H20" s="56">
        <v>1.2E-2</v>
      </c>
      <c r="I20" s="81">
        <f t="shared" si="55"/>
        <v>227.34</v>
      </c>
      <c r="J20" s="81">
        <f>8*4+0.5*PI()*(8/2)^2</f>
        <v>57.132741228718345</v>
      </c>
      <c r="K20" s="56">
        <f t="shared" si="33"/>
        <v>3.9791544237286707</v>
      </c>
      <c r="L20" s="56">
        <f t="shared" si="34"/>
        <v>8.5289897075518386</v>
      </c>
      <c r="M20" s="56"/>
      <c r="N20" s="81">
        <f>8*4+0.5*PI()*(8/2)^2</f>
        <v>57.132741228718345</v>
      </c>
      <c r="O20" s="56">
        <f t="shared" si="35"/>
        <v>3.9791544237286707</v>
      </c>
      <c r="P20" s="56">
        <f t="shared" si="36"/>
        <v>8.5289897075518386</v>
      </c>
      <c r="Q20" s="56"/>
      <c r="R20" s="56">
        <f t="shared" si="37"/>
        <v>3.9791544237286707</v>
      </c>
      <c r="S20" s="56">
        <f t="shared" si="38"/>
        <v>57.132741228718345</v>
      </c>
      <c r="T20" s="56">
        <f t="shared" si="39"/>
        <v>2.1322474268879597</v>
      </c>
      <c r="U20" s="138"/>
      <c r="V20" s="56">
        <f t="shared" si="54"/>
        <v>0.11552045041175871</v>
      </c>
      <c r="W20" s="138"/>
      <c r="X20" s="138"/>
      <c r="Y20" s="138"/>
      <c r="Z20" s="138"/>
      <c r="AA20" s="39">
        <f t="shared" si="52"/>
        <v>7.4633096756834133E-3</v>
      </c>
      <c r="AB20" s="39">
        <f t="shared" si="45"/>
        <v>9.7479963110967023E-3</v>
      </c>
      <c r="AC20" s="39">
        <f t="shared" si="46"/>
        <v>5.4832479249918957E-3</v>
      </c>
      <c r="AD20" s="138"/>
      <c r="AE20" s="138"/>
      <c r="AF20" s="56">
        <f>D20*I20/S20/9.81/水轮机基本参数!B$3</f>
        <v>6.37406417081919E-3</v>
      </c>
      <c r="AG20" s="138"/>
      <c r="AH20" s="138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</row>
    <row r="21" spans="1:45" s="48" customFormat="1" x14ac:dyDescent="0.15">
      <c r="A21" s="144" t="s">
        <v>233</v>
      </c>
      <c r="B21" s="43" t="s">
        <v>123</v>
      </c>
      <c r="C21" s="81">
        <v>60</v>
      </c>
      <c r="D21" s="44">
        <f t="shared" si="50"/>
        <v>60</v>
      </c>
      <c r="E21" s="49" t="s">
        <v>122</v>
      </c>
      <c r="F21" s="44">
        <v>1.4E-2</v>
      </c>
      <c r="G21" s="44">
        <v>1.6E-2</v>
      </c>
      <c r="H21" s="44">
        <v>1.2E-2</v>
      </c>
      <c r="I21" s="81">
        <f t="shared" si="55"/>
        <v>227.34</v>
      </c>
      <c r="J21" s="81">
        <f>8*4+0.5*PI()*(8/2)^2</f>
        <v>57.132741228718345</v>
      </c>
      <c r="K21" s="44">
        <f t="shared" si="33"/>
        <v>3.9791544237286707</v>
      </c>
      <c r="L21" s="44">
        <f t="shared" si="34"/>
        <v>8.5289897075518386</v>
      </c>
      <c r="M21" s="44"/>
      <c r="N21" s="81">
        <f>8*4+0.5*PI()*(8/2)^2</f>
        <v>57.132741228718345</v>
      </c>
      <c r="O21" s="44">
        <f t="shared" si="35"/>
        <v>3.9791544237286707</v>
      </c>
      <c r="P21" s="44">
        <f t="shared" si="36"/>
        <v>8.5289897075518386</v>
      </c>
      <c r="Q21" s="44"/>
      <c r="R21" s="44">
        <f t="shared" si="37"/>
        <v>3.9791544237286707</v>
      </c>
      <c r="S21" s="44">
        <f t="shared" si="38"/>
        <v>57.132741228718345</v>
      </c>
      <c r="T21" s="44">
        <f t="shared" si="39"/>
        <v>2.1322474268879597</v>
      </c>
      <c r="U21" s="141">
        <f>SUM(D21:D24)</f>
        <v>127.21000000000001</v>
      </c>
      <c r="V21" s="44">
        <f t="shared" si="54"/>
        <v>1.0501859128341702</v>
      </c>
      <c r="W21" s="141">
        <f>U21/SUM(V21:V24)</f>
        <v>87.804622835637531</v>
      </c>
      <c r="X21" s="141">
        <f>Z21*4</f>
        <v>10.573377795429888</v>
      </c>
      <c r="Y21" s="141">
        <f>AVERAGE(I21:I24)/W21</f>
        <v>2.589157525630061</v>
      </c>
      <c r="Z21" s="141">
        <f>SQRT(W21/PI())/2</f>
        <v>2.643344448857472</v>
      </c>
      <c r="AA21" s="46">
        <f t="shared" si="52"/>
        <v>6.7848269778940123E-2</v>
      </c>
      <c r="AB21" s="46">
        <f t="shared" si="45"/>
        <v>8.861814828269729E-2</v>
      </c>
      <c r="AC21" s="46">
        <f t="shared" si="46"/>
        <v>4.9847708409017234E-2</v>
      </c>
      <c r="AD21" s="141">
        <f>SUM(AA21:AA24)</f>
        <v>8.0545349845432837E-2</v>
      </c>
      <c r="AE21" s="145">
        <f>AVERAGE(F21:F24)^2*U21*(AVERAGE(I21:I24))^2/(Z21^(4/3)*W21^2)</f>
        <v>4.5732252571947546E-2</v>
      </c>
      <c r="AF21" s="44">
        <f>D21*I21/S21/9.81/水轮机基本参数!B$3</f>
        <v>5.7946037916538087E-2</v>
      </c>
      <c r="AG21" s="141">
        <f>SUM(AF21:AF24)</f>
        <v>7.9939500227027796E-2</v>
      </c>
      <c r="AH21" s="141">
        <f>U21*AVERAGE(I21:I24)/W21/9.81/水轮机基本参数!B$3</f>
        <v>7.9939500227027824E-2</v>
      </c>
    </row>
    <row r="22" spans="1:45" s="48" customFormat="1" x14ac:dyDescent="0.15">
      <c r="A22" s="140"/>
      <c r="B22" s="43" t="s">
        <v>206</v>
      </c>
      <c r="C22" s="81">
        <v>12</v>
      </c>
      <c r="D22" s="44">
        <f t="shared" si="50"/>
        <v>12</v>
      </c>
      <c r="E22" s="49" t="s">
        <v>122</v>
      </c>
      <c r="F22" s="44">
        <v>1.4E-2</v>
      </c>
      <c r="G22" s="44">
        <v>1.6E-2</v>
      </c>
      <c r="H22" s="44">
        <v>1.2E-2</v>
      </c>
      <c r="I22" s="81">
        <f t="shared" si="55"/>
        <v>227.34</v>
      </c>
      <c r="J22" s="81">
        <f>8*4+0.5*PI()*(8/2)^2</f>
        <v>57.132741228718345</v>
      </c>
      <c r="K22" s="44">
        <f t="shared" si="33"/>
        <v>3.9791544237286707</v>
      </c>
      <c r="L22" s="44">
        <f t="shared" si="34"/>
        <v>8.5289897075518386</v>
      </c>
      <c r="M22" s="44"/>
      <c r="N22" s="81">
        <f>8*8</f>
        <v>64</v>
      </c>
      <c r="O22" s="44">
        <f t="shared" si="35"/>
        <v>3.5521875000000001</v>
      </c>
      <c r="P22" s="44">
        <f t="shared" si="36"/>
        <v>9.0270333367641005</v>
      </c>
      <c r="Q22" s="44"/>
      <c r="R22" s="44">
        <f t="shared" si="37"/>
        <v>3.7656709618643354</v>
      </c>
      <c r="S22" s="44">
        <f t="shared" si="38"/>
        <v>60.566370614359172</v>
      </c>
      <c r="T22" s="44">
        <f t="shared" si="39"/>
        <v>2.1953857597710451</v>
      </c>
      <c r="U22" s="140"/>
      <c r="V22" s="44">
        <f t="shared" si="54"/>
        <v>0.19812975217562434</v>
      </c>
      <c r="W22" s="140"/>
      <c r="X22" s="140"/>
      <c r="Y22" s="140"/>
      <c r="Z22" s="140"/>
      <c r="AA22" s="46">
        <f t="shared" si="52"/>
        <v>1.1613901510969785E-2</v>
      </c>
      <c r="AB22" s="46">
        <f t="shared" si="45"/>
        <v>1.5169177483715638E-2</v>
      </c>
      <c r="AC22" s="46">
        <f t="shared" si="46"/>
        <v>8.5326623345900465E-3</v>
      </c>
      <c r="AD22" s="140"/>
      <c r="AE22" s="146"/>
      <c r="AF22" s="44">
        <f>D22*I22/S22/9.81/水轮机基本参数!B$3</f>
        <v>1.0932192092521342E-2</v>
      </c>
      <c r="AG22" s="140"/>
      <c r="AH22" s="140"/>
    </row>
    <row r="23" spans="1:45" s="48" customFormat="1" x14ac:dyDescent="0.15">
      <c r="A23" s="140"/>
      <c r="B23" s="77" t="s">
        <v>207</v>
      </c>
      <c r="C23" s="81">
        <v>15.21</v>
      </c>
      <c r="D23" s="75">
        <f t="shared" si="50"/>
        <v>15.21</v>
      </c>
      <c r="E23" s="49" t="s">
        <v>122</v>
      </c>
      <c r="F23" s="75">
        <v>1.4E-2</v>
      </c>
      <c r="G23" s="75">
        <v>1.6E-2</v>
      </c>
      <c r="H23" s="75">
        <v>1.2E-2</v>
      </c>
      <c r="I23" s="81">
        <f t="shared" si="55"/>
        <v>227.34</v>
      </c>
      <c r="J23" s="81">
        <f>8*8</f>
        <v>64</v>
      </c>
      <c r="K23" s="75">
        <f t="shared" si="33"/>
        <v>3.5521875000000001</v>
      </c>
      <c r="L23" s="75">
        <f t="shared" si="34"/>
        <v>9.0270333367641005</v>
      </c>
      <c r="M23" s="75"/>
      <c r="N23" s="81">
        <f>4*6.8*12</f>
        <v>326.39999999999998</v>
      </c>
      <c r="O23" s="75">
        <f t="shared" ref="O23" si="56">I23/N23</f>
        <v>0.69650735294117649</v>
      </c>
      <c r="P23" s="75">
        <f t="shared" ref="P23" si="57">SQRT(4*N23/PI())</f>
        <v>20.385911493027656</v>
      </c>
      <c r="Q23" s="75"/>
      <c r="R23" s="75">
        <f t="shared" ref="R23" si="58">(K23+O23)/2</f>
        <v>2.1243474264705884</v>
      </c>
      <c r="S23" s="75">
        <f t="shared" ref="S23" si="59">(J23+N23)/2</f>
        <v>195.2</v>
      </c>
      <c r="T23" s="75">
        <f t="shared" ref="T23" si="60">SQRT(S23/PI())/2</f>
        <v>3.9412589924754986</v>
      </c>
      <c r="U23" s="140"/>
      <c r="V23" s="75">
        <f t="shared" si="54"/>
        <v>7.7920081967213117E-2</v>
      </c>
      <c r="W23" s="140"/>
      <c r="X23" s="140"/>
      <c r="Y23" s="140"/>
      <c r="Z23" s="140"/>
      <c r="AA23" s="46">
        <f t="shared" ref="AA23" si="61">F23^2*D23*(I23)^2/(T23^(4/3)*S23^2)</f>
        <v>6.4952729166083524E-4</v>
      </c>
      <c r="AB23" s="46">
        <f t="shared" ref="AB23" si="62">G23^2*D23*(I23)^2/(T23^(4/3)*S23^2)</f>
        <v>8.4836217686313153E-4</v>
      </c>
      <c r="AC23" s="46">
        <f t="shared" ref="AC23" si="63">H23^2*D23*(I23)^2/(T23^(4/3)*S23^2)</f>
        <v>4.7720372448551145E-4</v>
      </c>
      <c r="AD23" s="140"/>
      <c r="AE23" s="146"/>
      <c r="AF23" s="75">
        <f>D23*I23/S23/9.81/水轮机基本参数!B$3</f>
        <v>4.2993911544163465E-3</v>
      </c>
      <c r="AG23" s="140"/>
      <c r="AH23" s="140"/>
    </row>
    <row r="24" spans="1:45" s="48" customFormat="1" x14ac:dyDescent="0.15">
      <c r="A24" s="140"/>
      <c r="B24" s="43" t="s">
        <v>14</v>
      </c>
      <c r="C24" s="81">
        <v>40</v>
      </c>
      <c r="D24" s="44">
        <f t="shared" si="50"/>
        <v>40</v>
      </c>
      <c r="E24" s="49" t="s">
        <v>122</v>
      </c>
      <c r="F24" s="44">
        <v>1.4E-2</v>
      </c>
      <c r="G24" s="44">
        <v>1.6E-2</v>
      </c>
      <c r="H24" s="44">
        <v>1.2E-2</v>
      </c>
      <c r="I24" s="81">
        <f t="shared" si="55"/>
        <v>227.34</v>
      </c>
      <c r="J24" s="81">
        <f>4*6.8*12</f>
        <v>326.39999999999998</v>
      </c>
      <c r="K24" s="44">
        <f t="shared" si="33"/>
        <v>0.69650735294117649</v>
      </c>
      <c r="L24" s="44">
        <f t="shared" si="34"/>
        <v>20.385911493027656</v>
      </c>
      <c r="M24" s="44"/>
      <c r="N24" s="81">
        <f>4*6.8*12</f>
        <v>326.39999999999998</v>
      </c>
      <c r="O24" s="44">
        <f t="shared" si="35"/>
        <v>0.69650735294117649</v>
      </c>
      <c r="P24" s="44">
        <f t="shared" si="36"/>
        <v>20.385911493027656</v>
      </c>
      <c r="Q24" s="44"/>
      <c r="R24" s="44">
        <f t="shared" si="37"/>
        <v>0.69650735294117649</v>
      </c>
      <c r="S24" s="44">
        <f t="shared" si="38"/>
        <v>326.39999999999998</v>
      </c>
      <c r="T24" s="44">
        <f t="shared" si="39"/>
        <v>5.096477873256914</v>
      </c>
      <c r="U24" s="140"/>
      <c r="V24" s="44">
        <f t="shared" si="54"/>
        <v>0.12254901960784315</v>
      </c>
      <c r="W24" s="140"/>
      <c r="X24" s="140"/>
      <c r="Y24" s="140"/>
      <c r="Z24" s="140"/>
      <c r="AA24" s="46">
        <f t="shared" si="52"/>
        <v>4.3365126386209262E-4</v>
      </c>
      <c r="AB24" s="46">
        <f t="shared" si="45"/>
        <v>5.6640165075865152E-4</v>
      </c>
      <c r="AC24" s="46">
        <f t="shared" si="46"/>
        <v>3.1860092855174151E-4</v>
      </c>
      <c r="AD24" s="140"/>
      <c r="AE24" s="146"/>
      <c r="AF24" s="44">
        <f>D24*I24/S24/9.81/水轮机基本参数!B$3</f>
        <v>6.7618790635520266E-3</v>
      </c>
      <c r="AG24" s="140"/>
      <c r="AH24" s="140"/>
    </row>
    <row r="25" spans="1:45" x14ac:dyDescent="0.15">
      <c r="C25" s="17">
        <f>SUM(C2:C24)</f>
        <v>2822.5472</v>
      </c>
      <c r="AD25" s="17">
        <f>SUM(AD2:AD24)</f>
        <v>9.9401901469809371</v>
      </c>
      <c r="AE25" s="17">
        <f>SUM(AE2:AE24)</f>
        <v>9.8697288754532959</v>
      </c>
      <c r="AG25" s="17">
        <f>SUM(AG2:AG13)</f>
        <v>2.275715431954215</v>
      </c>
      <c r="AH25" s="17">
        <f>SUM(AG2:AG8)</f>
        <v>1.5693853915454481</v>
      </c>
    </row>
    <row r="26" spans="1:45" x14ac:dyDescent="0.15">
      <c r="D26" s="17">
        <f>SUM(C2:C13)</f>
        <v>1781.4741999999999</v>
      </c>
      <c r="E26" s="17">
        <f>SUM(C14:C24)</f>
        <v>1041.0729999999999</v>
      </c>
      <c r="AD26" s="17">
        <v>4.6324253180004131</v>
      </c>
      <c r="AG26" s="17">
        <f>SUM(AG14:AG17)</f>
        <v>0.25983912145559573</v>
      </c>
      <c r="AH26" s="17">
        <f>SUM(AG10:AG13)</f>
        <v>0.70633004040876679</v>
      </c>
    </row>
    <row r="27" spans="1:45" x14ac:dyDescent="0.15">
      <c r="AD27" s="17">
        <f>SUM(AD25:AD26)</f>
        <v>14.57261546498135</v>
      </c>
      <c r="AG27" s="17">
        <f>SUM(AG17:AG21)</f>
        <v>0.87845714038733502</v>
      </c>
    </row>
    <row r="29" spans="1:45" x14ac:dyDescent="0.15">
      <c r="AG29" s="17">
        <f>SUM(AG25:AG26)</f>
        <v>2.5355545534098107</v>
      </c>
      <c r="AH29" s="17">
        <v>9.8810000000000002</v>
      </c>
      <c r="AI29" s="17">
        <f>SUM(AG29/AH29)</f>
        <v>0.25660910367471013</v>
      </c>
    </row>
    <row r="30" spans="1:45" x14ac:dyDescent="0.15">
      <c r="B30" s="87"/>
      <c r="C30" s="89" t="s">
        <v>196</v>
      </c>
      <c r="D30" s="89" t="s">
        <v>197</v>
      </c>
      <c r="E30" s="89" t="s">
        <v>199</v>
      </c>
    </row>
    <row r="31" spans="1:45" x14ac:dyDescent="0.15">
      <c r="B31" s="90" t="s">
        <v>195</v>
      </c>
      <c r="C31" s="88">
        <v>85.426000000000002</v>
      </c>
      <c r="D31" s="88">
        <v>45</v>
      </c>
      <c r="E31" s="88">
        <v>67.093000000000004</v>
      </c>
    </row>
    <row r="32" spans="1:45" ht="14.25" thickBot="1" x14ac:dyDescent="0.2">
      <c r="B32" s="90" t="s">
        <v>198</v>
      </c>
      <c r="D32" s="88"/>
      <c r="E32" s="88">
        <v>132.589</v>
      </c>
    </row>
    <row r="33" spans="2:36" ht="16.5" thickTop="1" thickBot="1" x14ac:dyDescent="0.2">
      <c r="B33" s="90" t="s">
        <v>200</v>
      </c>
      <c r="C33" s="17">
        <v>87.138000000000005</v>
      </c>
      <c r="D33" s="88">
        <v>45</v>
      </c>
      <c r="E33" s="88">
        <v>68.438000000000002</v>
      </c>
      <c r="AG33" s="61">
        <v>1.7430000000000001</v>
      </c>
      <c r="AH33" s="61">
        <v>0.26100000000000001</v>
      </c>
      <c r="AI33" s="62">
        <v>0.68100000000000005</v>
      </c>
      <c r="AJ33" s="17">
        <f>SUM(AG33:AI33)</f>
        <v>2.6850000000000001</v>
      </c>
    </row>
    <row r="34" spans="2:36" ht="15.75" thickBot="1" x14ac:dyDescent="0.2">
      <c r="B34" s="90" t="s">
        <v>201</v>
      </c>
      <c r="C34" s="88"/>
      <c r="D34" s="88"/>
      <c r="E34" s="88">
        <v>465.17200000000003</v>
      </c>
      <c r="AG34" s="63">
        <v>1.7549999999999999</v>
      </c>
      <c r="AH34" s="63">
        <v>0.253</v>
      </c>
      <c r="AI34" s="64">
        <v>0.68100000000000005</v>
      </c>
      <c r="AJ34" s="17">
        <f t="shared" ref="AJ34:AJ36" si="64">SUM(AG34:AI34)</f>
        <v>2.6890000000000001</v>
      </c>
    </row>
    <row r="35" spans="2:36" ht="15.75" thickBot="1" x14ac:dyDescent="0.2">
      <c r="B35" s="90" t="s">
        <v>202</v>
      </c>
      <c r="C35" s="88">
        <v>52.12</v>
      </c>
      <c r="D35" s="88">
        <v>45</v>
      </c>
      <c r="E35" s="88">
        <v>40.935000000000002</v>
      </c>
      <c r="AG35" s="63">
        <v>1.81</v>
      </c>
      <c r="AH35" s="63">
        <v>0.26100000000000001</v>
      </c>
      <c r="AI35" s="64">
        <v>0.67300000000000004</v>
      </c>
      <c r="AJ35" s="17">
        <f t="shared" si="64"/>
        <v>2.7440000000000002</v>
      </c>
    </row>
    <row r="36" spans="2:36" ht="15.75" thickBot="1" x14ac:dyDescent="0.2">
      <c r="B36" s="90" t="s">
        <v>203</v>
      </c>
      <c r="C36" s="88"/>
      <c r="D36" s="88"/>
      <c r="E36" s="88">
        <v>268.76600000000002</v>
      </c>
      <c r="AG36" s="65">
        <v>1.8220000000000001</v>
      </c>
      <c r="AH36" s="65">
        <v>0.253</v>
      </c>
      <c r="AI36" s="66">
        <v>0.67300000000000004</v>
      </c>
      <c r="AJ36" s="17">
        <f t="shared" si="64"/>
        <v>2.7480000000000002</v>
      </c>
    </row>
    <row r="37" spans="2:36" ht="14.25" thickTop="1" x14ac:dyDescent="0.15">
      <c r="B37" s="90" t="s">
        <v>204</v>
      </c>
      <c r="C37" s="88">
        <v>52.12</v>
      </c>
      <c r="D37" s="88">
        <v>45</v>
      </c>
      <c r="E37" s="88">
        <v>40.935000000000002</v>
      </c>
      <c r="F37" s="17">
        <f>SUM(E31:E37)</f>
        <v>1083.9280000000001</v>
      </c>
    </row>
    <row r="38" spans="2:36" x14ac:dyDescent="0.15">
      <c r="B38" s="90" t="s">
        <v>223</v>
      </c>
      <c r="C38" s="88">
        <v>42.411000000000001</v>
      </c>
      <c r="D38" s="88">
        <v>100</v>
      </c>
      <c r="E38" s="88">
        <v>74.021000000000001</v>
      </c>
    </row>
    <row r="39" spans="2:36" x14ac:dyDescent="0.15">
      <c r="B39" s="87"/>
      <c r="C39" s="88"/>
      <c r="D39" s="88"/>
      <c r="E39" s="88"/>
    </row>
    <row r="40" spans="2:36" x14ac:dyDescent="0.15">
      <c r="B40" s="87"/>
      <c r="C40" s="88"/>
      <c r="D40" s="88"/>
      <c r="E40" s="88"/>
    </row>
    <row r="41" spans="2:36" x14ac:dyDescent="0.15">
      <c r="B41" s="87"/>
      <c r="C41" s="88"/>
      <c r="D41" s="88"/>
      <c r="E41" s="88"/>
    </row>
  </sheetData>
  <mergeCells count="41">
    <mergeCell ref="AD2:AD5"/>
    <mergeCell ref="AE2:AE5"/>
    <mergeCell ref="AG2:AG5"/>
    <mergeCell ref="AH2:AH5"/>
    <mergeCell ref="A6:A8"/>
    <mergeCell ref="U6:U8"/>
    <mergeCell ref="W6:W8"/>
    <mergeCell ref="X6:X8"/>
    <mergeCell ref="Y6:Y8"/>
    <mergeCell ref="Z6:Z8"/>
    <mergeCell ref="A2:A5"/>
    <mergeCell ref="U2:U5"/>
    <mergeCell ref="W2:W5"/>
    <mergeCell ref="X2:X5"/>
    <mergeCell ref="Y2:Y5"/>
    <mergeCell ref="Z2:Z5"/>
    <mergeCell ref="AD6:AD8"/>
    <mergeCell ref="AE6:AE8"/>
    <mergeCell ref="AG6:AG8"/>
    <mergeCell ref="AH6:AH8"/>
    <mergeCell ref="A18:A20"/>
    <mergeCell ref="U18:U20"/>
    <mergeCell ref="W18:W20"/>
    <mergeCell ref="X18:X20"/>
    <mergeCell ref="Y18:Y20"/>
    <mergeCell ref="Z18:Z20"/>
    <mergeCell ref="AD18:AD20"/>
    <mergeCell ref="A9:A10"/>
    <mergeCell ref="AE21:AE24"/>
    <mergeCell ref="AG21:AG24"/>
    <mergeCell ref="AH21:AH24"/>
    <mergeCell ref="AE18:AE20"/>
    <mergeCell ref="AG18:AG20"/>
    <mergeCell ref="AH18:AH20"/>
    <mergeCell ref="Z21:Z24"/>
    <mergeCell ref="AD21:AD24"/>
    <mergeCell ref="A21:A24"/>
    <mergeCell ref="U21:U24"/>
    <mergeCell ref="W21:W24"/>
    <mergeCell ref="X21:X24"/>
    <mergeCell ref="Y21:Y24"/>
  </mergeCells>
  <phoneticPr fontId="10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R34"/>
  <sheetViews>
    <sheetView topLeftCell="D7" workbookViewId="0">
      <selection activeCell="O13" sqref="O13"/>
    </sheetView>
  </sheetViews>
  <sheetFormatPr defaultRowHeight="13.5" x14ac:dyDescent="0.15"/>
  <cols>
    <col min="1" max="1" width="44.75" style="7" customWidth="1"/>
    <col min="2" max="2" width="16.25" style="7" customWidth="1"/>
    <col min="3" max="3" width="15.125" style="7" customWidth="1"/>
    <col min="4" max="4" width="15.25" style="18" bestFit="1" customWidth="1"/>
    <col min="5" max="5" width="13.875" style="14" bestFit="1" customWidth="1"/>
    <col min="6" max="6" width="12.75" style="14" customWidth="1"/>
    <col min="7" max="7" width="54.75" style="18" customWidth="1"/>
    <col min="8" max="9" width="10.875" style="18" customWidth="1"/>
    <col min="10" max="10" width="10.125" style="18" customWidth="1"/>
    <col min="11" max="11" width="9" style="18"/>
    <col min="12" max="12" width="8.5" style="18" bestFit="1" customWidth="1"/>
    <col min="13" max="13" width="8.375" style="18" customWidth="1"/>
    <col min="14" max="17" width="9" style="18"/>
    <col min="18" max="18" width="12.75" style="102" bestFit="1" customWidth="1"/>
    <col min="19" max="16384" width="9" style="18"/>
  </cols>
  <sheetData>
    <row r="1" spans="1:18" s="6" customFormat="1" ht="54" x14ac:dyDescent="0.15">
      <c r="A1" s="6" t="s">
        <v>0</v>
      </c>
      <c r="B1" s="6" t="s">
        <v>7</v>
      </c>
      <c r="C1" s="6" t="s">
        <v>20</v>
      </c>
      <c r="D1" s="6" t="s">
        <v>13</v>
      </c>
      <c r="E1" s="26" t="s">
        <v>133</v>
      </c>
      <c r="F1" s="26" t="s">
        <v>134</v>
      </c>
      <c r="G1" s="6" t="s">
        <v>96</v>
      </c>
      <c r="H1" s="25" t="s">
        <v>135</v>
      </c>
      <c r="I1" s="25" t="s">
        <v>136</v>
      </c>
      <c r="J1" s="25" t="s">
        <v>137</v>
      </c>
      <c r="K1" s="25" t="s">
        <v>138</v>
      </c>
      <c r="L1" s="25" t="s">
        <v>139</v>
      </c>
      <c r="M1" s="25" t="s">
        <v>140</v>
      </c>
      <c r="N1" s="27" t="s">
        <v>141</v>
      </c>
      <c r="O1" s="27" t="s">
        <v>142</v>
      </c>
      <c r="R1" s="100"/>
    </row>
    <row r="2" spans="1:18" s="21" customFormat="1" x14ac:dyDescent="0.15">
      <c r="A2" s="163" t="s">
        <v>121</v>
      </c>
      <c r="B2" s="60" t="s">
        <v>3</v>
      </c>
      <c r="C2" s="60" t="s">
        <v>21</v>
      </c>
      <c r="D2" s="21" t="s">
        <v>14</v>
      </c>
      <c r="E2" s="22">
        <f>2.42*(0.01/0.18)^(4/3)*SIN(90/180*PI())</f>
        <v>5.1300156795908589E-2</v>
      </c>
      <c r="F2" s="22">
        <f>2.42*(0.01/0.18)^(4/3)*SIN(90/180*PI())</f>
        <v>5.1300156795908589E-2</v>
      </c>
      <c r="G2" s="24" t="s">
        <v>130</v>
      </c>
      <c r="H2" s="81">
        <f>'4#机 沿程水头损失及Tw'!R2</f>
        <v>0.59700630252100839</v>
      </c>
      <c r="I2" s="83">
        <f>'4#机 沿程水头损失及Tw'!R2</f>
        <v>0.59700630252100839</v>
      </c>
      <c r="J2" s="21">
        <f t="shared" ref="J2:J13" si="0">E2*H2^2/2/9.8</f>
        <v>9.3286855254938504E-4</v>
      </c>
      <c r="K2" s="21">
        <f t="shared" ref="K2:K13" si="1">F2*I2^2/2/9.8</f>
        <v>9.3286855254938504E-4</v>
      </c>
      <c r="L2" s="165">
        <f>SUM(J2:J6)</f>
        <v>5.0981832757499138E-2</v>
      </c>
      <c r="M2" s="165">
        <f>SUM(K2:K6)</f>
        <v>0.46796260985553662</v>
      </c>
      <c r="N2" s="165">
        <f>L2*2*9.8/('4#机 沿程水头损失及Tw'!Y2)^2</f>
        <v>0.12220909713243973</v>
      </c>
      <c r="O2" s="165">
        <f>M2*2*9.8/('4#机 沿程水头损失及Tw'!Y2)^2</f>
        <v>1.1217581822570521</v>
      </c>
      <c r="P2" s="21">
        <f>L2-0.035</f>
        <v>1.5981832757499134E-2</v>
      </c>
      <c r="R2" s="101">
        <v>51522</v>
      </c>
    </row>
    <row r="3" spans="1:18" s="21" customFormat="1" x14ac:dyDescent="0.15">
      <c r="A3" s="164"/>
      <c r="B3" s="59" t="s">
        <v>131</v>
      </c>
      <c r="C3" s="59" t="s">
        <v>21</v>
      </c>
      <c r="E3" s="22">
        <v>0.1</v>
      </c>
      <c r="F3" s="22">
        <v>0.1</v>
      </c>
      <c r="G3" s="24"/>
      <c r="H3" s="83">
        <f>'4#机 沿程水头损失及Tw'!R2</f>
        <v>0.59700630252100839</v>
      </c>
      <c r="I3" s="83">
        <f>'4#机 沿程水头损失及Tw'!R2</f>
        <v>0.59700630252100839</v>
      </c>
      <c r="J3" s="21">
        <f t="shared" si="0"/>
        <v>1.8184516594377843E-3</v>
      </c>
      <c r="K3" s="21">
        <f t="shared" si="1"/>
        <v>1.8184516594377843E-3</v>
      </c>
      <c r="L3" s="164"/>
      <c r="M3" s="164"/>
      <c r="N3" s="164"/>
      <c r="O3" s="164"/>
      <c r="R3" s="101">
        <v>142716</v>
      </c>
    </row>
    <row r="4" spans="1:18" s="21" customFormat="1" x14ac:dyDescent="0.15">
      <c r="A4" s="164"/>
      <c r="B4" s="60" t="s">
        <v>3</v>
      </c>
      <c r="C4" s="60" t="s">
        <v>24</v>
      </c>
      <c r="D4" s="21" t="s">
        <v>15</v>
      </c>
      <c r="E4" s="22">
        <v>0.5</v>
      </c>
      <c r="F4" s="22">
        <v>1</v>
      </c>
      <c r="G4" s="21" t="s">
        <v>29</v>
      </c>
      <c r="H4" s="83">
        <f>'4#机 沿程水头损失及Tw'!R2</f>
        <v>0.59700630252100839</v>
      </c>
      <c r="I4" s="83">
        <f>'4#机 沿程水头损失及Tw'!R2</f>
        <v>0.59700630252100839</v>
      </c>
      <c r="J4" s="21">
        <f t="shared" si="0"/>
        <v>9.0922582971889217E-3</v>
      </c>
      <c r="K4" s="21">
        <f t="shared" si="1"/>
        <v>1.8184516594377843E-2</v>
      </c>
      <c r="L4" s="164"/>
      <c r="M4" s="164"/>
      <c r="N4" s="164"/>
      <c r="O4" s="164"/>
      <c r="R4" s="101">
        <v>450761</v>
      </c>
    </row>
    <row r="5" spans="1:18" s="21" customFormat="1" x14ac:dyDescent="0.15">
      <c r="A5" s="164"/>
      <c r="B5" s="60" t="s">
        <v>25</v>
      </c>
      <c r="C5" s="59" t="s">
        <v>132</v>
      </c>
      <c r="D5" s="24" t="s">
        <v>128</v>
      </c>
      <c r="E5" s="85">
        <v>0.16300000000000001</v>
      </c>
      <c r="F5" s="85">
        <v>0.58199999999999996</v>
      </c>
      <c r="G5" s="86" t="s">
        <v>194</v>
      </c>
      <c r="H5" s="83">
        <f>'4#机 沿程水头损失及Tw'!R2</f>
        <v>0.59700630252100839</v>
      </c>
      <c r="I5" s="83">
        <f>'4#机 沿程水头损失及Tw'!O3</f>
        <v>3.5521875000000001</v>
      </c>
      <c r="J5" s="21">
        <f t="shared" si="0"/>
        <v>2.9640762048835888E-3</v>
      </c>
      <c r="K5" s="21">
        <f t="shared" si="1"/>
        <v>0.3746784169622927</v>
      </c>
      <c r="L5" s="164"/>
      <c r="M5" s="164"/>
      <c r="N5" s="164"/>
      <c r="O5" s="164"/>
      <c r="R5" s="101">
        <v>30000</v>
      </c>
    </row>
    <row r="6" spans="1:18" s="21" customFormat="1" x14ac:dyDescent="0.15">
      <c r="A6" s="164"/>
      <c r="B6" s="59" t="s">
        <v>129</v>
      </c>
      <c r="C6" s="60" t="s">
        <v>21</v>
      </c>
      <c r="D6" s="24" t="s">
        <v>117</v>
      </c>
      <c r="E6" s="22">
        <v>0.05</v>
      </c>
      <c r="F6" s="22">
        <v>0.1</v>
      </c>
      <c r="H6" s="83">
        <f>'4#机 沿程水头损失及Tw'!R4</f>
        <v>3.7656709618643354</v>
      </c>
      <c r="I6" s="83">
        <f>'4#机 沿程水头损失及Tw'!R4</f>
        <v>3.7656709618643354</v>
      </c>
      <c r="J6" s="21">
        <f t="shared" si="0"/>
        <v>3.6174178043439462E-2</v>
      </c>
      <c r="K6" s="21">
        <f t="shared" si="1"/>
        <v>7.2348356086878923E-2</v>
      </c>
      <c r="L6" s="164"/>
      <c r="M6" s="164"/>
      <c r="N6" s="164"/>
      <c r="O6" s="164"/>
      <c r="R6" s="101">
        <v>67093</v>
      </c>
    </row>
    <row r="7" spans="1:18" s="21" customFormat="1" x14ac:dyDescent="0.15">
      <c r="A7" s="162" t="s">
        <v>239</v>
      </c>
      <c r="B7" s="60" t="s">
        <v>27</v>
      </c>
      <c r="C7" s="60" t="s">
        <v>21</v>
      </c>
      <c r="D7" s="21" t="s">
        <v>18</v>
      </c>
      <c r="E7" s="22">
        <v>0.05</v>
      </c>
      <c r="F7" s="22">
        <v>0.1</v>
      </c>
      <c r="H7" s="83">
        <f>'4#机 沿程水头损失及Tw'!R7</f>
        <v>4.2509700095213034</v>
      </c>
      <c r="I7" s="83">
        <f>'4#机 沿程水头损失及Tw'!R7</f>
        <v>4.2509700095213034</v>
      </c>
      <c r="J7" s="21">
        <f t="shared" si="0"/>
        <v>4.6098841892473347E-2</v>
      </c>
      <c r="K7" s="21">
        <f t="shared" si="1"/>
        <v>9.2197683784946693E-2</v>
      </c>
      <c r="L7" s="157">
        <f>SUM(J7:J8)</f>
        <v>0.11238198116755728</v>
      </c>
      <c r="M7" s="158">
        <f>SUM(K7:K8)</f>
        <v>0.15848082306003064</v>
      </c>
      <c r="N7" s="158">
        <f>L7*2*9.8/('4#机 沿程水头损失及Tw'!Y6)^2</f>
        <v>0.10798241812250865</v>
      </c>
      <c r="O7" s="158">
        <f>M7*2*9.8/('4#机 沿程水头损失及Tw'!Y6)^2</f>
        <v>0.15227656891501579</v>
      </c>
      <c r="R7" s="101">
        <v>115267</v>
      </c>
    </row>
    <row r="8" spans="1:18" s="21" customFormat="1" x14ac:dyDescent="0.15">
      <c r="A8" s="162"/>
      <c r="B8" s="60" t="s">
        <v>26</v>
      </c>
      <c r="C8" s="60" t="s">
        <v>21</v>
      </c>
      <c r="D8" s="21" t="s">
        <v>16</v>
      </c>
      <c r="E8" s="85">
        <f>(0.131+0.1632*('4#机 沿程水头损失及Tw'!P4/100)^3.5)*(44/90)^0.5</f>
        <v>9.1616648753550634E-2</v>
      </c>
      <c r="F8" s="85">
        <f>(0.131+0.1632*('4#机 沿程水头损失及Tw'!P4/100)^3.5)*(44/90)^0.5</f>
        <v>9.1616648753550634E-2</v>
      </c>
      <c r="G8" s="86" t="s">
        <v>225</v>
      </c>
      <c r="H8" s="83">
        <f>'4#机 沿程水头损失及Tw'!R4</f>
        <v>3.7656709618643354</v>
      </c>
      <c r="I8" s="83">
        <f>'4#机 沿程水头损失及Tw'!R4</f>
        <v>3.7656709618643354</v>
      </c>
      <c r="J8" s="21">
        <f t="shared" si="0"/>
        <v>6.6283139275083933E-2</v>
      </c>
      <c r="K8" s="21">
        <f t="shared" si="1"/>
        <v>6.6283139275083933E-2</v>
      </c>
      <c r="L8" s="157"/>
      <c r="M8" s="158"/>
      <c r="N8" s="158"/>
      <c r="O8" s="158"/>
      <c r="R8" s="101">
        <v>68438</v>
      </c>
    </row>
    <row r="9" spans="1:18" s="21" customFormat="1" x14ac:dyDescent="0.15">
      <c r="A9" s="162" t="s">
        <v>228</v>
      </c>
      <c r="B9" s="59" t="s">
        <v>143</v>
      </c>
      <c r="C9" s="60" t="s">
        <v>21</v>
      </c>
      <c r="D9" s="21" t="s">
        <v>16</v>
      </c>
      <c r="E9" s="85">
        <f>(0.131+0.1632*('4#机 沿程水头损失及Tw'!P10/32)^3.5)*(45/90)^0.5</f>
        <v>9.353254948145058E-2</v>
      </c>
      <c r="F9" s="85">
        <f>(0.131+0.1632*('4#机 沿程水头损失及Tw'!P10/32)^3.5)*(45/90)^0.5</f>
        <v>9.353254948145058E-2</v>
      </c>
      <c r="G9" s="86" t="s">
        <v>241</v>
      </c>
      <c r="H9" s="83">
        <f>'4#机 沿程水头损失及Tw'!R8</f>
        <v>4.5227855953139358</v>
      </c>
      <c r="I9" s="83">
        <f>'4#机 沿程水头损失及Tw'!R8</f>
        <v>4.5227855953139358</v>
      </c>
      <c r="J9" s="21">
        <f t="shared" si="0"/>
        <v>9.7615481680234151E-2</v>
      </c>
      <c r="K9" s="21">
        <f t="shared" si="1"/>
        <v>9.7615481680234151E-2</v>
      </c>
      <c r="L9" s="166">
        <f>SUM(J9:J12)</f>
        <v>0.40006598958388379</v>
      </c>
      <c r="M9" s="166">
        <f>SUM(K9:K12)</f>
        <v>0.40006598958388379</v>
      </c>
      <c r="N9" s="149">
        <f>L9*2*9.8/('4#机 沿程水头损失及Tw'!Y10)^2</f>
        <v>0.38333255465743399</v>
      </c>
      <c r="O9" s="149">
        <f>L9*2*9.8/('4#机 沿程水头损失及Tw'!Y10)^2</f>
        <v>0.38333255465743399</v>
      </c>
      <c r="R9" s="101">
        <v>228180</v>
      </c>
    </row>
    <row r="10" spans="1:18" s="21" customFormat="1" x14ac:dyDescent="0.15">
      <c r="A10" s="162"/>
      <c r="B10" s="59" t="s">
        <v>144</v>
      </c>
      <c r="C10" s="60" t="s">
        <v>21</v>
      </c>
      <c r="D10" s="21" t="s">
        <v>16</v>
      </c>
      <c r="E10" s="85">
        <f>(0.131+0.1632*('4#机 沿程水头损失及Tw'!P10/32)^3.5)*(48/90)^0.5</f>
        <v>9.6600001725327789E-2</v>
      </c>
      <c r="F10" s="85">
        <f>(0.131+0.1632*('4#机 沿程水头损失及Tw'!P10/32)^3.5)*(48/90)^0.5</f>
        <v>9.6600001725327789E-2</v>
      </c>
      <c r="G10" s="86" t="s">
        <v>242</v>
      </c>
      <c r="H10" s="83">
        <f>'4#机 沿程水头损失及Tw'!R8</f>
        <v>4.5227855953139358</v>
      </c>
      <c r="I10" s="83">
        <f>'4#机 沿程水头损失及Tw'!R8</f>
        <v>4.5227855953139358</v>
      </c>
      <c r="J10" s="21">
        <f t="shared" si="0"/>
        <v>0.10081683596788321</v>
      </c>
      <c r="K10" s="21">
        <f t="shared" si="1"/>
        <v>0.10081683596788321</v>
      </c>
      <c r="L10" s="166"/>
      <c r="M10" s="166"/>
      <c r="N10" s="149"/>
      <c r="O10" s="149"/>
      <c r="R10" s="101">
        <v>40935</v>
      </c>
    </row>
    <row r="11" spans="1:18" s="21" customFormat="1" x14ac:dyDescent="0.15">
      <c r="A11" s="162"/>
      <c r="B11" s="59" t="s">
        <v>145</v>
      </c>
      <c r="C11" s="60" t="s">
        <v>21</v>
      </c>
      <c r="D11" s="21" t="s">
        <v>16</v>
      </c>
      <c r="E11" s="85">
        <f>(0.131+0.1632*('4#机 沿程水头损失及Tw'!P10/32)^3.5)*(48/90)^0.5</f>
        <v>9.6600001725327789E-2</v>
      </c>
      <c r="F11" s="85">
        <f>(0.131+0.1632*('4#机 沿程水头损失及Tw'!P10/32)^3.5)*(48/90)^0.5</f>
        <v>9.6600001725327789E-2</v>
      </c>
      <c r="G11" s="86" t="s">
        <v>242</v>
      </c>
      <c r="H11" s="83">
        <f>'4#机 沿程水头损失及Tw'!R8</f>
        <v>4.5227855953139358</v>
      </c>
      <c r="I11" s="83">
        <f>'4#机 沿程水头损失及Tw'!R8</f>
        <v>4.5227855953139358</v>
      </c>
      <c r="J11" s="21">
        <f t="shared" si="0"/>
        <v>0.10081683596788321</v>
      </c>
      <c r="K11" s="21">
        <f t="shared" si="1"/>
        <v>0.10081683596788321</v>
      </c>
      <c r="L11" s="166"/>
      <c r="M11" s="166"/>
      <c r="N11" s="149"/>
      <c r="O11" s="149"/>
      <c r="R11" s="101">
        <v>261843</v>
      </c>
    </row>
    <row r="12" spans="1:18" s="21" customFormat="1" x14ac:dyDescent="0.15">
      <c r="A12" s="162"/>
      <c r="B12" s="79" t="s">
        <v>222</v>
      </c>
      <c r="C12" s="80" t="s">
        <v>21</v>
      </c>
      <c r="D12" s="21" t="s">
        <v>16</v>
      </c>
      <c r="E12" s="85">
        <f>(0.131+0.1632*('4#机 沿程水头损失及Tw'!P10/32)^3.5)*(48/90)^0.5</f>
        <v>9.6600001725327789E-2</v>
      </c>
      <c r="F12" s="85">
        <f>(0.131+0.1632*('4#机 沿程水头损失及Tw'!P10/32)^3.5)*(48/90)^0.5</f>
        <v>9.6600001725327789E-2</v>
      </c>
      <c r="G12" s="86" t="s">
        <v>242</v>
      </c>
      <c r="H12" s="83">
        <f>'4#机 沿程水头损失及Tw'!R8</f>
        <v>4.5227855953139358</v>
      </c>
      <c r="I12" s="83">
        <f>'4#机 沿程水头损失及Tw'!R8</f>
        <v>4.5227855953139358</v>
      </c>
      <c r="J12" s="21">
        <f t="shared" si="0"/>
        <v>0.10081683596788321</v>
      </c>
      <c r="K12" s="21">
        <f t="shared" si="1"/>
        <v>0.10081683596788321</v>
      </c>
      <c r="L12" s="166"/>
      <c r="M12" s="166"/>
      <c r="N12" s="149"/>
      <c r="O12" s="149"/>
      <c r="R12" s="101">
        <v>40935</v>
      </c>
    </row>
    <row r="13" spans="1:18" s="21" customFormat="1" x14ac:dyDescent="0.15">
      <c r="A13" s="162" t="s">
        <v>243</v>
      </c>
      <c r="B13" s="30" t="s">
        <v>211</v>
      </c>
      <c r="C13" s="79" t="s">
        <v>221</v>
      </c>
      <c r="D13" s="24" t="s">
        <v>208</v>
      </c>
      <c r="E13" s="85">
        <f>-(-0.95*(1-'4#机 局部水头损失'!C29)^2-'4#机 局部水头损失'!C29^2*(1.3*_xlfn.COT('4#机 局部水头损失'!D29/2)-0.3+(0.4-0.1*'4#机 局部水头损失'!E29)/'4#机 局部水头损失'!E29^2)*(1-0.9*SQRT('4#机 局部水头损失'!F29/'4#机 局部水头损失'!E29))-0.4*(1+1/'4#机 局部水头损失'!E29)*_xlfn.COT('4#机 局部水头损失'!D29/2)*(1-'4#机 局部水头损失'!C29)*'4#机 局部水头损失'!C29)</f>
        <v>0.71723711910745636</v>
      </c>
      <c r="F13" s="85">
        <f>-((1+'4#机 局部水头损失'!G29)*(0.92+'4#机 局部水头损失'!G29*(2.92-'4#机 局部水头损失'!E29))+'4#机 局部水头损失'!G29^2*((1.2-SQRT('4#机 局部水头损失'!F29))*(COS('4#机 局部水头损失'!D29)/'4#机 局部水头损失'!E29-1)+0.8*(1-1/'4#机 局部水头损失'!E29^2)-(1-'4#机 局部水头损失'!E29)*COS('4#机 局部水头损失'!D29)/'4#机 局部水头损失'!E29))</f>
        <v>1.5138203322769432</v>
      </c>
      <c r="G13" s="97" t="s">
        <v>227</v>
      </c>
      <c r="H13" s="83">
        <f>'4#机 沿程水头损失及Tw'!R10</f>
        <v>4.5227855953139358</v>
      </c>
      <c r="I13" s="83">
        <f>'4#机 沿程水头损失及Tw'!R10</f>
        <v>4.5227855953139358</v>
      </c>
      <c r="J13" s="21">
        <f t="shared" si="0"/>
        <v>0.74854633225306166</v>
      </c>
      <c r="K13" s="21">
        <f t="shared" si="1"/>
        <v>1.5799024161300361</v>
      </c>
      <c r="L13" s="105">
        <f>SUM(J13:J13)</f>
        <v>0.74854633225306166</v>
      </c>
      <c r="M13" s="105">
        <f>SUM(K13:K13)</f>
        <v>1.5799024161300361</v>
      </c>
      <c r="N13" s="105">
        <f>L13*2*9.8/('4#机 沿程水头损失及Tw'!Y10)^2</f>
        <v>0.71723711910745647</v>
      </c>
      <c r="O13" s="105">
        <f>M13*2*9.8/('4#机 沿程水头损失及Tw'!Y10)^2</f>
        <v>1.513820332276943</v>
      </c>
      <c r="R13" s="101">
        <v>10000</v>
      </c>
    </row>
    <row r="14" spans="1:18" s="21" customFormat="1" x14ac:dyDescent="0.15">
      <c r="A14" s="162"/>
      <c r="B14" s="79" t="s">
        <v>211</v>
      </c>
      <c r="C14" s="80" t="s">
        <v>21</v>
      </c>
      <c r="D14" s="21" t="s">
        <v>16</v>
      </c>
      <c r="E14" s="85">
        <f>(0.131+0.1632*('4#机 沿程水头损失及Tw'!P11/15.2)^3.5)*(60/90)^0.5</f>
        <v>0.10741619351992468</v>
      </c>
      <c r="F14" s="85">
        <f>(0.131+0.1632*('4#机 沿程水头损失及Tw'!P11/15.2)^3.5)*(60/90)^0.5</f>
        <v>0.10741619351992468</v>
      </c>
      <c r="G14" s="86" t="s">
        <v>236</v>
      </c>
      <c r="H14" s="83">
        <f>'4#机 沿程水头损失及Tw'!R11</f>
        <v>10.720676966670071</v>
      </c>
      <c r="I14" s="83">
        <f>'4#机 沿程水头损失及Tw'!K11</f>
        <v>10.720676966670071</v>
      </c>
      <c r="J14" s="21">
        <f t="shared" ref="J14" si="2">E14*H14^2/2/9.8</f>
        <v>0.62988041831771868</v>
      </c>
      <c r="K14" s="21">
        <f t="shared" ref="K14" si="3">F14*I14^2/2/9.8</f>
        <v>0.62988041831771868</v>
      </c>
      <c r="L14" s="157">
        <f>SUM(J14:J15)</f>
        <v>0.96515987398273495</v>
      </c>
      <c r="M14" s="157">
        <f>SUM(K14:K15)</f>
        <v>0.96515987398273495</v>
      </c>
      <c r="N14" s="157">
        <f>L14*2*9.8/('4#机 沿程水头损失及Tw'!Y11)^2</f>
        <v>0.16459282871229278</v>
      </c>
      <c r="O14" s="157">
        <f>M14*2*9.8/('4#机 沿程水头损失及Tw'!Y11)^2</f>
        <v>0.16459282871229278</v>
      </c>
      <c r="R14" s="101">
        <v>225509</v>
      </c>
    </row>
    <row r="15" spans="1:18" s="21" customFormat="1" x14ac:dyDescent="0.15">
      <c r="A15" s="162"/>
      <c r="B15" s="103" t="s">
        <v>146</v>
      </c>
      <c r="C15" s="104" t="s">
        <v>21</v>
      </c>
      <c r="D15" s="21" t="s">
        <v>16</v>
      </c>
      <c r="E15" s="85">
        <f>(0.131+0.1632*('4#机 沿程水头损失及Tw'!P11/15.2)^3.5)*(17/90)^0.5</f>
        <v>5.7176635192368055E-2</v>
      </c>
      <c r="F15" s="85">
        <f>(0.131+0.1632*('4#机 沿程水头损失及Tw'!P11/15.2)^3.5)*(17/90)^0.5</f>
        <v>5.7176635192368055E-2</v>
      </c>
      <c r="G15" s="86" t="s">
        <v>237</v>
      </c>
      <c r="H15" s="83">
        <f>'4#机 沿程水头损失及Tw'!R13</f>
        <v>10.720676966670071</v>
      </c>
      <c r="I15" s="83">
        <f>'4#机 沿程水头损失及Tw'!R13</f>
        <v>10.720676966670071</v>
      </c>
      <c r="J15" s="21">
        <f t="shared" ref="J15" si="4">E15*H15^2/2/9.8</f>
        <v>0.33527945566501621</v>
      </c>
      <c r="K15" s="21">
        <f t="shared" ref="K15" si="5">F15*I15^2/2/9.8</f>
        <v>0.33527945566501621</v>
      </c>
      <c r="L15" s="157"/>
      <c r="M15" s="157"/>
      <c r="N15" s="157">
        <f>L15*2*9.8/('4#机 沿程水头损失及Tw'!Y13)^2</f>
        <v>0</v>
      </c>
      <c r="O15" s="157">
        <f>M15*2*9.8/('4#机 沿程水头损失及Tw'!Z13)^2</f>
        <v>0</v>
      </c>
      <c r="R15" s="101"/>
    </row>
    <row r="16" spans="1:18" s="21" customFormat="1" x14ac:dyDescent="0.15">
      <c r="A16" s="103" t="s">
        <v>240</v>
      </c>
      <c r="B16" s="79" t="s">
        <v>211</v>
      </c>
      <c r="C16" s="79" t="s">
        <v>212</v>
      </c>
      <c r="D16" s="24" t="s">
        <v>208</v>
      </c>
      <c r="E16" s="85">
        <f>-((1+G32)*(0.92+G32*(2.92-E32))+G32^2*((1.2-SQRT(F32))*(COS(D32)/E32-1)+0.8*(1-1/E32^2)-(1-E32)*COS(D32)/E32))</f>
        <v>0.77077510276435668</v>
      </c>
      <c r="F16" s="85">
        <f>-(-0.95*(1-C32)^2-C32^2*(1.3*_xlfn.COT(D32/2)-0.3+(0.4-0.1*E32)/E32^2)*(1-0.9*SQRT(F32/E32))-0.4*(1+1/E32)*_xlfn.COT(D32/2)*(1-C32)*C32)</f>
        <v>0.97886692075693982</v>
      </c>
      <c r="G16" s="97" t="s">
        <v>220</v>
      </c>
      <c r="H16" s="83">
        <f>'4#机 沿程水头损失及Tw'!K17</f>
        <v>4.5227855953139358</v>
      </c>
      <c r="I16" s="83">
        <f>'4#机 沿程水头损失及Tw'!K17</f>
        <v>4.5227855953139358</v>
      </c>
      <c r="J16" s="21">
        <f t="shared" ref="J16:J24" si="6">E16*H16^2/2/9.8</f>
        <v>0.80442138421979192</v>
      </c>
      <c r="K16" s="21">
        <f t="shared" ref="K16:K24" si="7">F16*I16^2/2/9.8</f>
        <v>1.0215969360429582</v>
      </c>
      <c r="L16" s="31">
        <f t="shared" ref="L16:M16" si="8">SUM(J16:J16)</f>
        <v>0.80442138421979192</v>
      </c>
      <c r="M16" s="31">
        <f t="shared" si="8"/>
        <v>1.0215969360429582</v>
      </c>
      <c r="N16" s="31">
        <f>L16*2*9.8/('4#机 沿程水头损失及Tw'!Y17)^2</f>
        <v>0.77077510276435668</v>
      </c>
      <c r="O16" s="31">
        <f>M16*2*9.8/('4#机 沿程水头损失及Tw'!Y17)^2</f>
        <v>0.97886692075693993</v>
      </c>
      <c r="R16" s="101">
        <v>192249</v>
      </c>
    </row>
    <row r="17" spans="1:18" s="21" customFormat="1" x14ac:dyDescent="0.15">
      <c r="A17" s="160" t="s">
        <v>232</v>
      </c>
      <c r="B17" s="30" t="s">
        <v>147</v>
      </c>
      <c r="C17" s="29" t="s">
        <v>21</v>
      </c>
      <c r="D17" s="21" t="s">
        <v>17</v>
      </c>
      <c r="E17" s="85">
        <f>(0.131+0.1632*('4#机 沿程水头损失及Tw'!P18/100)^3.5)*(12/90)^0.5</f>
        <v>4.7843066563228127E-2</v>
      </c>
      <c r="F17" s="85">
        <f>(0.131+0.1632*('4#机 沿程水头损失及Tw'!P18/100)^3.5)*(12/90)^0.5</f>
        <v>4.7843066563228127E-2</v>
      </c>
      <c r="G17" s="86" t="s">
        <v>244</v>
      </c>
      <c r="H17" s="21">
        <f>'4#机 沿程水头损失及Tw'!R18</f>
        <v>4.5227855953139358</v>
      </c>
      <c r="I17" s="21">
        <f>'4#机 沿程水头损失及Tw'!R18</f>
        <v>4.5227855953139358</v>
      </c>
      <c r="J17" s="21">
        <f t="shared" si="6"/>
        <v>4.9931537347383217E-2</v>
      </c>
      <c r="K17" s="21">
        <f t="shared" si="7"/>
        <v>4.9931537347383217E-2</v>
      </c>
      <c r="L17" s="158">
        <f>SUM(J17:J20)</f>
        <v>0.21009032978824627</v>
      </c>
      <c r="M17" s="158">
        <f>SUM(K17:K20)</f>
        <v>0.16399148789577289</v>
      </c>
      <c r="N17" s="158">
        <f>L17*2*9.8/('4#机 沿程水头损失及Tw'!Y18)^2</f>
        <v>0.20219841242057424</v>
      </c>
      <c r="O17" s="158">
        <f>M17*2*9.8/('4#机 沿程水头损失及Tw'!Y18)^2</f>
        <v>0.15783124590472322</v>
      </c>
      <c r="R17" s="101">
        <v>12000</v>
      </c>
    </row>
    <row r="18" spans="1:18" s="21" customFormat="1" x14ac:dyDescent="0.15">
      <c r="A18" s="161"/>
      <c r="B18" s="30" t="s">
        <v>148</v>
      </c>
      <c r="C18" s="30" t="s">
        <v>21</v>
      </c>
      <c r="D18" s="21" t="s">
        <v>17</v>
      </c>
      <c r="E18" s="22">
        <f>(0.131+0.1632*('4#机 沿程水头损失及Tw'!P18/100)^3.5)*(5/90)^0.5</f>
        <v>3.0882566671812578E-2</v>
      </c>
      <c r="F18" s="22">
        <f>(0.131+0.1632*('4#机 沿程水头损失及Tw'!P18/100)^3.5)*(5/90)^0.5</f>
        <v>3.0882566671812578E-2</v>
      </c>
      <c r="G18" s="86" t="s">
        <v>245</v>
      </c>
      <c r="H18" s="21">
        <f>'4#机 沿程水头损失及Tw'!R18</f>
        <v>4.5227855953139358</v>
      </c>
      <c r="I18" s="21">
        <f>'4#机 沿程水头损失及Tw'!R18</f>
        <v>4.5227855953139358</v>
      </c>
      <c r="J18" s="21">
        <f t="shared" si="6"/>
        <v>3.2230668766158148E-2</v>
      </c>
      <c r="K18" s="21">
        <f t="shared" si="7"/>
        <v>3.2230668766158148E-2</v>
      </c>
      <c r="L18" s="159"/>
      <c r="M18" s="159"/>
      <c r="N18" s="159"/>
      <c r="O18" s="159"/>
      <c r="R18" s="101">
        <v>40000</v>
      </c>
    </row>
    <row r="19" spans="1:18" s="21" customFormat="1" x14ac:dyDescent="0.15">
      <c r="A19" s="161"/>
      <c r="B19" s="107" t="s">
        <v>246</v>
      </c>
      <c r="C19" s="107" t="s">
        <v>21</v>
      </c>
      <c r="D19" s="21" t="s">
        <v>17</v>
      </c>
      <c r="E19" s="22">
        <f>(0.131+0.1632*('4#机 沿程水头损失及Tw'!P19/32)^3.5)*(6/90)^0.5</f>
        <v>3.4235953964047355E-2</v>
      </c>
      <c r="F19" s="22">
        <f>(0.131+0.1632*('4#机 沿程水头损失及Tw'!P19/32)^3.5)*(6/90)^0.5</f>
        <v>3.4235953964047355E-2</v>
      </c>
      <c r="G19" s="86" t="s">
        <v>247</v>
      </c>
      <c r="H19" s="21">
        <f>'4#机 沿程水头损失及Tw'!R18</f>
        <v>4.5227855953139358</v>
      </c>
      <c r="I19" s="21">
        <f>'4#机 沿程水头损失及Tw'!R18</f>
        <v>4.5227855953139358</v>
      </c>
      <c r="J19" s="21">
        <f t="shared" si="6"/>
        <v>3.57304398897582E-2</v>
      </c>
      <c r="K19" s="21">
        <f t="shared" si="7"/>
        <v>3.57304398897582E-2</v>
      </c>
      <c r="L19" s="159"/>
      <c r="M19" s="159"/>
      <c r="N19" s="159"/>
      <c r="O19" s="159"/>
      <c r="R19" s="101"/>
    </row>
    <row r="20" spans="1:18" s="21" customFormat="1" x14ac:dyDescent="0.15">
      <c r="A20" s="161"/>
      <c r="B20" s="30" t="s">
        <v>149</v>
      </c>
      <c r="C20" s="29" t="s">
        <v>21</v>
      </c>
      <c r="D20" s="24" t="s">
        <v>224</v>
      </c>
      <c r="E20" s="22">
        <v>0.1</v>
      </c>
      <c r="F20" s="22">
        <v>0.05</v>
      </c>
      <c r="G20" s="23"/>
      <c r="H20" s="21">
        <f>'4#机 沿程水头损失及Tw'!R19</f>
        <v>4.2509700095213034</v>
      </c>
      <c r="I20" s="21">
        <f>'4#机 沿程水头损失及Tw'!R19</f>
        <v>4.2509700095213034</v>
      </c>
      <c r="J20" s="21">
        <f t="shared" si="6"/>
        <v>9.2197683784946693E-2</v>
      </c>
      <c r="K20" s="21">
        <f t="shared" si="7"/>
        <v>4.6098841892473347E-2</v>
      </c>
      <c r="L20" s="159"/>
      <c r="M20" s="159"/>
      <c r="N20" s="159"/>
      <c r="O20" s="159"/>
      <c r="R20" s="101">
        <v>26326</v>
      </c>
    </row>
    <row r="21" spans="1:18" s="21" customFormat="1" x14ac:dyDescent="0.15">
      <c r="A21" s="160" t="s">
        <v>233</v>
      </c>
      <c r="B21" s="30" t="s">
        <v>150</v>
      </c>
      <c r="C21" s="30" t="s">
        <v>151</v>
      </c>
      <c r="D21" s="24" t="s">
        <v>152</v>
      </c>
      <c r="E21" s="22">
        <v>0.58199999999999996</v>
      </c>
      <c r="F21" s="22">
        <v>0.16300000000000001</v>
      </c>
      <c r="G21" s="86" t="s">
        <v>194</v>
      </c>
      <c r="H21" s="21">
        <f>'4#机 沿程水头损失及Tw'!K22</f>
        <v>3.9791544237286707</v>
      </c>
      <c r="I21" s="21">
        <f>'4#机 沿程水头损失及Tw'!O22</f>
        <v>3.5521875000000001</v>
      </c>
      <c r="J21" s="21">
        <f t="shared" si="6"/>
        <v>0.47016305602172642</v>
      </c>
      <c r="K21" s="21">
        <f t="shared" si="7"/>
        <v>0.10493570784339125</v>
      </c>
      <c r="L21" s="158">
        <f>SUM(J21:J24)</f>
        <v>0.49865905611927885</v>
      </c>
      <c r="M21" s="158">
        <f>SUM(K21:K24)</f>
        <v>0.12105613414754759</v>
      </c>
      <c r="N21" s="158">
        <f>L21*2*9.8/('4#机 沿程水头损失及Tw'!Y21)^2</f>
        <v>1.4579506845538031</v>
      </c>
      <c r="O21" s="158">
        <f>M21*2*9.8/('4#机 沿程水头损失及Tw'!Y21)^2</f>
        <v>0.35393696651853612</v>
      </c>
      <c r="R21" s="101">
        <v>24094</v>
      </c>
    </row>
    <row r="22" spans="1:18" s="21" customFormat="1" x14ac:dyDescent="0.15">
      <c r="A22" s="161"/>
      <c r="B22" s="30" t="s">
        <v>153</v>
      </c>
      <c r="C22" s="29" t="s">
        <v>21</v>
      </c>
      <c r="D22" s="21" t="s">
        <v>14</v>
      </c>
      <c r="E22" s="22">
        <f>2.42*(0.01/0.18)^(4/3)*SIN(90/180*PI())</f>
        <v>5.1300156795908589E-2</v>
      </c>
      <c r="F22" s="22">
        <f>2.42*(0.01/0.18)^(4/3)*SIN(90/180*PI())</f>
        <v>5.1300156795908589E-2</v>
      </c>
      <c r="G22" s="24" t="s">
        <v>130</v>
      </c>
      <c r="H22" s="21">
        <f>'4#机 沿程水头损失及Tw'!R24</f>
        <v>0.69650735294117649</v>
      </c>
      <c r="I22" s="21">
        <f>'4#机 沿程水头损失及Tw'!R24</f>
        <v>0.69650735294117649</v>
      </c>
      <c r="J22" s="21">
        <f t="shared" si="6"/>
        <v>1.2697377520811078E-3</v>
      </c>
      <c r="K22" s="21">
        <f t="shared" si="7"/>
        <v>1.2697377520811078E-3</v>
      </c>
      <c r="L22" s="159"/>
      <c r="M22" s="159"/>
      <c r="N22" s="159"/>
      <c r="O22" s="159"/>
      <c r="R22" s="101">
        <v>26327</v>
      </c>
    </row>
    <row r="23" spans="1:18" s="21" customFormat="1" x14ac:dyDescent="0.15">
      <c r="A23" s="161"/>
      <c r="B23" s="30" t="s">
        <v>153</v>
      </c>
      <c r="C23" s="29" t="s">
        <v>21</v>
      </c>
      <c r="D23" s="24" t="s">
        <v>131</v>
      </c>
      <c r="E23" s="33">
        <v>0.1</v>
      </c>
      <c r="F23" s="22">
        <f>E23</f>
        <v>0.1</v>
      </c>
      <c r="G23" s="24"/>
      <c r="H23" s="21">
        <f>'4#机 沿程水头损失及Tw'!R24</f>
        <v>0.69650735294117649</v>
      </c>
      <c r="I23" s="21">
        <f>'4#机 沿程水头损失及Tw'!R24</f>
        <v>0.69650735294117649</v>
      </c>
      <c r="J23" s="21">
        <f t="shared" si="6"/>
        <v>2.4751147586792072E-3</v>
      </c>
      <c r="K23" s="21">
        <f t="shared" si="7"/>
        <v>2.4751147586792072E-3</v>
      </c>
      <c r="L23" s="159"/>
      <c r="M23" s="159"/>
      <c r="N23" s="159"/>
      <c r="O23" s="159"/>
      <c r="R23" s="101">
        <v>155117</v>
      </c>
    </row>
    <row r="24" spans="1:18" s="21" customFormat="1" x14ac:dyDescent="0.15">
      <c r="A24" s="161"/>
      <c r="B24" s="30" t="s">
        <v>153</v>
      </c>
      <c r="C24" s="30" t="s">
        <v>32</v>
      </c>
      <c r="D24" s="24" t="s">
        <v>154</v>
      </c>
      <c r="E24" s="22">
        <v>1</v>
      </c>
      <c r="F24" s="22">
        <v>0.5</v>
      </c>
      <c r="G24" s="21" t="s">
        <v>29</v>
      </c>
      <c r="H24" s="21">
        <f>'4#机 沿程水头损失及Tw'!R24</f>
        <v>0.69650735294117649</v>
      </c>
      <c r="I24" s="21">
        <f>'4#机 沿程水头损失及Tw'!R24</f>
        <v>0.69650735294117649</v>
      </c>
      <c r="J24" s="21">
        <f t="shared" si="6"/>
        <v>2.4751147586792071E-2</v>
      </c>
      <c r="K24" s="21">
        <f t="shared" si="7"/>
        <v>1.2375573793396035E-2</v>
      </c>
      <c r="L24" s="159"/>
      <c r="M24" s="159"/>
      <c r="N24" s="159"/>
      <c r="O24" s="159"/>
      <c r="R24" s="101">
        <v>51540</v>
      </c>
    </row>
    <row r="25" spans="1:18" s="21" customFormat="1" x14ac:dyDescent="0.15">
      <c r="A25" s="20"/>
      <c r="B25" s="30"/>
      <c r="C25" s="30"/>
      <c r="D25" s="24"/>
      <c r="E25" s="22"/>
      <c r="F25" s="22"/>
      <c r="L25" s="35">
        <f>SUM(L2:L24)</f>
        <v>3.7903067798720542</v>
      </c>
      <c r="M25" s="35">
        <f>SUM(M2:M24)</f>
        <v>4.8782162706985011</v>
      </c>
      <c r="N25" s="32"/>
      <c r="O25" s="32"/>
      <c r="R25" s="101">
        <f>SUM(R2:R24)</f>
        <v>2260852</v>
      </c>
    </row>
    <row r="26" spans="1:18" s="21" customFormat="1" x14ac:dyDescent="0.15">
      <c r="A26" s="20"/>
      <c r="B26" s="30"/>
      <c r="C26" s="30"/>
      <c r="D26" s="24"/>
      <c r="E26" s="22"/>
      <c r="F26" s="22"/>
      <c r="L26" s="32"/>
      <c r="M26" s="32"/>
      <c r="N26" s="32"/>
      <c r="O26" s="32"/>
      <c r="R26" s="101"/>
    </row>
    <row r="27" spans="1:18" s="21" customFormat="1" x14ac:dyDescent="0.15">
      <c r="A27" s="20"/>
      <c r="B27" s="30"/>
      <c r="C27" s="30"/>
      <c r="D27" s="24"/>
      <c r="E27" s="22"/>
      <c r="F27" s="22"/>
      <c r="L27" s="35">
        <f>SUM(L25,'4#机 沿程水头损失及Tw'!AE25)</f>
        <v>13.66003565532535</v>
      </c>
      <c r="M27" s="109">
        <f>SUM(M25,'4#机 沿程水头损失及Tw'!AE25)</f>
        <v>14.747945146151796</v>
      </c>
      <c r="N27" s="32"/>
      <c r="O27" s="32"/>
      <c r="R27" s="101"/>
    </row>
    <row r="28" spans="1:18" s="21" customFormat="1" x14ac:dyDescent="0.15">
      <c r="A28" s="30"/>
      <c r="B28" s="29"/>
      <c r="C28" s="79" t="s">
        <v>218</v>
      </c>
      <c r="D28" s="24" t="s">
        <v>209</v>
      </c>
      <c r="E28" s="33" t="s">
        <v>210</v>
      </c>
      <c r="F28" s="33" t="s">
        <v>215</v>
      </c>
      <c r="G28" s="79" t="s">
        <v>219</v>
      </c>
      <c r="L28" s="31"/>
      <c r="M28" s="31"/>
      <c r="N28" s="31"/>
      <c r="R28" s="101"/>
    </row>
    <row r="29" spans="1:18" s="21" customFormat="1" x14ac:dyDescent="0.15">
      <c r="A29" s="28"/>
      <c r="B29" s="24" t="s">
        <v>213</v>
      </c>
      <c r="C29" s="29">
        <v>0.66600000000000004</v>
      </c>
      <c r="D29" s="21">
        <f>60*PI()/180</f>
        <v>1.0471975511965976</v>
      </c>
      <c r="E29" s="22">
        <f>5.66*5.66/8/8</f>
        <v>0.50055625000000004</v>
      </c>
      <c r="F29" s="22">
        <v>0.5</v>
      </c>
      <c r="G29" s="21">
        <f>SUM(-C29)</f>
        <v>-0.66600000000000004</v>
      </c>
      <c r="L29" s="28"/>
      <c r="M29" s="28"/>
      <c r="N29" s="28"/>
      <c r="R29" s="101"/>
    </row>
    <row r="30" spans="1:18" s="21" customFormat="1" x14ac:dyDescent="0.15">
      <c r="A30" s="29"/>
      <c r="B30" s="24" t="s">
        <v>214</v>
      </c>
      <c r="C30" s="29">
        <v>0.5</v>
      </c>
      <c r="D30" s="21">
        <f>60*PI()/180</f>
        <v>1.0471975511965976</v>
      </c>
      <c r="E30" s="22">
        <f>3*3/5.66/5.66</f>
        <v>0.28093745707899959</v>
      </c>
      <c r="F30" s="22">
        <v>0.5</v>
      </c>
      <c r="G30" s="21">
        <f t="shared" ref="G30:G32" si="9">SUM(-C30)</f>
        <v>-0.5</v>
      </c>
      <c r="R30" s="101"/>
    </row>
    <row r="31" spans="1:18" x14ac:dyDescent="0.15">
      <c r="A31" s="1"/>
      <c r="B31" s="24" t="s">
        <v>216</v>
      </c>
      <c r="C31" s="1"/>
      <c r="G31" s="21">
        <f t="shared" si="9"/>
        <v>0</v>
      </c>
    </row>
    <row r="32" spans="1:18" x14ac:dyDescent="0.15">
      <c r="B32" s="24" t="s">
        <v>217</v>
      </c>
      <c r="C32" s="80">
        <f>1/3</f>
        <v>0.33333333333333331</v>
      </c>
      <c r="D32" s="21">
        <f>60*PI()/180</f>
        <v>1.0471975511965976</v>
      </c>
      <c r="E32" s="22">
        <f>4.6*4.6/8/8</f>
        <v>0.33062499999999995</v>
      </c>
      <c r="F32" s="22">
        <v>0.5</v>
      </c>
      <c r="G32" s="21">
        <f t="shared" si="9"/>
        <v>-0.33333333333333331</v>
      </c>
    </row>
    <row r="33" spans="1:5" x14ac:dyDescent="0.15">
      <c r="E33" s="34" t="s">
        <v>226</v>
      </c>
    </row>
    <row r="34" spans="1:5" x14ac:dyDescent="0.15">
      <c r="A34" s="7">
        <f>-(-0.95*(1+C32^2)+C32^2*(1+0.42*(COS(D32)/E32-1)-0.8*(1-1/E32/E32)+(1-E32)*(COS(D32)/E32-0.38)))</f>
        <v>0.11205254903181094</v>
      </c>
    </row>
  </sheetData>
  <mergeCells count="30">
    <mergeCell ref="O7:O8"/>
    <mergeCell ref="L9:L12"/>
    <mergeCell ref="M9:M12"/>
    <mergeCell ref="N9:N12"/>
    <mergeCell ref="O9:O12"/>
    <mergeCell ref="A7:A8"/>
    <mergeCell ref="A9:A12"/>
    <mergeCell ref="L7:L8"/>
    <mergeCell ref="M7:M8"/>
    <mergeCell ref="N7:N8"/>
    <mergeCell ref="A2:A6"/>
    <mergeCell ref="L2:L6"/>
    <mergeCell ref="M2:M6"/>
    <mergeCell ref="N2:N6"/>
    <mergeCell ref="O2:O6"/>
    <mergeCell ref="N14:N15"/>
    <mergeCell ref="N21:N24"/>
    <mergeCell ref="O21:O24"/>
    <mergeCell ref="A17:A20"/>
    <mergeCell ref="L17:L20"/>
    <mergeCell ref="M17:M20"/>
    <mergeCell ref="N17:N20"/>
    <mergeCell ref="O17:O20"/>
    <mergeCell ref="A13:A15"/>
    <mergeCell ref="L14:L15"/>
    <mergeCell ref="A21:A24"/>
    <mergeCell ref="L21:L24"/>
    <mergeCell ref="M21:M24"/>
    <mergeCell ref="M14:M15"/>
    <mergeCell ref="O14:O15"/>
  </mergeCells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L83"/>
  <sheetViews>
    <sheetView topLeftCell="A22" workbookViewId="0">
      <selection activeCell="B30" sqref="B30"/>
    </sheetView>
  </sheetViews>
  <sheetFormatPr defaultRowHeight="13.5" x14ac:dyDescent="0.15"/>
  <cols>
    <col min="2" max="2" width="17.25" customWidth="1"/>
    <col min="3" max="3" width="9.5" bestFit="1" customWidth="1"/>
    <col min="4" max="4" width="9.125" bestFit="1" customWidth="1"/>
    <col min="5" max="5" width="9.625" bestFit="1" customWidth="1"/>
    <col min="6" max="6" width="9.5" bestFit="1" customWidth="1"/>
    <col min="7" max="9" width="9.25" bestFit="1" customWidth="1"/>
    <col min="10" max="10" width="9.625" bestFit="1" customWidth="1"/>
    <col min="11" max="12" width="9.25" bestFit="1" customWidth="1"/>
  </cols>
  <sheetData>
    <row r="1" spans="1:10" x14ac:dyDescent="0.15">
      <c r="A1" s="19" t="s">
        <v>155</v>
      </c>
      <c r="B1" s="19" t="s">
        <v>156</v>
      </c>
      <c r="C1" s="19" t="s">
        <v>189</v>
      </c>
      <c r="D1" s="19" t="s">
        <v>158</v>
      </c>
      <c r="F1" s="19" t="s">
        <v>155</v>
      </c>
      <c r="G1" s="19" t="s">
        <v>156</v>
      </c>
      <c r="H1" s="19" t="s">
        <v>190</v>
      </c>
      <c r="I1" s="19" t="s">
        <v>158</v>
      </c>
    </row>
    <row r="2" spans="1:10" x14ac:dyDescent="0.15">
      <c r="A2">
        <v>1</v>
      </c>
      <c r="B2" s="53" t="e">
        <f>#REF!</f>
        <v>#REF!</v>
      </c>
      <c r="C2" s="53" t="e">
        <f>#REF!</f>
        <v>#REF!</v>
      </c>
      <c r="D2" s="53" t="e">
        <f>SUM(B2:C2)</f>
        <v>#REF!</v>
      </c>
      <c r="F2" s="54">
        <v>1</v>
      </c>
      <c r="G2" s="53" t="e">
        <f>#REF!</f>
        <v>#REF!</v>
      </c>
      <c r="H2" s="53" t="e">
        <f>#REF!</f>
        <v>#REF!</v>
      </c>
      <c r="I2" s="53" t="e">
        <f>SUM(G2:H2)</f>
        <v>#REF!</v>
      </c>
    </row>
    <row r="3" spans="1:10" x14ac:dyDescent="0.15">
      <c r="A3">
        <v>2</v>
      </c>
      <c r="B3" s="53" t="e">
        <f>#REF!</f>
        <v>#REF!</v>
      </c>
      <c r="C3" s="53" t="e">
        <f>#REF!</f>
        <v>#REF!</v>
      </c>
      <c r="D3" s="53" t="e">
        <f t="shared" ref="D3:D5" si="0">SUM(B3:C3)</f>
        <v>#REF!</v>
      </c>
      <c r="F3" s="54">
        <v>2</v>
      </c>
      <c r="G3" s="53" t="e">
        <f>#REF!</f>
        <v>#REF!</v>
      </c>
      <c r="H3" s="53" t="e">
        <f>#REF!</f>
        <v>#REF!</v>
      </c>
      <c r="I3" s="53" t="e">
        <f t="shared" ref="I3:I5" si="1">SUM(G3:H3)</f>
        <v>#REF!</v>
      </c>
    </row>
    <row r="4" spans="1:10" x14ac:dyDescent="0.15">
      <c r="A4">
        <v>3</v>
      </c>
      <c r="B4" s="53" t="e">
        <f>#REF!</f>
        <v>#REF!</v>
      </c>
      <c r="C4" s="53" t="e">
        <f>#REF!</f>
        <v>#REF!</v>
      </c>
      <c r="D4" s="53" t="e">
        <f t="shared" si="0"/>
        <v>#REF!</v>
      </c>
      <c r="F4" s="54">
        <v>3</v>
      </c>
      <c r="G4" s="53" t="e">
        <f>#REF!</f>
        <v>#REF!</v>
      </c>
      <c r="H4" s="53" t="e">
        <f>#REF!</f>
        <v>#REF!</v>
      </c>
      <c r="I4" s="53" t="e">
        <f t="shared" si="1"/>
        <v>#REF!</v>
      </c>
    </row>
    <row r="5" spans="1:10" x14ac:dyDescent="0.15">
      <c r="A5">
        <v>4</v>
      </c>
      <c r="B5" s="53">
        <f>'4#机 沿程水头损失及Tw'!AE25</f>
        <v>9.8697288754532959</v>
      </c>
      <c r="C5" s="53">
        <f>'4#机 局部水头损失'!L25</f>
        <v>3.7903067798720542</v>
      </c>
      <c r="D5" s="53">
        <f t="shared" si="0"/>
        <v>13.66003565532535</v>
      </c>
      <c r="F5" s="54">
        <v>4</v>
      </c>
      <c r="G5" s="53">
        <f>'4#机 沿程水头损失及Tw'!AE25</f>
        <v>9.8697288754532959</v>
      </c>
      <c r="H5" s="53">
        <f>'4#机 局部水头损失'!M25</f>
        <v>4.8782162706985011</v>
      </c>
      <c r="I5" s="53">
        <f t="shared" si="1"/>
        <v>14.747945146151796</v>
      </c>
    </row>
    <row r="8" spans="1:10" x14ac:dyDescent="0.15">
      <c r="A8" s="19" t="s">
        <v>159</v>
      </c>
    </row>
    <row r="9" spans="1:10" x14ac:dyDescent="0.15">
      <c r="A9" s="19" t="s">
        <v>155</v>
      </c>
      <c r="B9" s="19" t="s">
        <v>156</v>
      </c>
      <c r="C9" s="19" t="s">
        <v>157</v>
      </c>
      <c r="D9" s="19" t="s">
        <v>158</v>
      </c>
    </row>
    <row r="10" spans="1:10" x14ac:dyDescent="0.15">
      <c r="A10" s="54">
        <v>1</v>
      </c>
      <c r="B10" s="53">
        <v>5.1796155162379849</v>
      </c>
      <c r="C10" s="53">
        <v>4.8980293216155832</v>
      </c>
      <c r="D10" s="53">
        <v>10.077644837853569</v>
      </c>
      <c r="G10" s="53">
        <f>D10</f>
        <v>10.077644837853569</v>
      </c>
      <c r="H10" s="53">
        <f>D11</f>
        <v>9.0813098385790951</v>
      </c>
      <c r="I10" s="53">
        <f>D12</f>
        <v>10.181284112420823</v>
      </c>
      <c r="J10" s="53">
        <f>D13</f>
        <v>9.1848768946471893</v>
      </c>
    </row>
    <row r="11" spans="1:10" x14ac:dyDescent="0.15">
      <c r="A11" s="54">
        <v>2</v>
      </c>
      <c r="B11" s="53">
        <v>5.2170246964981724</v>
      </c>
      <c r="C11" s="53">
        <v>3.8642851420809237</v>
      </c>
      <c r="D11" s="53">
        <v>9.0813098385790951</v>
      </c>
      <c r="G11" s="53">
        <f>D22</f>
        <v>9.1997081886463086</v>
      </c>
      <c r="H11" s="53">
        <f>D23</f>
        <v>8.4510942503703177</v>
      </c>
      <c r="I11" s="53">
        <f>D24</f>
        <v>9.2877296546780386</v>
      </c>
      <c r="J11" s="53">
        <f>D25</f>
        <v>8.5390543807916099</v>
      </c>
    </row>
    <row r="12" spans="1:10" x14ac:dyDescent="0.15">
      <c r="A12" s="54">
        <v>3</v>
      </c>
      <c r="B12" s="53">
        <v>5.2831838671642766</v>
      </c>
      <c r="C12" s="53">
        <v>4.898100245256547</v>
      </c>
      <c r="D12" s="53">
        <v>10.181284112420823</v>
      </c>
      <c r="G12" s="53">
        <f>D16</f>
        <v>5.264234058363674</v>
      </c>
      <c r="H12" s="53">
        <f>D17</f>
        <v>4.943614284006081</v>
      </c>
      <c r="I12" s="53">
        <f>D18</f>
        <v>5.2901438770054874</v>
      </c>
      <c r="J12" s="53">
        <f>D19</f>
        <v>4.9695050768794555</v>
      </c>
    </row>
    <row r="13" spans="1:10" x14ac:dyDescent="0.15">
      <c r="A13" s="54">
        <v>4</v>
      </c>
      <c r="B13" s="53">
        <v>5.3205917525662656</v>
      </c>
      <c r="C13" s="53">
        <v>3.8642851420809237</v>
      </c>
      <c r="D13" s="53">
        <v>9.1848768946471893</v>
      </c>
      <c r="G13" s="53">
        <f>D27</f>
        <v>5.1707002556703916</v>
      </c>
      <c r="H13" s="53">
        <f>D28</f>
        <v>4.9227907905110788</v>
      </c>
      <c r="I13" s="53">
        <f>D29</f>
        <v>5.192705622178325</v>
      </c>
      <c r="J13" s="53">
        <f>D30</f>
        <v>4.9447799983181966</v>
      </c>
    </row>
    <row r="14" spans="1:10" x14ac:dyDescent="0.15">
      <c r="B14" s="53"/>
      <c r="C14" s="53"/>
      <c r="D14" s="53"/>
    </row>
    <row r="15" spans="1:10" x14ac:dyDescent="0.15">
      <c r="A15" s="19" t="s">
        <v>160</v>
      </c>
      <c r="B15" s="53"/>
      <c r="C15" s="53"/>
      <c r="D15" s="53"/>
    </row>
    <row r="16" spans="1:10" x14ac:dyDescent="0.15">
      <c r="B16" s="53">
        <v>3.3808597655267763</v>
      </c>
      <c r="C16" s="53">
        <v>1.8833742928368977</v>
      </c>
      <c r="D16" s="53">
        <v>5.264234058363674</v>
      </c>
    </row>
    <row r="17" spans="1:4" x14ac:dyDescent="0.15">
      <c r="B17" s="53">
        <v>3.4182689457869637</v>
      </c>
      <c r="C17" s="53">
        <v>1.5253453382191169</v>
      </c>
      <c r="D17" s="53">
        <v>4.943614284006081</v>
      </c>
    </row>
    <row r="18" spans="1:4" x14ac:dyDescent="0.15">
      <c r="B18" s="53">
        <v>3.4067518532583492</v>
      </c>
      <c r="C18" s="53">
        <v>1.8833920237471387</v>
      </c>
      <c r="D18" s="53">
        <v>5.2901438770054874</v>
      </c>
    </row>
    <row r="19" spans="1:4" x14ac:dyDescent="0.15">
      <c r="B19" s="53">
        <v>3.4441597386603386</v>
      </c>
      <c r="C19" s="53">
        <v>1.5253453382191169</v>
      </c>
      <c r="D19" s="53">
        <v>4.9695050768794555</v>
      </c>
    </row>
    <row r="20" spans="1:4" x14ac:dyDescent="0.15">
      <c r="B20" s="53"/>
      <c r="C20" s="53"/>
      <c r="D20" s="53"/>
    </row>
    <row r="21" spans="1:4" x14ac:dyDescent="0.15">
      <c r="A21" s="19" t="s">
        <v>161</v>
      </c>
      <c r="B21" s="53"/>
      <c r="C21" s="53"/>
      <c r="D21" s="53"/>
    </row>
    <row r="22" spans="1:4" x14ac:dyDescent="0.15">
      <c r="B22" s="53">
        <v>4.3990789507514672</v>
      </c>
      <c r="C22" s="53">
        <v>4.8006292378948414</v>
      </c>
      <c r="D22" s="53">
        <v>9.1997081886463086</v>
      </c>
    </row>
    <row r="23" spans="1:4" x14ac:dyDescent="0.15">
      <c r="B23" s="53">
        <v>4.4308507949996638</v>
      </c>
      <c r="C23" s="53">
        <v>4.0202434553706539</v>
      </c>
      <c r="D23" s="53">
        <v>8.4510942503703177</v>
      </c>
    </row>
    <row r="24" spans="1:4" x14ac:dyDescent="0.15">
      <c r="B24" s="53">
        <v>4.4870401809036995</v>
      </c>
      <c r="C24" s="53">
        <v>4.8006894737743382</v>
      </c>
      <c r="D24" s="53">
        <v>9.2877296546780386</v>
      </c>
    </row>
    <row r="25" spans="1:4" x14ac:dyDescent="0.15">
      <c r="B25" s="53">
        <v>4.5188109254209561</v>
      </c>
      <c r="C25" s="53">
        <v>4.0202434553706539</v>
      </c>
      <c r="D25" s="53">
        <v>8.5390543807916099</v>
      </c>
    </row>
    <row r="26" spans="1:4" x14ac:dyDescent="0.15">
      <c r="A26" s="19" t="s">
        <v>162</v>
      </c>
      <c r="B26" s="53"/>
      <c r="C26" s="53"/>
      <c r="D26" s="53"/>
    </row>
    <row r="27" spans="1:4" x14ac:dyDescent="0.15">
      <c r="B27" s="53">
        <v>2.871384754977639</v>
      </c>
      <c r="C27" s="53">
        <v>2.2993155006927526</v>
      </c>
      <c r="D27" s="53">
        <v>5.1707002556703916</v>
      </c>
    </row>
    <row r="28" spans="1:4" x14ac:dyDescent="0.15">
      <c r="B28" s="53">
        <v>2.9031565992258361</v>
      </c>
      <c r="C28" s="53">
        <v>2.0196341912852427</v>
      </c>
      <c r="D28" s="53">
        <v>4.9227907905110788</v>
      </c>
    </row>
    <row r="29" spans="1:4" x14ac:dyDescent="0.15">
      <c r="B29" s="53">
        <v>2.8933750625156978</v>
      </c>
      <c r="C29" s="53">
        <v>2.2993305596626268</v>
      </c>
      <c r="D29" s="53">
        <v>5.192705622178325</v>
      </c>
    </row>
    <row r="30" spans="1:4" x14ac:dyDescent="0.15">
      <c r="B30" s="53">
        <v>2.9251458070329539</v>
      </c>
      <c r="C30" s="53">
        <v>2.0196341912852427</v>
      </c>
      <c r="D30" s="53">
        <v>4.9447799983181966</v>
      </c>
    </row>
    <row r="33" spans="1:12" ht="14.25" thickBot="1" x14ac:dyDescent="0.2">
      <c r="A33" s="19" t="s">
        <v>163</v>
      </c>
    </row>
    <row r="34" spans="1:12" ht="16.5" thickTop="1" thickBot="1" x14ac:dyDescent="0.2">
      <c r="B34" s="67">
        <v>0.92224689445063168</v>
      </c>
      <c r="C34" s="67">
        <v>0.29253357734337443</v>
      </c>
      <c r="D34" s="68">
        <v>0.3185717689270734</v>
      </c>
      <c r="E34" s="17">
        <f>SUM(B34:D34)</f>
        <v>1.5333522407210793</v>
      </c>
      <c r="F34" s="69">
        <f>B34+C34</f>
        <v>1.2147804717940061</v>
      </c>
      <c r="G34" s="69">
        <f>F34/8.575</f>
        <v>0.14166536114215816</v>
      </c>
    </row>
    <row r="35" spans="1:12" ht="15.75" thickBot="1" x14ac:dyDescent="0.2">
      <c r="B35" s="70">
        <v>0.93375090489360402</v>
      </c>
      <c r="C35" s="70">
        <v>0.28555337581251961</v>
      </c>
      <c r="D35" s="71">
        <v>0.3185717689270734</v>
      </c>
      <c r="E35" s="17">
        <f t="shared" ref="E35:E37" si="2">SUM(B35:D35)</f>
        <v>1.5378760496331969</v>
      </c>
      <c r="F35" s="69">
        <f t="shared" ref="F35:F37" si="3">B35+C35</f>
        <v>1.2193042807061236</v>
      </c>
      <c r="G35" s="69">
        <f t="shared" ref="G35:G37" si="4">F35/8.575</f>
        <v>0.14219291903278411</v>
      </c>
    </row>
    <row r="36" spans="1:12" ht="15.75" thickBot="1" x14ac:dyDescent="0.2">
      <c r="B36" s="70">
        <v>0.95562744084568818</v>
      </c>
      <c r="C36" s="70">
        <v>0.29253357734337443</v>
      </c>
      <c r="D36" s="71">
        <v>0.31523056202977712</v>
      </c>
      <c r="E36" s="17">
        <f t="shared" si="2"/>
        <v>1.5633915802188396</v>
      </c>
      <c r="F36" s="69">
        <f t="shared" si="3"/>
        <v>1.2481610181890626</v>
      </c>
      <c r="G36" s="69">
        <f t="shared" si="4"/>
        <v>0.14555813623196065</v>
      </c>
    </row>
    <row r="37" spans="1:12" ht="15.75" thickBot="1" x14ac:dyDescent="0.2">
      <c r="B37" s="72">
        <v>0.96713145128866052</v>
      </c>
      <c r="C37" s="72">
        <v>0.28555284150438037</v>
      </c>
      <c r="D37" s="73">
        <v>0.31523056202977712</v>
      </c>
      <c r="E37" s="17">
        <f t="shared" si="2"/>
        <v>1.5679148548228179</v>
      </c>
      <c r="F37" s="69">
        <f t="shared" si="3"/>
        <v>1.2526842927930408</v>
      </c>
      <c r="G37" s="69">
        <f t="shared" si="4"/>
        <v>0.14608563181259954</v>
      </c>
    </row>
    <row r="38" spans="1:12" ht="14.25" thickTop="1" x14ac:dyDescent="0.15"/>
    <row r="40" spans="1:12" x14ac:dyDescent="0.15">
      <c r="A40" s="19" t="s">
        <v>164</v>
      </c>
      <c r="B40">
        <f>9200000*333.3^2/365/(326.53*10^6)</f>
        <v>8.5751653270651271</v>
      </c>
    </row>
    <row r="44" spans="1:12" x14ac:dyDescent="0.15">
      <c r="A44" s="19" t="s">
        <v>165</v>
      </c>
    </row>
    <row r="46" spans="1:12" x14ac:dyDescent="0.15">
      <c r="B46" s="19"/>
      <c r="C46" s="19" t="s">
        <v>167</v>
      </c>
      <c r="D46" s="19" t="s">
        <v>169</v>
      </c>
      <c r="E46" s="19" t="s">
        <v>170</v>
      </c>
      <c r="F46" s="19" t="s">
        <v>171</v>
      </c>
      <c r="G46" s="19" t="s">
        <v>172</v>
      </c>
      <c r="H46" s="19" t="s">
        <v>173</v>
      </c>
      <c r="I46" s="19" t="s">
        <v>174</v>
      </c>
      <c r="J46" s="19" t="s">
        <v>175</v>
      </c>
      <c r="K46" s="19" t="s">
        <v>176</v>
      </c>
      <c r="L46" s="19" t="s">
        <v>177</v>
      </c>
    </row>
    <row r="47" spans="1:12" x14ac:dyDescent="0.15">
      <c r="B47" s="19" t="s">
        <v>166</v>
      </c>
      <c r="C47" s="53" t="e">
        <f>SUM(#REF!)</f>
        <v>#REF!</v>
      </c>
      <c r="D47" s="53" t="e">
        <f>#REF!</f>
        <v>#REF!</v>
      </c>
      <c r="E47" s="7">
        <v>7.2997000000000006E-2</v>
      </c>
      <c r="F47" s="53">
        <v>321.22000000000003</v>
      </c>
      <c r="G47" s="53" t="e">
        <f>#REF!</f>
        <v>#REF!</v>
      </c>
      <c r="H47" s="53" t="e">
        <f>C61</f>
        <v>#REF!</v>
      </c>
      <c r="I47" s="53" t="e">
        <f>C47*D47/(2*9.81*E47)/(F47-H47-3*G47)</f>
        <v>#REF!</v>
      </c>
      <c r="J47" s="53">
        <f>0.25*3.1415926*11.6^2</f>
        <v>105.68317506400001</v>
      </c>
      <c r="K47" s="53" t="e">
        <f>2*3.1425926*(C47*J47/9.81/D47)^0.5</f>
        <v>#REF!</v>
      </c>
      <c r="L47" s="53" t="e">
        <f>J47/I47</f>
        <v>#REF!</v>
      </c>
    </row>
    <row r="48" spans="1:12" x14ac:dyDescent="0.15">
      <c r="B48" s="19" t="s">
        <v>168</v>
      </c>
      <c r="C48" s="53" t="e">
        <f>SUM(#REF!)</f>
        <v>#REF!</v>
      </c>
      <c r="D48" s="53" t="e">
        <f>#REF!</f>
        <v>#REF!</v>
      </c>
      <c r="E48" s="53">
        <v>7.2590000000000002E-2</v>
      </c>
      <c r="F48" s="53">
        <v>321.22000000000003</v>
      </c>
      <c r="G48" s="53" t="e">
        <f>#REF!</f>
        <v>#REF!</v>
      </c>
      <c r="H48" s="53" t="e">
        <f>C77</f>
        <v>#REF!</v>
      </c>
      <c r="I48" s="53" t="e">
        <f>C48*D48/(2*9.81*E48)/(F48-H48-3*G48)</f>
        <v>#REF!</v>
      </c>
      <c r="J48" s="53">
        <f>0.25*3.1415926*11.6^2</f>
        <v>105.68317506400001</v>
      </c>
      <c r="K48" s="53" t="e">
        <f>2*3.1425926*(C48*J48/9.81/D48)^0.5</f>
        <v>#REF!</v>
      </c>
      <c r="L48" s="53" t="e">
        <f>J48/I48</f>
        <v>#REF!</v>
      </c>
    </row>
    <row r="52" spans="1:5" x14ac:dyDescent="0.15">
      <c r="A52" s="19" t="s">
        <v>182</v>
      </c>
    </row>
    <row r="53" spans="1:5" x14ac:dyDescent="0.15">
      <c r="B53" s="19" t="s">
        <v>178</v>
      </c>
      <c r="C53" t="e">
        <f>SUM(#REF!)</f>
        <v>#REF!</v>
      </c>
    </row>
    <row r="54" spans="1:5" x14ac:dyDescent="0.15">
      <c r="B54" s="19" t="s">
        <v>179</v>
      </c>
      <c r="C54" t="e">
        <f>SUM(#REF!)</f>
        <v>#REF!</v>
      </c>
    </row>
    <row r="57" spans="1:5" x14ac:dyDescent="0.15">
      <c r="B57" s="19" t="s">
        <v>180</v>
      </c>
      <c r="C57" t="e">
        <f>SUM(#REF!)</f>
        <v>#REF!</v>
      </c>
    </row>
    <row r="58" spans="1:5" x14ac:dyDescent="0.15">
      <c r="B58" s="19" t="s">
        <v>181</v>
      </c>
      <c r="C58" t="e">
        <f>SUM(#REF!)</f>
        <v>#REF!</v>
      </c>
    </row>
    <row r="61" spans="1:5" x14ac:dyDescent="0.15">
      <c r="B61" s="19" t="s">
        <v>184</v>
      </c>
      <c r="C61" t="e">
        <f>C53+C57</f>
        <v>#REF!</v>
      </c>
      <c r="E61" t="e">
        <f>SUM(C61:C62)</f>
        <v>#REF!</v>
      </c>
    </row>
    <row r="62" spans="1:5" x14ac:dyDescent="0.15">
      <c r="B62" s="19" t="s">
        <v>185</v>
      </c>
      <c r="C62" t="e">
        <f>C54+C58</f>
        <v>#REF!</v>
      </c>
    </row>
    <row r="63" spans="1:5" s="54" customFormat="1" x14ac:dyDescent="0.15">
      <c r="B63" s="19"/>
    </row>
    <row r="64" spans="1:5" s="54" customFormat="1" x14ac:dyDescent="0.15">
      <c r="B64" s="19" t="s">
        <v>186</v>
      </c>
      <c r="C64" s="54" t="e">
        <f>SUM(#REF!)</f>
        <v>#REF!</v>
      </c>
    </row>
    <row r="65" spans="1:5" x14ac:dyDescent="0.15">
      <c r="B65" s="19" t="s">
        <v>187</v>
      </c>
      <c r="C65" t="e">
        <f>#REF!</f>
        <v>#REF!</v>
      </c>
    </row>
    <row r="66" spans="1:5" x14ac:dyDescent="0.15">
      <c r="B66" s="19" t="s">
        <v>188</v>
      </c>
      <c r="C66" t="e">
        <f>C62/#REF!^2*汇总!C65^2</f>
        <v>#REF!</v>
      </c>
    </row>
    <row r="68" spans="1:5" x14ac:dyDescent="0.15">
      <c r="A68" s="19" t="s">
        <v>183</v>
      </c>
      <c r="B68" s="54"/>
      <c r="C68" s="54"/>
    </row>
    <row r="69" spans="1:5" x14ac:dyDescent="0.15">
      <c r="A69" s="54"/>
      <c r="B69" s="19" t="s">
        <v>178</v>
      </c>
      <c r="C69" s="54" t="e">
        <f>SUM(#REF!)</f>
        <v>#REF!</v>
      </c>
    </row>
    <row r="70" spans="1:5" x14ac:dyDescent="0.15">
      <c r="A70" s="54"/>
      <c r="B70" s="19" t="s">
        <v>179</v>
      </c>
      <c r="C70" s="54" t="e">
        <f>SUM(#REF!)</f>
        <v>#REF!</v>
      </c>
    </row>
    <row r="71" spans="1:5" x14ac:dyDescent="0.15">
      <c r="A71" s="54"/>
      <c r="B71" s="54"/>
      <c r="C71" s="54"/>
    </row>
    <row r="72" spans="1:5" x14ac:dyDescent="0.15">
      <c r="A72" s="54"/>
      <c r="B72" s="54"/>
      <c r="C72" s="54"/>
    </row>
    <row r="73" spans="1:5" x14ac:dyDescent="0.15">
      <c r="A73" s="54"/>
      <c r="B73" s="19" t="s">
        <v>180</v>
      </c>
      <c r="C73" s="54" t="e">
        <f>SUM(#REF!)</f>
        <v>#REF!</v>
      </c>
    </row>
    <row r="74" spans="1:5" x14ac:dyDescent="0.15">
      <c r="A74" s="54"/>
      <c r="B74" s="19" t="s">
        <v>181</v>
      </c>
      <c r="C74" s="54" t="e">
        <f>SUM(#REF!)</f>
        <v>#REF!</v>
      </c>
    </row>
    <row r="75" spans="1:5" x14ac:dyDescent="0.15">
      <c r="A75" s="54"/>
      <c r="B75" s="54"/>
      <c r="C75" s="54"/>
    </row>
    <row r="76" spans="1:5" x14ac:dyDescent="0.15">
      <c r="A76" s="54"/>
      <c r="B76" s="54"/>
      <c r="C76" s="54"/>
    </row>
    <row r="77" spans="1:5" x14ac:dyDescent="0.15">
      <c r="A77" s="54"/>
      <c r="B77" s="19" t="s">
        <v>184</v>
      </c>
      <c r="C77" s="54" t="e">
        <f>C69+C73</f>
        <v>#REF!</v>
      </c>
      <c r="E77" s="54" t="e">
        <f>SUM(C77:C78)</f>
        <v>#REF!</v>
      </c>
    </row>
    <row r="78" spans="1:5" x14ac:dyDescent="0.15">
      <c r="A78" s="54"/>
      <c r="B78" s="19" t="s">
        <v>185</v>
      </c>
      <c r="C78" s="54" t="e">
        <f>C70+C74</f>
        <v>#REF!</v>
      </c>
    </row>
    <row r="81" spans="2:3" x14ac:dyDescent="0.15">
      <c r="B81" s="19" t="s">
        <v>186</v>
      </c>
      <c r="C81" s="54" t="e">
        <f>SUM(#REF!)</f>
        <v>#REF!</v>
      </c>
    </row>
    <row r="82" spans="2:3" x14ac:dyDescent="0.15">
      <c r="B82" s="19" t="s">
        <v>187</v>
      </c>
      <c r="C82" s="54" t="e">
        <f>#REF!</f>
        <v>#REF!</v>
      </c>
    </row>
    <row r="83" spans="2:3" x14ac:dyDescent="0.15">
      <c r="B83" s="19" t="s">
        <v>188</v>
      </c>
      <c r="C83" s="54" t="e">
        <f>C78/#REF!^2*C82^2</f>
        <v>#REF!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M26"/>
  <sheetViews>
    <sheetView workbookViewId="0">
      <selection activeCell="B30" sqref="B30"/>
    </sheetView>
  </sheetViews>
  <sheetFormatPr defaultRowHeight="13.5" x14ac:dyDescent="0.15"/>
  <cols>
    <col min="1" max="1" width="11" style="12" bestFit="1" customWidth="1"/>
    <col min="2" max="2" width="21.625" style="12" customWidth="1"/>
    <col min="3" max="3" width="15.125" style="12" bestFit="1" customWidth="1"/>
    <col min="4" max="4" width="20.625" style="12" bestFit="1" customWidth="1"/>
    <col min="5" max="5" width="21.375" style="12" bestFit="1" customWidth="1"/>
    <col min="6" max="7" width="22.875" style="12" bestFit="1" customWidth="1"/>
    <col min="8" max="8" width="18.875" style="12" bestFit="1" customWidth="1"/>
    <col min="9" max="9" width="13.375" style="12" bestFit="1" customWidth="1"/>
    <col min="10" max="10" width="14.375" style="12" bestFit="1" customWidth="1"/>
    <col min="11" max="11" width="16.375" style="12" customWidth="1"/>
    <col min="12" max="12" width="18" style="12" customWidth="1"/>
    <col min="13" max="13" width="20.625" style="12" customWidth="1"/>
    <col min="14" max="16384" width="9" style="12"/>
  </cols>
  <sheetData>
    <row r="1" spans="1:8" s="11" customFormat="1" x14ac:dyDescent="0.15">
      <c r="A1" s="167" t="s">
        <v>36</v>
      </c>
      <c r="B1" s="11" t="s">
        <v>37</v>
      </c>
      <c r="C1" s="11" t="s">
        <v>38</v>
      </c>
    </row>
    <row r="2" spans="1:8" x14ac:dyDescent="0.15">
      <c r="A2" s="167"/>
      <c r="B2" s="13" t="e">
        <f>#REF!+#REF!</f>
        <v>#REF!</v>
      </c>
      <c r="C2" s="12" t="s">
        <v>39</v>
      </c>
    </row>
    <row r="4" spans="1:8" s="11" customFormat="1" ht="36.75" customHeight="1" x14ac:dyDescent="0.15">
      <c r="A4" s="167" t="s">
        <v>40</v>
      </c>
      <c r="B4" s="11" t="s">
        <v>41</v>
      </c>
      <c r="C4" s="11" t="s">
        <v>42</v>
      </c>
      <c r="D4" s="11" t="s">
        <v>45</v>
      </c>
      <c r="E4" s="11" t="s">
        <v>46</v>
      </c>
      <c r="F4" s="11" t="s">
        <v>47</v>
      </c>
      <c r="G4" s="11" t="s">
        <v>48</v>
      </c>
      <c r="H4" s="11" t="s">
        <v>49</v>
      </c>
    </row>
    <row r="5" spans="1:8" x14ac:dyDescent="0.15">
      <c r="A5" s="167"/>
      <c r="B5" s="13" t="e">
        <f>SUM(#REF!)</f>
        <v>#REF!</v>
      </c>
      <c r="C5" s="12">
        <v>6</v>
      </c>
      <c r="D5" s="12" t="e">
        <f>#REF!</f>
        <v>#REF!</v>
      </c>
      <c r="E5" s="12" t="e">
        <f>#REF!</f>
        <v>#REF!</v>
      </c>
      <c r="F5" s="12">
        <f>水轮机基本参数!B7</f>
        <v>-70</v>
      </c>
      <c r="G5" s="12">
        <f>水轮机基本参数!B8</f>
        <v>2275</v>
      </c>
      <c r="H5" s="12" t="e">
        <f>5*C5/D5*(8-G5/900-E5^2/2/9.8-F5)</f>
        <v>#REF!</v>
      </c>
    </row>
    <row r="7" spans="1:8" s="11" customFormat="1" ht="27" x14ac:dyDescent="0.15">
      <c r="A7" s="167" t="s">
        <v>52</v>
      </c>
      <c r="B7" s="11" t="s">
        <v>54</v>
      </c>
      <c r="C7" s="11" t="s">
        <v>56</v>
      </c>
      <c r="D7" s="11" t="s">
        <v>57</v>
      </c>
      <c r="E7" s="11" t="s">
        <v>71</v>
      </c>
      <c r="F7" s="11" t="s">
        <v>72</v>
      </c>
      <c r="G7" s="11" t="s">
        <v>73</v>
      </c>
    </row>
    <row r="8" spans="1:8" x14ac:dyDescent="0.15">
      <c r="A8" s="167"/>
      <c r="B8" s="12">
        <f>水轮机基本参数!B9</f>
        <v>395.86</v>
      </c>
      <c r="C8" s="12" t="e">
        <f>#REF!</f>
        <v>#REF!</v>
      </c>
      <c r="D8" s="12" t="e">
        <f>#REF!</f>
        <v>#REF!</v>
      </c>
      <c r="E8" s="12" t="e">
        <f>C8*D8/(2*9.8*(#REF!+1/2/9.8)*(B8-#REF!-3*(#REF!+#REF!)))</f>
        <v>#REF!</v>
      </c>
      <c r="F8" s="12" t="e">
        <f>C8*D8/(2*9.8*(#REF!+1/2/9.8)*(B8-#REF!-3*(#REF!+#REF!)))</f>
        <v>#REF!</v>
      </c>
      <c r="G8" s="12" t="e">
        <f>C8*D8/(2*9.8*(#REF!+1/2/9.8)*(B8-#REF!-3*(#REF!+#REF!)))</f>
        <v>#REF!</v>
      </c>
    </row>
    <row r="10" spans="1:8" s="11" customFormat="1" ht="27" x14ac:dyDescent="0.15">
      <c r="A10" s="167" t="s">
        <v>74</v>
      </c>
      <c r="B10" s="11" t="s">
        <v>54</v>
      </c>
      <c r="C10" s="11" t="s">
        <v>75</v>
      </c>
      <c r="D10" s="11" t="s">
        <v>76</v>
      </c>
      <c r="E10" s="11" t="s">
        <v>71</v>
      </c>
      <c r="F10" s="11" t="s">
        <v>72</v>
      </c>
      <c r="G10" s="11" t="s">
        <v>73</v>
      </c>
    </row>
    <row r="11" spans="1:8" x14ac:dyDescent="0.15">
      <c r="A11" s="167"/>
      <c r="B11" s="12">
        <f>水轮机基本参数!B9</f>
        <v>395.86</v>
      </c>
      <c r="C11" s="12" t="e">
        <f>#REF!</f>
        <v>#REF!</v>
      </c>
      <c r="D11" s="12" t="e">
        <f>#REF!</f>
        <v>#REF!</v>
      </c>
      <c r="E11" s="12" t="e">
        <f>C11*D11/(2*9.8*(#REF!)*(B11-#REF!-3*(#REF!+#REF!)))</f>
        <v>#REF!</v>
      </c>
      <c r="F11" s="12" t="e">
        <f>C11*D11/(2*9.8*(#REF!)*(B11-#REF!-3*(#REF!+#REF!)))</f>
        <v>#REF!</v>
      </c>
      <c r="G11" s="12" t="e">
        <f>C11*D11/(2*9.8*(#REF!)*(B11-#REF!-3*(#REF!+#REF!)))</f>
        <v>#REF!</v>
      </c>
    </row>
    <row r="13" spans="1:8" s="11" customFormat="1" ht="27" x14ac:dyDescent="0.15">
      <c r="A13" s="167" t="s">
        <v>77</v>
      </c>
      <c r="B13" s="11" t="s">
        <v>78</v>
      </c>
      <c r="C13" s="11" t="s">
        <v>55</v>
      </c>
      <c r="D13" s="11" t="s">
        <v>87</v>
      </c>
      <c r="E13" s="11" t="s">
        <v>83</v>
      </c>
      <c r="F13" s="11" t="s">
        <v>84</v>
      </c>
      <c r="G13" s="11" t="s">
        <v>88</v>
      </c>
    </row>
    <row r="14" spans="1:8" x14ac:dyDescent="0.15">
      <c r="A14" s="167"/>
      <c r="B14" s="12">
        <f>(5.75*2/2)^2*PI()</f>
        <v>103.86890710931253</v>
      </c>
      <c r="C14" s="12" t="e">
        <f>#REF!</f>
        <v>#REF!</v>
      </c>
      <c r="D14" s="12" t="e">
        <f>#REF!</f>
        <v>#REF!</v>
      </c>
      <c r="E14" s="12" t="e">
        <f>2*PI()*SQRT(C14*E8/9.8/D14)</f>
        <v>#REF!</v>
      </c>
      <c r="F14" s="12" t="e">
        <f>2*PI()*SQRT(C14*B14/9.8/D14)</f>
        <v>#REF!</v>
      </c>
      <c r="G14" s="12" t="e">
        <f>B14/E8</f>
        <v>#REF!</v>
      </c>
    </row>
    <row r="16" spans="1:8" s="11" customFormat="1" ht="27" x14ac:dyDescent="0.15">
      <c r="A16" s="167" t="s">
        <v>79</v>
      </c>
      <c r="B16" s="11" t="s">
        <v>80</v>
      </c>
      <c r="C16" s="11" t="s">
        <v>81</v>
      </c>
      <c r="D16" s="11" t="s">
        <v>82</v>
      </c>
      <c r="E16" s="11" t="s">
        <v>85</v>
      </c>
      <c r="F16" s="11" t="s">
        <v>86</v>
      </c>
      <c r="G16" s="11" t="s">
        <v>88</v>
      </c>
    </row>
    <row r="17" spans="1:13" x14ac:dyDescent="0.15">
      <c r="A17" s="167"/>
      <c r="B17" s="12">
        <f>(8.6)^2*PI()</f>
        <v>232.35219265950107</v>
      </c>
      <c r="C17" s="12" t="e">
        <f>#REF!</f>
        <v>#REF!</v>
      </c>
      <c r="D17" s="12" t="e">
        <f>#REF!</f>
        <v>#REF!</v>
      </c>
      <c r="E17" s="12" t="e">
        <f>2*PI()*SQRT(C17*E11/9.8/D17)</f>
        <v>#REF!</v>
      </c>
      <c r="F17" s="12" t="e">
        <f>2*PI()*SQRT(C17*B17/9.8/D17)</f>
        <v>#REF!</v>
      </c>
      <c r="G17" s="12" t="e">
        <f>B17/E11</f>
        <v>#REF!</v>
      </c>
    </row>
    <row r="19" spans="1:13" s="11" customFormat="1" x14ac:dyDescent="0.15">
      <c r="A19" s="167" t="s">
        <v>89</v>
      </c>
      <c r="B19" s="11" t="s">
        <v>90</v>
      </c>
    </row>
    <row r="20" spans="1:13" x14ac:dyDescent="0.15">
      <c r="A20" s="167"/>
      <c r="B20" s="12" t="s">
        <v>91</v>
      </c>
    </row>
    <row r="22" spans="1:13" s="11" customFormat="1" x14ac:dyDescent="0.15">
      <c r="A22" s="167" t="s">
        <v>99</v>
      </c>
      <c r="B22" s="11" t="s">
        <v>100</v>
      </c>
      <c r="C22" s="11" t="s">
        <v>101</v>
      </c>
      <c r="D22" s="11" t="s">
        <v>102</v>
      </c>
      <c r="E22" s="11" t="s">
        <v>103</v>
      </c>
      <c r="F22" s="11" t="s">
        <v>104</v>
      </c>
      <c r="G22" s="11" t="s">
        <v>105</v>
      </c>
      <c r="H22" s="11" t="s">
        <v>106</v>
      </c>
      <c r="I22" s="11" t="s">
        <v>107</v>
      </c>
      <c r="J22" s="11" t="s">
        <v>108</v>
      </c>
      <c r="K22" s="11" t="s">
        <v>114</v>
      </c>
      <c r="L22" s="11" t="s">
        <v>115</v>
      </c>
      <c r="M22" s="11" t="s">
        <v>116</v>
      </c>
    </row>
    <row r="23" spans="1:13" x14ac:dyDescent="0.15">
      <c r="A23" s="167"/>
      <c r="B23" s="12">
        <f>1.125*4</f>
        <v>4.5</v>
      </c>
      <c r="C23" s="12">
        <v>160</v>
      </c>
      <c r="D23" s="12">
        <f>PI()*B23^2/4</f>
        <v>15.904312808798327</v>
      </c>
      <c r="E23" s="12">
        <v>2.8</v>
      </c>
      <c r="F23" s="12">
        <f>210-0.4625/15.075*60</f>
        <v>208.15920398009951</v>
      </c>
      <c r="G23" s="12">
        <f>PI()*E23^2/4</f>
        <v>6.1575216010359934</v>
      </c>
      <c r="H23" s="12">
        <f>2.875*4</f>
        <v>11.5</v>
      </c>
      <c r="I23" s="12">
        <v>210</v>
      </c>
      <c r="J23" s="12">
        <f>PI()*H23^2/4</f>
        <v>103.86890710931253</v>
      </c>
      <c r="K23" s="12">
        <f>20</f>
        <v>20</v>
      </c>
      <c r="L23" s="12">
        <v>275</v>
      </c>
      <c r="M23" s="12">
        <f>PI()*K23^2/4</f>
        <v>314.15926535897933</v>
      </c>
    </row>
    <row r="25" spans="1:13" s="11" customFormat="1" x14ac:dyDescent="0.15">
      <c r="A25" s="167" t="s">
        <v>109</v>
      </c>
      <c r="B25" s="11" t="s">
        <v>100</v>
      </c>
      <c r="C25" s="11" t="s">
        <v>101</v>
      </c>
      <c r="D25" s="11" t="s">
        <v>102</v>
      </c>
      <c r="E25" s="11" t="s">
        <v>103</v>
      </c>
      <c r="F25" s="11" t="s">
        <v>104</v>
      </c>
      <c r="G25" s="11" t="s">
        <v>105</v>
      </c>
    </row>
    <row r="26" spans="1:13" x14ac:dyDescent="0.15">
      <c r="A26" s="167"/>
      <c r="B26" s="12">
        <v>4.5</v>
      </c>
      <c r="C26" s="12">
        <f>69.87+5.8</f>
        <v>75.67</v>
      </c>
      <c r="D26" s="12">
        <f>PI()*B26^2/4</f>
        <v>15.904312808798327</v>
      </c>
      <c r="E26" s="12">
        <v>17.2</v>
      </c>
      <c r="F26" s="12">
        <f>100-23.425</f>
        <v>76.575000000000003</v>
      </c>
      <c r="G26" s="12">
        <f>PI()*E26^2/4</f>
        <v>232.35219265950107</v>
      </c>
    </row>
  </sheetData>
  <mergeCells count="9">
    <mergeCell ref="A22:A23"/>
    <mergeCell ref="A25:A26"/>
    <mergeCell ref="A19:A20"/>
    <mergeCell ref="A1:A2"/>
    <mergeCell ref="A4:A5"/>
    <mergeCell ref="A7:A8"/>
    <mergeCell ref="A10:A11"/>
    <mergeCell ref="A13:A14"/>
    <mergeCell ref="A16:A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水轮机基本参数</vt:lpstr>
      <vt:lpstr>1#机 沿程水头损失及Tw</vt:lpstr>
      <vt:lpstr>1#机 局部水头损失</vt:lpstr>
      <vt:lpstr>4#机 沿程水头损失及Tw</vt:lpstr>
      <vt:lpstr>4#机 局部水头损失</vt:lpstr>
      <vt:lpstr>汇总</vt:lpstr>
      <vt:lpstr>调压室数据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2020-09-22T03:59:57Z</dcterms:modified>
</cp:coreProperties>
</file>