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A\Desktop\HW_lab_TEX\LAB2\"/>
    </mc:Choice>
  </mc:AlternateContent>
  <xr:revisionPtr revIDLastSave="0" documentId="13_ncr:1_{FF539BB6-E0AB-4516-8456-5632CC34C25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  <sheet name="Лист2" sheetId="4" r:id="rId2"/>
    <sheet name="Лист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6" i="1" l="1"/>
  <c r="O25" i="1"/>
  <c r="O24" i="1"/>
  <c r="O22" i="1"/>
  <c r="O21" i="1"/>
  <c r="O20" i="1"/>
  <c r="O19" i="1"/>
  <c r="O18" i="1"/>
  <c r="O17" i="1"/>
  <c r="O16" i="1"/>
  <c r="O15" i="1"/>
  <c r="O14" i="1"/>
  <c r="I11" i="1"/>
  <c r="I19" i="1"/>
  <c r="B14" i="4"/>
  <c r="D14" i="4"/>
  <c r="B24" i="4"/>
  <c r="D24" i="4"/>
  <c r="C24" i="4"/>
  <c r="C27" i="4"/>
  <c r="B27" i="4"/>
  <c r="D22" i="4"/>
  <c r="C22" i="4"/>
  <c r="B22" i="4"/>
  <c r="C14" i="4" l="1"/>
  <c r="C13" i="4"/>
  <c r="D13" i="4"/>
  <c r="B13" i="4"/>
  <c r="D12" i="4"/>
  <c r="C12" i="4"/>
  <c r="B12" i="4"/>
  <c r="T55" i="1"/>
  <c r="T54" i="1"/>
  <c r="AB54" i="1" s="1"/>
  <c r="T53" i="1"/>
  <c r="V53" i="1" s="1"/>
  <c r="T52" i="1"/>
  <c r="AB52" i="1" s="1"/>
  <c r="T51" i="1"/>
  <c r="V51" i="1" s="1"/>
  <c r="T50" i="1"/>
  <c r="AB50" i="1" s="1"/>
  <c r="T49" i="1"/>
  <c r="AB49" i="1" s="1"/>
  <c r="T48" i="1"/>
  <c r="V48" i="1" s="1"/>
  <c r="Z26" i="1"/>
  <c r="V13" i="1"/>
  <c r="AC66" i="1"/>
  <c r="AC65" i="1"/>
  <c r="AC64" i="1"/>
  <c r="AC63" i="1"/>
  <c r="AC62" i="1"/>
  <c r="AC61" i="1"/>
  <c r="AC60" i="1"/>
  <c r="AC59" i="1"/>
  <c r="T67" i="1"/>
  <c r="V67" i="1" s="1"/>
  <c r="T66" i="1"/>
  <c r="AB66" i="1" s="1"/>
  <c r="T65" i="1"/>
  <c r="AB65" i="1" s="1"/>
  <c r="T64" i="1"/>
  <c r="V64" i="1" s="1"/>
  <c r="T63" i="1"/>
  <c r="T62" i="1"/>
  <c r="T61" i="1"/>
  <c r="V61" i="1" s="1"/>
  <c r="T60" i="1"/>
  <c r="V60" i="1" s="1"/>
  <c r="T59" i="1"/>
  <c r="T45" i="1"/>
  <c r="V45" i="1" s="1"/>
  <c r="T44" i="1"/>
  <c r="V44" i="1" s="1"/>
  <c r="T43" i="1"/>
  <c r="AB43" i="1" s="1"/>
  <c r="T42" i="1"/>
  <c r="V42" i="1" s="1"/>
  <c r="T41" i="1"/>
  <c r="V41" i="1" s="1"/>
  <c r="T40" i="1"/>
  <c r="V40" i="1" s="1"/>
  <c r="T39" i="1"/>
  <c r="V39" i="1" s="1"/>
  <c r="T38" i="1"/>
  <c r="T35" i="1"/>
  <c r="T34" i="1"/>
  <c r="AB34" i="1" s="1"/>
  <c r="T33" i="1"/>
  <c r="T32" i="1"/>
  <c r="V32" i="1" s="1"/>
  <c r="T31" i="1"/>
  <c r="T30" i="1"/>
  <c r="AB30" i="1" s="1"/>
  <c r="T28" i="1"/>
  <c r="V28" i="1" s="1"/>
  <c r="AB29" i="1"/>
  <c r="AB28" i="1"/>
  <c r="AB63" i="1"/>
  <c r="AB62" i="1"/>
  <c r="AB59" i="1"/>
  <c r="AB55" i="1"/>
  <c r="AB38" i="1"/>
  <c r="AB35" i="1"/>
  <c r="AB33" i="1"/>
  <c r="AB31" i="1"/>
  <c r="V62" i="1"/>
  <c r="V63" i="1"/>
  <c r="V59" i="1"/>
  <c r="V55" i="1"/>
  <c r="V38" i="1"/>
  <c r="V29" i="1"/>
  <c r="V30" i="1"/>
  <c r="V31" i="1"/>
  <c r="V33" i="1"/>
  <c r="V35" i="1"/>
  <c r="V16" i="1"/>
  <c r="V17" i="1"/>
  <c r="V18" i="1"/>
  <c r="V19" i="1"/>
  <c r="V20" i="1"/>
  <c r="V21" i="1"/>
  <c r="V22" i="1"/>
  <c r="V23" i="1"/>
  <c r="V24" i="1"/>
  <c r="V25" i="1"/>
  <c r="V15" i="1"/>
  <c r="V5" i="1"/>
  <c r="V6" i="1"/>
  <c r="V7" i="1"/>
  <c r="V8" i="1"/>
  <c r="V9" i="1"/>
  <c r="V10" i="1"/>
  <c r="V11" i="1"/>
  <c r="V12" i="1"/>
  <c r="V4" i="1"/>
  <c r="V54" i="1" l="1"/>
  <c r="AB53" i="1"/>
  <c r="V52" i="1"/>
  <c r="AB51" i="1"/>
  <c r="V50" i="1"/>
  <c r="V49" i="1"/>
  <c r="AB48" i="1"/>
  <c r="V66" i="1"/>
  <c r="V65" i="1"/>
  <c r="AB64" i="1"/>
  <c r="AB61" i="1"/>
  <c r="AB60" i="1"/>
  <c r="AB45" i="1"/>
  <c r="AB44" i="1"/>
  <c r="V43" i="1"/>
  <c r="AB42" i="1"/>
  <c r="AB41" i="1"/>
  <c r="AB40" i="1"/>
  <c r="AB39" i="1"/>
  <c r="V34" i="1"/>
  <c r="AB32" i="1"/>
  <c r="Y6" i="1"/>
  <c r="T21" i="1" l="1"/>
  <c r="T17" i="1"/>
  <c r="T25" i="1"/>
  <c r="T16" i="1"/>
  <c r="T24" i="1"/>
  <c r="T15" i="1"/>
  <c r="V57" i="1"/>
  <c r="T23" i="1"/>
  <c r="T11" i="1"/>
  <c r="T22" i="1"/>
  <c r="T20" i="1"/>
  <c r="T19" i="1"/>
  <c r="T18" i="1"/>
  <c r="T12" i="1"/>
  <c r="V46" i="1"/>
  <c r="T29" i="1"/>
  <c r="I21" i="1"/>
  <c r="I23" i="1" s="1"/>
  <c r="I15" i="1"/>
  <c r="J10" i="1"/>
  <c r="K10" i="1"/>
  <c r="L10" i="1"/>
  <c r="M10" i="1"/>
  <c r="N10" i="1"/>
  <c r="O10" i="1"/>
  <c r="P10" i="1"/>
  <c r="Q10" i="1"/>
  <c r="R10" i="1"/>
  <c r="I10" i="1"/>
  <c r="I8" i="1"/>
  <c r="I7" i="1"/>
  <c r="V36" i="1" l="1"/>
  <c r="V68" i="1"/>
  <c r="I14" i="1"/>
  <c r="AB20" i="1"/>
  <c r="AB22" i="1"/>
  <c r="AB24" i="1"/>
  <c r="Z46" i="1"/>
  <c r="AB16" i="1"/>
  <c r="AB11" i="1"/>
  <c r="Z57" i="1"/>
  <c r="AB18" i="1"/>
  <c r="AB17" i="1"/>
  <c r="AB25" i="1"/>
  <c r="AB12" i="1"/>
  <c r="AB23" i="1"/>
  <c r="AB19" i="1"/>
  <c r="AB15" i="1"/>
  <c r="AB21" i="1"/>
  <c r="W38" i="1"/>
  <c r="W40" i="1"/>
  <c r="W39" i="1"/>
  <c r="W41" i="1"/>
  <c r="W43" i="1"/>
  <c r="W45" i="1"/>
  <c r="W42" i="1"/>
  <c r="W44" i="1"/>
  <c r="W49" i="1"/>
  <c r="W55" i="1"/>
  <c r="W52" i="1"/>
  <c r="W51" i="1"/>
  <c r="W50" i="1"/>
  <c r="W53" i="1"/>
  <c r="W48" i="1"/>
  <c r="W54" i="1"/>
  <c r="F4" i="1"/>
  <c r="Z68" i="1" l="1"/>
  <c r="Z36" i="1"/>
  <c r="W34" i="1"/>
  <c r="W32" i="1"/>
  <c r="W29" i="1"/>
  <c r="W30" i="1"/>
  <c r="W28" i="1"/>
  <c r="W67" i="1"/>
  <c r="W60" i="1"/>
  <c r="W33" i="1"/>
  <c r="W31" i="1"/>
  <c r="W64" i="1"/>
  <c r="V26" i="1"/>
  <c r="W19" i="1" s="1"/>
  <c r="W62" i="1"/>
  <c r="W66" i="1"/>
  <c r="W63" i="1"/>
  <c r="W65" i="1"/>
  <c r="W59" i="1"/>
  <c r="W61" i="1"/>
  <c r="X46" i="1"/>
  <c r="W35" i="1"/>
  <c r="T6" i="1"/>
  <c r="T5" i="1"/>
  <c r="T7" i="1"/>
  <c r="T4" i="1"/>
  <c r="T9" i="1"/>
  <c r="T10" i="1"/>
  <c r="T8" i="1"/>
  <c r="X57" i="1"/>
  <c r="AC54" i="1" l="1"/>
  <c r="AC49" i="1"/>
  <c r="AA54" i="1"/>
  <c r="AA49" i="1"/>
  <c r="AC48" i="1"/>
  <c r="AC55" i="1"/>
  <c r="AA51" i="1"/>
  <c r="AA55" i="1"/>
  <c r="AA50" i="1"/>
  <c r="AC53" i="1"/>
  <c r="AA53" i="1"/>
  <c r="AA48" i="1"/>
  <c r="AC52" i="1"/>
  <c r="AC51" i="1"/>
  <c r="AC50" i="1"/>
  <c r="AA52" i="1"/>
  <c r="AA44" i="1"/>
  <c r="AC38" i="1"/>
  <c r="AA42" i="1"/>
  <c r="AA39" i="1"/>
  <c r="AC45" i="1"/>
  <c r="AA40" i="1"/>
  <c r="AA45" i="1"/>
  <c r="AC44" i="1"/>
  <c r="AC39" i="1"/>
  <c r="AC43" i="1"/>
  <c r="AA38" i="1"/>
  <c r="AA43" i="1"/>
  <c r="AA41" i="1"/>
  <c r="AC40" i="1"/>
  <c r="AC41" i="1"/>
  <c r="AC42" i="1"/>
  <c r="X36" i="1"/>
  <c r="W16" i="1"/>
  <c r="W21" i="1"/>
  <c r="W25" i="1"/>
  <c r="W24" i="1"/>
  <c r="W17" i="1"/>
  <c r="X68" i="1"/>
  <c r="W18" i="1"/>
  <c r="W15" i="1"/>
  <c r="W20" i="1"/>
  <c r="W22" i="1"/>
  <c r="W23" i="1"/>
  <c r="AB10" i="1"/>
  <c r="AB8" i="1"/>
  <c r="AB9" i="1"/>
  <c r="AB4" i="1"/>
  <c r="AB7" i="1"/>
  <c r="AB5" i="1"/>
  <c r="AB6" i="1"/>
  <c r="W6" i="1"/>
  <c r="AA60" i="1" l="1"/>
  <c r="AA62" i="1"/>
  <c r="AA66" i="1"/>
  <c r="AA64" i="1"/>
  <c r="AA61" i="1"/>
  <c r="AA65" i="1"/>
  <c r="AA63" i="1"/>
  <c r="AA59" i="1"/>
  <c r="AC32" i="1"/>
  <c r="AC35" i="1"/>
  <c r="AA34" i="1"/>
  <c r="AA29" i="1"/>
  <c r="AC34" i="1"/>
  <c r="AA35" i="1"/>
  <c r="AC31" i="1"/>
  <c r="AA31" i="1"/>
  <c r="AA32" i="1"/>
  <c r="AC33" i="1"/>
  <c r="AC28" i="1"/>
  <c r="AA30" i="1"/>
  <c r="AA33" i="1"/>
  <c r="AA28" i="1"/>
  <c r="AC30" i="1"/>
  <c r="AC29" i="1"/>
  <c r="X26" i="1"/>
  <c r="AA21" i="1" s="1"/>
  <c r="AC24" i="1"/>
  <c r="AA25" i="1"/>
  <c r="AA19" i="1"/>
  <c r="AA23" i="1"/>
  <c r="AC18" i="1"/>
  <c r="AC20" i="1"/>
  <c r="AA20" i="1"/>
  <c r="AC17" i="1"/>
  <c r="AC22" i="1"/>
  <c r="AC15" i="1"/>
  <c r="AC25" i="1"/>
  <c r="AA17" i="1"/>
  <c r="AA24" i="1"/>
  <c r="AC16" i="1"/>
  <c r="AA22" i="1"/>
  <c r="AC23" i="1"/>
  <c r="AA16" i="1"/>
  <c r="AA18" i="1"/>
  <c r="AC21" i="1"/>
  <c r="AA15" i="1"/>
  <c r="W5" i="1"/>
  <c r="AC19" i="1" l="1"/>
  <c r="W10" i="1"/>
  <c r="W7" i="1"/>
  <c r="W4" i="1"/>
  <c r="W9" i="1"/>
  <c r="W8" i="1"/>
  <c r="W11" i="1"/>
  <c r="W12" i="1"/>
  <c r="Z13" i="1"/>
  <c r="X13" i="1" l="1"/>
  <c r="AA4" i="1" s="1"/>
  <c r="AC8" i="1" l="1"/>
  <c r="AA5" i="1"/>
  <c r="AA12" i="1"/>
  <c r="AC11" i="1"/>
  <c r="AC4" i="1"/>
  <c r="AC10" i="1"/>
  <c r="AA10" i="1"/>
  <c r="AC9" i="1"/>
  <c r="AC12" i="1"/>
  <c r="AA8" i="1"/>
  <c r="AC6" i="1"/>
  <c r="AA11" i="1"/>
  <c r="AA9" i="1"/>
  <c r="AA6" i="1"/>
  <c r="AC5" i="1"/>
  <c r="AC7" i="1"/>
  <c r="AA7" i="1"/>
</calcChain>
</file>

<file path=xl/sharedStrings.xml><?xml version="1.0" encoding="utf-8"?>
<sst xmlns="http://schemas.openxmlformats.org/spreadsheetml/2006/main" count="125" uniqueCount="71">
  <si>
    <t>V, mV</t>
  </si>
  <si>
    <t>I, mA</t>
  </si>
  <si>
    <t>L,m</t>
  </si>
  <si>
    <t>Цена деления:</t>
  </si>
  <si>
    <t>d1, мм</t>
  </si>
  <si>
    <t>d2, мм</t>
  </si>
  <si>
    <t>d2</t>
  </si>
  <si>
    <t>(0.359+-0.010) мм^2</t>
  </si>
  <si>
    <r>
      <t>(σ</t>
    </r>
    <r>
      <rPr>
        <b/>
        <sz val="8"/>
        <color rgb="FF000000"/>
        <rFont val="Times New Roman"/>
        <family val="1"/>
        <charset val="204"/>
      </rPr>
      <t>случ</t>
    </r>
    <r>
      <rPr>
        <b/>
        <sz val="10"/>
        <color rgb="FF000000"/>
        <rFont val="Times New Roman"/>
        <family val="1"/>
        <charset val="204"/>
      </rPr>
      <t>)^2</t>
    </r>
  </si>
  <si>
    <r>
      <t>(σ</t>
    </r>
    <r>
      <rPr>
        <b/>
        <sz val="8"/>
        <color rgb="FF000000"/>
        <rFont val="Times New Roman"/>
        <family val="1"/>
        <charset val="204"/>
      </rPr>
      <t>сист</t>
    </r>
    <r>
      <rPr>
        <b/>
        <sz val="10"/>
        <color rgb="FF000000"/>
        <rFont val="Times New Roman"/>
        <family val="1"/>
        <charset val="204"/>
      </rPr>
      <t>)^2</t>
    </r>
  </si>
  <si>
    <t>Точность Sпроволоки (%)</t>
  </si>
  <si>
    <t>Результаты измерения сопротивления проволоки</t>
  </si>
  <si>
    <t>L=50 см</t>
  </si>
  <si>
    <t>L=30 см</t>
  </si>
  <si>
    <t>L=20 см</t>
  </si>
  <si>
    <t>Rср</t>
  </si>
  <si>
    <t>Ri</t>
  </si>
  <si>
    <t>Ri-Rср</t>
  </si>
  <si>
    <t>Нижняя граница</t>
  </si>
  <si>
    <t>Верхняя граница</t>
  </si>
  <si>
    <t>σслуч Rcp</t>
  </si>
  <si>
    <t>σоценка</t>
  </si>
  <si>
    <r>
      <rPr>
        <b/>
        <sz val="16"/>
        <color rgb="FF000000"/>
        <rFont val="Times New Roman"/>
        <family val="1"/>
        <charset val="204"/>
      </rPr>
      <t>σ</t>
    </r>
    <r>
      <rPr>
        <b/>
        <sz val="10"/>
        <color rgb="FF000000"/>
        <rFont val="Times New Roman"/>
        <family val="1"/>
        <charset val="204"/>
      </rPr>
      <t>оценка</t>
    </r>
  </si>
  <si>
    <r>
      <t>σ</t>
    </r>
    <r>
      <rPr>
        <b/>
        <sz val="8"/>
        <color rgb="FF000000"/>
        <rFont val="Times New Roman"/>
        <family val="1"/>
        <charset val="204"/>
      </rPr>
      <t>случ Rcp</t>
    </r>
  </si>
  <si>
    <t>20 см</t>
  </si>
  <si>
    <t>30 см</t>
  </si>
  <si>
    <t>40 см</t>
  </si>
  <si>
    <t>L, см</t>
  </si>
  <si>
    <t>1,07</t>
  </si>
  <si>
    <t>Rпр</t>
  </si>
  <si>
    <r>
      <rPr>
        <sz val="10"/>
        <color rgb="FF000000"/>
        <rFont val="Calibri"/>
        <family val="2"/>
        <charset val="204"/>
      </rPr>
      <t>σ</t>
    </r>
    <r>
      <rPr>
        <sz val="11.5"/>
        <color rgb="FF000000"/>
        <rFont val="Arial"/>
        <family val="2"/>
        <charset val="204"/>
      </rPr>
      <t>сист</t>
    </r>
    <r>
      <rPr>
        <sz val="10"/>
        <color rgb="FF000000"/>
        <rFont val="Arial"/>
        <family val="2"/>
        <charset val="204"/>
      </rPr>
      <t xml:space="preserve"> R</t>
    </r>
  </si>
  <si>
    <t>σполнR</t>
  </si>
  <si>
    <t>ρ2, Ом*см</t>
  </si>
  <si>
    <t>ρ, 10^-4, Ом*см</t>
  </si>
  <si>
    <t>σ, 10^-6, Ом*см</t>
  </si>
  <si>
    <t>ρ3, Ом*см</t>
  </si>
  <si>
    <t>ρ1, Ом*см</t>
  </si>
  <si>
    <r>
      <t>R</t>
    </r>
    <r>
      <rPr>
        <sz val="8"/>
        <color rgb="FF000000"/>
        <rFont val="Times New Roman"/>
        <family val="1"/>
        <charset val="204"/>
      </rPr>
      <t xml:space="preserve">o </t>
    </r>
    <r>
      <rPr>
        <sz val="10"/>
        <color rgb="FF000000"/>
        <rFont val="Times New Roman"/>
        <family val="1"/>
        <charset val="204"/>
      </rPr>
      <t xml:space="preserve">= 2.1224 Ом (по P4833) </t>
    </r>
  </si>
  <si>
    <r>
      <t>R</t>
    </r>
    <r>
      <rPr>
        <sz val="8"/>
        <color rgb="FF000000"/>
        <rFont val="Times New Roman"/>
        <family val="1"/>
        <charset val="204"/>
      </rPr>
      <t xml:space="preserve">ср = </t>
    </r>
    <r>
      <rPr>
        <sz val="10"/>
        <color rgb="FF000000"/>
        <rFont val="Times New Roman"/>
        <family val="1"/>
        <charset val="204"/>
      </rPr>
      <t>2.0337 Ом</t>
    </r>
  </si>
  <si>
    <t>Rпр = 2.0420 Ом</t>
  </si>
  <si>
    <r>
      <t>R</t>
    </r>
    <r>
      <rPr>
        <sz val="8"/>
        <color rgb="FF000000"/>
        <rFont val="Times New Roman"/>
        <family val="1"/>
        <charset val="204"/>
      </rPr>
      <t>ср =</t>
    </r>
    <r>
      <rPr>
        <sz val="10"/>
        <color rgb="FF000000"/>
        <rFont val="Times New Roman"/>
        <family val="1"/>
        <charset val="204"/>
      </rPr>
      <t xml:space="preserve"> 3.1595 Ом</t>
    </r>
  </si>
  <si>
    <r>
      <t>R</t>
    </r>
    <r>
      <rPr>
        <sz val="8"/>
        <color rgb="FF000000"/>
        <rFont val="Times New Roman"/>
        <family val="1"/>
        <charset val="204"/>
      </rPr>
      <t xml:space="preserve">o </t>
    </r>
    <r>
      <rPr>
        <sz val="10"/>
        <color rgb="FF000000"/>
        <rFont val="Times New Roman"/>
        <family val="1"/>
        <charset val="204"/>
      </rPr>
      <t>= 3.2466 Ом (по P4833)</t>
    </r>
  </si>
  <si>
    <t>Rпр = 3.1678 Ом</t>
  </si>
  <si>
    <r>
      <t>R</t>
    </r>
    <r>
      <rPr>
        <sz val="8"/>
        <color rgb="FF000000"/>
        <rFont val="Times New Roman"/>
        <family val="1"/>
        <charset val="204"/>
      </rPr>
      <t xml:space="preserve">o </t>
    </r>
    <r>
      <rPr>
        <sz val="10"/>
        <color rgb="FF000000"/>
        <rFont val="Times New Roman"/>
        <family val="1"/>
        <charset val="204"/>
      </rPr>
      <t>= 5.3620 Ом (по P4833)</t>
    </r>
  </si>
  <si>
    <r>
      <t>R</t>
    </r>
    <r>
      <rPr>
        <sz val="8"/>
        <color rgb="FF000000"/>
        <rFont val="Times New Roman"/>
        <family val="1"/>
        <charset val="204"/>
      </rPr>
      <t>ср =</t>
    </r>
    <r>
      <rPr>
        <sz val="10"/>
        <color rgb="FF000000"/>
        <rFont val="Times New Roman"/>
        <family val="1"/>
        <charset val="204"/>
      </rPr>
      <t xml:space="preserve"> 5.2215 Ом</t>
    </r>
  </si>
  <si>
    <t>Rпр = 5.2760 Ом</t>
  </si>
  <si>
    <r>
      <t>σ</t>
    </r>
    <r>
      <rPr>
        <sz val="9"/>
        <color rgb="FF000000"/>
        <rFont val="Times New Roman"/>
        <family val="1"/>
        <charset val="204"/>
      </rPr>
      <t xml:space="preserve">случ R </t>
    </r>
    <r>
      <rPr>
        <sz val="14"/>
        <color rgb="FF000000"/>
        <rFont val="Times New Roman"/>
        <family val="1"/>
        <charset val="204"/>
      </rPr>
      <t>= 0.042 Ом</t>
    </r>
  </si>
  <si>
    <r>
      <t>σ</t>
    </r>
    <r>
      <rPr>
        <sz val="9"/>
        <color rgb="FF000000"/>
        <rFont val="Times New Roman"/>
        <family val="1"/>
        <charset val="204"/>
      </rPr>
      <t xml:space="preserve">сист R </t>
    </r>
    <r>
      <rPr>
        <sz val="14"/>
        <color rgb="FF000000"/>
        <rFont val="Times New Roman"/>
        <family val="1"/>
        <charset val="204"/>
      </rPr>
      <t>= 0.007 Ом</t>
    </r>
  </si>
  <si>
    <r>
      <t>σ</t>
    </r>
    <r>
      <rPr>
        <sz val="8"/>
        <color rgb="FF000000"/>
        <rFont val="Times New Roman"/>
        <family val="1"/>
        <charset val="204"/>
      </rPr>
      <t xml:space="preserve">R </t>
    </r>
    <r>
      <rPr>
        <sz val="14"/>
        <color rgb="FF000000"/>
        <rFont val="Times New Roman"/>
        <family val="1"/>
        <charset val="204"/>
      </rPr>
      <t>= 0.043 Ом</t>
    </r>
  </si>
  <si>
    <r>
      <t>σ</t>
    </r>
    <r>
      <rPr>
        <sz val="8"/>
        <color rgb="FF000000"/>
        <rFont val="Times New Roman"/>
        <family val="1"/>
        <charset val="204"/>
      </rPr>
      <t xml:space="preserve">R </t>
    </r>
    <r>
      <rPr>
        <sz val="14"/>
        <color rgb="FF000000"/>
        <rFont val="Times New Roman"/>
        <family val="1"/>
        <charset val="204"/>
      </rPr>
      <t>= 0.066 Ом</t>
    </r>
  </si>
  <si>
    <r>
      <t>σ</t>
    </r>
    <r>
      <rPr>
        <sz val="9"/>
        <color rgb="FF000000"/>
        <rFont val="Times New Roman"/>
        <family val="1"/>
        <charset val="204"/>
      </rPr>
      <t xml:space="preserve">сист R </t>
    </r>
    <r>
      <rPr>
        <sz val="14"/>
        <color rgb="FF000000"/>
        <rFont val="Times New Roman"/>
        <family val="1"/>
        <charset val="204"/>
      </rPr>
      <t>= 0.004 Ом</t>
    </r>
  </si>
  <si>
    <r>
      <t>σ</t>
    </r>
    <r>
      <rPr>
        <sz val="9"/>
        <color rgb="FF000000"/>
        <rFont val="Times New Roman"/>
        <family val="1"/>
        <charset val="204"/>
      </rPr>
      <t xml:space="preserve">случ R </t>
    </r>
    <r>
      <rPr>
        <sz val="14"/>
        <color rgb="FF000000"/>
        <rFont val="Times New Roman"/>
        <family val="1"/>
        <charset val="204"/>
      </rPr>
      <t>= 0.066 Ом</t>
    </r>
  </si>
  <si>
    <r>
      <t>σ</t>
    </r>
    <r>
      <rPr>
        <sz val="9"/>
        <color rgb="FF000000"/>
        <rFont val="Times New Roman"/>
        <family val="1"/>
        <charset val="204"/>
      </rPr>
      <t xml:space="preserve">случ R </t>
    </r>
    <r>
      <rPr>
        <sz val="14"/>
        <color rgb="FF000000"/>
        <rFont val="Times New Roman"/>
        <family val="1"/>
        <charset val="204"/>
      </rPr>
      <t>=0.004 Ом</t>
    </r>
  </si>
  <si>
    <r>
      <t>σ</t>
    </r>
    <r>
      <rPr>
        <sz val="9"/>
        <color rgb="FF000000"/>
        <rFont val="Times New Roman"/>
        <family val="1"/>
        <charset val="204"/>
      </rPr>
      <t xml:space="preserve">сист R </t>
    </r>
    <r>
      <rPr>
        <sz val="14"/>
        <color rgb="FF000000"/>
        <rFont val="Times New Roman"/>
        <family val="1"/>
        <charset val="204"/>
      </rPr>
      <t>= 0.003 Ом</t>
    </r>
  </si>
  <si>
    <t>σ1, Ом*см</t>
  </si>
  <si>
    <t>σ2, Ом*см</t>
  </si>
  <si>
    <t>σ3, Ом*см</t>
  </si>
  <si>
    <r>
      <t>d1</t>
    </r>
    <r>
      <rPr>
        <b/>
        <sz val="8"/>
        <color rgb="FF000000"/>
        <rFont val="Times New Roman"/>
        <family val="1"/>
        <charset val="204"/>
      </rPr>
      <t>сред,</t>
    </r>
    <r>
      <rPr>
        <b/>
        <sz val="10"/>
        <color rgb="FF000000"/>
        <rFont val="Times New Roman"/>
        <family val="1"/>
        <charset val="204"/>
      </rPr>
      <t xml:space="preserve"> мм</t>
    </r>
  </si>
  <si>
    <r>
      <t>d2</t>
    </r>
    <r>
      <rPr>
        <b/>
        <sz val="8"/>
        <color rgb="FF000000"/>
        <rFont val="Times New Roman"/>
        <family val="1"/>
        <charset val="204"/>
      </rPr>
      <t>сред</t>
    </r>
    <r>
      <rPr>
        <b/>
        <sz val="10"/>
        <color rgb="FF000000"/>
        <rFont val="Times New Roman"/>
        <family val="1"/>
        <charset val="204"/>
      </rPr>
      <t>, мм</t>
    </r>
  </si>
  <si>
    <r>
      <t>σ</t>
    </r>
    <r>
      <rPr>
        <b/>
        <sz val="8"/>
        <color rgb="FF000000"/>
        <rFont val="Times New Roman"/>
        <family val="1"/>
        <charset val="204"/>
      </rPr>
      <t>случ</t>
    </r>
    <r>
      <rPr>
        <b/>
        <sz val="10"/>
        <color rgb="FF000000"/>
        <rFont val="Times New Roman"/>
        <family val="1"/>
        <charset val="204"/>
      </rPr>
      <t>, мм</t>
    </r>
  </si>
  <si>
    <r>
      <t>σ</t>
    </r>
    <r>
      <rPr>
        <b/>
        <sz val="8"/>
        <color rgb="FF000000"/>
        <rFont val="Times New Roman"/>
        <family val="1"/>
        <charset val="204"/>
      </rPr>
      <t>сист</t>
    </r>
    <r>
      <rPr>
        <b/>
        <sz val="10"/>
        <color rgb="FF000000"/>
        <rFont val="Times New Roman"/>
        <family val="1"/>
        <charset val="204"/>
      </rPr>
      <t>, мм</t>
    </r>
  </si>
  <si>
    <r>
      <rPr>
        <sz val="18"/>
        <color rgb="FF000000"/>
        <rFont val="Times New Roman"/>
        <family val="1"/>
        <charset val="204"/>
      </rPr>
      <t>σ</t>
    </r>
    <r>
      <rPr>
        <sz val="8"/>
        <color rgb="FF000000"/>
        <rFont val="Times New Roman"/>
        <family val="1"/>
        <charset val="204"/>
      </rPr>
      <t xml:space="preserve">S, </t>
    </r>
    <r>
      <rPr>
        <sz val="10"/>
        <color rgb="FF000000"/>
        <rFont val="Times New Roman"/>
        <family val="1"/>
        <charset val="204"/>
      </rPr>
      <t>мм</t>
    </r>
  </si>
  <si>
    <r>
      <t>S</t>
    </r>
    <r>
      <rPr>
        <b/>
        <sz val="8"/>
        <color rgb="FF000000"/>
        <rFont val="Times New Roman"/>
        <family val="1"/>
        <charset val="204"/>
      </rPr>
      <t>проволоки</t>
    </r>
    <r>
      <rPr>
        <b/>
        <sz val="10"/>
        <color rgb="FF000000"/>
        <rFont val="Times New Roman"/>
        <family val="1"/>
        <charset val="204"/>
      </rPr>
      <t>, см^2</t>
    </r>
  </si>
  <si>
    <t>(3.59+-0.10)*10^-2 см</t>
  </si>
  <si>
    <t>x</t>
  </si>
  <si>
    <t>5.57 * 10^-5 см^2</t>
  </si>
  <si>
    <r>
      <t>σ</t>
    </r>
    <r>
      <rPr>
        <sz val="8"/>
        <color rgb="FF000000"/>
        <rFont val="Times New Roman"/>
        <family val="1"/>
        <charset val="204"/>
      </rPr>
      <t xml:space="preserve">R </t>
    </r>
    <r>
      <rPr>
        <sz val="14"/>
        <color rgb="FF000000"/>
        <rFont val="Times New Roman"/>
        <family val="1"/>
        <charset val="204"/>
      </rPr>
      <t>= 0.005 Ом</t>
    </r>
  </si>
  <si>
    <r>
      <t xml:space="preserve">раз </t>
    </r>
    <r>
      <rPr>
        <sz val="16"/>
        <color rgb="FF000000"/>
        <rFont val="Calibri"/>
        <family val="2"/>
        <charset val="204"/>
      </rPr>
      <t>σ</t>
    </r>
    <r>
      <rPr>
        <sz val="10"/>
        <color rgb="FF000000"/>
        <rFont val="Calibri"/>
        <family val="2"/>
        <charset val="204"/>
      </rPr>
      <t>сред&gt;</t>
    </r>
    <r>
      <rPr>
        <sz val="16"/>
        <color rgb="FF000000"/>
        <rFont val="Calibri"/>
        <family val="2"/>
        <charset val="204"/>
      </rPr>
      <t>σ</t>
    </r>
    <r>
      <rPr>
        <sz val="10"/>
        <color rgb="FF000000"/>
        <rFont val="Calibri"/>
        <family val="2"/>
        <charset val="204"/>
      </rPr>
      <t>полн</t>
    </r>
  </si>
  <si>
    <r>
      <t>R</t>
    </r>
    <r>
      <rPr>
        <sz val="8"/>
        <color rgb="FF000000"/>
        <rFont val="Times New Roman"/>
        <family val="1"/>
        <charset val="204"/>
      </rPr>
      <t>простосред, Ом</t>
    </r>
  </si>
  <si>
    <r>
      <rPr>
        <sz val="16"/>
        <color rgb="FF000000"/>
        <rFont val="Calibri"/>
        <family val="2"/>
        <charset val="204"/>
      </rPr>
      <t>σ</t>
    </r>
    <r>
      <rPr>
        <sz val="10"/>
        <color rgb="FF000000"/>
        <rFont val="Times New Roman"/>
        <family val="1"/>
        <charset val="204"/>
      </rPr>
      <t>среднее</t>
    </r>
    <r>
      <rPr>
        <sz val="10"/>
        <color rgb="FF000000"/>
        <rFont val="Times New Roman"/>
        <family val="2"/>
        <charset val="204"/>
      </rPr>
      <t>, Ом</t>
    </r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</si>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</sst>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0"/>
    <numFmt numFmtId="165" formatCode="0.000"/>
    <numFmt numFmtId="167" formatCode="0.0000000000"/>
    <numFmt numFmtId="168" formatCode="0.000000"/>
  </numFmts>
  <fonts count="19" x14ac:knownFonts="1">
    <font>
      <sz val="10"/>
      <color rgb="FF000000"/>
      <name val="Arial"/>
      <scheme val="minor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sz val="8"/>
      <name val="Arial"/>
      <family val="2"/>
      <charset val="204"/>
      <scheme val="minor"/>
    </font>
    <font>
      <b/>
      <sz val="16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  <scheme val="minor"/>
    </font>
    <font>
      <sz val="11.5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Times New Roman"/>
      <family val="2"/>
      <charset val="204"/>
    </font>
    <font>
      <sz val="16"/>
      <color rgb="FF00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2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8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/>
    <xf numFmtId="0" fontId="2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165" fontId="8" fillId="1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/>
    <xf numFmtId="0" fontId="14" fillId="0" borderId="0" xfId="0" applyFont="1" applyAlignment="1"/>
    <xf numFmtId="167" fontId="0" fillId="0" borderId="1" xfId="0" applyNumberFormat="1" applyFont="1" applyBorder="1" applyAlignment="1">
      <alignment horizontal="center" vertical="center"/>
    </xf>
    <xf numFmtId="0" fontId="16" fillId="0" borderId="0" xfId="0" applyFont="1" applyAlignment="1"/>
    <xf numFmtId="168" fontId="2" fillId="8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68"/>
  <sheetViews>
    <sheetView tabSelected="1" topLeftCell="L2" zoomScaleNormal="100" workbookViewId="0">
      <selection activeCell="Q31" sqref="Q31"/>
    </sheetView>
  </sheetViews>
  <sheetFormatPr defaultColWidth="12.6640625" defaultRowHeight="15.75" customHeight="1" x14ac:dyDescent="0.25"/>
  <cols>
    <col min="1" max="5" width="12.6640625" style="4"/>
    <col min="6" max="6" width="39.6640625" style="4" customWidth="1"/>
    <col min="7" max="7" width="12.6640625" style="4"/>
    <col min="8" max="8" width="31.44140625" style="4" customWidth="1"/>
    <col min="9" max="9" width="17.5546875" style="4" customWidth="1"/>
    <col min="10" max="10" width="19.77734375" style="4" customWidth="1"/>
    <col min="11" max="15" width="12.6640625" style="4"/>
    <col min="16" max="16" width="19.44140625" style="4" customWidth="1"/>
    <col min="17" max="26" width="12.6640625" style="4"/>
    <col min="27" max="27" width="19.21875" style="4" customWidth="1"/>
    <col min="28" max="28" width="12.6640625" style="4"/>
    <col min="29" max="29" width="23.6640625" style="4" customWidth="1"/>
    <col min="30" max="31" width="12.6640625" style="4"/>
    <col min="32" max="32" width="14.109375" style="4" customWidth="1"/>
    <col min="33" max="33" width="12.6640625" style="4"/>
    <col min="34" max="34" width="14" style="4" customWidth="1"/>
    <col min="35" max="16384" width="12.6640625" style="4"/>
  </cols>
  <sheetData>
    <row r="1" spans="1:36" ht="13.2" x14ac:dyDescent="0.25">
      <c r="A1" s="33"/>
      <c r="B1" s="33"/>
      <c r="C1" s="33"/>
      <c r="D1" s="33"/>
      <c r="E1" s="32"/>
    </row>
    <row r="2" spans="1:36" ht="13.2" x14ac:dyDescent="0.25">
      <c r="A2" s="10"/>
      <c r="B2" s="10"/>
      <c r="C2" s="10"/>
      <c r="D2" s="10"/>
      <c r="E2" s="31"/>
    </row>
    <row r="3" spans="1:36" ht="13.2" x14ac:dyDescent="0.25">
      <c r="A3" s="10"/>
      <c r="B3" s="10"/>
      <c r="C3" s="10"/>
      <c r="D3" s="10"/>
      <c r="E3" s="31"/>
      <c r="F3" s="28" t="s">
        <v>3</v>
      </c>
      <c r="H3" s="8"/>
      <c r="I3" s="11">
        <v>1</v>
      </c>
      <c r="J3" s="12">
        <v>2</v>
      </c>
      <c r="K3" s="11">
        <v>3</v>
      </c>
      <c r="L3" s="12">
        <v>4</v>
      </c>
      <c r="M3" s="11">
        <v>5</v>
      </c>
      <c r="N3" s="12">
        <v>6</v>
      </c>
      <c r="O3" s="11">
        <v>7</v>
      </c>
      <c r="P3" s="12">
        <v>8</v>
      </c>
      <c r="Q3" s="11">
        <v>9</v>
      </c>
      <c r="R3" s="12">
        <v>10</v>
      </c>
      <c r="T3" s="1" t="s">
        <v>0</v>
      </c>
      <c r="U3" s="2" t="s">
        <v>1</v>
      </c>
      <c r="V3" s="8" t="s">
        <v>16</v>
      </c>
      <c r="W3" s="8" t="s">
        <v>17</v>
      </c>
      <c r="X3" s="3" t="s">
        <v>2</v>
      </c>
      <c r="AA3" s="24" t="s">
        <v>18</v>
      </c>
      <c r="AB3" s="24" t="s">
        <v>16</v>
      </c>
      <c r="AC3" s="24" t="s">
        <v>19</v>
      </c>
      <c r="AD3" s="31"/>
      <c r="AF3" s="32"/>
      <c r="AG3" s="32"/>
      <c r="AH3" s="32"/>
      <c r="AI3" s="33"/>
      <c r="AJ3" s="33"/>
    </row>
    <row r="4" spans="1:36" ht="13.2" x14ac:dyDescent="0.25">
      <c r="A4" s="10"/>
      <c r="B4" s="10"/>
      <c r="C4" s="10"/>
      <c r="D4" s="10"/>
      <c r="E4" s="31"/>
      <c r="F4" s="29">
        <f>600/155</f>
        <v>3.870967741935484</v>
      </c>
      <c r="H4" s="15" t="s">
        <v>4</v>
      </c>
      <c r="I4" s="11">
        <v>0.3</v>
      </c>
      <c r="J4" s="12">
        <v>0.3</v>
      </c>
      <c r="K4" s="11">
        <v>0.3</v>
      </c>
      <c r="L4" s="12">
        <v>0.3</v>
      </c>
      <c r="M4" s="11">
        <v>0.3</v>
      </c>
      <c r="N4" s="12">
        <v>0.3</v>
      </c>
      <c r="O4" s="11">
        <v>0.3</v>
      </c>
      <c r="P4" s="12">
        <v>0.3</v>
      </c>
      <c r="Q4" s="11">
        <v>0.3</v>
      </c>
      <c r="R4" s="12">
        <v>0.3</v>
      </c>
      <c r="T4" s="5">
        <f>ROUND(150*$F4,1)</f>
        <v>580.6</v>
      </c>
      <c r="U4" s="6">
        <v>284.37</v>
      </c>
      <c r="V4" s="8">
        <f>(T4*U4)/(U4^2)</f>
        <v>2.0417062278018077</v>
      </c>
      <c r="W4" s="8">
        <f>V4-V13</f>
        <v>1.7342346798733477E-2</v>
      </c>
      <c r="X4" s="7">
        <v>0.2</v>
      </c>
      <c r="AA4" s="8">
        <f>V13-3*X13</f>
        <v>1.6618853324884673</v>
      </c>
      <c r="AB4" s="8">
        <f>(T4*U4)/(U4^2)</f>
        <v>2.0417062278018077</v>
      </c>
      <c r="AC4" s="8">
        <f>V13+3*X13</f>
        <v>2.3868424295176811</v>
      </c>
      <c r="AD4" s="31"/>
      <c r="AF4" s="31"/>
      <c r="AG4" s="31"/>
      <c r="AH4" s="31"/>
      <c r="AI4" s="10"/>
      <c r="AJ4" s="10"/>
    </row>
    <row r="5" spans="1:36" ht="13.2" x14ac:dyDescent="0.25">
      <c r="A5" s="10"/>
      <c r="B5" s="10"/>
      <c r="C5" s="10"/>
      <c r="D5" s="10"/>
      <c r="E5" s="31"/>
      <c r="H5" s="15" t="s">
        <v>5</v>
      </c>
      <c r="I5" s="11">
        <v>0.36</v>
      </c>
      <c r="J5" s="12">
        <v>0.37</v>
      </c>
      <c r="K5" s="11">
        <v>0.36</v>
      </c>
      <c r="L5" s="12">
        <v>0.36</v>
      </c>
      <c r="M5" s="11">
        <v>0.36</v>
      </c>
      <c r="N5" s="12">
        <v>0.35</v>
      </c>
      <c r="O5" s="11">
        <v>0.36</v>
      </c>
      <c r="P5" s="12">
        <v>0.36</v>
      </c>
      <c r="Q5" s="11">
        <v>0.35</v>
      </c>
      <c r="R5" s="12">
        <v>0.36</v>
      </c>
      <c r="T5" s="5">
        <f>ROUND(134*F4,1)</f>
        <v>518.70000000000005</v>
      </c>
      <c r="U5" s="6">
        <v>256.93</v>
      </c>
      <c r="V5" s="8">
        <f t="shared" ref="V5:V12" si="0">(T5*U5)/(U5^2)</f>
        <v>2.0188378157474798</v>
      </c>
      <c r="W5" s="8">
        <f>V5-V13</f>
        <v>-5.5260652555944034E-3</v>
      </c>
      <c r="X5" s="7">
        <v>0.2</v>
      </c>
      <c r="AA5" s="8">
        <f>V13-3*X13</f>
        <v>1.6618853324884673</v>
      </c>
      <c r="AB5" s="8">
        <f t="shared" ref="AB5:AB12" si="1">(T5*U5)/(U5^2)</f>
        <v>2.0188378157474798</v>
      </c>
      <c r="AC5" s="8">
        <f>V13+3*X13</f>
        <v>2.3868424295176811</v>
      </c>
      <c r="AD5" s="31"/>
      <c r="AF5" s="31"/>
      <c r="AG5" s="31"/>
      <c r="AH5" s="31"/>
      <c r="AI5" s="10"/>
      <c r="AJ5" s="10"/>
    </row>
    <row r="6" spans="1:36" ht="13.2" x14ac:dyDescent="0.25">
      <c r="A6" s="10"/>
      <c r="B6" s="10"/>
      <c r="C6" s="10"/>
      <c r="D6" s="10"/>
      <c r="E6" s="31"/>
      <c r="H6" s="16"/>
      <c r="T6" s="5">
        <f>ROUND(119*F4,1)</f>
        <v>460.6</v>
      </c>
      <c r="U6" s="6">
        <v>232.75</v>
      </c>
      <c r="V6" s="8">
        <f t="shared" si="0"/>
        <v>1.9789473684210528</v>
      </c>
      <c r="W6" s="8">
        <f>V6-V15</f>
        <v>-9.7641291277402287E-2</v>
      </c>
      <c r="X6" s="7">
        <v>0.2</v>
      </c>
      <c r="Y6" s="34">
        <f>600/155</f>
        <v>3.870967741935484</v>
      </c>
      <c r="AA6" s="26">
        <f>V13-3*X13</f>
        <v>1.6618853324884673</v>
      </c>
      <c r="AB6" s="26">
        <f t="shared" si="1"/>
        <v>1.9789473684210528</v>
      </c>
      <c r="AC6" s="26">
        <f>V13+3*X13</f>
        <v>2.3868424295176811</v>
      </c>
      <c r="AD6" s="31"/>
      <c r="AF6" s="31"/>
      <c r="AG6" s="31"/>
      <c r="AH6" s="31"/>
      <c r="AI6" s="10"/>
      <c r="AJ6" s="10"/>
    </row>
    <row r="7" spans="1:36" ht="13.2" x14ac:dyDescent="0.25">
      <c r="A7" s="10"/>
      <c r="B7" s="10"/>
      <c r="C7" s="10"/>
      <c r="D7" s="10"/>
      <c r="E7" s="31"/>
      <c r="F7" s="9"/>
      <c r="H7" s="17" t="s">
        <v>57</v>
      </c>
      <c r="I7" s="14">
        <f>SUM(I4:R4)/10</f>
        <v>0.29999999999999993</v>
      </c>
      <c r="T7" s="5">
        <f>ROUND(104*F4,1)</f>
        <v>402.6</v>
      </c>
      <c r="U7" s="6">
        <v>197.6</v>
      </c>
      <c r="V7" s="8">
        <f t="shared" si="0"/>
        <v>2.037449392712551</v>
      </c>
      <c r="W7" s="8">
        <f>V7-V13</f>
        <v>1.3085511709476805E-2</v>
      </c>
      <c r="X7" s="7">
        <v>0.2</v>
      </c>
      <c r="AA7" s="8">
        <f>V13-3*X13</f>
        <v>1.6618853324884673</v>
      </c>
      <c r="AB7" s="8">
        <f t="shared" si="1"/>
        <v>2.037449392712551</v>
      </c>
      <c r="AC7" s="8">
        <f>V13+3*X13</f>
        <v>2.3868424295176811</v>
      </c>
      <c r="AD7" s="31"/>
      <c r="AF7" s="31"/>
      <c r="AG7" s="31"/>
      <c r="AH7" s="31"/>
      <c r="AI7" s="10"/>
      <c r="AJ7" s="10"/>
    </row>
    <row r="8" spans="1:36" ht="13.2" x14ac:dyDescent="0.25">
      <c r="A8" s="10"/>
      <c r="B8" s="10"/>
      <c r="C8" s="10"/>
      <c r="D8" s="10"/>
      <c r="E8" s="31"/>
      <c r="H8" s="17" t="s">
        <v>58</v>
      </c>
      <c r="I8" s="14">
        <f>SUM(I5:R5)/10</f>
        <v>0.35899999999999993</v>
      </c>
      <c r="T8" s="5">
        <f>ROUND(91*F4,1)</f>
        <v>352.3</v>
      </c>
      <c r="U8" s="6">
        <v>171.98</v>
      </c>
      <c r="V8" s="8">
        <f t="shared" si="0"/>
        <v>2.048494010931504</v>
      </c>
      <c r="W8" s="8">
        <f>V8-V13</f>
        <v>2.4130129928429778E-2</v>
      </c>
      <c r="X8" s="7">
        <v>0.2</v>
      </c>
      <c r="AA8" s="26">
        <f>V13-3*X13</f>
        <v>1.6618853324884673</v>
      </c>
      <c r="AB8" s="26">
        <f t="shared" si="1"/>
        <v>2.048494010931504</v>
      </c>
      <c r="AC8" s="26">
        <f>V13+3*X13</f>
        <v>2.3868424295176811</v>
      </c>
      <c r="AD8" s="31"/>
      <c r="AF8" s="31"/>
      <c r="AG8" s="31"/>
      <c r="AH8" s="31"/>
      <c r="AI8" s="10"/>
      <c r="AJ8" s="10"/>
    </row>
    <row r="9" spans="1:36" ht="13.2" x14ac:dyDescent="0.25">
      <c r="A9" s="10"/>
      <c r="B9" s="10"/>
      <c r="C9" s="10"/>
      <c r="D9" s="10"/>
      <c r="E9" s="31"/>
      <c r="H9" s="16"/>
      <c r="T9" s="5">
        <f>ROUND(76*F4,1)</f>
        <v>294.2</v>
      </c>
      <c r="U9" s="6">
        <v>144.41999999999999</v>
      </c>
      <c r="V9" s="8">
        <f t="shared" si="0"/>
        <v>2.037113973133915</v>
      </c>
      <c r="W9" s="8">
        <f>V9-V13</f>
        <v>1.2750092130840773E-2</v>
      </c>
      <c r="X9" s="7">
        <v>0.2</v>
      </c>
      <c r="AA9" s="8">
        <f>V13-3*X13</f>
        <v>1.6618853324884673</v>
      </c>
      <c r="AB9" s="8">
        <f t="shared" si="1"/>
        <v>2.037113973133915</v>
      </c>
      <c r="AC9" s="8">
        <f>V13+3*X13</f>
        <v>2.3868424295176811</v>
      </c>
      <c r="AD9" s="31"/>
      <c r="AF9" s="31"/>
      <c r="AG9" s="31"/>
      <c r="AH9" s="31"/>
      <c r="AI9" s="10"/>
      <c r="AJ9" s="10"/>
    </row>
    <row r="10" spans="1:36" ht="13.2" x14ac:dyDescent="0.25">
      <c r="A10" s="10"/>
      <c r="B10" s="10"/>
      <c r="C10" s="10"/>
      <c r="D10" s="10"/>
      <c r="E10" s="31"/>
      <c r="H10" s="16"/>
      <c r="I10" s="8">
        <f>(I5-0.359)^2</f>
        <v>1.0000000000000019E-6</v>
      </c>
      <c r="J10" s="8">
        <f t="shared" ref="J10:R10" si="2">(J5-0.359)^2</f>
        <v>1.2100000000000022E-4</v>
      </c>
      <c r="K10" s="8">
        <f t="shared" si="2"/>
        <v>1.0000000000000019E-6</v>
      </c>
      <c r="L10" s="8">
        <f t="shared" si="2"/>
        <v>1.0000000000000019E-6</v>
      </c>
      <c r="M10" s="8">
        <f t="shared" si="2"/>
        <v>1.0000000000000019E-6</v>
      </c>
      <c r="N10" s="8">
        <f t="shared" si="2"/>
        <v>8.1000000000000139E-5</v>
      </c>
      <c r="O10" s="8">
        <f t="shared" si="2"/>
        <v>1.0000000000000019E-6</v>
      </c>
      <c r="P10" s="8">
        <f t="shared" si="2"/>
        <v>1.0000000000000019E-6</v>
      </c>
      <c r="Q10" s="8">
        <f t="shared" si="2"/>
        <v>8.1000000000000139E-5</v>
      </c>
      <c r="R10" s="8">
        <f t="shared" si="2"/>
        <v>1.0000000000000019E-6</v>
      </c>
      <c r="T10" s="5">
        <f>ROUND(61*F4,1)</f>
        <v>236.1</v>
      </c>
      <c r="U10" s="6">
        <v>115.74</v>
      </c>
      <c r="V10" s="8">
        <f t="shared" si="0"/>
        <v>2.039917055469155</v>
      </c>
      <c r="W10" s="8">
        <f>V10-V13</f>
        <v>1.5553174466080844E-2</v>
      </c>
      <c r="X10" s="7">
        <v>0.2</v>
      </c>
      <c r="AA10" s="8">
        <f>V13-3*X13</f>
        <v>1.6618853324884673</v>
      </c>
      <c r="AB10" s="8">
        <f t="shared" si="1"/>
        <v>2.039917055469155</v>
      </c>
      <c r="AC10" s="8">
        <f>V13+3*X13</f>
        <v>2.3868424295176811</v>
      </c>
      <c r="AD10" s="31"/>
      <c r="AF10" s="31"/>
      <c r="AG10" s="31"/>
      <c r="AH10" s="31"/>
      <c r="AI10" s="10"/>
      <c r="AJ10" s="10"/>
    </row>
    <row r="11" spans="1:36" ht="15.75" customHeight="1" x14ac:dyDescent="0.25">
      <c r="A11" s="31"/>
      <c r="B11" s="31"/>
      <c r="C11" s="31"/>
      <c r="D11" s="31"/>
      <c r="E11" s="32"/>
      <c r="F11" s="25"/>
      <c r="H11" s="17" t="s">
        <v>59</v>
      </c>
      <c r="I11" s="13">
        <f>ROUND((1/10)*SQRT(SUM(I10:R10)),4)</f>
        <v>1.6999999999999999E-3</v>
      </c>
      <c r="T11" s="5">
        <f>ROUND(46*Y6,1)</f>
        <v>178.1</v>
      </c>
      <c r="U11" s="6">
        <v>89.88</v>
      </c>
      <c r="V11" s="8">
        <f t="shared" si="0"/>
        <v>1.9815309301290611</v>
      </c>
      <c r="W11" s="8">
        <f>V11-V13</f>
        <v>-4.2832950874013065E-2</v>
      </c>
      <c r="X11" s="7">
        <v>0.2</v>
      </c>
      <c r="AA11" s="8">
        <f>V13-3*X13</f>
        <v>1.6618853324884673</v>
      </c>
      <c r="AB11" s="8">
        <f t="shared" si="1"/>
        <v>1.9815309301290611</v>
      </c>
      <c r="AC11" s="8">
        <f>V13+3*X13</f>
        <v>2.3868424295176811</v>
      </c>
      <c r="AD11" s="31"/>
      <c r="AF11" s="31"/>
      <c r="AG11" s="31"/>
      <c r="AH11" s="31"/>
      <c r="AI11" s="10"/>
      <c r="AJ11" s="10"/>
    </row>
    <row r="12" spans="1:36" ht="15.75" customHeight="1" x14ac:dyDescent="0.25">
      <c r="A12" s="33"/>
      <c r="B12" s="33"/>
      <c r="C12" s="33"/>
      <c r="D12" s="33"/>
      <c r="E12" s="32"/>
      <c r="H12" s="17" t="s">
        <v>60</v>
      </c>
      <c r="I12" s="14">
        <v>0.01</v>
      </c>
      <c r="T12" s="5">
        <f>31*Y6</f>
        <v>120</v>
      </c>
      <c r="U12" s="36">
        <v>58.96</v>
      </c>
      <c r="V12" s="8">
        <f t="shared" si="0"/>
        <v>2.0352781546811394</v>
      </c>
      <c r="W12" s="37">
        <f>V12-V13</f>
        <v>1.0914273678065189E-2</v>
      </c>
      <c r="X12" s="7">
        <v>0.2</v>
      </c>
      <c r="AA12" s="8">
        <f>V13-3*X13</f>
        <v>1.6618853324884673</v>
      </c>
      <c r="AB12" s="8">
        <f t="shared" si="1"/>
        <v>2.0352781546811394</v>
      </c>
      <c r="AC12" s="8">
        <f>V13+3*X13</f>
        <v>2.3868424295176811</v>
      </c>
      <c r="AD12" s="31"/>
      <c r="AF12" s="31"/>
      <c r="AG12" s="31"/>
      <c r="AH12" s="31"/>
      <c r="AI12" s="10"/>
      <c r="AJ12" s="10"/>
    </row>
    <row r="13" spans="1:36" ht="22.8" x14ac:dyDescent="0.25">
      <c r="A13" s="10"/>
      <c r="B13" s="10"/>
      <c r="C13" s="10"/>
      <c r="D13" s="10"/>
      <c r="E13" s="10"/>
      <c r="H13" s="16"/>
      <c r="U13" s="40" t="s">
        <v>15</v>
      </c>
      <c r="V13" s="40">
        <f>SUM(V4:V12)/9</f>
        <v>2.0243638810030742</v>
      </c>
      <c r="W13" s="40" t="s">
        <v>22</v>
      </c>
      <c r="X13" s="40">
        <f>SQRT(SUMSQ(W4:W12)*(1/8*9))</f>
        <v>0.12082618283820228</v>
      </c>
      <c r="Y13" s="41" t="s">
        <v>23</v>
      </c>
      <c r="Z13" s="40">
        <f>SQRT(SUMSQ(T4:T12)/SUMSQ(U4:U12)-V13^2)*(1/SQRT(9))</f>
        <v>4.3921658249504256E-3</v>
      </c>
    </row>
    <row r="14" spans="1:36" ht="13.2" x14ac:dyDescent="0.25">
      <c r="A14" s="10"/>
      <c r="B14" s="10"/>
      <c r="C14" s="10"/>
      <c r="D14" s="10"/>
      <c r="E14" s="10"/>
      <c r="H14" s="17" t="s">
        <v>8</v>
      </c>
      <c r="I14" s="14">
        <f>I11^2</f>
        <v>2.8899999999999999E-6</v>
      </c>
      <c r="O14" s="5">
        <f>ROUND(150*F4,1)</f>
        <v>580.6</v>
      </c>
      <c r="P14" s="6">
        <v>284.37</v>
      </c>
      <c r="T14" s="1" t="s">
        <v>0</v>
      </c>
      <c r="U14" s="35" t="s">
        <v>1</v>
      </c>
      <c r="V14" s="8" t="s">
        <v>16</v>
      </c>
      <c r="W14" s="8" t="s">
        <v>17</v>
      </c>
      <c r="X14" s="3" t="s">
        <v>2</v>
      </c>
      <c r="AA14" s="24" t="s">
        <v>18</v>
      </c>
      <c r="AB14" s="24" t="s">
        <v>16</v>
      </c>
      <c r="AC14" s="24" t="s">
        <v>19</v>
      </c>
    </row>
    <row r="15" spans="1:36" ht="13.2" x14ac:dyDescent="0.25">
      <c r="A15" s="10"/>
      <c r="B15" s="10"/>
      <c r="C15" s="10"/>
      <c r="D15" s="10"/>
      <c r="E15" s="10"/>
      <c r="H15" s="17" t="s">
        <v>9</v>
      </c>
      <c r="I15" s="14">
        <f>I12^2</f>
        <v>1E-4</v>
      </c>
      <c r="O15" s="5">
        <f>ROUND(134*F4,1)</f>
        <v>518.70000000000005</v>
      </c>
      <c r="P15" s="6">
        <v>256.93</v>
      </c>
      <c r="T15" s="5">
        <f>ROUND(116*Y6,1)</f>
        <v>449</v>
      </c>
      <c r="U15" s="6">
        <v>216.22</v>
      </c>
      <c r="V15" s="8">
        <f>(T15*U15)/(U15^2)</f>
        <v>2.0765886596984551</v>
      </c>
      <c r="W15" s="8">
        <f>V15-V26</f>
        <v>3.289212666100072E-2</v>
      </c>
      <c r="X15" s="7">
        <v>0.2</v>
      </c>
      <c r="AA15" s="8">
        <f>V26-3*X26</f>
        <v>1.7453458517385811</v>
      </c>
      <c r="AB15" s="8">
        <f>(T15*U15)/(U15^2)</f>
        <v>2.0765886596984551</v>
      </c>
      <c r="AC15" s="8">
        <f>V26+3*X26</f>
        <v>2.3420472143363273</v>
      </c>
    </row>
    <row r="16" spans="1:36" ht="13.2" x14ac:dyDescent="0.25">
      <c r="A16" s="10"/>
      <c r="B16" s="10"/>
      <c r="C16" s="10"/>
      <c r="D16" s="10"/>
      <c r="E16" s="10"/>
      <c r="H16" s="16"/>
      <c r="O16" s="5">
        <f>ROUND(119*F4,1)</f>
        <v>460.6</v>
      </c>
      <c r="P16" s="6">
        <v>232.75</v>
      </c>
      <c r="T16" s="5">
        <f>ROUND(96*Y6,1)</f>
        <v>371.6</v>
      </c>
      <c r="U16" s="6">
        <v>181.82</v>
      </c>
      <c r="V16" s="8">
        <f t="shared" ref="V16:V25" si="3">(T16*U16)/(U16^2)</f>
        <v>2.043779562204378</v>
      </c>
      <c r="W16" s="8">
        <f>V16-V26</f>
        <v>8.3029166923598297E-5</v>
      </c>
      <c r="X16" s="7">
        <v>0.2</v>
      </c>
      <c r="AA16" s="8">
        <f>V26-3*X26</f>
        <v>1.7453458517385811</v>
      </c>
      <c r="AB16" s="8">
        <f t="shared" ref="AB16:AB25" si="4">(T16*U16)/(U16^2)</f>
        <v>2.043779562204378</v>
      </c>
      <c r="AC16" s="8">
        <f>V26+3*X26</f>
        <v>2.3420472143363273</v>
      </c>
    </row>
    <row r="17" spans="1:29" ht="13.2" x14ac:dyDescent="0.25">
      <c r="A17" s="10"/>
      <c r="B17" s="10"/>
      <c r="C17" s="10"/>
      <c r="D17" s="10"/>
      <c r="E17" s="10"/>
      <c r="H17" s="16"/>
      <c r="O17" s="5">
        <f>ROUND(104*F4,1)</f>
        <v>402.6</v>
      </c>
      <c r="P17" s="6">
        <v>197.6</v>
      </c>
      <c r="T17" s="5">
        <f>ROUND(81*Y6,1)</f>
        <v>313.5</v>
      </c>
      <c r="U17" s="6">
        <v>153.12</v>
      </c>
      <c r="V17" s="8">
        <f t="shared" si="3"/>
        <v>2.0474137931034484</v>
      </c>
      <c r="W17" s="8">
        <f>V17-V26</f>
        <v>3.7172600659940436E-3</v>
      </c>
      <c r="X17" s="7">
        <v>0.2</v>
      </c>
      <c r="AA17" s="8">
        <f>V26-3*X26</f>
        <v>1.7453458517385811</v>
      </c>
      <c r="AB17" s="8">
        <f t="shared" si="4"/>
        <v>2.0474137931034484</v>
      </c>
      <c r="AC17" s="8">
        <f>V26+3*X26</f>
        <v>2.3420472143363273</v>
      </c>
    </row>
    <row r="18" spans="1:29" ht="13.2" x14ac:dyDescent="0.25">
      <c r="A18" s="10"/>
      <c r="B18" s="10"/>
      <c r="C18" s="10"/>
      <c r="D18" s="10"/>
      <c r="E18" s="10"/>
      <c r="H18" s="17" t="s">
        <v>6</v>
      </c>
      <c r="I18" s="14" t="s">
        <v>7</v>
      </c>
      <c r="J18" s="14" t="s">
        <v>63</v>
      </c>
      <c r="O18" s="5">
        <f>ROUND(91*F4,1)</f>
        <v>352.3</v>
      </c>
      <c r="P18" s="6">
        <v>171.98</v>
      </c>
      <c r="T18" s="5">
        <f>ROUND(Y6*65,1)</f>
        <v>251.6</v>
      </c>
      <c r="U18" s="6">
        <v>121.72</v>
      </c>
      <c r="V18" s="8">
        <f t="shared" si="3"/>
        <v>2.0670391061452515</v>
      </c>
      <c r="W18" s="8">
        <f>V18-V26</f>
        <v>2.3342573107797193E-2</v>
      </c>
      <c r="X18" s="7">
        <v>0.2</v>
      </c>
      <c r="AA18" s="8">
        <f>V26-3*X26</f>
        <v>1.7453458517385811</v>
      </c>
      <c r="AB18" s="8">
        <f t="shared" si="4"/>
        <v>2.0670391061452515</v>
      </c>
      <c r="AC18" s="8">
        <f>V26+3*X26</f>
        <v>2.3420472143363273</v>
      </c>
    </row>
    <row r="19" spans="1:29" ht="13.2" x14ac:dyDescent="0.25">
      <c r="A19" s="10"/>
      <c r="B19" s="10"/>
      <c r="C19" s="10"/>
      <c r="D19" s="10"/>
      <c r="E19" s="10"/>
      <c r="H19" s="17" t="s">
        <v>62</v>
      </c>
      <c r="I19" s="14">
        <f>ROUND((PI()*(3.59)^2)/4 * (10^-4),4)</f>
        <v>1E-3</v>
      </c>
      <c r="O19" s="5">
        <f>ROUND(76*F4,1)</f>
        <v>294.2</v>
      </c>
      <c r="P19" s="6">
        <v>144.41999999999999</v>
      </c>
      <c r="T19" s="5">
        <f>ROUND(51*Y6,1)</f>
        <v>197.4</v>
      </c>
      <c r="U19" s="6">
        <v>95.61</v>
      </c>
      <c r="V19" s="8">
        <f t="shared" si="3"/>
        <v>2.064637590210229</v>
      </c>
      <c r="W19" s="8">
        <f>V19-V26</f>
        <v>2.0941057172774613E-2</v>
      </c>
      <c r="X19" s="7">
        <v>0.2</v>
      </c>
      <c r="AA19" s="8">
        <f>V26-3*X26</f>
        <v>1.7453458517385811</v>
      </c>
      <c r="AB19" s="8">
        <f t="shared" si="4"/>
        <v>2.064637590210229</v>
      </c>
      <c r="AC19" s="8">
        <f>V26+3*X26</f>
        <v>2.3420472143363273</v>
      </c>
    </row>
    <row r="20" spans="1:29" ht="13.2" x14ac:dyDescent="0.25">
      <c r="A20" s="10"/>
      <c r="B20" s="10"/>
      <c r="C20" s="10"/>
      <c r="D20" s="10"/>
      <c r="E20" s="10"/>
      <c r="O20" s="5">
        <f>ROUND(61*F4,1)</f>
        <v>236.1</v>
      </c>
      <c r="P20" s="6">
        <v>115.74</v>
      </c>
      <c r="T20" s="5">
        <f>ROUND(Y6*34,1)</f>
        <v>131.6</v>
      </c>
      <c r="U20" s="6">
        <v>64.400000000000006</v>
      </c>
      <c r="V20" s="8">
        <f t="shared" si="3"/>
        <v>2.043478260869565</v>
      </c>
      <c r="W20" s="8">
        <f>V20-V26</f>
        <v>-2.1827216788938841E-4</v>
      </c>
      <c r="X20" s="7">
        <v>0.2</v>
      </c>
      <c r="AA20" s="8">
        <f>V26-3*X26</f>
        <v>1.7453458517385811</v>
      </c>
      <c r="AB20" s="8">
        <f t="shared" si="4"/>
        <v>2.043478260869565</v>
      </c>
      <c r="AC20" s="8">
        <f>V26+3*X26</f>
        <v>2.3420472143363273</v>
      </c>
    </row>
    <row r="21" spans="1:29" ht="22.8" x14ac:dyDescent="0.25">
      <c r="A21" s="10"/>
      <c r="B21" s="10"/>
      <c r="C21" s="10"/>
      <c r="D21" s="10"/>
      <c r="E21" s="10"/>
      <c r="H21" s="14" t="s">
        <v>61</v>
      </c>
      <c r="I21" s="53">
        <f>((2*I12)/I8)*I19</f>
        <v>5.5710306406685249E-5</v>
      </c>
      <c r="J21" s="14" t="s">
        <v>65</v>
      </c>
      <c r="O21" s="5">
        <f>ROUND(46*F4,1)</f>
        <v>178.1</v>
      </c>
      <c r="P21" s="6">
        <v>89.88</v>
      </c>
      <c r="T21" s="5">
        <f>ROUND(30*Y6,1)</f>
        <v>116.1</v>
      </c>
      <c r="U21" s="6">
        <v>59.04</v>
      </c>
      <c r="V21" s="8">
        <f t="shared" si="3"/>
        <v>1.9664634146341464</v>
      </c>
      <c r="W21" s="8">
        <f>V21-V26</f>
        <v>-7.7233118403307932E-2</v>
      </c>
      <c r="X21" s="7">
        <v>0.2</v>
      </c>
      <c r="AA21" s="8">
        <f>V26-3*X26</f>
        <v>1.7453458517385811</v>
      </c>
      <c r="AB21" s="8">
        <f t="shared" si="4"/>
        <v>1.9664634146341464</v>
      </c>
      <c r="AC21" s="8">
        <f>V26+3*X26</f>
        <v>2.3420472143363273</v>
      </c>
    </row>
    <row r="22" spans="1:29" ht="13.2" x14ac:dyDescent="0.25">
      <c r="A22" s="10"/>
      <c r="B22" s="10"/>
      <c r="C22" s="10"/>
      <c r="D22" s="10"/>
      <c r="E22" s="10"/>
      <c r="F22" s="9"/>
      <c r="O22" s="5">
        <f>31*F4</f>
        <v>120</v>
      </c>
      <c r="P22" s="36">
        <v>58.96</v>
      </c>
      <c r="T22" s="5">
        <f>ROUND(150*Y6,1)</f>
        <v>580.6</v>
      </c>
      <c r="U22" s="6">
        <v>283.39</v>
      </c>
      <c r="V22" s="8">
        <f t="shared" si="3"/>
        <v>2.0487667172447863</v>
      </c>
      <c r="W22" s="8">
        <f>V22-V26</f>
        <v>5.0701842073319625E-3</v>
      </c>
      <c r="X22" s="7">
        <v>0.2</v>
      </c>
      <c r="AA22" s="8">
        <f>V26-3*X26</f>
        <v>1.7453458517385811</v>
      </c>
      <c r="AB22" s="8">
        <f t="shared" si="4"/>
        <v>2.0487667172447863</v>
      </c>
      <c r="AC22" s="8">
        <f>V26+3*X26</f>
        <v>2.3420472143363273</v>
      </c>
    </row>
    <row r="23" spans="1:29" ht="13.2" x14ac:dyDescent="0.25">
      <c r="A23" s="10"/>
      <c r="B23" s="10"/>
      <c r="C23" s="10"/>
      <c r="D23" s="10"/>
      <c r="E23" s="10"/>
      <c r="H23" s="14" t="s">
        <v>10</v>
      </c>
      <c r="I23" s="14">
        <f>(I21/I19)*100</f>
        <v>5.5710306406685248</v>
      </c>
      <c r="T23" s="5">
        <f>ROUND(137*Y6,1)</f>
        <v>530.29999999999995</v>
      </c>
      <c r="U23" s="6">
        <v>259.72000000000003</v>
      </c>
      <c r="V23" s="8">
        <f t="shared" si="3"/>
        <v>2.041814261512398</v>
      </c>
      <c r="W23" s="8">
        <f>V23-V26</f>
        <v>-1.8822715250563782E-3</v>
      </c>
      <c r="X23" s="7">
        <v>0.2</v>
      </c>
      <c r="AA23" s="8">
        <f>V26-3*X26</f>
        <v>1.7453458517385811</v>
      </c>
      <c r="AB23" s="8">
        <f t="shared" si="4"/>
        <v>2.041814261512398</v>
      </c>
      <c r="AC23" s="8">
        <f>V26+3*X26</f>
        <v>2.3420472143363273</v>
      </c>
    </row>
    <row r="24" spans="1:29" ht="13.2" x14ac:dyDescent="0.25">
      <c r="A24" s="10"/>
      <c r="B24" s="10"/>
      <c r="C24" s="10"/>
      <c r="D24" s="31"/>
      <c r="E24" s="32"/>
      <c r="K24" s="4" t="s">
        <v>64</v>
      </c>
      <c r="N24" s="54" t="s">
        <v>68</v>
      </c>
      <c r="O24" s="54">
        <f>SUM(O14:O22)/SUM(P14:P22)</f>
        <v>2.0244359570535155</v>
      </c>
      <c r="P24" s="54"/>
      <c r="T24" s="5">
        <f>ROUND(124*Y6,1)</f>
        <v>480</v>
      </c>
      <c r="U24" s="6">
        <v>237.72</v>
      </c>
      <c r="V24" s="8">
        <f t="shared" si="3"/>
        <v>2.0191822311963654</v>
      </c>
      <c r="W24" s="8">
        <f>V24-V26</f>
        <v>-2.4514301841088937E-2</v>
      </c>
      <c r="X24" s="7">
        <v>0.2</v>
      </c>
      <c r="AA24" s="8">
        <f>V26-3*X26</f>
        <v>1.7453458517385811</v>
      </c>
      <c r="AB24" s="8">
        <f t="shared" si="4"/>
        <v>2.0191822311963654</v>
      </c>
      <c r="AC24" s="8">
        <f>V26+3*X26</f>
        <v>2.3420472143363273</v>
      </c>
    </row>
    <row r="25" spans="1:29" ht="21" x14ac:dyDescent="0.25">
      <c r="A25" s="33"/>
      <c r="B25" s="33"/>
      <c r="C25" s="33"/>
      <c r="D25" s="33"/>
      <c r="E25" s="32"/>
      <c r="N25" s="55" t="s">
        <v>69</v>
      </c>
      <c r="O25" s="54">
        <f>SQRT((0.75)^(2*9))</f>
        <v>7.5084686279296875E-2</v>
      </c>
      <c r="P25" s="54"/>
      <c r="T25" s="5">
        <f>ROUND(Y6*106,1)</f>
        <v>410.3</v>
      </c>
      <c r="U25" s="6">
        <v>199.03</v>
      </c>
      <c r="V25" s="8">
        <f t="shared" si="3"/>
        <v>2.061498266592976</v>
      </c>
      <c r="W25" s="8">
        <f>V25-V26</f>
        <v>1.7801733555521615E-2</v>
      </c>
      <c r="X25" s="7">
        <v>0.2</v>
      </c>
      <c r="AA25" s="8">
        <f>V26-3*X26</f>
        <v>1.7453458517385811</v>
      </c>
      <c r="AB25" s="8">
        <f t="shared" si="4"/>
        <v>2.061498266592976</v>
      </c>
      <c r="AC25" s="8">
        <f>V26+3*X26</f>
        <v>2.3420472143363273</v>
      </c>
    </row>
    <row r="26" spans="1:29" ht="22.8" x14ac:dyDescent="0.25">
      <c r="A26" s="10"/>
      <c r="B26" s="10"/>
      <c r="C26" s="10"/>
      <c r="D26" s="10"/>
      <c r="E26" s="31"/>
      <c r="N26" s="54"/>
      <c r="O26" s="54">
        <f>O25/0.005</f>
        <v>15.016937255859375</v>
      </c>
      <c r="P26" s="54" t="s">
        <v>67</v>
      </c>
      <c r="T26" s="10"/>
      <c r="U26" s="40" t="s">
        <v>15</v>
      </c>
      <c r="V26" s="40">
        <f>SUM(V15:V25)/11</f>
        <v>2.0436965330374544</v>
      </c>
      <c r="W26" s="40" t="s">
        <v>22</v>
      </c>
      <c r="X26" s="40">
        <f>SQRT(SUMSQ(W15:W25)*(1/10*11))</f>
        <v>9.9450227099624408E-2</v>
      </c>
      <c r="Y26" s="41" t="s">
        <v>23</v>
      </c>
      <c r="Z26" s="42">
        <f>SQRT(SUMSQ(T15:T25)/SUMSQ(U15:U25)-V26^2)*(1/SQRT(11))</f>
        <v>3.8709950648662256E-2</v>
      </c>
    </row>
    <row r="27" spans="1:29" ht="13.2" x14ac:dyDescent="0.25">
      <c r="A27" s="10"/>
      <c r="B27" s="10"/>
      <c r="C27" s="10"/>
      <c r="D27" s="10"/>
      <c r="E27" s="31"/>
      <c r="T27" s="1" t="s">
        <v>0</v>
      </c>
      <c r="U27" s="2" t="s">
        <v>1</v>
      </c>
      <c r="V27" s="8" t="s">
        <v>16</v>
      </c>
      <c r="W27" s="8" t="s">
        <v>17</v>
      </c>
      <c r="X27" s="3" t="s">
        <v>2</v>
      </c>
      <c r="AA27" s="24" t="s">
        <v>18</v>
      </c>
      <c r="AB27" s="24" t="s">
        <v>16</v>
      </c>
      <c r="AC27" s="24" t="s">
        <v>19</v>
      </c>
    </row>
    <row r="28" spans="1:29" ht="13.2" x14ac:dyDescent="0.25">
      <c r="A28" s="10"/>
      <c r="B28" s="10"/>
      <c r="C28" s="10"/>
      <c r="D28" s="10"/>
      <c r="E28" s="31"/>
      <c r="T28" s="5">
        <f>ROUND(141*Y6,1)</f>
        <v>545.79999999999995</v>
      </c>
      <c r="U28" s="6">
        <v>172.16</v>
      </c>
      <c r="V28" s="4">
        <f>(T28*U28)/(U28^2)</f>
        <v>3.1703066914498139</v>
      </c>
      <c r="W28" s="4">
        <f>V28-$V36</f>
        <v>1.8488336439988373E-2</v>
      </c>
      <c r="X28" s="7">
        <v>0.3</v>
      </c>
      <c r="AA28" s="8">
        <f>V36-3*X36</f>
        <v>3.0108100488765146</v>
      </c>
      <c r="AB28" s="8">
        <f>(T28*U28)/(U28^2)</f>
        <v>3.1703066914498139</v>
      </c>
      <c r="AC28" s="8">
        <f>V36+3*X36</f>
        <v>3.2928266611431365</v>
      </c>
    </row>
    <row r="29" spans="1:29" ht="13.2" x14ac:dyDescent="0.25">
      <c r="A29" s="10"/>
      <c r="B29" s="10"/>
      <c r="C29" s="10"/>
      <c r="D29" s="10"/>
      <c r="E29" s="31"/>
      <c r="T29" s="5">
        <f>Y6*124</f>
        <v>480</v>
      </c>
      <c r="U29" s="6">
        <v>152.33000000000001</v>
      </c>
      <c r="V29" s="4">
        <f t="shared" ref="V29:V35" si="5">(T29*U29)/(U29^2)</f>
        <v>3.1510536335587211</v>
      </c>
      <c r="W29" s="4">
        <f>V29-V36</f>
        <v>-7.6472145110439982E-4</v>
      </c>
      <c r="X29" s="7">
        <v>0.3</v>
      </c>
      <c r="AA29" s="8">
        <f>V36-3*X36</f>
        <v>3.0108100488765146</v>
      </c>
      <c r="AB29" s="8">
        <f>(T29*U29)/(U29^2)</f>
        <v>3.1510536335587211</v>
      </c>
      <c r="AC29" s="8">
        <f>V36+3*X36</f>
        <v>3.2928266611431365</v>
      </c>
    </row>
    <row r="30" spans="1:29" ht="13.2" x14ac:dyDescent="0.25">
      <c r="A30" s="10"/>
      <c r="B30" s="10"/>
      <c r="C30" s="10"/>
      <c r="D30" s="10"/>
      <c r="E30" s="31"/>
      <c r="T30" s="5">
        <f>ROUND(111*Y6,1)</f>
        <v>429.7</v>
      </c>
      <c r="U30" s="6">
        <v>136.71</v>
      </c>
      <c r="V30" s="4">
        <f t="shared" si="5"/>
        <v>3.1431497330114841</v>
      </c>
      <c r="W30" s="4">
        <f>V30-V36</f>
        <v>-8.668621998341397E-3</v>
      </c>
      <c r="X30" s="7">
        <v>0.3</v>
      </c>
      <c r="AA30" s="8">
        <f>V36-3*X36</f>
        <v>3.0108100488765146</v>
      </c>
      <c r="AB30" s="8">
        <f t="shared" ref="AB30:AB35" si="6">(T30*U30)/(U30^2)</f>
        <v>3.1431497330114841</v>
      </c>
      <c r="AC30" s="8">
        <f>V36+3*X36</f>
        <v>3.2928266611431365</v>
      </c>
    </row>
    <row r="31" spans="1:29" ht="13.2" x14ac:dyDescent="0.25">
      <c r="A31" s="10"/>
      <c r="B31" s="10"/>
      <c r="C31" s="10"/>
      <c r="D31" s="10"/>
      <c r="E31" s="31"/>
      <c r="Q31" s="4" t="s">
        <v>70</v>
      </c>
      <c r="T31" s="5">
        <f>ROUND(94*Y6,1)</f>
        <v>363.9</v>
      </c>
      <c r="U31" s="6">
        <v>114.43</v>
      </c>
      <c r="V31" s="4">
        <f t="shared" si="5"/>
        <v>3.1801101109848813</v>
      </c>
      <c r="W31" s="4">
        <f>V31-V36</f>
        <v>2.8291755975055732E-2</v>
      </c>
      <c r="X31" s="7">
        <v>0.3</v>
      </c>
      <c r="AA31" s="8">
        <f>V36-3*X36</f>
        <v>3.0108100488765146</v>
      </c>
      <c r="AB31" s="8">
        <f t="shared" si="6"/>
        <v>3.1801101109848813</v>
      </c>
      <c r="AC31" s="8">
        <f>V36+3*X36</f>
        <v>3.2928266611431365</v>
      </c>
    </row>
    <row r="32" spans="1:29" ht="13.2" x14ac:dyDescent="0.25">
      <c r="A32" s="10"/>
      <c r="B32" s="10"/>
      <c r="C32" s="10"/>
      <c r="D32" s="10"/>
      <c r="E32" s="31"/>
      <c r="T32" s="5">
        <f>ROUND(Y6*80,1)</f>
        <v>309.7</v>
      </c>
      <c r="U32" s="6">
        <v>98.23</v>
      </c>
      <c r="V32" s="4">
        <f t="shared" si="5"/>
        <v>3.1528046421663438</v>
      </c>
      <c r="W32" s="4">
        <f>V32-V36</f>
        <v>9.8628715651827292E-4</v>
      </c>
      <c r="X32" s="7">
        <v>0.3</v>
      </c>
      <c r="AA32" s="8">
        <f>V36-3*X36</f>
        <v>3.0108100488765146</v>
      </c>
      <c r="AB32" s="8">
        <f t="shared" si="6"/>
        <v>3.1528046421663438</v>
      </c>
      <c r="AC32" s="8">
        <f>V36+3*X36</f>
        <v>3.2928266611431365</v>
      </c>
    </row>
    <row r="33" spans="1:29" ht="13.2" x14ac:dyDescent="0.25">
      <c r="A33" s="10"/>
      <c r="B33" s="10"/>
      <c r="C33" s="10"/>
      <c r="D33" s="10"/>
      <c r="E33" s="31"/>
      <c r="T33" s="5">
        <f>ROUND(Y6*67,1)</f>
        <v>259.39999999999998</v>
      </c>
      <c r="U33" s="6">
        <v>82.55</v>
      </c>
      <c r="V33" s="4">
        <f t="shared" si="5"/>
        <v>3.1423379769836459</v>
      </c>
      <c r="W33" s="4">
        <f>V33-V36</f>
        <v>-9.4803780261796256E-3</v>
      </c>
      <c r="X33" s="7">
        <v>0.3</v>
      </c>
      <c r="AA33" s="8">
        <f>V36-3*X36</f>
        <v>3.0108100488765146</v>
      </c>
      <c r="AB33" s="8">
        <f t="shared" si="6"/>
        <v>3.1423379769836459</v>
      </c>
      <c r="AC33" s="8">
        <f>V36+3*X36</f>
        <v>3.2928266611431365</v>
      </c>
    </row>
    <row r="34" spans="1:29" ht="13.2" x14ac:dyDescent="0.25">
      <c r="A34" s="10"/>
      <c r="B34" s="31"/>
      <c r="C34" s="10"/>
      <c r="D34" s="31"/>
      <c r="E34" s="32"/>
      <c r="T34" s="5">
        <f>ROUND(Y6*51,1)</f>
        <v>197.4</v>
      </c>
      <c r="U34" s="6">
        <v>62.52</v>
      </c>
      <c r="V34" s="4">
        <f t="shared" si="5"/>
        <v>3.1573896353166986</v>
      </c>
      <c r="W34" s="4">
        <f>V34-V36</f>
        <v>5.5712803068730388E-3</v>
      </c>
      <c r="X34" s="7">
        <v>0.3</v>
      </c>
      <c r="AA34" s="8">
        <f>V36-3*X36</f>
        <v>3.0108100488765146</v>
      </c>
      <c r="AB34" s="8">
        <f t="shared" si="6"/>
        <v>3.1573896353166986</v>
      </c>
      <c r="AC34" s="8">
        <f>V36+3*X36</f>
        <v>3.2928266611431365</v>
      </c>
    </row>
    <row r="35" spans="1:29" ht="15.75" customHeight="1" x14ac:dyDescent="0.25">
      <c r="A35" s="33"/>
      <c r="B35" s="33"/>
      <c r="C35" s="33"/>
      <c r="D35" s="33"/>
      <c r="E35" s="32"/>
      <c r="T35" s="5">
        <f>ROUND(Y6*45,1)</f>
        <v>174.2</v>
      </c>
      <c r="U35" s="36">
        <v>55.88</v>
      </c>
      <c r="V35" s="4">
        <f t="shared" si="5"/>
        <v>3.1173944166070147</v>
      </c>
      <c r="W35" s="4">
        <f>V35-V36</f>
        <v>-3.4423938402810883E-2</v>
      </c>
      <c r="X35" s="7">
        <v>0.3</v>
      </c>
      <c r="AA35" s="8">
        <f>V36-3*X36</f>
        <v>3.0108100488765146</v>
      </c>
      <c r="AB35" s="8">
        <f t="shared" si="6"/>
        <v>3.1173944166070147</v>
      </c>
      <c r="AC35" s="8">
        <f>V36+3*X36</f>
        <v>3.2928266611431365</v>
      </c>
    </row>
    <row r="36" spans="1:29" ht="13.2" x14ac:dyDescent="0.25">
      <c r="A36" s="10"/>
      <c r="B36" s="10"/>
      <c r="C36" s="10"/>
      <c r="D36" s="10"/>
      <c r="E36" s="31"/>
      <c r="T36" s="9"/>
      <c r="U36" s="40" t="s">
        <v>15</v>
      </c>
      <c r="V36" s="40">
        <f>SUM(V28:V35)/8</f>
        <v>3.1518183550098255</v>
      </c>
      <c r="W36" s="40" t="s">
        <v>21</v>
      </c>
      <c r="X36" s="40">
        <f>SQRT(SUMSQ(W28:W35)*(1/8*7))</f>
        <v>4.7002768711103662E-2</v>
      </c>
      <c r="Y36" s="40" t="s">
        <v>20</v>
      </c>
      <c r="Z36" s="40">
        <f>SQRT(SUMSQ(T28:T35)/SUMSQ(U28:U35)-V36^2)*(1/SQRT(8))</f>
        <v>6.6239701946094895E-2</v>
      </c>
      <c r="AA36" s="8"/>
      <c r="AB36" s="8"/>
      <c r="AC36" s="8"/>
    </row>
    <row r="37" spans="1:29" ht="13.2" x14ac:dyDescent="0.25">
      <c r="A37" s="10"/>
      <c r="B37" s="10"/>
      <c r="C37" s="10"/>
      <c r="D37" s="10"/>
      <c r="E37" s="31"/>
      <c r="T37" s="1" t="s">
        <v>0</v>
      </c>
      <c r="U37" s="35" t="s">
        <v>1</v>
      </c>
      <c r="V37" s="39" t="s">
        <v>16</v>
      </c>
      <c r="W37" s="39" t="s">
        <v>17</v>
      </c>
      <c r="X37" s="3" t="s">
        <v>2</v>
      </c>
      <c r="AA37" s="24" t="s">
        <v>18</v>
      </c>
      <c r="AB37" s="24" t="s">
        <v>16</v>
      </c>
      <c r="AC37" s="24" t="s">
        <v>19</v>
      </c>
    </row>
    <row r="38" spans="1:29" ht="13.2" x14ac:dyDescent="0.25">
      <c r="A38" s="10"/>
      <c r="B38" s="10"/>
      <c r="C38" s="10"/>
      <c r="D38" s="10"/>
      <c r="E38" s="31"/>
      <c r="T38" s="5">
        <f>ROUND(151*Y6,1)</f>
        <v>584.5</v>
      </c>
      <c r="U38" s="6">
        <v>183.97</v>
      </c>
      <c r="V38" s="4">
        <f>(T38*U38)/(U38^2)</f>
        <v>3.1771484481165406</v>
      </c>
      <c r="W38" s="4">
        <f>V38-V46</f>
        <v>1.0125749136981721E-2</v>
      </c>
      <c r="X38" s="7">
        <v>0.3</v>
      </c>
      <c r="AA38" s="8">
        <f>V46-3*X46</f>
        <v>3.0941287636852368</v>
      </c>
      <c r="AB38" s="8">
        <f>(T38*U38)/(U38^2)</f>
        <v>3.1771484481165406</v>
      </c>
      <c r="AC38" s="8">
        <f>V46+3*X46</f>
        <v>3.239916634273881</v>
      </c>
    </row>
    <row r="39" spans="1:29" ht="13.2" x14ac:dyDescent="0.25">
      <c r="A39" s="10"/>
      <c r="B39" s="10"/>
      <c r="C39" s="10"/>
      <c r="D39" s="10"/>
      <c r="E39" s="31"/>
      <c r="T39" s="5">
        <f>ROUND(136*Y6,1)</f>
        <v>526.5</v>
      </c>
      <c r="U39" s="6">
        <v>166.79</v>
      </c>
      <c r="V39" s="4">
        <f t="shared" ref="V39:V45" si="7">(T39*U39)/(U39^2)</f>
        <v>3.1566640685892442</v>
      </c>
      <c r="W39" s="4">
        <f>V39-V46</f>
        <v>-1.0358630390314705E-2</v>
      </c>
      <c r="X39" s="7">
        <v>0.3</v>
      </c>
      <c r="AA39" s="8">
        <f>V46-3*X46</f>
        <v>3.0941287636852368</v>
      </c>
      <c r="AB39" s="8">
        <f t="shared" ref="AB39:AB45" si="8">(T39*U39)/(U39^2)</f>
        <v>3.1566640685892442</v>
      </c>
      <c r="AC39" s="8">
        <f>V46+3*X46</f>
        <v>3.239916634273881</v>
      </c>
    </row>
    <row r="40" spans="1:29" ht="13.2" x14ac:dyDescent="0.25">
      <c r="A40" s="10"/>
      <c r="B40" s="10"/>
      <c r="C40" s="10"/>
      <c r="D40" s="10"/>
      <c r="E40" s="31"/>
      <c r="T40" s="5">
        <f>ROUND(118*Y6,1)</f>
        <v>456.8</v>
      </c>
      <c r="U40" s="6">
        <v>144.04</v>
      </c>
      <c r="V40" s="4">
        <f t="shared" si="7"/>
        <v>3.1713412940849768</v>
      </c>
      <c r="W40" s="4">
        <f>V40-V46</f>
        <v>4.3185951054178773E-3</v>
      </c>
      <c r="X40" s="7">
        <v>0.3</v>
      </c>
      <c r="AA40" s="8">
        <f>V46-3*X46</f>
        <v>3.0941287636852368</v>
      </c>
      <c r="AB40" s="8">
        <f t="shared" si="8"/>
        <v>3.1713412940849768</v>
      </c>
      <c r="AC40" s="8">
        <f>V46+3*X46</f>
        <v>3.239916634273881</v>
      </c>
    </row>
    <row r="41" spans="1:29" ht="13.2" x14ac:dyDescent="0.25">
      <c r="A41" s="10"/>
      <c r="B41" s="10"/>
      <c r="C41" s="10"/>
      <c r="D41" s="10"/>
      <c r="E41" s="31"/>
      <c r="T41" s="5">
        <f>ROUND(Y6*99,1)</f>
        <v>383.2</v>
      </c>
      <c r="U41" s="6">
        <v>120.86</v>
      </c>
      <c r="V41" s="4">
        <f t="shared" si="7"/>
        <v>3.1706106238623195</v>
      </c>
      <c r="W41" s="4">
        <f>V41-V46</f>
        <v>3.5879248827606069E-3</v>
      </c>
      <c r="X41" s="7">
        <v>0.3</v>
      </c>
      <c r="AA41" s="8">
        <f>V46-3*X46</f>
        <v>3.0941287636852368</v>
      </c>
      <c r="AB41" s="8">
        <f t="shared" si="8"/>
        <v>3.1706106238623195</v>
      </c>
      <c r="AC41" s="8">
        <f>V46+3*X46</f>
        <v>3.239916634273881</v>
      </c>
    </row>
    <row r="42" spans="1:29" ht="13.2" x14ac:dyDescent="0.25">
      <c r="A42" s="10"/>
      <c r="B42" s="10"/>
      <c r="C42" s="10"/>
      <c r="D42" s="10"/>
      <c r="E42" s="31"/>
      <c r="T42" s="5">
        <f>ROUND(Y6*85,1)</f>
        <v>329</v>
      </c>
      <c r="U42" s="6">
        <v>104.2</v>
      </c>
      <c r="V42" s="4">
        <f t="shared" si="7"/>
        <v>3.1573896353166986</v>
      </c>
      <c r="W42" s="4">
        <f>V42-V46</f>
        <v>-9.6330636628603195E-3</v>
      </c>
      <c r="X42" s="7">
        <v>0.3</v>
      </c>
      <c r="AA42" s="8">
        <f>V46-3*X46</f>
        <v>3.0941287636852368</v>
      </c>
      <c r="AB42" s="8">
        <f t="shared" si="8"/>
        <v>3.1573896353166986</v>
      </c>
      <c r="AC42" s="8">
        <f>V46+3*X46</f>
        <v>3.239916634273881</v>
      </c>
    </row>
    <row r="43" spans="1:29" ht="13.2" x14ac:dyDescent="0.25">
      <c r="A43" s="10"/>
      <c r="B43" s="10"/>
      <c r="C43" s="10"/>
      <c r="D43" s="10"/>
      <c r="E43" s="31"/>
      <c r="T43" s="5">
        <f>ROUND(Y6*72,1)</f>
        <v>278.7</v>
      </c>
      <c r="U43" s="6">
        <v>88.4</v>
      </c>
      <c r="V43" s="4">
        <f t="shared" si="7"/>
        <v>3.1527149321266967</v>
      </c>
      <c r="W43" s="4">
        <f>V43-V46</f>
        <v>-1.4307766852862169E-2</v>
      </c>
      <c r="X43" s="7">
        <v>0.3</v>
      </c>
      <c r="AA43" s="8">
        <f>V46-3*X46</f>
        <v>3.0941287636852368</v>
      </c>
      <c r="AB43" s="8">
        <f t="shared" si="8"/>
        <v>3.1527149321266967</v>
      </c>
      <c r="AC43" s="8">
        <f>V46+3*X46</f>
        <v>3.239916634273881</v>
      </c>
    </row>
    <row r="44" spans="1:29" ht="13.2" x14ac:dyDescent="0.25">
      <c r="A44" s="10"/>
      <c r="B44" s="31"/>
      <c r="C44" s="10"/>
      <c r="D44" s="31"/>
      <c r="E44" s="32"/>
      <c r="T44" s="5">
        <f>ROUND(Y6*55,1)</f>
        <v>212.9</v>
      </c>
      <c r="U44" s="6">
        <v>67.08</v>
      </c>
      <c r="V44" s="4">
        <f t="shared" si="7"/>
        <v>3.1738223017292788</v>
      </c>
      <c r="W44" s="4">
        <f>V44-V46</f>
        <v>6.799602749719913E-3</v>
      </c>
      <c r="X44" s="7">
        <v>0.3</v>
      </c>
      <c r="AA44" s="8">
        <f>V46-3*X46</f>
        <v>3.0941287636852368</v>
      </c>
      <c r="AB44" s="8">
        <f t="shared" si="8"/>
        <v>3.1738223017292788</v>
      </c>
      <c r="AC44" s="8">
        <f>V46+3*X46</f>
        <v>3.239916634273881</v>
      </c>
    </row>
    <row r="45" spans="1:29" ht="15.75" customHeight="1" x14ac:dyDescent="0.25">
      <c r="A45" s="33"/>
      <c r="B45" s="33"/>
      <c r="C45" s="33"/>
      <c r="D45" s="33"/>
      <c r="E45" s="31"/>
      <c r="T45" s="5">
        <f>ROUND(Y6*49,1)</f>
        <v>189.7</v>
      </c>
      <c r="U45" s="36">
        <v>59.72</v>
      </c>
      <c r="V45" s="4">
        <f t="shared" si="7"/>
        <v>3.1764902880107164</v>
      </c>
      <c r="W45" s="4">
        <f>V45-V46</f>
        <v>9.4675890311575195E-3</v>
      </c>
      <c r="X45" s="7">
        <v>0.3</v>
      </c>
      <c r="AA45" s="8">
        <f>V46-3*X46</f>
        <v>3.0941287636852368</v>
      </c>
      <c r="AB45" s="8">
        <f t="shared" si="8"/>
        <v>3.1764902880107164</v>
      </c>
      <c r="AC45" s="8">
        <f>V46+3*X46</f>
        <v>3.239916634273881</v>
      </c>
    </row>
    <row r="46" spans="1:29" ht="13.2" x14ac:dyDescent="0.25">
      <c r="A46" s="10"/>
      <c r="B46" s="10"/>
      <c r="C46" s="10"/>
      <c r="D46" s="10"/>
      <c r="E46" s="31"/>
      <c r="T46" s="9"/>
      <c r="U46" s="40" t="s">
        <v>15</v>
      </c>
      <c r="V46" s="40">
        <f>SUM(V38:V45)/8</f>
        <v>3.1670226989795589</v>
      </c>
      <c r="W46" s="40" t="s">
        <v>21</v>
      </c>
      <c r="X46" s="40">
        <f>SQRT(SUMSQ(W38:W45)*(1/8*7))</f>
        <v>2.4297978431440763E-2</v>
      </c>
      <c r="Y46" s="40" t="s">
        <v>20</v>
      </c>
      <c r="Z46" s="40">
        <f>SQRT(SUMSQ(T38:T45)/SUMSQ(U38:U45)-V46^2)*(1/SQRT(8))</f>
        <v>1.7176430655526945E-2</v>
      </c>
      <c r="AA46" s="8"/>
      <c r="AB46" s="8"/>
      <c r="AC46" s="8"/>
    </row>
    <row r="47" spans="1:29" ht="13.2" x14ac:dyDescent="0.25">
      <c r="A47" s="10"/>
      <c r="B47" s="10"/>
      <c r="C47" s="10"/>
      <c r="D47" s="10"/>
      <c r="E47" s="31"/>
      <c r="T47" s="1" t="s">
        <v>0</v>
      </c>
      <c r="U47" s="35" t="s">
        <v>1</v>
      </c>
      <c r="V47" s="39" t="s">
        <v>16</v>
      </c>
      <c r="W47" s="39" t="s">
        <v>17</v>
      </c>
      <c r="X47" s="3" t="s">
        <v>2</v>
      </c>
      <c r="AA47" s="24" t="s">
        <v>18</v>
      </c>
      <c r="AB47" s="24" t="s">
        <v>16</v>
      </c>
      <c r="AC47" s="24" t="s">
        <v>19</v>
      </c>
    </row>
    <row r="48" spans="1:29" ht="13.2" x14ac:dyDescent="0.25">
      <c r="A48" s="10"/>
      <c r="B48" s="10"/>
      <c r="C48" s="10"/>
      <c r="D48" s="10"/>
      <c r="E48" s="31"/>
      <c r="T48" s="5">
        <f>ROUND(Y6*137,1)</f>
        <v>530.29999999999995</v>
      </c>
      <c r="U48" s="6">
        <v>103.14</v>
      </c>
      <c r="V48" s="4">
        <f>(T48*U48)/(U48^2)</f>
        <v>5.1415551677331779</v>
      </c>
      <c r="W48" s="4">
        <f>V48-V57</f>
        <v>-5.8215408204314478E-2</v>
      </c>
      <c r="X48" s="7">
        <v>0.5</v>
      </c>
      <c r="AA48" s="8">
        <f>V57-3*X57</f>
        <v>4.86618970267756</v>
      </c>
      <c r="AB48" s="8">
        <f>(T48*U48)/(U48^2)</f>
        <v>5.1415551677331779</v>
      </c>
      <c r="AC48" s="8">
        <f>V57+3*X57</f>
        <v>5.5333514491974247</v>
      </c>
    </row>
    <row r="49" spans="1:29" ht="13.2" x14ac:dyDescent="0.25">
      <c r="A49" s="10"/>
      <c r="B49" s="10"/>
      <c r="C49" s="10"/>
      <c r="D49" s="10"/>
      <c r="E49" s="31"/>
      <c r="T49" s="5">
        <f>ROUND(Y6*134,1)</f>
        <v>518.70000000000005</v>
      </c>
      <c r="U49" s="6">
        <v>98.56</v>
      </c>
      <c r="V49" s="4">
        <f t="shared" ref="V49:V55" si="9">(T49*U49)/(U49^2)</f>
        <v>5.2627840909090917</v>
      </c>
      <c r="W49" s="4">
        <f>V49-V57</f>
        <v>6.3013514971599349E-2</v>
      </c>
      <c r="X49" s="7">
        <v>0.5</v>
      </c>
      <c r="AA49" s="8">
        <f>V57-3*X57</f>
        <v>4.86618970267756</v>
      </c>
      <c r="AB49" s="8">
        <f t="shared" ref="AB49:AB55" si="10">(T49*U49)/(U49^2)</f>
        <v>5.2627840909090917</v>
      </c>
      <c r="AC49" s="8">
        <f>V57+3*X57</f>
        <v>5.5333514491974247</v>
      </c>
    </row>
    <row r="50" spans="1:29" ht="13.2" x14ac:dyDescent="0.25">
      <c r="A50" s="10"/>
      <c r="B50" s="10"/>
      <c r="C50" s="10"/>
      <c r="D50" s="10"/>
      <c r="E50" s="31"/>
      <c r="T50" s="5">
        <f>ROUND(Y6*125,1)</f>
        <v>483.9</v>
      </c>
      <c r="U50" s="6">
        <v>93.08</v>
      </c>
      <c r="V50" s="4">
        <f t="shared" si="9"/>
        <v>5.1987537602062739</v>
      </c>
      <c r="W50" s="4">
        <f>V50-V57</f>
        <v>-1.0168157312184789E-3</v>
      </c>
      <c r="X50" s="7">
        <v>0.5</v>
      </c>
      <c r="AA50" s="8">
        <f>V57-3*X57</f>
        <v>4.86618970267756</v>
      </c>
      <c r="AB50" s="8">
        <f t="shared" si="10"/>
        <v>5.1987537602062739</v>
      </c>
      <c r="AC50" s="8">
        <f>V57+3*X57</f>
        <v>5.5333514491974247</v>
      </c>
    </row>
    <row r="51" spans="1:29" ht="13.2" x14ac:dyDescent="0.25">
      <c r="A51" s="10"/>
      <c r="B51" s="10"/>
      <c r="C51" s="10"/>
      <c r="D51" s="10"/>
      <c r="E51" s="31"/>
      <c r="T51" s="5">
        <f>ROUND(Y6*117,1)</f>
        <v>452.9</v>
      </c>
      <c r="U51" s="6">
        <v>86.48</v>
      </c>
      <c r="V51" s="4">
        <f t="shared" si="9"/>
        <v>5.2370490286771503</v>
      </c>
      <c r="W51" s="4">
        <f>V51-V57</f>
        <v>3.7278452739657908E-2</v>
      </c>
      <c r="X51" s="7">
        <v>0.5</v>
      </c>
      <c r="AA51" s="8">
        <f>V57-3*X57</f>
        <v>4.86618970267756</v>
      </c>
      <c r="AB51" s="8">
        <f t="shared" si="10"/>
        <v>5.2370490286771503</v>
      </c>
      <c r="AC51" s="8">
        <f>V57+3*X57</f>
        <v>5.5333514491974247</v>
      </c>
    </row>
    <row r="52" spans="1:29" ht="13.2" x14ac:dyDescent="0.25">
      <c r="A52" s="10"/>
      <c r="B52" s="10"/>
      <c r="C52" s="10"/>
      <c r="D52" s="10"/>
      <c r="E52" s="31"/>
      <c r="T52" s="5">
        <f>ROUND(Y6*102,1)</f>
        <v>394.8</v>
      </c>
      <c r="U52" s="6">
        <v>75.8</v>
      </c>
      <c r="V52" s="4">
        <f t="shared" si="9"/>
        <v>5.2084432717678109</v>
      </c>
      <c r="W52" s="4">
        <f>V52-V57</f>
        <v>8.6726958303184887E-3</v>
      </c>
      <c r="X52" s="7">
        <v>0.5</v>
      </c>
      <c r="AA52" s="8">
        <f>V57-3*X57</f>
        <v>4.86618970267756</v>
      </c>
      <c r="AB52" s="8">
        <f t="shared" si="10"/>
        <v>5.2084432717678109</v>
      </c>
      <c r="AC52" s="8">
        <f>V57+3*X57</f>
        <v>5.5333514491974247</v>
      </c>
    </row>
    <row r="53" spans="1:29" ht="13.2" x14ac:dyDescent="0.25">
      <c r="A53" s="10"/>
      <c r="B53" s="10"/>
      <c r="C53" s="10"/>
      <c r="D53" s="10"/>
      <c r="E53" s="31"/>
      <c r="T53" s="5">
        <f>ROUND(Y6*96,1)</f>
        <v>371.6</v>
      </c>
      <c r="U53" s="6">
        <v>72.08</v>
      </c>
      <c r="V53" s="4">
        <f t="shared" si="9"/>
        <v>5.1553829078801332</v>
      </c>
      <c r="W53" s="4">
        <f>V53-V57</f>
        <v>-4.4387668057359164E-2</v>
      </c>
      <c r="X53" s="7">
        <v>0.5</v>
      </c>
      <c r="AA53" s="8">
        <f>V57-3*X57</f>
        <v>4.86618970267756</v>
      </c>
      <c r="AB53" s="8">
        <f t="shared" si="10"/>
        <v>5.1553829078801332</v>
      </c>
      <c r="AC53" s="8">
        <f>V57+3*X57</f>
        <v>5.5333514491974247</v>
      </c>
    </row>
    <row r="54" spans="1:29" ht="13.2" x14ac:dyDescent="0.25">
      <c r="A54" s="10"/>
      <c r="B54" s="10"/>
      <c r="C54" s="10"/>
      <c r="D54" s="10"/>
      <c r="E54" s="31"/>
      <c r="T54" s="5">
        <f>ROUND(Y6*87,1)</f>
        <v>336.8</v>
      </c>
      <c r="U54" s="6">
        <v>64.78</v>
      </c>
      <c r="V54" s="4">
        <f t="shared" si="9"/>
        <v>5.1991355356591544</v>
      </c>
      <c r="W54" s="4">
        <f>V54-V57</f>
        <v>-6.3504027833793941E-4</v>
      </c>
      <c r="X54" s="7">
        <v>0.5</v>
      </c>
      <c r="AA54" s="8">
        <f>V57-3*X57</f>
        <v>4.86618970267756</v>
      </c>
      <c r="AB54" s="8">
        <f t="shared" si="10"/>
        <v>5.1991355356591544</v>
      </c>
      <c r="AC54" s="8">
        <f>V57+3*X57</f>
        <v>5.5333514491974247</v>
      </c>
    </row>
    <row r="55" spans="1:29" ht="13.2" x14ac:dyDescent="0.25">
      <c r="A55" s="10"/>
      <c r="B55" s="31"/>
      <c r="C55" s="10"/>
      <c r="D55" s="31"/>
      <c r="E55" s="32"/>
      <c r="T55" s="5">
        <f>ROUND(Y6*75,1)</f>
        <v>290.3</v>
      </c>
      <c r="U55" s="6">
        <v>55.88</v>
      </c>
      <c r="V55" s="4">
        <f t="shared" si="9"/>
        <v>5.195060844667144</v>
      </c>
      <c r="W55" s="4">
        <f>V55-V57</f>
        <v>-4.7097312703483496E-3</v>
      </c>
      <c r="X55" s="7">
        <v>0.5</v>
      </c>
      <c r="AA55" s="8">
        <f>V57-3*X57</f>
        <v>4.86618970267756</v>
      </c>
      <c r="AB55" s="8">
        <f t="shared" si="10"/>
        <v>5.195060844667144</v>
      </c>
      <c r="AC55" s="8">
        <f>V57+3*X57</f>
        <v>5.5333514491974247</v>
      </c>
    </row>
    <row r="56" spans="1:29" ht="13.2" x14ac:dyDescent="0.25">
      <c r="A56" s="33"/>
      <c r="B56" s="33"/>
      <c r="C56" s="33"/>
      <c r="D56" s="33"/>
      <c r="E56" s="32"/>
      <c r="T56" s="27"/>
      <c r="U56" s="38"/>
      <c r="X56" s="7"/>
    </row>
    <row r="57" spans="1:29" ht="13.2" x14ac:dyDescent="0.25">
      <c r="A57" s="10"/>
      <c r="B57" s="10"/>
      <c r="C57" s="10"/>
      <c r="D57" s="10"/>
      <c r="E57" s="31"/>
      <c r="T57" s="9"/>
      <c r="U57" s="40" t="s">
        <v>15</v>
      </c>
      <c r="V57" s="40">
        <f>SUM(V48:V56)/8</f>
        <v>5.1997705759374924</v>
      </c>
      <c r="W57" s="40" t="s">
        <v>21</v>
      </c>
      <c r="X57" s="40">
        <f>SQRT(SUMSQ(W48:W56)*(1/7*8))</f>
        <v>0.1111936244199775</v>
      </c>
      <c r="Y57" s="40" t="s">
        <v>20</v>
      </c>
      <c r="Z57" s="40">
        <f>SQRT(SUMSQ(T48:T56)/SUMSQ(U48:U56)-V57^2)*(1/SQRT(8))</f>
        <v>4.187759206123353E-2</v>
      </c>
    </row>
    <row r="58" spans="1:29" ht="13.2" x14ac:dyDescent="0.25">
      <c r="A58" s="10"/>
      <c r="B58" s="10"/>
      <c r="C58" s="10"/>
      <c r="D58" s="10"/>
      <c r="E58" s="31"/>
      <c r="T58" s="1" t="s">
        <v>0</v>
      </c>
      <c r="U58" s="35" t="s">
        <v>1</v>
      </c>
      <c r="V58" s="39" t="s">
        <v>16</v>
      </c>
      <c r="W58" s="39" t="s">
        <v>17</v>
      </c>
      <c r="X58" s="3" t="s">
        <v>2</v>
      </c>
      <c r="AA58" s="24" t="s">
        <v>18</v>
      </c>
      <c r="AB58" s="24" t="s">
        <v>16</v>
      </c>
      <c r="AC58" s="24" t="s">
        <v>19</v>
      </c>
    </row>
    <row r="59" spans="1:29" ht="13.2" x14ac:dyDescent="0.25">
      <c r="A59" s="10"/>
      <c r="B59" s="10"/>
      <c r="C59" s="10"/>
      <c r="D59" s="10"/>
      <c r="E59" s="31"/>
      <c r="T59" s="5">
        <f>ROUND(Y6*151,1)</f>
        <v>584.5</v>
      </c>
      <c r="U59" s="6">
        <v>105</v>
      </c>
      <c r="V59" s="4">
        <f>(T59*U59)/(U59^2)</f>
        <v>5.5666666666666664</v>
      </c>
      <c r="W59" s="4">
        <f>V59-V68</f>
        <v>0.34277122769161572</v>
      </c>
      <c r="X59" s="7">
        <v>0.5</v>
      </c>
      <c r="AA59" s="8">
        <f>V68-3*X68</f>
        <v>4.0263982086087386</v>
      </c>
      <c r="AB59" s="8">
        <f>(T59*U59)/(U59^2)</f>
        <v>5.5666666666666664</v>
      </c>
      <c r="AC59" s="8">
        <f>V68+3*X68</f>
        <v>6.4213926693413628</v>
      </c>
    </row>
    <row r="60" spans="1:29" ht="13.2" x14ac:dyDescent="0.25">
      <c r="A60" s="10"/>
      <c r="B60" s="10"/>
      <c r="C60" s="10"/>
      <c r="D60" s="10"/>
      <c r="E60" s="31"/>
      <c r="T60" s="5">
        <f>ROUND(Y6*139,1)</f>
        <v>538.1</v>
      </c>
      <c r="U60" s="6">
        <v>104.75</v>
      </c>
      <c r="V60" s="4">
        <f t="shared" ref="V60:V67" si="11">(T60*U60)/(U60^2)</f>
        <v>5.1369928400954663</v>
      </c>
      <c r="W60" s="4">
        <f>V60-V68</f>
        <v>-8.6902598879584403E-2</v>
      </c>
      <c r="X60" s="7">
        <v>0.5</v>
      </c>
      <c r="AA60" s="8">
        <f>V68-3*X68</f>
        <v>4.0263982086087386</v>
      </c>
      <c r="AB60" s="8">
        <f t="shared" ref="AB60:AB66" si="12">(T60*U60)/(U60^2)</f>
        <v>5.1369928400954663</v>
      </c>
      <c r="AC60" s="8">
        <f>V68+3*X68</f>
        <v>6.4213926693413628</v>
      </c>
    </row>
    <row r="61" spans="1:29" ht="13.2" x14ac:dyDescent="0.25">
      <c r="A61" s="10"/>
      <c r="B61" s="10"/>
      <c r="C61" s="10"/>
      <c r="D61" s="10"/>
      <c r="E61" s="31"/>
      <c r="T61" s="5">
        <f>ROUND(Y6*132,1)</f>
        <v>511</v>
      </c>
      <c r="U61" s="6">
        <v>98.88</v>
      </c>
      <c r="V61" s="4">
        <f t="shared" si="11"/>
        <v>5.1678802588996762</v>
      </c>
      <c r="W61" s="4">
        <f>V61-V68</f>
        <v>-5.6015180075374538E-2</v>
      </c>
      <c r="X61" s="7">
        <v>0.5</v>
      </c>
      <c r="AA61" s="8">
        <f>V68-3*X68</f>
        <v>4.0263982086087386</v>
      </c>
      <c r="AB61" s="8">
        <f t="shared" si="12"/>
        <v>5.1678802588996762</v>
      </c>
      <c r="AC61" s="8">
        <f>V68+3*X68</f>
        <v>6.4213926693413628</v>
      </c>
    </row>
    <row r="62" spans="1:29" ht="13.2" x14ac:dyDescent="0.25">
      <c r="A62" s="10"/>
      <c r="B62" s="10"/>
      <c r="C62" s="10"/>
      <c r="D62" s="10"/>
      <c r="E62" s="31"/>
      <c r="T62" s="5">
        <f>ROUND(Y6*121,1)</f>
        <v>468.4</v>
      </c>
      <c r="U62" s="6">
        <v>90.22</v>
      </c>
      <c r="V62" s="4">
        <f t="shared" si="11"/>
        <v>5.1917534914653061</v>
      </c>
      <c r="W62" s="4">
        <f>V62-V68</f>
        <v>-3.2141947509744639E-2</v>
      </c>
      <c r="X62" s="7">
        <v>0.5</v>
      </c>
      <c r="AA62" s="8">
        <f>V68-3*X68</f>
        <v>4.0263982086087386</v>
      </c>
      <c r="AB62" s="8">
        <f t="shared" si="12"/>
        <v>5.1917534914653061</v>
      </c>
      <c r="AC62" s="8">
        <f>V68+3*X68</f>
        <v>6.4213926693413628</v>
      </c>
    </row>
    <row r="63" spans="1:29" ht="13.2" x14ac:dyDescent="0.25">
      <c r="A63" s="10"/>
      <c r="B63" s="10"/>
      <c r="C63" s="10"/>
      <c r="D63" s="10"/>
      <c r="E63" s="31"/>
      <c r="T63" s="5">
        <f>ROUND(Y6*111,1)</f>
        <v>429.7</v>
      </c>
      <c r="U63" s="6">
        <v>81.64</v>
      </c>
      <c r="V63" s="4">
        <f t="shared" si="11"/>
        <v>5.263351298383145</v>
      </c>
      <c r="W63" s="4">
        <f>V63-V68</f>
        <v>3.9455859408094263E-2</v>
      </c>
      <c r="X63" s="7">
        <v>0.5</v>
      </c>
      <c r="AA63" s="8">
        <f>V68-3*X68</f>
        <v>4.0263982086087386</v>
      </c>
      <c r="AB63" s="8">
        <f t="shared" si="12"/>
        <v>5.263351298383145</v>
      </c>
      <c r="AC63" s="8">
        <f>V68+3*X68</f>
        <v>6.4213926693413628</v>
      </c>
    </row>
    <row r="64" spans="1:29" ht="13.2" x14ac:dyDescent="0.25">
      <c r="A64" s="10"/>
      <c r="B64" s="10"/>
      <c r="C64" s="10"/>
      <c r="D64" s="10"/>
      <c r="E64" s="31"/>
      <c r="T64" s="5">
        <f>ROUND(Y6*101,1)</f>
        <v>391</v>
      </c>
      <c r="U64" s="6">
        <v>75.599999999999994</v>
      </c>
      <c r="V64" s="4">
        <f t="shared" si="11"/>
        <v>5.1719576719576725</v>
      </c>
      <c r="W64" s="4">
        <f>V64-V68</f>
        <v>-5.1937767017378178E-2</v>
      </c>
      <c r="X64" s="7">
        <v>0.5</v>
      </c>
      <c r="AA64" s="8">
        <f>V68-3*X68</f>
        <v>4.0263982086087386</v>
      </c>
      <c r="AB64" s="8">
        <f t="shared" si="12"/>
        <v>5.1719576719576725</v>
      </c>
      <c r="AC64" s="8">
        <f>V68+3*X68</f>
        <v>6.4213926693413628</v>
      </c>
    </row>
    <row r="65" spans="1:29" ht="13.2" x14ac:dyDescent="0.25">
      <c r="A65" s="10"/>
      <c r="B65" s="10"/>
      <c r="C65" s="10"/>
      <c r="D65" s="10"/>
      <c r="E65" s="31"/>
      <c r="T65" s="5">
        <f>ROUND(Y6*91,1)</f>
        <v>352.3</v>
      </c>
      <c r="U65" s="6">
        <v>68.099999999999994</v>
      </c>
      <c r="V65" s="4">
        <f t="shared" si="11"/>
        <v>5.1732745961820852</v>
      </c>
      <c r="W65" s="4">
        <f>V65-V68</f>
        <v>-5.0620842792965526E-2</v>
      </c>
      <c r="X65" s="7">
        <v>0.5</v>
      </c>
      <c r="AA65" s="8">
        <f>V68-3*X68</f>
        <v>4.0263982086087386</v>
      </c>
      <c r="AB65" s="8">
        <f t="shared" si="12"/>
        <v>5.1732745961820852</v>
      </c>
      <c r="AC65" s="8">
        <f>V68+3*X68</f>
        <v>6.4213926693413628</v>
      </c>
    </row>
    <row r="66" spans="1:29" ht="13.2" x14ac:dyDescent="0.25">
      <c r="A66" s="10"/>
      <c r="B66" s="31"/>
      <c r="C66" s="10"/>
      <c r="D66" s="31"/>
      <c r="E66" s="32"/>
      <c r="T66" s="5">
        <f>ROUND(Y6*79,1)</f>
        <v>305.8</v>
      </c>
      <c r="U66" s="6">
        <v>59.04</v>
      </c>
      <c r="V66" s="4">
        <f t="shared" si="11"/>
        <v>5.1795392953929547</v>
      </c>
      <c r="W66" s="4">
        <f>V66-V68</f>
        <v>-4.4356143582096053E-2</v>
      </c>
      <c r="X66" s="7">
        <v>0.5</v>
      </c>
      <c r="AA66" s="8">
        <f>V68-3*X68</f>
        <v>4.0263982086087386</v>
      </c>
      <c r="AB66" s="8">
        <f t="shared" si="12"/>
        <v>5.1795392953929547</v>
      </c>
      <c r="AC66" s="8">
        <f>V68+3*X68</f>
        <v>6.4213926693413628</v>
      </c>
    </row>
    <row r="67" spans="1:29" ht="13.2" x14ac:dyDescent="0.25">
      <c r="D67" s="9"/>
      <c r="T67" s="5">
        <f>ROUND(Y6*75,1)</f>
        <v>290.3</v>
      </c>
      <c r="U67" s="36">
        <v>56.22</v>
      </c>
      <c r="V67" s="4">
        <f t="shared" si="11"/>
        <v>5.1636428317324796</v>
      </c>
      <c r="W67" s="4">
        <f>V67-V68</f>
        <v>-6.0252607242571088E-2</v>
      </c>
      <c r="X67" s="7">
        <v>0.5</v>
      </c>
    </row>
    <row r="68" spans="1:29" ht="15.75" customHeight="1" x14ac:dyDescent="0.25">
      <c r="U68" s="40" t="s">
        <v>15</v>
      </c>
      <c r="V68" s="40">
        <f>SUM(V59:V67)/9</f>
        <v>5.2238954389750507</v>
      </c>
      <c r="W68" s="40" t="s">
        <v>21</v>
      </c>
      <c r="X68" s="40">
        <f>SQRT(SUMSQ(W59:W67)*(1/8*9))</f>
        <v>0.39916574345543743</v>
      </c>
      <c r="Y68" s="40" t="s">
        <v>20</v>
      </c>
      <c r="Z68" s="40">
        <f>SQRT(SUMSQ(T59:T67)/SUMSQ(U59:U67)-V68^2)*(1/SQRT(9))</f>
        <v>0.16787822814474668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CB71-DE31-4846-A81C-2B48492913AC}">
  <dimension ref="A2:D27"/>
  <sheetViews>
    <sheetView zoomScale="115" zoomScaleNormal="115" workbookViewId="0">
      <selection activeCell="B14" sqref="B14"/>
    </sheetView>
  </sheetViews>
  <sheetFormatPr defaultRowHeight="13.2" x14ac:dyDescent="0.25"/>
  <cols>
    <col min="2" max="2" width="24.109375" customWidth="1"/>
    <col min="3" max="3" width="26.109375" customWidth="1"/>
    <col min="4" max="4" width="21.109375" customWidth="1"/>
  </cols>
  <sheetData>
    <row r="2" spans="1:4" x14ac:dyDescent="0.25">
      <c r="B2" s="43" t="s">
        <v>11</v>
      </c>
      <c r="C2" s="44"/>
      <c r="D2" s="45"/>
    </row>
    <row r="3" spans="1:4" x14ac:dyDescent="0.25">
      <c r="B3" s="15" t="s">
        <v>14</v>
      </c>
      <c r="C3" s="23" t="s">
        <v>13</v>
      </c>
      <c r="D3" s="15" t="s">
        <v>12</v>
      </c>
    </row>
    <row r="4" spans="1:4" x14ac:dyDescent="0.25">
      <c r="B4" s="19" t="s">
        <v>37</v>
      </c>
      <c r="C4" s="21" t="s">
        <v>41</v>
      </c>
      <c r="D4" s="19" t="s">
        <v>43</v>
      </c>
    </row>
    <row r="5" spans="1:4" x14ac:dyDescent="0.25">
      <c r="B5" s="19" t="s">
        <v>38</v>
      </c>
      <c r="C5" s="21" t="s">
        <v>40</v>
      </c>
      <c r="D5" s="19" t="s">
        <v>44</v>
      </c>
    </row>
    <row r="6" spans="1:4" x14ac:dyDescent="0.25">
      <c r="B6" s="19" t="s">
        <v>39</v>
      </c>
      <c r="C6" s="21" t="s">
        <v>42</v>
      </c>
      <c r="D6" s="19" t="s">
        <v>45</v>
      </c>
    </row>
    <row r="7" spans="1:4" ht="18" x14ac:dyDescent="0.25">
      <c r="B7" s="20" t="s">
        <v>52</v>
      </c>
      <c r="C7" s="22" t="s">
        <v>51</v>
      </c>
      <c r="D7" s="20" t="s">
        <v>46</v>
      </c>
    </row>
    <row r="8" spans="1:4" ht="18" x14ac:dyDescent="0.25">
      <c r="B8" s="20" t="s">
        <v>53</v>
      </c>
      <c r="C8" s="22" t="s">
        <v>50</v>
      </c>
      <c r="D8" s="20" t="s">
        <v>47</v>
      </c>
    </row>
    <row r="9" spans="1:4" ht="18" x14ac:dyDescent="0.25">
      <c r="B9" s="20" t="s">
        <v>66</v>
      </c>
      <c r="C9" s="22" t="s">
        <v>49</v>
      </c>
      <c r="D9" s="20" t="s">
        <v>48</v>
      </c>
    </row>
    <row r="10" spans="1:4" x14ac:dyDescent="0.25">
      <c r="B10" s="18"/>
      <c r="C10" s="30"/>
      <c r="D10" s="18"/>
    </row>
    <row r="12" spans="1:4" x14ac:dyDescent="0.25">
      <c r="A12" s="50" t="s">
        <v>29</v>
      </c>
      <c r="B12">
        <f>2.0337+(2.0337^2/500)</f>
        <v>2.0419718713799999</v>
      </c>
      <c r="C12">
        <f>3.1595+(2.0337^2/500)</f>
        <v>3.1677718713799998</v>
      </c>
      <c r="D12">
        <f>5.2215+(5.2215^2/500)</f>
        <v>5.2760281244999998</v>
      </c>
    </row>
    <row r="13" spans="1:4" ht="15" x14ac:dyDescent="0.3">
      <c r="A13" s="52" t="s">
        <v>30</v>
      </c>
      <c r="B13">
        <f>2.0337*SQRT((0.75/580.6)^2+(0.01/284.37)^2)</f>
        <v>2.6280400779880543E-3</v>
      </c>
      <c r="C13">
        <f>3.1595*SQRT((0.75/545.8)^2+(0.01/172.16)^2)</f>
        <v>4.3454399011278993E-3</v>
      </c>
      <c r="D13">
        <f>5.276*SQRT((0.75/530.3)^2+(0.01/103.14)^2)</f>
        <v>7.479327510724808E-3</v>
      </c>
    </row>
    <row r="14" spans="1:4" ht="13.8" x14ac:dyDescent="0.3">
      <c r="A14" s="49" t="s">
        <v>31</v>
      </c>
      <c r="B14">
        <f>SQRT(B13^2 + 0.004^2)</f>
        <v>4.7860834354941468E-3</v>
      </c>
      <c r="C14">
        <f>SQRT(C13^2 + 0.066^2)</f>
        <v>6.6142897184310837E-2</v>
      </c>
      <c r="D14">
        <f>SQRT(D13^2 + 0.042^2)</f>
        <v>4.2660758783836523E-2</v>
      </c>
    </row>
    <row r="16" spans="1:4" ht="13.8" x14ac:dyDescent="0.25">
      <c r="B16" s="46" t="s">
        <v>27</v>
      </c>
      <c r="C16" s="48" t="s">
        <v>33</v>
      </c>
      <c r="D16" s="48" t="s">
        <v>34</v>
      </c>
    </row>
    <row r="17" spans="2:4" x14ac:dyDescent="0.25">
      <c r="B17" s="46" t="s">
        <v>24</v>
      </c>
      <c r="C17" s="47">
        <v>1.03</v>
      </c>
      <c r="D17" s="47">
        <v>0.48</v>
      </c>
    </row>
    <row r="18" spans="2:4" x14ac:dyDescent="0.25">
      <c r="B18" s="46" t="s">
        <v>25</v>
      </c>
      <c r="C18" s="46" t="s">
        <v>28</v>
      </c>
      <c r="D18" s="47">
        <v>0.32</v>
      </c>
    </row>
    <row r="19" spans="2:4" x14ac:dyDescent="0.25">
      <c r="B19" s="46" t="s">
        <v>26</v>
      </c>
      <c r="C19" s="47">
        <v>1.07</v>
      </c>
      <c r="D19" s="47">
        <v>0.19</v>
      </c>
    </row>
    <row r="21" spans="2:4" ht="13.8" x14ac:dyDescent="0.25">
      <c r="B21" s="46" t="s">
        <v>36</v>
      </c>
      <c r="C21" s="46" t="s">
        <v>32</v>
      </c>
      <c r="D21" s="48" t="s">
        <v>35</v>
      </c>
    </row>
    <row r="22" spans="2:4" x14ac:dyDescent="0.25">
      <c r="B22" s="47">
        <f>(2.042/20)*(PI()*(3.59*10^-2)^2/4)</f>
        <v>1.0334858161145988E-4</v>
      </c>
      <c r="C22" s="47">
        <f>(3.1678/30)*(PI()*(3.59*10^-2)^2/4)</f>
        <v>1.0688463494246903E-4</v>
      </c>
      <c r="D22" s="47">
        <f>(5.276/50)*(PI()*(3.59*10^-2)^2/4)</f>
        <v>1.0681040481529136E-4</v>
      </c>
    </row>
    <row r="23" spans="2:4" ht="13.8" x14ac:dyDescent="0.25">
      <c r="B23" s="46" t="s">
        <v>54</v>
      </c>
      <c r="C23" s="46" t="s">
        <v>55</v>
      </c>
      <c r="D23" s="48" t="s">
        <v>56</v>
      </c>
    </row>
    <row r="24" spans="2:4" x14ac:dyDescent="0.25">
      <c r="B24" s="51">
        <f>B22*SQRT((0.008/2.042)^2+2*(0.05*10^-2/3.59*10^-2)^2+(0.5*10^-1/20)^2)</f>
        <v>4.8030517351130848E-7</v>
      </c>
      <c r="C24" s="51">
        <f>C22*SQRT((0.008/3.1678)^2+2*(0.05*10^-2/3.59*10^-2)^2+(0.5*10^-1/30)^2)</f>
        <v>3.2341190945419182E-7</v>
      </c>
      <c r="D24" s="51">
        <f>D22*SQRT((0.008/5.276)^2+2*(0.05*10^-2/3.59*10^-2)^2+(0.5*10^-1/50)^2)</f>
        <v>1.9400634123066723E-7</v>
      </c>
    </row>
    <row r="27" spans="2:4" x14ac:dyDescent="0.25">
      <c r="B27">
        <f>0.008/2.042</f>
        <v>3.9177277179236044E-3</v>
      </c>
      <c r="C27">
        <f>0.05*10^-2/3.59*10^-2</f>
        <v>1.392757660167131E-6</v>
      </c>
    </row>
  </sheetData>
  <mergeCells count="1">
    <mergeCell ref="B2:D2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F22-F4EC-464C-9D6E-6C50A68DD728}">
  <dimension ref="A1"/>
  <sheetViews>
    <sheetView workbookViewId="0">
      <selection activeCell="F15" sqref="F15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</cp:lastModifiedBy>
  <dcterms:created xsi:type="dcterms:W3CDTF">2022-09-21T22:22:24Z</dcterms:created>
  <dcterms:modified xsi:type="dcterms:W3CDTF">2022-09-22T13:34:29Z</dcterms:modified>
</cp:coreProperties>
</file>