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\Desktop\Лабы 3 сем\3.7.1\"/>
    </mc:Choice>
  </mc:AlternateContent>
  <xr:revisionPtr revIDLastSave="0" documentId="13_ncr:1_{63052591-AC09-438E-AE05-0DD774ACAD7B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4" i="1" l="1"/>
  <c r="G141" i="1" l="1"/>
  <c r="G157" i="1" s="1"/>
  <c r="G155" i="1" s="1"/>
  <c r="P141" i="1"/>
  <c r="M141" i="1"/>
  <c r="S141" i="1"/>
  <c r="D73" i="1"/>
  <c r="D74" i="1" s="1"/>
  <c r="E73" i="1"/>
  <c r="E74" i="1" s="1"/>
  <c r="F73" i="1"/>
  <c r="F74" i="1" s="1"/>
  <c r="G73" i="1"/>
  <c r="G74" i="1" s="1"/>
  <c r="H73" i="1"/>
  <c r="I73" i="1"/>
  <c r="I74" i="1" s="1"/>
  <c r="J73" i="1"/>
  <c r="K73" i="1"/>
  <c r="L73" i="1"/>
  <c r="L74" i="1" s="1"/>
  <c r="M73" i="1"/>
  <c r="M74" i="1" s="1"/>
  <c r="N73" i="1"/>
  <c r="N74" i="1" s="1"/>
  <c r="O73" i="1"/>
  <c r="O74" i="1" s="1"/>
  <c r="P73" i="1"/>
  <c r="Q73" i="1"/>
  <c r="Q74" i="1" s="1"/>
  <c r="C73" i="1"/>
  <c r="Q29" i="1"/>
  <c r="K74" i="1" s="1"/>
  <c r="H74" i="1" l="1"/>
  <c r="J74" i="1"/>
  <c r="P74" i="1"/>
  <c r="G153" i="1"/>
  <c r="F153" i="1"/>
  <c r="N153" i="1"/>
  <c r="M157" i="1"/>
  <c r="M155" i="1" s="1"/>
  <c r="N157" i="1"/>
  <c r="N155" i="1" s="1"/>
  <c r="F157" i="1"/>
  <c r="F155" i="1" s="1"/>
  <c r="E157" i="1"/>
  <c r="E155" i="1" s="1"/>
  <c r="O153" i="1"/>
  <c r="M153" i="1"/>
  <c r="E153" i="1"/>
  <c r="L157" i="1"/>
  <c r="L155" i="1" s="1"/>
  <c r="L153" i="1"/>
  <c r="D157" i="1"/>
  <c r="D155" i="1" s="1"/>
  <c r="K157" i="1"/>
  <c r="K155" i="1" s="1"/>
  <c r="D151" i="1"/>
  <c r="K153" i="1"/>
  <c r="R157" i="1"/>
  <c r="R155" i="1" s="1"/>
  <c r="J157" i="1"/>
  <c r="J155" i="1" s="1"/>
  <c r="D153" i="1"/>
  <c r="J153" i="1"/>
  <c r="Q157" i="1"/>
  <c r="Q155" i="1" s="1"/>
  <c r="I157" i="1"/>
  <c r="I155" i="1" s="1"/>
  <c r="Q153" i="1"/>
  <c r="I153" i="1"/>
  <c r="P157" i="1"/>
  <c r="P155" i="1" s="1"/>
  <c r="H157" i="1"/>
  <c r="H155" i="1" s="1"/>
  <c r="P153" i="1"/>
  <c r="H153" i="1"/>
  <c r="O157" i="1"/>
  <c r="O155" i="1" s="1"/>
  <c r="I151" i="1"/>
  <c r="K151" i="1"/>
  <c r="J151" i="1"/>
  <c r="H151" i="1"/>
  <c r="F151" i="1"/>
  <c r="M151" i="1"/>
  <c r="E151" i="1"/>
  <c r="G151" i="1"/>
  <c r="L151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C99" i="1"/>
  <c r="J102" i="1" s="1"/>
  <c r="C100" i="1"/>
  <c r="R68" i="1"/>
  <c r="R70" i="1" s="1"/>
  <c r="W70" i="1"/>
  <c r="X70" i="1"/>
  <c r="AA70" i="1"/>
  <c r="Q68" i="1"/>
  <c r="Q70" i="1" s="1"/>
  <c r="AD68" i="1"/>
  <c r="AD70" i="1" s="1"/>
  <c r="AC68" i="1"/>
  <c r="AC70" i="1" s="1"/>
  <c r="AB68" i="1"/>
  <c r="AB70" i="1" s="1"/>
  <c r="P63" i="1"/>
  <c r="Q63" i="1"/>
  <c r="O63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C71" i="1"/>
  <c r="D70" i="1"/>
  <c r="E70" i="1"/>
  <c r="H70" i="1"/>
  <c r="I70" i="1"/>
  <c r="L70" i="1"/>
  <c r="M70" i="1"/>
  <c r="P70" i="1"/>
  <c r="C70" i="1"/>
  <c r="AA68" i="1"/>
  <c r="Z68" i="1"/>
  <c r="Z70" i="1" s="1"/>
  <c r="Y68" i="1"/>
  <c r="Y70" i="1" s="1"/>
  <c r="X68" i="1"/>
  <c r="W68" i="1"/>
  <c r="V68" i="1"/>
  <c r="V70" i="1" s="1"/>
  <c r="U68" i="1"/>
  <c r="U70" i="1" s="1"/>
  <c r="T68" i="1"/>
  <c r="T70" i="1" s="1"/>
  <c r="S68" i="1"/>
  <c r="S70" i="1" s="1"/>
  <c r="P68" i="1"/>
  <c r="O68" i="1"/>
  <c r="O70" i="1" s="1"/>
  <c r="N68" i="1"/>
  <c r="N70" i="1" s="1"/>
  <c r="M68" i="1"/>
  <c r="L68" i="1"/>
  <c r="K68" i="1"/>
  <c r="K70" i="1" s="1"/>
  <c r="J68" i="1"/>
  <c r="J70" i="1" s="1"/>
  <c r="I68" i="1"/>
  <c r="H68" i="1"/>
  <c r="G68" i="1"/>
  <c r="G70" i="1" s="1"/>
  <c r="F68" i="1"/>
  <c r="F70" i="1" s="1"/>
  <c r="E68" i="1"/>
  <c r="D68" i="1"/>
  <c r="C68" i="1"/>
  <c r="N63" i="1"/>
  <c r="M63" i="1"/>
  <c r="L63" i="1"/>
  <c r="K63" i="1"/>
  <c r="J63" i="1"/>
  <c r="I63" i="1"/>
  <c r="H63" i="1"/>
  <c r="G63" i="1"/>
  <c r="F63" i="1"/>
  <c r="E63" i="1"/>
  <c r="D63" i="1"/>
  <c r="K15" i="1"/>
  <c r="K43" i="1" s="1"/>
  <c r="M15" i="1"/>
  <c r="N15" i="1"/>
  <c r="N43" i="1"/>
  <c r="C15" i="1"/>
  <c r="C43" i="1" s="1"/>
  <c r="L15" i="1"/>
  <c r="L43" i="1" s="1"/>
  <c r="I15" i="1"/>
  <c r="J15" i="1"/>
  <c r="J43" i="1" s="1"/>
  <c r="H15" i="1"/>
  <c r="G15" i="1"/>
  <c r="E15" i="1"/>
  <c r="F15" i="1"/>
  <c r="F43" i="1" s="1"/>
  <c r="H43" i="1"/>
  <c r="G43" i="1"/>
  <c r="D15" i="1"/>
  <c r="D43" i="1" s="1"/>
  <c r="E43" i="1"/>
  <c r="I43" i="1"/>
  <c r="M43" i="1"/>
  <c r="Q102" i="1" l="1"/>
  <c r="I102" i="1"/>
  <c r="P102" i="1"/>
  <c r="H102" i="1"/>
  <c r="C102" i="1"/>
  <c r="O102" i="1"/>
  <c r="G102" i="1"/>
  <c r="V102" i="1"/>
  <c r="N102" i="1"/>
  <c r="F102" i="1"/>
  <c r="U102" i="1"/>
  <c r="M102" i="1"/>
  <c r="E102" i="1"/>
  <c r="T102" i="1"/>
  <c r="L102" i="1"/>
  <c r="D102" i="1"/>
  <c r="S102" i="1"/>
  <c r="K102" i="1"/>
  <c r="R10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2" i="1"/>
  <c r="J21" i="1"/>
  <c r="D10" i="1"/>
  <c r="E10" i="1"/>
  <c r="F10" i="1"/>
  <c r="G10" i="1"/>
  <c r="H10" i="1"/>
  <c r="I10" i="1"/>
  <c r="J10" i="1"/>
  <c r="K10" i="1"/>
  <c r="L10" i="1"/>
  <c r="C10" i="1"/>
  <c r="D20" i="1"/>
  <c r="D24" i="1" s="1"/>
  <c r="E20" i="1"/>
  <c r="E24" i="1" s="1"/>
  <c r="F20" i="1"/>
  <c r="F24" i="1" s="1"/>
  <c r="G20" i="1"/>
  <c r="G24" i="1" s="1"/>
  <c r="H20" i="1"/>
  <c r="H24" i="1" s="1"/>
  <c r="I20" i="1"/>
  <c r="I24" i="1" s="1"/>
  <c r="J20" i="1"/>
  <c r="J24" i="1" s="1"/>
  <c r="K20" i="1"/>
  <c r="K24" i="1" s="1"/>
  <c r="L20" i="1"/>
  <c r="M20" i="1"/>
  <c r="M24" i="1" s="1"/>
  <c r="N20" i="1"/>
  <c r="N24" i="1" s="1"/>
  <c r="O20" i="1"/>
  <c r="O24" i="1" s="1"/>
  <c r="P20" i="1"/>
  <c r="P24" i="1" s="1"/>
  <c r="C20" i="1"/>
  <c r="C24" i="1" s="1"/>
  <c r="P21" i="1" l="1"/>
  <c r="I21" i="1"/>
  <c r="H21" i="1"/>
  <c r="O21" i="1"/>
  <c r="L21" i="1"/>
  <c r="L24" i="1"/>
  <c r="N21" i="1"/>
  <c r="F21" i="1"/>
  <c r="E21" i="1"/>
  <c r="M21" i="1"/>
  <c r="D21" i="1"/>
  <c r="C21" i="1"/>
  <c r="G21" i="1"/>
  <c r="K21" i="1"/>
  <c r="C63" i="1"/>
  <c r="D8" i="1"/>
  <c r="E8" i="1"/>
  <c r="F8" i="1"/>
  <c r="G8" i="1"/>
  <c r="H8" i="1"/>
  <c r="I8" i="1"/>
  <c r="J8" i="1"/>
  <c r="K8" i="1"/>
  <c r="L8" i="1"/>
  <c r="C8" i="1"/>
  <c r="D12" i="1" l="1"/>
  <c r="D9" i="1"/>
  <c r="L12" i="1"/>
  <c r="L9" i="1"/>
  <c r="K12" i="1"/>
  <c r="K9" i="1"/>
  <c r="J12" i="1"/>
  <c r="J9" i="1"/>
  <c r="I12" i="1"/>
  <c r="I9" i="1"/>
  <c r="G12" i="1"/>
  <c r="G9" i="1"/>
  <c r="F12" i="1"/>
  <c r="F9" i="1"/>
  <c r="H12" i="1"/>
  <c r="H9" i="1"/>
  <c r="C12" i="1"/>
  <c r="C9" i="1"/>
  <c r="E12" i="1"/>
  <c r="E9" i="1"/>
  <c r="P15" i="1"/>
  <c r="P43" i="1" s="1"/>
  <c r="O15" i="1"/>
  <c r="O43" i="1" s="1"/>
</calcChain>
</file>

<file path=xl/sharedStrings.xml><?xml version="1.0" encoding="utf-8"?>
<sst xmlns="http://schemas.openxmlformats.org/spreadsheetml/2006/main" count="83" uniqueCount="44">
  <si>
    <t>п.3</t>
  </si>
  <si>
    <t>N</t>
  </si>
  <si>
    <t>I, мА</t>
  </si>
  <si>
    <t>nu_h, Гц</t>
  </si>
  <si>
    <t>const (const * nu_h)</t>
  </si>
  <si>
    <t>V, мВ</t>
  </si>
  <si>
    <t>п.4</t>
  </si>
  <si>
    <t>d(phi)/pi</t>
  </si>
  <si>
    <t>от 1 до 8</t>
  </si>
  <si>
    <t>от 8 до 14</t>
  </si>
  <si>
    <t>п.5</t>
  </si>
  <si>
    <t>на больших частотах - большая погрешность</t>
  </si>
  <si>
    <t>п.6</t>
  </si>
  <si>
    <t>nu, Гц</t>
  </si>
  <si>
    <t>R_s, Ом</t>
  </si>
  <si>
    <t>L_s, мГн</t>
  </si>
  <si>
    <t>ksi (U/(nu*I)), Ом/Гц</t>
  </si>
  <si>
    <t>1/ksi^2, (Гц/Ом)^2</t>
  </si>
  <si>
    <t>nu_h^2, Гц^2</t>
  </si>
  <si>
    <t>из формулы (9) получить сигму меди</t>
  </si>
  <si>
    <t xml:space="preserve">Кресты большие на краях </t>
  </si>
  <si>
    <t>Формула (10), рассчитать сигму</t>
  </si>
  <si>
    <t>tan(phi - pi/2)</t>
  </si>
  <si>
    <t>tan(phi - 3*pi/4)</t>
  </si>
  <si>
    <t>sqrt(nu_h), sqrt(Гц)</t>
  </si>
  <si>
    <t>Сигму по формуле (12)</t>
  </si>
  <si>
    <t>L_max, мГн</t>
  </si>
  <si>
    <t>L_min, мГн</t>
  </si>
  <si>
    <t>(L_max - L_min)/(L - L_min)</t>
  </si>
  <si>
    <t>Найти сигму по (22)</t>
  </si>
  <si>
    <t>СВЕСТИ ВСЕ СИГМЫ (4 штуки в одну таблицу)</t>
  </si>
  <si>
    <t>|H1|/|H0|</t>
  </si>
  <si>
    <t>ksi_0, Ом/Гц</t>
  </si>
  <si>
    <t>ksi, Ом/Гц</t>
  </si>
  <si>
    <t xml:space="preserve">Практические </t>
  </si>
  <si>
    <t>Теоретические</t>
  </si>
  <si>
    <t>сигма_max</t>
  </si>
  <si>
    <t>для малых</t>
  </si>
  <si>
    <t>для больших</t>
  </si>
  <si>
    <t>a, мм</t>
  </si>
  <si>
    <t>h, мм</t>
  </si>
  <si>
    <t>mu_0</t>
  </si>
  <si>
    <t>delta</t>
  </si>
  <si>
    <t>сигма_min/max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</si>
</sst>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1" xfId="0" applyNumberFormat="1" applyBorder="1"/>
    <xf numFmtId="0" fontId="0" fillId="2" borderId="1" xfId="0" applyFill="1" applyBorder="1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(0,01-0,05)*nu_h</a:t>
            </a:r>
            <a:endParaRPr lang="ru-R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127053134859112"/>
          <c:y val="0.1675138524351123"/>
          <c:w val="0.81112274175475374"/>
          <c:h val="0.6290926655001458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5119568865741381"/>
                  <c:y val="0.1151826334208224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Лист1!$C$10:$L$10</c:f>
              <c:numCache>
                <c:formatCode>General</c:formatCode>
                <c:ptCount val="10"/>
                <c:pt idx="0">
                  <c:v>506.25</c:v>
                </c:pt>
                <c:pt idx="1">
                  <c:v>1139.0625</c:v>
                </c:pt>
                <c:pt idx="2">
                  <c:v>2025</c:v>
                </c:pt>
                <c:pt idx="3">
                  <c:v>3164.0625</c:v>
                </c:pt>
                <c:pt idx="4">
                  <c:v>4556.25</c:v>
                </c:pt>
                <c:pt idx="5">
                  <c:v>6201.5625000000018</c:v>
                </c:pt>
                <c:pt idx="6">
                  <c:v>8100</c:v>
                </c:pt>
                <c:pt idx="7">
                  <c:v>10251.5625</c:v>
                </c:pt>
                <c:pt idx="8">
                  <c:v>11422.265625</c:v>
                </c:pt>
                <c:pt idx="9">
                  <c:v>12656.25</c:v>
                </c:pt>
              </c:numCache>
            </c:numRef>
          </c:xVal>
          <c:yVal>
            <c:numRef>
              <c:f>Лист1!$C$9:$L$9</c:f>
              <c:numCache>
                <c:formatCode>General</c:formatCode>
                <c:ptCount val="10"/>
                <c:pt idx="0">
                  <c:v>4727.8627028684823</c:v>
                </c:pt>
                <c:pt idx="1">
                  <c:v>5301.1488448428236</c:v>
                </c:pt>
                <c:pt idx="2">
                  <c:v>5238.1406250000009</c:v>
                </c:pt>
                <c:pt idx="3">
                  <c:v>5664.6824166831975</c:v>
                </c:pt>
                <c:pt idx="4">
                  <c:v>5984.0662701029432</c:v>
                </c:pt>
                <c:pt idx="5">
                  <c:v>6253.2958525713029</c:v>
                </c:pt>
                <c:pt idx="6">
                  <c:v>6580.7273754898752</c:v>
                </c:pt>
                <c:pt idx="7">
                  <c:v>6941.9600711723269</c:v>
                </c:pt>
                <c:pt idx="8">
                  <c:v>7271.0004064776276</c:v>
                </c:pt>
                <c:pt idx="9">
                  <c:v>7482.6134497916819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D-4F17-AFFB-3EFE0DE11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983616"/>
        <c:axId val="258985920"/>
      </c:scatterChart>
      <c:valAx>
        <c:axId val="258983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nu_h^2, </a:t>
                </a:r>
                <a:r>
                  <a:rPr lang="ru-RU"/>
                  <a:t>Гц^2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8985920"/>
        <c:crosses val="autoZero"/>
        <c:crossBetween val="midCat"/>
      </c:valAx>
      <c:valAx>
        <c:axId val="258985920"/>
        <c:scaling>
          <c:orientation val="minMax"/>
          <c:min val="4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1/ksi^2, (</a:t>
                </a:r>
                <a:r>
                  <a:rPr lang="ru-RU"/>
                  <a:t>Гц/Ом)^2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8983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sigma_max</a:t>
            </a:r>
            <a:endParaRPr lang="ru-R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616105671790708E-2"/>
          <c:y val="7.4062164388571397E-2"/>
          <c:w val="0.85277733388419441"/>
          <c:h val="0.75276660272317319"/>
        </c:manualLayout>
      </c:layout>
      <c:scatterChart>
        <c:scatterStyle val="smoothMarker"/>
        <c:varyColors val="0"/>
        <c:ser>
          <c:idx val="0"/>
          <c:order val="0"/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(Лист1!$D$150:$M$150,Лист1!$D$152:$Q$152)</c:f>
              <c:numCache>
                <c:formatCode>General</c:formatCode>
                <c:ptCount val="24"/>
                <c:pt idx="0">
                  <c:v>22.5</c:v>
                </c:pt>
                <c:pt idx="1">
                  <c:v>33.75</c:v>
                </c:pt>
                <c:pt idx="2">
                  <c:v>45</c:v>
                </c:pt>
                <c:pt idx="3">
                  <c:v>56.25</c:v>
                </c:pt>
                <c:pt idx="4">
                  <c:v>67.5</c:v>
                </c:pt>
                <c:pt idx="5">
                  <c:v>78.750000000000014</c:v>
                </c:pt>
                <c:pt idx="6">
                  <c:v>90</c:v>
                </c:pt>
                <c:pt idx="7">
                  <c:v>101.25</c:v>
                </c:pt>
                <c:pt idx="8">
                  <c:v>106.875</c:v>
                </c:pt>
                <c:pt idx="9">
                  <c:v>112.5</c:v>
                </c:pt>
                <c:pt idx="10">
                  <c:v>112.5</c:v>
                </c:pt>
                <c:pt idx="11">
                  <c:v>131.25</c:v>
                </c:pt>
                <c:pt idx="12">
                  <c:v>150</c:v>
                </c:pt>
                <c:pt idx="13">
                  <c:v>168.75</c:v>
                </c:pt>
                <c:pt idx="14">
                  <c:v>187.5</c:v>
                </c:pt>
                <c:pt idx="15">
                  <c:v>206.25</c:v>
                </c:pt>
                <c:pt idx="16">
                  <c:v>225</c:v>
                </c:pt>
                <c:pt idx="17">
                  <c:v>337.5</c:v>
                </c:pt>
                <c:pt idx="18">
                  <c:v>450</c:v>
                </c:pt>
                <c:pt idx="19">
                  <c:v>562.5</c:v>
                </c:pt>
                <c:pt idx="20">
                  <c:v>675</c:v>
                </c:pt>
                <c:pt idx="21">
                  <c:v>787.5</c:v>
                </c:pt>
                <c:pt idx="22">
                  <c:v>900</c:v>
                </c:pt>
                <c:pt idx="23">
                  <c:v>1012.5</c:v>
                </c:pt>
              </c:numCache>
            </c:numRef>
          </c:xVal>
          <c:yVal>
            <c:numRef>
              <c:f>(Лист1!$D$151:$M$151,Лист1!$D$153:$Q$153)</c:f>
              <c:numCache>
                <c:formatCode>General</c:formatCode>
                <c:ptCount val="24"/>
                <c:pt idx="0">
                  <c:v>0.98920385359919139</c:v>
                </c:pt>
                <c:pt idx="1">
                  <c:v>0.97618790619150064</c:v>
                </c:pt>
                <c:pt idx="2">
                  <c:v>0.95879953777277216</c:v>
                </c:pt>
                <c:pt idx="3">
                  <c:v>0.93775084393334329</c:v>
                </c:pt>
                <c:pt idx="4">
                  <c:v>0.91381432453696332</c:v>
                </c:pt>
                <c:pt idx="5">
                  <c:v>0.88775799569983749</c:v>
                </c:pt>
                <c:pt idx="6">
                  <c:v>0.86029565130914709</c:v>
                </c:pt>
                <c:pt idx="7">
                  <c:v>0.8320550092051</c:v>
                </c:pt>
                <c:pt idx="8">
                  <c:v>0.81781140739619551</c:v>
                </c:pt>
                <c:pt idx="9">
                  <c:v>0.8035624364267957</c:v>
                </c:pt>
                <c:pt idx="10">
                  <c:v>0.8035624364267957</c:v>
                </c:pt>
                <c:pt idx="11">
                  <c:v>0.75661889394920678</c:v>
                </c:pt>
                <c:pt idx="12">
                  <c:v>0.71149149492504138</c:v>
                </c:pt>
                <c:pt idx="13">
                  <c:v>0.6689715382319632</c:v>
                </c:pt>
                <c:pt idx="14">
                  <c:v>0.62942874098840673</c:v>
                </c:pt>
                <c:pt idx="15">
                  <c:v>0.59295638306751652</c:v>
                </c:pt>
                <c:pt idx="16">
                  <c:v>0.5594799334371805</c:v>
                </c:pt>
                <c:pt idx="17">
                  <c:v>0.4103709621716668</c:v>
                </c:pt>
                <c:pt idx="18">
                  <c:v>0.31978393118054399</c:v>
                </c:pt>
                <c:pt idx="19">
                  <c:v>0.26067032669934642</c:v>
                </c:pt>
                <c:pt idx="20">
                  <c:v>0.2195160430053395</c:v>
                </c:pt>
                <c:pt idx="21">
                  <c:v>0.18937099784821232</c:v>
                </c:pt>
                <c:pt idx="22">
                  <c:v>0.16640039720598393</c:v>
                </c:pt>
                <c:pt idx="23">
                  <c:v>0.14834312475259376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CF-42B9-BCE3-6801BE653554}"/>
            </c:ext>
          </c:extLst>
        </c:ser>
        <c:ser>
          <c:idx val="1"/>
          <c:order val="1"/>
          <c:xVal>
            <c:numRef>
              <c:f>(Лист1!$D$143:$M$143,Лист1!$D$145:$Q$145)</c:f>
              <c:numCache>
                <c:formatCode>General</c:formatCode>
                <c:ptCount val="24"/>
                <c:pt idx="0">
                  <c:v>22.5</c:v>
                </c:pt>
                <c:pt idx="1">
                  <c:v>33.75</c:v>
                </c:pt>
                <c:pt idx="2">
                  <c:v>45</c:v>
                </c:pt>
                <c:pt idx="3">
                  <c:v>56.25</c:v>
                </c:pt>
                <c:pt idx="4">
                  <c:v>67.5</c:v>
                </c:pt>
                <c:pt idx="5">
                  <c:v>78.750000000000014</c:v>
                </c:pt>
                <c:pt idx="6">
                  <c:v>90</c:v>
                </c:pt>
                <c:pt idx="7">
                  <c:v>101.25</c:v>
                </c:pt>
                <c:pt idx="8">
                  <c:v>106.875</c:v>
                </c:pt>
                <c:pt idx="9">
                  <c:v>112.5</c:v>
                </c:pt>
                <c:pt idx="10">
                  <c:v>112.5</c:v>
                </c:pt>
                <c:pt idx="11">
                  <c:v>131.25</c:v>
                </c:pt>
                <c:pt idx="12">
                  <c:v>150</c:v>
                </c:pt>
                <c:pt idx="13">
                  <c:v>168.75</c:v>
                </c:pt>
                <c:pt idx="14">
                  <c:v>187.5</c:v>
                </c:pt>
                <c:pt idx="15">
                  <c:v>206.25</c:v>
                </c:pt>
                <c:pt idx="16">
                  <c:v>225</c:v>
                </c:pt>
                <c:pt idx="17">
                  <c:v>337.5</c:v>
                </c:pt>
                <c:pt idx="18">
                  <c:v>450</c:v>
                </c:pt>
                <c:pt idx="19">
                  <c:v>562.5</c:v>
                </c:pt>
                <c:pt idx="20">
                  <c:v>675</c:v>
                </c:pt>
                <c:pt idx="21">
                  <c:v>787.5</c:v>
                </c:pt>
                <c:pt idx="22">
                  <c:v>900</c:v>
                </c:pt>
                <c:pt idx="23">
                  <c:v>1012.5</c:v>
                </c:pt>
              </c:numCache>
            </c:numRef>
          </c:xVal>
          <c:yVal>
            <c:numRef>
              <c:f>(Лист1!$D$144:$M$144,Лист1!$D$146:$Q$146)</c:f>
              <c:numCache>
                <c:formatCode>General</c:formatCode>
                <c:ptCount val="24"/>
                <c:pt idx="0">
                  <c:v>1.0182495466178789</c:v>
                </c:pt>
                <c:pt idx="1">
                  <c:v>0.96161594118214344</c:v>
                </c:pt>
                <c:pt idx="2">
                  <c:v>0.96738216589785397</c:v>
                </c:pt>
                <c:pt idx="3">
                  <c:v>0.93024826802093286</c:v>
                </c:pt>
                <c:pt idx="4">
                  <c:v>0.90508310114599144</c:v>
                </c:pt>
                <c:pt idx="5">
                  <c:v>0.88538501088365473</c:v>
                </c:pt>
                <c:pt idx="6">
                  <c:v>0.86307731889471473</c:v>
                </c:pt>
                <c:pt idx="7">
                  <c:v>0.84032173697441048</c:v>
                </c:pt>
                <c:pt idx="8">
                  <c:v>0.82108774273895024</c:v>
                </c:pt>
                <c:pt idx="9">
                  <c:v>0.80939403293901679</c:v>
                </c:pt>
                <c:pt idx="10">
                  <c:v>0.80939403293901679</c:v>
                </c:pt>
                <c:pt idx="11">
                  <c:v>0.77166106257979872</c:v>
                </c:pt>
                <c:pt idx="12">
                  <c:v>0.73199773278347136</c:v>
                </c:pt>
                <c:pt idx="13">
                  <c:v>0.67278559386811487</c:v>
                </c:pt>
                <c:pt idx="14">
                  <c:v>0.64842440997291939</c:v>
                </c:pt>
                <c:pt idx="15">
                  <c:v>0.61494301035041432</c:v>
                </c:pt>
                <c:pt idx="16">
                  <c:v>0.58353690075270837</c:v>
                </c:pt>
                <c:pt idx="17">
                  <c:v>0.43538722061501828</c:v>
                </c:pt>
                <c:pt idx="18">
                  <c:v>0.34131476137704203</c:v>
                </c:pt>
                <c:pt idx="19">
                  <c:v>0.27898286001577111</c:v>
                </c:pt>
                <c:pt idx="20">
                  <c:v>0.23398635809062079</c:v>
                </c:pt>
                <c:pt idx="21">
                  <c:v>0.20233960139339555</c:v>
                </c:pt>
                <c:pt idx="22">
                  <c:v>0.17794350485313074</c:v>
                </c:pt>
                <c:pt idx="23">
                  <c:v>0.15866445369026008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7CF-42B9-BCE3-6801BE653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69280"/>
        <c:axId val="326369856"/>
      </c:scatterChart>
      <c:valAx>
        <c:axId val="326369280"/>
        <c:scaling>
          <c:logBase val="10"/>
          <c:orientation val="minMax"/>
          <c:max val="1100"/>
          <c:min val="1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nu_h, </a:t>
                </a:r>
                <a:r>
                  <a:rPr lang="ru-RU"/>
                  <a:t>Гц</a:t>
                </a:r>
              </a:p>
            </c:rich>
          </c:tx>
          <c:layout>
            <c:manualLayout>
              <c:xMode val="edge"/>
              <c:yMode val="edge"/>
              <c:x val="0.47593587924708719"/>
              <c:y val="0.91766889609556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26369856"/>
        <c:crosses val="autoZero"/>
        <c:crossBetween val="midCat"/>
      </c:valAx>
      <c:valAx>
        <c:axId val="326369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|H1|/|H0|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9.971528015964579E-3"/>
              <c:y val="0.396624523894198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263692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sigma_max</a:t>
            </a:r>
            <a:endParaRPr lang="ru-R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9616105671790708E-2"/>
          <c:y val="7.4062164388571397E-2"/>
          <c:w val="0.85277733388419441"/>
          <c:h val="0.75276660272317319"/>
        </c:manualLayout>
      </c:layout>
      <c:scatterChart>
        <c:scatterStyle val="smoothMarker"/>
        <c:varyColors val="0"/>
        <c:ser>
          <c:idx val="0"/>
          <c:order val="0"/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Лист1!$D$154:$R$154</c:f>
              <c:numCache>
                <c:formatCode>General</c:formatCode>
                <c:ptCount val="15"/>
                <c:pt idx="0">
                  <c:v>1012.5</c:v>
                </c:pt>
                <c:pt idx="1">
                  <c:v>3300</c:v>
                </c:pt>
                <c:pt idx="2">
                  <c:v>5475</c:v>
                </c:pt>
                <c:pt idx="3">
                  <c:v>7650</c:v>
                </c:pt>
                <c:pt idx="4">
                  <c:v>9825</c:v>
                </c:pt>
                <c:pt idx="5">
                  <c:v>12000</c:v>
                </c:pt>
                <c:pt idx="6">
                  <c:v>14175</c:v>
                </c:pt>
                <c:pt idx="7">
                  <c:v>16350</c:v>
                </c:pt>
                <c:pt idx="8">
                  <c:v>18525</c:v>
                </c:pt>
                <c:pt idx="9">
                  <c:v>20700</c:v>
                </c:pt>
                <c:pt idx="10">
                  <c:v>22875</c:v>
                </c:pt>
                <c:pt idx="11">
                  <c:v>25050</c:v>
                </c:pt>
                <c:pt idx="12">
                  <c:v>27225</c:v>
                </c:pt>
                <c:pt idx="13">
                  <c:v>29400</c:v>
                </c:pt>
                <c:pt idx="14">
                  <c:v>31575</c:v>
                </c:pt>
              </c:numCache>
            </c:numRef>
          </c:xVal>
          <c:yVal>
            <c:numRef>
              <c:f>Лист1!$D$155:$R$155</c:f>
              <c:numCache>
                <c:formatCode>General</c:formatCode>
                <c:ptCount val="15"/>
                <c:pt idx="0">
                  <c:v>0.1468390950475417</c:v>
                </c:pt>
                <c:pt idx="1">
                  <c:v>4.6658440924186646E-2</c:v>
                </c:pt>
                <c:pt idx="2">
                  <c:v>2.5301396302703331E-2</c:v>
                </c:pt>
                <c:pt idx="3">
                  <c:v>1.5982009924939332E-2</c:v>
                </c:pt>
                <c:pt idx="4">
                  <c:v>1.0952364135239676E-2</c:v>
                </c:pt>
                <c:pt idx="5">
                  <c:v>7.9052012414213921E-3</c:v>
                </c:pt>
                <c:pt idx="6">
                  <c:v>5.917433438329003E-3</c:v>
                </c:pt>
                <c:pt idx="7">
                  <c:v>4.5517312827018852E-3</c:v>
                </c:pt>
                <c:pt idx="8">
                  <c:v>3.5764700415165888E-3</c:v>
                </c:pt>
                <c:pt idx="9">
                  <c:v>2.8587987513298044E-3</c:v>
                </c:pt>
                <c:pt idx="10">
                  <c:v>2.3178017141505716E-3</c:v>
                </c:pt>
                <c:pt idx="11">
                  <c:v>1.9018212319782029E-3</c:v>
                </c:pt>
                <c:pt idx="12">
                  <c:v>1.5766032778591586E-3</c:v>
                </c:pt>
                <c:pt idx="13">
                  <c:v>1.3187123360528068E-3</c:v>
                </c:pt>
                <c:pt idx="14">
                  <c:v>1.1116876832131472E-3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D6-4198-8047-5FCAB9B9B62B}"/>
            </c:ext>
          </c:extLst>
        </c:ser>
        <c:ser>
          <c:idx val="1"/>
          <c:order val="1"/>
          <c:xVal>
            <c:numRef>
              <c:f>Лист1!$D$147:$R$147</c:f>
              <c:numCache>
                <c:formatCode>General</c:formatCode>
                <c:ptCount val="15"/>
                <c:pt idx="0">
                  <c:v>1012.5</c:v>
                </c:pt>
                <c:pt idx="1">
                  <c:v>3300</c:v>
                </c:pt>
                <c:pt idx="2">
                  <c:v>5475</c:v>
                </c:pt>
                <c:pt idx="3">
                  <c:v>7650</c:v>
                </c:pt>
                <c:pt idx="4">
                  <c:v>9825</c:v>
                </c:pt>
                <c:pt idx="5">
                  <c:v>12000</c:v>
                </c:pt>
                <c:pt idx="6">
                  <c:v>14175</c:v>
                </c:pt>
                <c:pt idx="7">
                  <c:v>16350</c:v>
                </c:pt>
                <c:pt idx="8">
                  <c:v>18525</c:v>
                </c:pt>
                <c:pt idx="9">
                  <c:v>20700</c:v>
                </c:pt>
                <c:pt idx="10">
                  <c:v>22875</c:v>
                </c:pt>
                <c:pt idx="11">
                  <c:v>25050</c:v>
                </c:pt>
                <c:pt idx="12">
                  <c:v>27225</c:v>
                </c:pt>
                <c:pt idx="13">
                  <c:v>29400</c:v>
                </c:pt>
                <c:pt idx="14">
                  <c:v>31575</c:v>
                </c:pt>
              </c:numCache>
            </c:numRef>
          </c:xVal>
          <c:yVal>
            <c:numRef>
              <c:f>Лист1!$D$148:$R$148</c:f>
              <c:numCache>
                <c:formatCode>General</c:formatCode>
                <c:ptCount val="15"/>
                <c:pt idx="0">
                  <c:v>0.15884484177840727</c:v>
                </c:pt>
                <c:pt idx="1">
                  <c:v>4.7987366391949358E-2</c:v>
                </c:pt>
                <c:pt idx="2">
                  <c:v>2.7476578423439174E-2</c:v>
                </c:pt>
                <c:pt idx="3">
                  <c:v>1.8710863180198295E-2</c:v>
                </c:pt>
                <c:pt idx="4">
                  <c:v>1.3988516278694765E-2</c:v>
                </c:pt>
                <c:pt idx="5">
                  <c:v>1.0406641383729506E-2</c:v>
                </c:pt>
                <c:pt idx="6">
                  <c:v>8.4422376042203005E-3</c:v>
                </c:pt>
                <c:pt idx="7">
                  <c:v>7.1428400586651805E-3</c:v>
                </c:pt>
                <c:pt idx="8">
                  <c:v>6.4370128054828946E-3</c:v>
                </c:pt>
                <c:pt idx="9">
                  <c:v>5.631845773771944E-3</c:v>
                </c:pt>
                <c:pt idx="10">
                  <c:v>5.5668946963709012E-3</c:v>
                </c:pt>
                <c:pt idx="11">
                  <c:v>5.364197685673742E-3</c:v>
                </c:pt>
                <c:pt idx="12">
                  <c:v>6.5634916892366585E-3</c:v>
                </c:pt>
                <c:pt idx="13">
                  <c:v>7.624224327393723E-3</c:v>
                </c:pt>
                <c:pt idx="14">
                  <c:v>1.0622370257750728E-2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D6-4198-8047-5FCAB9B9B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85504"/>
        <c:axId val="326372736"/>
      </c:scatterChart>
      <c:valAx>
        <c:axId val="174685504"/>
        <c:scaling>
          <c:logBase val="10"/>
          <c:orientation val="minMax"/>
          <c:max val="33000"/>
          <c:min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nu_h, </a:t>
                </a:r>
                <a:r>
                  <a:rPr lang="ru-RU"/>
                  <a:t>Гц</a:t>
                </a:r>
              </a:p>
            </c:rich>
          </c:tx>
          <c:layout>
            <c:manualLayout>
              <c:xMode val="edge"/>
              <c:yMode val="edge"/>
              <c:x val="0.47593587924708719"/>
              <c:y val="0.91766889609556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326372736"/>
        <c:crosses val="autoZero"/>
        <c:crossBetween val="midCat"/>
      </c:valAx>
      <c:valAx>
        <c:axId val="326372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|H1|/|H0|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9.971528015964579E-3"/>
              <c:y val="0.396624523894198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46855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(0,01-0,5)*nu_h</a:t>
            </a:r>
            <a:endParaRPr lang="ru-R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1494136776755"/>
          <c:y val="0.16288422280548262"/>
          <c:w val="0.77178311505874508"/>
          <c:h val="0.6290926655001458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5014692629656565"/>
                  <c:y val="0.1348694954797317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(Лист1!$C$10:$L$10,Лист1!$C$22:$P$22)</c:f>
              <c:numCache>
                <c:formatCode>General</c:formatCode>
                <c:ptCount val="24"/>
                <c:pt idx="0">
                  <c:v>506.25</c:v>
                </c:pt>
                <c:pt idx="1">
                  <c:v>1139.0625</c:v>
                </c:pt>
                <c:pt idx="2">
                  <c:v>2025</c:v>
                </c:pt>
                <c:pt idx="3">
                  <c:v>3164.0625</c:v>
                </c:pt>
                <c:pt idx="4">
                  <c:v>4556.25</c:v>
                </c:pt>
                <c:pt idx="5">
                  <c:v>6201.5625000000018</c:v>
                </c:pt>
                <c:pt idx="6">
                  <c:v>8100</c:v>
                </c:pt>
                <c:pt idx="7">
                  <c:v>10251.5625</c:v>
                </c:pt>
                <c:pt idx="8">
                  <c:v>11422.265625</c:v>
                </c:pt>
                <c:pt idx="9">
                  <c:v>12656.25</c:v>
                </c:pt>
                <c:pt idx="10">
                  <c:v>12656.25</c:v>
                </c:pt>
                <c:pt idx="11">
                  <c:v>17226.5625</c:v>
                </c:pt>
                <c:pt idx="12">
                  <c:v>22500</c:v>
                </c:pt>
                <c:pt idx="13">
                  <c:v>28476.5625</c:v>
                </c:pt>
                <c:pt idx="14">
                  <c:v>35156.25</c:v>
                </c:pt>
                <c:pt idx="15">
                  <c:v>42539.0625</c:v>
                </c:pt>
                <c:pt idx="16">
                  <c:v>50625</c:v>
                </c:pt>
                <c:pt idx="17">
                  <c:v>113906.25</c:v>
                </c:pt>
                <c:pt idx="18">
                  <c:v>202500</c:v>
                </c:pt>
                <c:pt idx="19">
                  <c:v>316406.25</c:v>
                </c:pt>
                <c:pt idx="20">
                  <c:v>455625</c:v>
                </c:pt>
                <c:pt idx="21">
                  <c:v>620156.25</c:v>
                </c:pt>
                <c:pt idx="22">
                  <c:v>810000</c:v>
                </c:pt>
                <c:pt idx="23">
                  <c:v>1025156.25</c:v>
                </c:pt>
              </c:numCache>
            </c:numRef>
          </c:xVal>
          <c:yVal>
            <c:numRef>
              <c:f>(Лист1!$C$9:$L$9,Лист1!$C$21:$P$21)</c:f>
              <c:numCache>
                <c:formatCode>General</c:formatCode>
                <c:ptCount val="24"/>
                <c:pt idx="0">
                  <c:v>4727.8627028684823</c:v>
                </c:pt>
                <c:pt idx="1">
                  <c:v>5301.1488448428236</c:v>
                </c:pt>
                <c:pt idx="2">
                  <c:v>5238.1406250000009</c:v>
                </c:pt>
                <c:pt idx="3">
                  <c:v>5664.6824166831975</c:v>
                </c:pt>
                <c:pt idx="4">
                  <c:v>5984.0662701029432</c:v>
                </c:pt>
                <c:pt idx="5">
                  <c:v>6253.2958525713029</c:v>
                </c:pt>
                <c:pt idx="6">
                  <c:v>6580.7273754898752</c:v>
                </c:pt>
                <c:pt idx="7">
                  <c:v>6941.9600711723269</c:v>
                </c:pt>
                <c:pt idx="8">
                  <c:v>7271.0004064776276</c:v>
                </c:pt>
                <c:pt idx="9">
                  <c:v>7482.6134497916819</c:v>
                </c:pt>
                <c:pt idx="10">
                  <c:v>7482.6134497916819</c:v>
                </c:pt>
                <c:pt idx="11">
                  <c:v>8232.2800040415314</c:v>
                </c:pt>
                <c:pt idx="12">
                  <c:v>9148.5830533450699</c:v>
                </c:pt>
                <c:pt idx="13">
                  <c:v>10829.787621552019</c:v>
                </c:pt>
                <c:pt idx="14">
                  <c:v>11658.819961570258</c:v>
                </c:pt>
                <c:pt idx="15">
                  <c:v>12962.941700601468</c:v>
                </c:pt>
                <c:pt idx="16">
                  <c:v>14395.828295185443</c:v>
                </c:pt>
                <c:pt idx="17">
                  <c:v>25859.60886532276</c:v>
                </c:pt>
                <c:pt idx="18">
                  <c:v>42078.782382110592</c:v>
                </c:pt>
                <c:pt idx="19">
                  <c:v>62982.263214323073</c:v>
                </c:pt>
                <c:pt idx="20">
                  <c:v>89534.87491799194</c:v>
                </c:pt>
                <c:pt idx="21">
                  <c:v>119732.35556224645</c:v>
                </c:pt>
                <c:pt idx="22">
                  <c:v>154813.57021079535</c:v>
                </c:pt>
                <c:pt idx="23">
                  <c:v>194721.55339657699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9-4B7C-AF1B-2BE1BCE6E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57120"/>
        <c:axId val="259757696"/>
      </c:scatterChart>
      <c:valAx>
        <c:axId val="25975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nu_h^2, </a:t>
                </a:r>
                <a:r>
                  <a:rPr lang="ru-RU"/>
                  <a:t>Гц^2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757696"/>
        <c:crosses val="autoZero"/>
        <c:crossBetween val="midCat"/>
      </c:valAx>
      <c:valAx>
        <c:axId val="259757696"/>
        <c:scaling>
          <c:orientation val="minMax"/>
          <c:min val="4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1/ksi^2, (</a:t>
                </a:r>
                <a:r>
                  <a:rPr lang="ru-RU"/>
                  <a:t>Гц/Ом)^2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7571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112,5-1012,5 Гц</a:t>
            </a:r>
            <a:endParaRPr lang="ru-RU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127053134859112"/>
          <c:y val="0.1675138524351123"/>
          <c:w val="0.81112274175475374"/>
          <c:h val="0.6290926655001458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5119568865741381"/>
                  <c:y val="0.1151826334208224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errBars>
            <c:errDir val="y"/>
            <c:errBarType val="both"/>
            <c:errValType val="percentage"/>
            <c:noEndCap val="0"/>
            <c:val val="30"/>
          </c:errBars>
          <c:xVal>
            <c:numRef>
              <c:f>Лист1!$C$44:$N$44</c:f>
              <c:numCache>
                <c:formatCode>General</c:formatCode>
                <c:ptCount val="12"/>
                <c:pt idx="0">
                  <c:v>112.5</c:v>
                </c:pt>
                <c:pt idx="1">
                  <c:v>131.25</c:v>
                </c:pt>
                <c:pt idx="2">
                  <c:v>150</c:v>
                </c:pt>
                <c:pt idx="3">
                  <c:v>168.75</c:v>
                </c:pt>
                <c:pt idx="4">
                  <c:v>187.5</c:v>
                </c:pt>
                <c:pt idx="5">
                  <c:v>206.25</c:v>
                </c:pt>
                <c:pt idx="6">
                  <c:v>225</c:v>
                </c:pt>
                <c:pt idx="7">
                  <c:v>337.5</c:v>
                </c:pt>
                <c:pt idx="8">
                  <c:v>450</c:v>
                </c:pt>
                <c:pt idx="9">
                  <c:v>562.5</c:v>
                </c:pt>
                <c:pt idx="10">
                  <c:v>675</c:v>
                </c:pt>
                <c:pt idx="11">
                  <c:v>787.5</c:v>
                </c:pt>
              </c:numCache>
            </c:numRef>
          </c:xVal>
          <c:yVal>
            <c:numRef>
              <c:f>Лист1!$C$43:$N$43</c:f>
              <c:numCache>
                <c:formatCode>General</c:formatCode>
                <c:ptCount val="12"/>
                <c:pt idx="0">
                  <c:v>1.3763819204713534</c:v>
                </c:pt>
                <c:pt idx="1">
                  <c:v>1.3763819204713534</c:v>
                </c:pt>
                <c:pt idx="2">
                  <c:v>1.5398649638148045</c:v>
                </c:pt>
                <c:pt idx="3">
                  <c:v>1.7320508075691539</c:v>
                </c:pt>
                <c:pt idx="4">
                  <c:v>1.9626105055055016</c:v>
                </c:pt>
                <c:pt idx="5">
                  <c:v>1.9626105055055016</c:v>
                </c:pt>
                <c:pt idx="6">
                  <c:v>2.1251081731576131</c:v>
                </c:pt>
                <c:pt idx="7">
                  <c:v>2.5257116894478875</c:v>
                </c:pt>
                <c:pt idx="8">
                  <c:v>4.2193317721265382</c:v>
                </c:pt>
                <c:pt idx="9">
                  <c:v>4.7046301094805267</c:v>
                </c:pt>
                <c:pt idx="10">
                  <c:v>5.5104541872143624</c:v>
                </c:pt>
                <c:pt idx="11">
                  <c:v>9.5143644542314263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89-4FD7-993D-0E77C2FF3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758272"/>
        <c:axId val="259758848"/>
      </c:scatterChart>
      <c:valAx>
        <c:axId val="25975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nu_h, </a:t>
                </a:r>
                <a:r>
                  <a:rPr lang="ru-RU"/>
                  <a:t>Гц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758848"/>
        <c:crosses val="autoZero"/>
        <c:crossBetween val="midCat"/>
      </c:valAx>
      <c:valAx>
        <c:axId val="259758848"/>
        <c:scaling>
          <c:orientation val="minMax"/>
          <c:max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tan(phi - pi/2)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97582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112,5-225 Гц</a:t>
            </a:r>
            <a:endParaRPr lang="ru-RU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127053134859112"/>
          <c:y val="0.1675138524351123"/>
          <c:w val="0.81112274175475374"/>
          <c:h val="0.6290926655001458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15119568865741381"/>
                  <c:y val="0.1151826334208224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percentage"/>
            <c:noEndCap val="0"/>
            <c:val val="5"/>
          </c:errBars>
          <c:errBars>
            <c:errDir val="y"/>
            <c:errBarType val="both"/>
            <c:errValType val="percentage"/>
            <c:noEndCap val="0"/>
            <c:val val="5"/>
          </c:errBars>
          <c:xVal>
            <c:numRef>
              <c:f>Лист1!$C$44:$I$44</c:f>
              <c:numCache>
                <c:formatCode>General</c:formatCode>
                <c:ptCount val="7"/>
                <c:pt idx="0">
                  <c:v>112.5</c:v>
                </c:pt>
                <c:pt idx="1">
                  <c:v>131.25</c:v>
                </c:pt>
                <c:pt idx="2">
                  <c:v>150</c:v>
                </c:pt>
                <c:pt idx="3">
                  <c:v>168.75</c:v>
                </c:pt>
                <c:pt idx="4">
                  <c:v>187.5</c:v>
                </c:pt>
                <c:pt idx="5">
                  <c:v>206.25</c:v>
                </c:pt>
                <c:pt idx="6">
                  <c:v>225</c:v>
                </c:pt>
              </c:numCache>
            </c:numRef>
          </c:xVal>
          <c:yVal>
            <c:numRef>
              <c:f>Лист1!$C$43:$I$43</c:f>
              <c:numCache>
                <c:formatCode>General</c:formatCode>
                <c:ptCount val="7"/>
                <c:pt idx="0">
                  <c:v>1.3763819204713534</c:v>
                </c:pt>
                <c:pt idx="1">
                  <c:v>1.3763819204713534</c:v>
                </c:pt>
                <c:pt idx="2">
                  <c:v>1.5398649638148045</c:v>
                </c:pt>
                <c:pt idx="3">
                  <c:v>1.7320508075691539</c:v>
                </c:pt>
                <c:pt idx="4">
                  <c:v>1.9626105055055016</c:v>
                </c:pt>
                <c:pt idx="5">
                  <c:v>1.9626105055055016</c:v>
                </c:pt>
                <c:pt idx="6">
                  <c:v>2.1251081731576131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0-4E71-BC7F-F01F71C70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52608"/>
        <c:axId val="148653184"/>
      </c:scatterChart>
      <c:valAx>
        <c:axId val="148652608"/>
        <c:scaling>
          <c:orientation val="minMax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nu_h, </a:t>
                </a:r>
                <a:r>
                  <a:rPr lang="ru-RU"/>
                  <a:t>Гц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653184"/>
        <c:crosses val="autoZero"/>
        <c:crossBetween val="midCat"/>
      </c:valAx>
      <c:valAx>
        <c:axId val="148653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tan(phi - pi/2)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65260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112,5-1012,5 Гц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359929779147869"/>
          <c:y val="2.80354541798765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27053134859112"/>
          <c:y val="0.1675138524351123"/>
          <c:w val="0.81112274175475374"/>
          <c:h val="0.6290926655001458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20227067440411964"/>
                  <c:y val="0.21339506038844189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errBars>
            <c:errDir val="y"/>
            <c:errBarType val="both"/>
            <c:errValType val="percentage"/>
            <c:noEndCap val="0"/>
            <c:val val="30"/>
          </c:errBars>
          <c:xVal>
            <c:numRef>
              <c:f>Лист1!$C$71:$P$71</c:f>
              <c:numCache>
                <c:formatCode>General</c:formatCode>
                <c:ptCount val="14"/>
                <c:pt idx="0">
                  <c:v>10.606601717798213</c:v>
                </c:pt>
                <c:pt idx="1">
                  <c:v>11.456439237389599</c:v>
                </c:pt>
                <c:pt idx="2">
                  <c:v>12.24744871391589</c:v>
                </c:pt>
                <c:pt idx="3">
                  <c:v>12.99038105676658</c:v>
                </c:pt>
                <c:pt idx="4">
                  <c:v>13.693063937629153</c:v>
                </c:pt>
                <c:pt idx="5">
                  <c:v>14.361406616345072</c:v>
                </c:pt>
                <c:pt idx="6">
                  <c:v>15</c:v>
                </c:pt>
                <c:pt idx="7">
                  <c:v>18.371173070873837</c:v>
                </c:pt>
                <c:pt idx="8">
                  <c:v>21.213203435596427</c:v>
                </c:pt>
                <c:pt idx="9">
                  <c:v>23.717082451262844</c:v>
                </c:pt>
                <c:pt idx="10">
                  <c:v>25.98076211353316</c:v>
                </c:pt>
                <c:pt idx="11">
                  <c:v>28.062430400804562</c:v>
                </c:pt>
                <c:pt idx="12">
                  <c:v>30</c:v>
                </c:pt>
                <c:pt idx="13">
                  <c:v>31.81980515339464</c:v>
                </c:pt>
              </c:numCache>
            </c:numRef>
          </c:xVal>
          <c:yVal>
            <c:numRef>
              <c:f>Лист1!$C$70:$P$70</c:f>
              <c:numCache>
                <c:formatCode>General</c:formatCode>
                <c:ptCount val="14"/>
                <c:pt idx="0">
                  <c:v>0.15838444032454704</c:v>
                </c:pt>
                <c:pt idx="1">
                  <c:v>0.15838444032454704</c:v>
                </c:pt>
                <c:pt idx="2">
                  <c:v>0.21255656167003684</c:v>
                </c:pt>
                <c:pt idx="3">
                  <c:v>0.26794919243114129</c:v>
                </c:pt>
                <c:pt idx="4">
                  <c:v>0.32491969623292916</c:v>
                </c:pt>
                <c:pt idx="5">
                  <c:v>0.32491969623292916</c:v>
                </c:pt>
                <c:pt idx="6">
                  <c:v>0.36002215309578228</c:v>
                </c:pt>
                <c:pt idx="7">
                  <c:v>0.43273864224745828</c:v>
                </c:pt>
                <c:pt idx="8">
                  <c:v>0.61680918414092245</c:v>
                </c:pt>
                <c:pt idx="9">
                  <c:v>0.64940759319756458</c:v>
                </c:pt>
                <c:pt idx="10">
                  <c:v>0.69280177043128233</c:v>
                </c:pt>
                <c:pt idx="11">
                  <c:v>0.8097840331950813</c:v>
                </c:pt>
                <c:pt idx="12">
                  <c:v>1.0000000000001035</c:v>
                </c:pt>
                <c:pt idx="13">
                  <c:v>1.0000000000001035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0F-4747-953F-9C1435BE9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54912"/>
        <c:axId val="148655488"/>
      </c:scatterChart>
      <c:valAx>
        <c:axId val="148654912"/>
        <c:scaling>
          <c:orientation val="minMax"/>
          <c:min val="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sqrt(nu_h), sqrt(</a:t>
                </a:r>
                <a:r>
                  <a:rPr lang="ru-RU"/>
                  <a:t>Гц)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655488"/>
        <c:crosses val="autoZero"/>
        <c:crossBetween val="midCat"/>
      </c:valAx>
      <c:valAx>
        <c:axId val="148655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tan(phi - 3*pi/4)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6549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1012,5- 31575 Гц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359929779147869"/>
          <c:y val="2.80354541798765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127053134859112"/>
          <c:y val="0.1675138524351123"/>
          <c:w val="0.81112274175475374"/>
          <c:h val="0.6290926655001458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7.5122887595191937E-2"/>
                  <c:y val="0.2857261642531771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errBars>
            <c:errDir val="y"/>
            <c:errBarType val="both"/>
            <c:errValType val="percentage"/>
            <c:noEndCap val="0"/>
            <c:val val="30"/>
          </c:errBars>
          <c:xVal>
            <c:numRef>
              <c:f>Лист1!$S$71:$AD$71</c:f>
              <c:numCache>
                <c:formatCode>General</c:formatCode>
                <c:ptCount val="12"/>
                <c:pt idx="0">
                  <c:v>87.464278422679513</c:v>
                </c:pt>
                <c:pt idx="1">
                  <c:v>99.121138007995043</c:v>
                </c:pt>
                <c:pt idx="2">
                  <c:v>109.54451150103323</c:v>
                </c:pt>
                <c:pt idx="3">
                  <c:v>119.05880899790658</c:v>
                </c:pt>
                <c:pt idx="4">
                  <c:v>127.86711852544421</c:v>
                </c:pt>
                <c:pt idx="5">
                  <c:v>136.10657588816198</c:v>
                </c:pt>
                <c:pt idx="6">
                  <c:v>143.87494569938158</c:v>
                </c:pt>
                <c:pt idx="7">
                  <c:v>151.24483462254173</c:v>
                </c:pt>
                <c:pt idx="8">
                  <c:v>158.27191791344413</c:v>
                </c:pt>
                <c:pt idx="9">
                  <c:v>165</c:v>
                </c:pt>
                <c:pt idx="10">
                  <c:v>171.46428199482247</c:v>
                </c:pt>
                <c:pt idx="11">
                  <c:v>177.69355643916862</c:v>
                </c:pt>
              </c:numCache>
            </c:numRef>
          </c:xVal>
          <c:yVal>
            <c:numRef>
              <c:f>Лист1!$S$70:$AD$70</c:f>
              <c:numCache>
                <c:formatCode>General</c:formatCode>
                <c:ptCount val="12"/>
                <c:pt idx="0">
                  <c:v>-3.7320508075670795</c:v>
                </c:pt>
                <c:pt idx="1">
                  <c:v>-2.6811037573987089</c:v>
                </c:pt>
                <c:pt idx="2">
                  <c:v>-1.9626105055045002</c:v>
                </c:pt>
                <c:pt idx="3">
                  <c:v>-0.99999999999968936</c:v>
                </c:pt>
                <c:pt idx="4">
                  <c:v>-0.62834164536697668</c:v>
                </c:pt>
                <c:pt idx="5">
                  <c:v>-0.26794919243091925</c:v>
                </c:pt>
                <c:pt idx="6">
                  <c:v>-0.26794919243091925</c:v>
                </c:pt>
                <c:pt idx="7">
                  <c:v>6.0488856060472426E-2</c:v>
                </c:pt>
                <c:pt idx="8">
                  <c:v>0.39434883334180587</c:v>
                </c:pt>
                <c:pt idx="9">
                  <c:v>0.52851543102432752</c:v>
                </c:pt>
                <c:pt idx="10">
                  <c:v>1.0000000000005167</c:v>
                </c:pt>
                <c:pt idx="11">
                  <c:v>1.2647061897667715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2-4BAD-8431-352B832CC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57216"/>
        <c:axId val="148657792"/>
      </c:scatterChart>
      <c:valAx>
        <c:axId val="148657216"/>
        <c:scaling>
          <c:orientation val="minMax"/>
          <c:min val="7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sqrt(nu_h), sqrt(</a:t>
                </a:r>
                <a:r>
                  <a:rPr lang="ru-RU"/>
                  <a:t>Гц)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657792"/>
        <c:crosses val="autoZero"/>
        <c:crossBetween val="midCat"/>
      </c:valAx>
      <c:valAx>
        <c:axId val="148657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tan(phi - </a:t>
                </a:r>
                <a:r>
                  <a:rPr lang="ru-RU"/>
                  <a:t>3*</a:t>
                </a:r>
                <a:r>
                  <a:rPr lang="en-US"/>
                  <a:t>pi/</a:t>
                </a:r>
                <a:r>
                  <a:rPr lang="ru-RU"/>
                  <a:t>4</a:t>
                </a:r>
                <a:r>
                  <a:rPr lang="en-US"/>
                  <a:t>)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6572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303733616873442E-2"/>
          <c:y val="7.4062164388571397E-2"/>
          <c:w val="0.86308973475809925"/>
          <c:h val="0.72254429472988657"/>
        </c:manualLayout>
      </c:layout>
      <c:scatterChart>
        <c:scatterStyle val="smoothMarker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xVal>
            <c:numRef>
              <c:f>Лист1!$C$95:$V$95</c:f>
              <c:numCache>
                <c:formatCode>General</c:formatCode>
                <c:ptCount val="20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  <c:pt idx="5">
                  <c:v>300</c:v>
                </c:pt>
                <c:pt idx="6">
                  <c:v>500</c:v>
                </c:pt>
                <c:pt idx="7">
                  <c:v>800</c:v>
                </c:pt>
                <c:pt idx="8">
                  <c:v>1500</c:v>
                </c:pt>
                <c:pt idx="9">
                  <c:v>2000</c:v>
                </c:pt>
                <c:pt idx="10">
                  <c:v>2500</c:v>
                </c:pt>
                <c:pt idx="11">
                  <c:v>3000</c:v>
                </c:pt>
                <c:pt idx="12">
                  <c:v>5000</c:v>
                </c:pt>
                <c:pt idx="13">
                  <c:v>6000</c:v>
                </c:pt>
                <c:pt idx="14">
                  <c:v>7500</c:v>
                </c:pt>
                <c:pt idx="15">
                  <c:v>10000</c:v>
                </c:pt>
                <c:pt idx="16">
                  <c:v>15000</c:v>
                </c:pt>
                <c:pt idx="17">
                  <c:v>20000</c:v>
                </c:pt>
                <c:pt idx="18">
                  <c:v>25000</c:v>
                </c:pt>
                <c:pt idx="19">
                  <c:v>30000</c:v>
                </c:pt>
              </c:numCache>
            </c:numRef>
          </c:xVal>
          <c:yVal>
            <c:numRef>
              <c:f>Лист1!$C$96:$V$96</c:f>
              <c:numCache>
                <c:formatCode>General</c:formatCode>
                <c:ptCount val="20"/>
                <c:pt idx="0">
                  <c:v>9.85</c:v>
                </c:pt>
                <c:pt idx="1">
                  <c:v>9.3000000000000007</c:v>
                </c:pt>
                <c:pt idx="2">
                  <c:v>8.5500000000000007</c:v>
                </c:pt>
                <c:pt idx="3">
                  <c:v>7.2</c:v>
                </c:pt>
                <c:pt idx="4">
                  <c:v>5.3</c:v>
                </c:pt>
                <c:pt idx="5">
                  <c:v>4.8</c:v>
                </c:pt>
                <c:pt idx="6">
                  <c:v>3.67</c:v>
                </c:pt>
                <c:pt idx="7">
                  <c:v>3.2</c:v>
                </c:pt>
                <c:pt idx="8">
                  <c:v>2.96</c:v>
                </c:pt>
                <c:pt idx="9">
                  <c:v>2.92</c:v>
                </c:pt>
                <c:pt idx="10">
                  <c:v>2.9</c:v>
                </c:pt>
                <c:pt idx="11">
                  <c:v>2.8929999999999998</c:v>
                </c:pt>
                <c:pt idx="12">
                  <c:v>2.8917999999999999</c:v>
                </c:pt>
                <c:pt idx="13">
                  <c:v>2.9011999999999998</c:v>
                </c:pt>
                <c:pt idx="14">
                  <c:v>2.9211</c:v>
                </c:pt>
                <c:pt idx="15">
                  <c:v>2.9811000000000001</c:v>
                </c:pt>
                <c:pt idx="16">
                  <c:v>3.226</c:v>
                </c:pt>
                <c:pt idx="17">
                  <c:v>3.73</c:v>
                </c:pt>
                <c:pt idx="18">
                  <c:v>4.79</c:v>
                </c:pt>
                <c:pt idx="19">
                  <c:v>7.68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97-4A33-AA99-07545D3AC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59520"/>
        <c:axId val="236093440"/>
      </c:scatterChart>
      <c:valAx>
        <c:axId val="148659520"/>
        <c:scaling>
          <c:orientation val="minMax"/>
          <c:max val="3100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nu_h, </a:t>
                </a:r>
                <a:r>
                  <a:rPr lang="ru-RU"/>
                  <a:t>Гц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6093440"/>
        <c:crosses val="autoZero"/>
        <c:crossBetween val="midCat"/>
      </c:valAx>
      <c:valAx>
        <c:axId val="236093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L,</a:t>
                </a:r>
                <a:r>
                  <a:rPr lang="en-US" baseline="0"/>
                  <a:t> </a:t>
                </a:r>
                <a:r>
                  <a:rPr lang="ru-RU" baseline="0"/>
                  <a:t>мГн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6595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889361802747625E-2"/>
          <c:y val="7.4062164388571397E-2"/>
          <c:w val="0.89130047744435781"/>
          <c:h val="0.72254429472988657"/>
        </c:manualLayout>
      </c:layout>
      <c:scatterChart>
        <c:scatterStyle val="smoothMarker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xVal>
            <c:numRef>
              <c:f>(Лист1!$C$103:$N$103,Лист1!$P$103:$V$103)</c:f>
              <c:numCache>
                <c:formatCode>General</c:formatCode>
                <c:ptCount val="19"/>
                <c:pt idx="0">
                  <c:v>2500</c:v>
                </c:pt>
                <c:pt idx="1">
                  <c:v>5625</c:v>
                </c:pt>
                <c:pt idx="2">
                  <c:v>10000</c:v>
                </c:pt>
                <c:pt idx="3">
                  <c:v>22500</c:v>
                </c:pt>
                <c:pt idx="4">
                  <c:v>62500</c:v>
                </c:pt>
                <c:pt idx="5">
                  <c:v>90000</c:v>
                </c:pt>
                <c:pt idx="6">
                  <c:v>250000</c:v>
                </c:pt>
                <c:pt idx="7">
                  <c:v>640000</c:v>
                </c:pt>
                <c:pt idx="8">
                  <c:v>2250000</c:v>
                </c:pt>
                <c:pt idx="9">
                  <c:v>4000000</c:v>
                </c:pt>
                <c:pt idx="10">
                  <c:v>6250000</c:v>
                </c:pt>
                <c:pt idx="11">
                  <c:v>9000000</c:v>
                </c:pt>
                <c:pt idx="12">
                  <c:v>36000000</c:v>
                </c:pt>
                <c:pt idx="13">
                  <c:v>56250000</c:v>
                </c:pt>
                <c:pt idx="14">
                  <c:v>100000000</c:v>
                </c:pt>
                <c:pt idx="15">
                  <c:v>225000000</c:v>
                </c:pt>
                <c:pt idx="16">
                  <c:v>400000000</c:v>
                </c:pt>
                <c:pt idx="17">
                  <c:v>625000000</c:v>
                </c:pt>
                <c:pt idx="18">
                  <c:v>900000000</c:v>
                </c:pt>
              </c:numCache>
            </c:numRef>
          </c:xVal>
          <c:yVal>
            <c:numRef>
              <c:f>(Лист1!$C$102:$N$102,Лист1!$P$102:$V$102)</c:f>
              <c:numCache>
                <c:formatCode>General</c:formatCode>
                <c:ptCount val="19"/>
                <c:pt idx="0">
                  <c:v>1</c:v>
                </c:pt>
                <c:pt idx="1">
                  <c:v>1.0858275334727379</c:v>
                </c:pt>
                <c:pt idx="2">
                  <c:v>1.2297550457742743</c:v>
                </c:pt>
                <c:pt idx="3">
                  <c:v>1.6151060767838075</c:v>
                </c:pt>
                <c:pt idx="4">
                  <c:v>2.8893779586413091</c:v>
                </c:pt>
                <c:pt idx="5">
                  <c:v>3.6464731160255739</c:v>
                </c:pt>
                <c:pt idx="6">
                  <c:v>8.9414032382420974</c:v>
                </c:pt>
                <c:pt idx="7">
                  <c:v>22.576898118105106</c:v>
                </c:pt>
                <c:pt idx="8">
                  <c:v>102.02639296187677</c:v>
                </c:pt>
                <c:pt idx="9">
                  <c:v>246.7446808510638</c:v>
                </c:pt>
                <c:pt idx="10">
                  <c:v>848.56097560975763</c:v>
                </c:pt>
                <c:pt idx="11">
                  <c:v>5798.5000000006385</c:v>
                </c:pt>
                <c:pt idx="12">
                  <c:v>740.23404255320304</c:v>
                </c:pt>
                <c:pt idx="13">
                  <c:v>237.48122866894113</c:v>
                </c:pt>
                <c:pt idx="14">
                  <c:v>77.919372900335802</c:v>
                </c:pt>
                <c:pt idx="15">
                  <c:v>20.820466786355471</c:v>
                </c:pt>
                <c:pt idx="16">
                  <c:v>8.301360057265569</c:v>
                </c:pt>
                <c:pt idx="17">
                  <c:v>3.6656832788957958</c:v>
                </c:pt>
                <c:pt idx="18">
                  <c:v>1.4531974437158013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54-4D53-9255-31777FF00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95168"/>
        <c:axId val="236095744"/>
      </c:scatterChart>
      <c:valAx>
        <c:axId val="236095168"/>
        <c:scaling>
          <c:orientation val="minMax"/>
          <c:max val="100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nu_h^2, </a:t>
                </a:r>
                <a:r>
                  <a:rPr lang="ru-RU"/>
                  <a:t>Гц^2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6095744"/>
        <c:crosses val="autoZero"/>
        <c:crossBetween val="midCat"/>
      </c:valAx>
      <c:valAx>
        <c:axId val="236095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(L_max - L_min)/(L - L_min)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60951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96833870701347"/>
          <c:y val="8.7827279844702733E-2"/>
          <c:w val="0.83487423204669953"/>
          <c:h val="0.8196869575099382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9.7671570391649407E-2"/>
                  <c:y val="0.15111171005107568"/>
                </c:manualLayout>
              </c:layout>
              <c:numFmt formatCode="#,##0.00000000" sourceLinked="0"/>
            </c:trendlineLbl>
          </c:trendline>
          <c:errBars>
            <c:errDir val="y"/>
            <c:errBarType val="both"/>
            <c:errValType val="percentage"/>
            <c:noEndCap val="0"/>
            <c:val val="10"/>
          </c:errBars>
          <c:errBars>
            <c:errDir val="x"/>
            <c:errBarType val="both"/>
            <c:errValType val="percentage"/>
            <c:noEndCap val="0"/>
            <c:val val="5"/>
          </c:errBars>
          <c:xVal>
            <c:numRef>
              <c:f>Лист1!$C$103:$L$103</c:f>
              <c:numCache>
                <c:formatCode>General</c:formatCode>
                <c:ptCount val="10"/>
                <c:pt idx="0">
                  <c:v>2500</c:v>
                </c:pt>
                <c:pt idx="1">
                  <c:v>5625</c:v>
                </c:pt>
                <c:pt idx="2">
                  <c:v>10000</c:v>
                </c:pt>
                <c:pt idx="3">
                  <c:v>22500</c:v>
                </c:pt>
                <c:pt idx="4">
                  <c:v>62500</c:v>
                </c:pt>
                <c:pt idx="5">
                  <c:v>90000</c:v>
                </c:pt>
                <c:pt idx="6">
                  <c:v>250000</c:v>
                </c:pt>
                <c:pt idx="7">
                  <c:v>640000</c:v>
                </c:pt>
                <c:pt idx="8">
                  <c:v>2250000</c:v>
                </c:pt>
                <c:pt idx="9">
                  <c:v>4000000</c:v>
                </c:pt>
              </c:numCache>
            </c:numRef>
          </c:xVal>
          <c:yVal>
            <c:numRef>
              <c:f>Лист1!$C$102:$L$102</c:f>
              <c:numCache>
                <c:formatCode>General</c:formatCode>
                <c:ptCount val="10"/>
                <c:pt idx="0">
                  <c:v>1</c:v>
                </c:pt>
                <c:pt idx="1">
                  <c:v>1.0858275334727379</c:v>
                </c:pt>
                <c:pt idx="2">
                  <c:v>1.2297550457742743</c:v>
                </c:pt>
                <c:pt idx="3">
                  <c:v>1.6151060767838075</c:v>
                </c:pt>
                <c:pt idx="4">
                  <c:v>2.8893779586413091</c:v>
                </c:pt>
                <c:pt idx="5">
                  <c:v>3.6464731160255739</c:v>
                </c:pt>
                <c:pt idx="6">
                  <c:v>8.9414032382420974</c:v>
                </c:pt>
                <c:pt idx="7">
                  <c:v>22.576898118105106</c:v>
                </c:pt>
                <c:pt idx="8">
                  <c:v>102.02639296187677</c:v>
                </c:pt>
                <c:pt idx="9">
                  <c:v>246.7446808510638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84-48D6-9A4C-A644FA290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097472"/>
        <c:axId val="236098048"/>
      </c:scatterChart>
      <c:valAx>
        <c:axId val="23609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nu_h^2, </a:t>
                </a:r>
                <a:r>
                  <a:rPr lang="ru-RU"/>
                  <a:t>Гц^2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6098048"/>
        <c:crosses val="autoZero"/>
        <c:crossBetween val="midCat"/>
      </c:valAx>
      <c:valAx>
        <c:axId val="236098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(L_max - L_min)/(L - L_min)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60974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</xdr:colOff>
      <xdr:row>25</xdr:row>
      <xdr:rowOff>9528</xdr:rowOff>
    </xdr:from>
    <xdr:to>
      <xdr:col>6</xdr:col>
      <xdr:colOff>640556</xdr:colOff>
      <xdr:row>40</xdr:row>
      <xdr:rowOff>38103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2858</xdr:colOff>
      <xdr:row>24</xdr:row>
      <xdr:rowOff>166687</xdr:rowOff>
    </xdr:from>
    <xdr:to>
      <xdr:col>15</xdr:col>
      <xdr:colOff>516835</xdr:colOff>
      <xdr:row>40</xdr:row>
      <xdr:rowOff>53009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6</xdr:col>
      <xdr:colOff>623888</xdr:colOff>
      <xdr:row>60</xdr:row>
      <xdr:rowOff>28575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14</xdr:col>
      <xdr:colOff>629492</xdr:colOff>
      <xdr:row>60</xdr:row>
      <xdr:rowOff>28575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649940</xdr:colOff>
      <xdr:row>75</xdr:row>
      <xdr:rowOff>151279</xdr:rowOff>
    </xdr:from>
    <xdr:to>
      <xdr:col>6</xdr:col>
      <xdr:colOff>623887</xdr:colOff>
      <xdr:row>91</xdr:row>
      <xdr:rowOff>560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22412</xdr:colOff>
      <xdr:row>75</xdr:row>
      <xdr:rowOff>140074</xdr:rowOff>
    </xdr:from>
    <xdr:to>
      <xdr:col>15</xdr:col>
      <xdr:colOff>1963</xdr:colOff>
      <xdr:row>90</xdr:row>
      <xdr:rowOff>168649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6</xdr:col>
      <xdr:colOff>623888</xdr:colOff>
      <xdr:row>120</xdr:row>
      <xdr:rowOff>28575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21</xdr:col>
      <xdr:colOff>638735</xdr:colOff>
      <xdr:row>120</xdr:row>
      <xdr:rowOff>44824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649940</xdr:colOff>
      <xdr:row>121</xdr:row>
      <xdr:rowOff>179293</xdr:rowOff>
    </xdr:from>
    <xdr:to>
      <xdr:col>17</xdr:col>
      <xdr:colOff>610720</xdr:colOff>
      <xdr:row>137</xdr:row>
      <xdr:rowOff>78440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159</xdr:row>
      <xdr:rowOff>0</xdr:rowOff>
    </xdr:from>
    <xdr:to>
      <xdr:col>11</xdr:col>
      <xdr:colOff>5603</xdr:colOff>
      <xdr:row>180</xdr:row>
      <xdr:rowOff>16809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159</xdr:row>
      <xdr:rowOff>0</xdr:rowOff>
    </xdr:from>
    <xdr:to>
      <xdr:col>20</xdr:col>
      <xdr:colOff>565896</xdr:colOff>
      <xdr:row>180</xdr:row>
      <xdr:rowOff>16809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</xdr:col>
      <xdr:colOff>0</xdr:colOff>
      <xdr:row>182</xdr:row>
      <xdr:rowOff>0</xdr:rowOff>
    </xdr:from>
    <xdr:to>
      <xdr:col>10</xdr:col>
      <xdr:colOff>269791</xdr:colOff>
      <xdr:row>203</xdr:row>
      <xdr:rowOff>32960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69192" y="32631529"/>
          <a:ext cx="6169687" cy="379813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182</xdr:row>
      <xdr:rowOff>0</xdr:rowOff>
    </xdr:from>
    <xdr:to>
      <xdr:col>20</xdr:col>
      <xdr:colOff>577952</xdr:colOff>
      <xdr:row>203</xdr:row>
      <xdr:rowOff>32960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071162" y="32631529"/>
          <a:ext cx="6169687" cy="37981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57"/>
  <sheetViews>
    <sheetView tabSelected="1" topLeftCell="B1" zoomScale="70" zoomScaleNormal="70" workbookViewId="0">
      <selection activeCell="V15" sqref="V15"/>
    </sheetView>
  </sheetViews>
  <sheetFormatPr defaultRowHeight="14.4" x14ac:dyDescent="0.3"/>
  <cols>
    <col min="2" max="2" width="22.6640625" customWidth="1"/>
    <col min="3" max="3" width="11.88671875" bestFit="1" customWidth="1"/>
    <col min="6" max="6" width="15.44140625" customWidth="1"/>
    <col min="9" max="9" width="9.77734375" customWidth="1"/>
    <col min="17" max="17" width="11.5546875" customWidth="1"/>
    <col min="19" max="19" width="12.109375" bestFit="1" customWidth="1"/>
  </cols>
  <sheetData>
    <row r="1" spans="1:62" x14ac:dyDescent="0.3">
      <c r="A1" s="1" t="s">
        <v>0</v>
      </c>
    </row>
    <row r="2" spans="1:62" x14ac:dyDescent="0.3">
      <c r="B2" s="2" t="s">
        <v>1</v>
      </c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N2" s="2" t="s">
        <v>3</v>
      </c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</row>
    <row r="3" spans="1:62" x14ac:dyDescent="0.3">
      <c r="B3" s="2" t="s">
        <v>2</v>
      </c>
      <c r="C3" s="2">
        <v>202</v>
      </c>
      <c r="D3" s="2">
        <v>192</v>
      </c>
      <c r="E3" s="2">
        <v>193</v>
      </c>
      <c r="F3" s="2">
        <v>190</v>
      </c>
      <c r="G3" s="2">
        <v>186</v>
      </c>
      <c r="H3" s="2">
        <v>193</v>
      </c>
      <c r="I3" s="2">
        <v>180</v>
      </c>
      <c r="J3" s="2">
        <v>184</v>
      </c>
      <c r="K3" s="2">
        <v>185.5</v>
      </c>
      <c r="L3" s="2">
        <v>183</v>
      </c>
      <c r="N3" s="2">
        <v>2250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</row>
    <row r="4" spans="1:62" x14ac:dyDescent="0.3">
      <c r="B4" s="2" t="s">
        <v>5</v>
      </c>
      <c r="C4" s="2">
        <v>66.099999999999994</v>
      </c>
      <c r="D4" s="2">
        <v>89</v>
      </c>
      <c r="E4" s="2">
        <v>120</v>
      </c>
      <c r="F4" s="2">
        <v>142</v>
      </c>
      <c r="G4" s="2">
        <v>162.30000000000001</v>
      </c>
      <c r="H4" s="2">
        <v>192.2</v>
      </c>
      <c r="I4" s="2">
        <v>199.7</v>
      </c>
      <c r="J4" s="2">
        <v>223.6</v>
      </c>
      <c r="K4" s="2">
        <v>232.5</v>
      </c>
      <c r="L4" s="2">
        <v>238</v>
      </c>
    </row>
    <row r="5" spans="1:62" x14ac:dyDescent="0.3">
      <c r="B5" s="2" t="s">
        <v>4</v>
      </c>
      <c r="C5" s="2">
        <v>0.01</v>
      </c>
      <c r="D5" s="2">
        <v>1.4999999999999999E-2</v>
      </c>
      <c r="E5" s="2">
        <v>0.02</v>
      </c>
      <c r="F5" s="2">
        <v>2.5000000000000001E-2</v>
      </c>
      <c r="G5" s="2">
        <v>0.03</v>
      </c>
      <c r="H5" s="2">
        <v>3.5000000000000003E-2</v>
      </c>
      <c r="I5" s="2">
        <v>0.04</v>
      </c>
      <c r="J5" s="2">
        <v>4.4999999999999998E-2</v>
      </c>
      <c r="K5" s="2">
        <v>4.7500000000000001E-2</v>
      </c>
      <c r="L5" s="2">
        <v>0.05</v>
      </c>
    </row>
    <row r="6" spans="1:62" x14ac:dyDescent="0.3">
      <c r="B6" s="3" t="s">
        <v>3</v>
      </c>
      <c r="C6" s="2">
        <v>22.5</v>
      </c>
      <c r="D6" s="2">
        <v>33.75</v>
      </c>
      <c r="E6" s="2">
        <v>45</v>
      </c>
      <c r="F6" s="2">
        <v>56.25</v>
      </c>
      <c r="G6" s="2">
        <v>67.5</v>
      </c>
      <c r="H6" s="2">
        <v>78.750000000000014</v>
      </c>
      <c r="I6" s="2">
        <v>90</v>
      </c>
      <c r="J6" s="2">
        <v>101.25</v>
      </c>
      <c r="K6" s="2">
        <v>106.875</v>
      </c>
      <c r="L6" s="2">
        <v>112.5</v>
      </c>
    </row>
    <row r="8" spans="1:62" x14ac:dyDescent="0.3">
      <c r="B8" t="s">
        <v>16</v>
      </c>
      <c r="C8">
        <f xml:space="preserve"> C4/(C6*C3)</f>
        <v>1.4543454345434543E-2</v>
      </c>
      <c r="D8">
        <f t="shared" ref="D8:L8" si="0" xml:space="preserve"> D4/(D6*D3)</f>
        <v>1.3734567901234567E-2</v>
      </c>
      <c r="E8">
        <f t="shared" si="0"/>
        <v>1.3816925734024179E-2</v>
      </c>
      <c r="F8">
        <f t="shared" si="0"/>
        <v>1.3286549707602339E-2</v>
      </c>
      <c r="G8">
        <f t="shared" si="0"/>
        <v>1.2927120669056155E-2</v>
      </c>
      <c r="H8">
        <f t="shared" si="0"/>
        <v>1.2645776790854508E-2</v>
      </c>
      <c r="I8">
        <f t="shared" si="0"/>
        <v>1.232716049382716E-2</v>
      </c>
      <c r="J8">
        <f t="shared" si="0"/>
        <v>1.2002147074610843E-2</v>
      </c>
      <c r="K8">
        <f t="shared" si="0"/>
        <v>1.1727431787014707E-2</v>
      </c>
      <c r="L8">
        <f t="shared" si="0"/>
        <v>1.1560412871888281E-2</v>
      </c>
    </row>
    <row r="9" spans="1:62" x14ac:dyDescent="0.3">
      <c r="B9" t="s">
        <v>17</v>
      </c>
      <c r="C9">
        <f>1/(C8*C8)</f>
        <v>4727.8627028684823</v>
      </c>
      <c r="D9">
        <f t="shared" ref="D9:L9" si="1">1/(D8*D8)</f>
        <v>5301.1488448428236</v>
      </c>
      <c r="E9">
        <f t="shared" si="1"/>
        <v>5238.1406250000009</v>
      </c>
      <c r="F9">
        <f t="shared" si="1"/>
        <v>5664.6824166831975</v>
      </c>
      <c r="G9">
        <f t="shared" si="1"/>
        <v>5984.0662701029432</v>
      </c>
      <c r="H9">
        <f t="shared" si="1"/>
        <v>6253.2958525713029</v>
      </c>
      <c r="I9">
        <f t="shared" si="1"/>
        <v>6580.7273754898752</v>
      </c>
      <c r="J9">
        <f t="shared" si="1"/>
        <v>6941.9600711723269</v>
      </c>
      <c r="K9">
        <f t="shared" si="1"/>
        <v>7271.0004064776276</v>
      </c>
      <c r="L9">
        <f t="shared" si="1"/>
        <v>7482.6134497916819</v>
      </c>
    </row>
    <row r="10" spans="1:62" x14ac:dyDescent="0.3">
      <c r="B10" t="s">
        <v>18</v>
      </c>
      <c r="C10">
        <f>C6*C6</f>
        <v>506.25</v>
      </c>
      <c r="D10">
        <f t="shared" ref="D10:L10" si="2">D6*D6</f>
        <v>1139.0625</v>
      </c>
      <c r="E10">
        <f t="shared" si="2"/>
        <v>2025</v>
      </c>
      <c r="F10">
        <f t="shared" si="2"/>
        <v>3164.0625</v>
      </c>
      <c r="G10">
        <f t="shared" si="2"/>
        <v>4556.25</v>
      </c>
      <c r="H10">
        <f t="shared" si="2"/>
        <v>6201.5625000000018</v>
      </c>
      <c r="I10">
        <f t="shared" si="2"/>
        <v>8100</v>
      </c>
      <c r="J10">
        <f t="shared" si="2"/>
        <v>10251.5625</v>
      </c>
      <c r="K10">
        <f t="shared" si="2"/>
        <v>11422.265625</v>
      </c>
      <c r="L10">
        <f t="shared" si="2"/>
        <v>12656.25</v>
      </c>
    </row>
    <row r="12" spans="1:62" x14ac:dyDescent="0.3">
      <c r="B12" s="10" t="s">
        <v>31</v>
      </c>
      <c r="C12" s="10">
        <f>C8/$Q$29</f>
        <v>1.0182495466178789</v>
      </c>
      <c r="D12" s="10">
        <f t="shared" ref="D12:L12" si="3">D8/$Q$29</f>
        <v>0.96161594118214344</v>
      </c>
      <c r="E12" s="10">
        <f t="shared" si="3"/>
        <v>0.96738216589785397</v>
      </c>
      <c r="F12" s="10">
        <f t="shared" si="3"/>
        <v>0.93024826802093286</v>
      </c>
      <c r="G12" s="10">
        <f t="shared" si="3"/>
        <v>0.90508310114599144</v>
      </c>
      <c r="H12" s="10">
        <f t="shared" si="3"/>
        <v>0.88538501088365473</v>
      </c>
      <c r="I12" s="10">
        <f t="shared" si="3"/>
        <v>0.86307731889471473</v>
      </c>
      <c r="J12" s="10">
        <f t="shared" si="3"/>
        <v>0.84032173697441048</v>
      </c>
      <c r="K12" s="10">
        <f t="shared" si="3"/>
        <v>0.82108774273895024</v>
      </c>
      <c r="L12" s="10">
        <f t="shared" si="3"/>
        <v>0.80939403293901679</v>
      </c>
      <c r="M12" s="11" t="s">
        <v>0</v>
      </c>
    </row>
    <row r="13" spans="1:62" x14ac:dyDescent="0.3">
      <c r="A13" s="1" t="s">
        <v>6</v>
      </c>
      <c r="R13" t="s">
        <v>8</v>
      </c>
      <c r="S13" t="s">
        <v>9</v>
      </c>
    </row>
    <row r="14" spans="1:62" x14ac:dyDescent="0.3">
      <c r="B14" s="2" t="s">
        <v>1</v>
      </c>
      <c r="C14" s="2">
        <v>1</v>
      </c>
      <c r="D14" s="2">
        <v>2</v>
      </c>
      <c r="E14" s="2">
        <v>3</v>
      </c>
      <c r="F14" s="2">
        <v>4</v>
      </c>
      <c r="G14" s="2">
        <v>5</v>
      </c>
      <c r="H14" s="2">
        <v>6</v>
      </c>
      <c r="I14" s="2">
        <v>7</v>
      </c>
      <c r="J14" s="2">
        <v>8</v>
      </c>
      <c r="K14" s="2">
        <v>9</v>
      </c>
      <c r="L14" s="2">
        <v>10</v>
      </c>
      <c r="M14" s="2">
        <v>11</v>
      </c>
      <c r="N14" s="2">
        <v>12</v>
      </c>
      <c r="O14" s="2">
        <v>13</v>
      </c>
      <c r="P14" s="2">
        <v>14</v>
      </c>
    </row>
    <row r="15" spans="1:62" x14ac:dyDescent="0.3">
      <c r="B15" s="2" t="s">
        <v>7</v>
      </c>
      <c r="C15" s="2">
        <f>4/5</f>
        <v>0.8</v>
      </c>
      <c r="D15" s="2">
        <f>4/5</f>
        <v>0.8</v>
      </c>
      <c r="E15" s="2">
        <f>4.9/6</f>
        <v>0.81666666666666676</v>
      </c>
      <c r="F15" s="2">
        <f>5/6</f>
        <v>0.83333333333333337</v>
      </c>
      <c r="G15" s="2">
        <f>5.1/6</f>
        <v>0.85</v>
      </c>
      <c r="H15" s="2">
        <f>5.1/6</f>
        <v>0.85</v>
      </c>
      <c r="I15" s="2">
        <f>4.3/5</f>
        <v>0.86</v>
      </c>
      <c r="J15" s="2">
        <f>4.4/5</f>
        <v>0.88000000000000012</v>
      </c>
      <c r="K15" s="2">
        <f>2.5/2.7</f>
        <v>0.92592592592592582</v>
      </c>
      <c r="L15" s="2">
        <f>4.2/4.5</f>
        <v>0.93333333333333335</v>
      </c>
      <c r="M15" s="2">
        <f>3.3/3.5</f>
        <v>0.94285714285714284</v>
      </c>
      <c r="N15" s="2">
        <f>2.9/3</f>
        <v>0.96666666666666667</v>
      </c>
      <c r="O15" s="2">
        <f>3/3</f>
        <v>1</v>
      </c>
      <c r="P15" s="2">
        <f>2.5/2.5</f>
        <v>1</v>
      </c>
    </row>
    <row r="16" spans="1:62" x14ac:dyDescent="0.3">
      <c r="B16" s="2" t="s">
        <v>3</v>
      </c>
      <c r="C16" s="2">
        <v>112.5</v>
      </c>
      <c r="D16" s="2">
        <v>131.25</v>
      </c>
      <c r="E16" s="2">
        <v>150</v>
      </c>
      <c r="F16" s="2">
        <v>168.75</v>
      </c>
      <c r="G16" s="2">
        <v>187.5</v>
      </c>
      <c r="H16" s="2">
        <v>206.25</v>
      </c>
      <c r="I16" s="2">
        <v>225</v>
      </c>
      <c r="J16" s="2">
        <v>337.5</v>
      </c>
      <c r="K16" s="2">
        <v>450</v>
      </c>
      <c r="L16" s="2">
        <v>562.5</v>
      </c>
      <c r="M16" s="2">
        <v>675</v>
      </c>
      <c r="N16" s="2">
        <v>787.5</v>
      </c>
      <c r="O16" s="2">
        <v>900</v>
      </c>
      <c r="P16" s="2">
        <v>1012.5</v>
      </c>
    </row>
    <row r="17" spans="2:27" x14ac:dyDescent="0.3">
      <c r="B17" s="2" t="s">
        <v>2</v>
      </c>
      <c r="C17" s="5">
        <v>183</v>
      </c>
      <c r="D17" s="5">
        <v>177.45241581259151</v>
      </c>
      <c r="E17" s="5">
        <v>173.09516837481698</v>
      </c>
      <c r="F17" s="5">
        <v>171.14055636896046</v>
      </c>
      <c r="G17" s="5">
        <v>166.86676427525623</v>
      </c>
      <c r="H17" s="5">
        <v>163.99414348462665</v>
      </c>
      <c r="I17" s="5">
        <v>161.53440702781845</v>
      </c>
      <c r="J17" s="5">
        <v>151.96339677891655</v>
      </c>
      <c r="K17" s="5">
        <v>146.37188872620791</v>
      </c>
      <c r="L17" s="5">
        <v>141.96632503660322</v>
      </c>
      <c r="M17" s="5">
        <v>139.92386530014642</v>
      </c>
      <c r="N17" s="5">
        <v>135.87847730600294</v>
      </c>
      <c r="O17" s="5">
        <v>131.86383601756955</v>
      </c>
      <c r="P17" s="5">
        <v>127.81405563689606</v>
      </c>
      <c r="X17" s="4"/>
      <c r="Y17" s="4"/>
      <c r="Z17" s="4"/>
      <c r="AA17" s="4"/>
    </row>
    <row r="18" spans="2:27" x14ac:dyDescent="0.3">
      <c r="B18" s="2" t="s">
        <v>5</v>
      </c>
      <c r="C18" s="5">
        <v>238</v>
      </c>
      <c r="D18" s="5">
        <v>256.69721767594109</v>
      </c>
      <c r="E18" s="5">
        <v>271.45590107292236</v>
      </c>
      <c r="F18" s="5">
        <v>277.51518457901437</v>
      </c>
      <c r="G18" s="5">
        <v>289.76359338061468</v>
      </c>
      <c r="H18" s="5">
        <v>297.07801418439715</v>
      </c>
      <c r="I18" s="5">
        <v>302.92089470812874</v>
      </c>
      <c r="J18" s="5">
        <v>318.93471540280052</v>
      </c>
      <c r="K18" s="5">
        <v>321.09874522640479</v>
      </c>
      <c r="L18" s="5">
        <v>318.19894526277511</v>
      </c>
      <c r="M18" s="5">
        <v>315.64539007092196</v>
      </c>
      <c r="N18" s="5">
        <v>309.23986179305331</v>
      </c>
      <c r="O18" s="5">
        <v>301.62247681396616</v>
      </c>
      <c r="P18" s="5">
        <v>293.26932169485366</v>
      </c>
    </row>
    <row r="19" spans="2:27" x14ac:dyDescent="0.3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spans="2:27" x14ac:dyDescent="0.3">
      <c r="B20" t="s">
        <v>16</v>
      </c>
      <c r="C20">
        <f>C18/(C17*C16)</f>
        <v>1.1560412871888281E-2</v>
      </c>
      <c r="D20">
        <f t="shared" ref="D20:P20" si="4">D18/(D17*D16)</f>
        <v>1.1021480413180434E-2</v>
      </c>
      <c r="E20">
        <f t="shared" si="4"/>
        <v>1.045497701723316E-2</v>
      </c>
      <c r="F20">
        <f t="shared" si="4"/>
        <v>9.6092618957569712E-3</v>
      </c>
      <c r="G20">
        <f t="shared" si="4"/>
        <v>9.2613159850936117E-3</v>
      </c>
      <c r="H20">
        <f t="shared" si="4"/>
        <v>8.7831078597391636E-3</v>
      </c>
      <c r="I20">
        <f t="shared" si="4"/>
        <v>8.3345406861822895E-3</v>
      </c>
      <c r="J20">
        <f t="shared" si="4"/>
        <v>6.2185484753045457E-3</v>
      </c>
      <c r="K20">
        <f t="shared" si="4"/>
        <v>4.8749303802761322E-3</v>
      </c>
      <c r="L20">
        <f t="shared" si="4"/>
        <v>3.9846563165922468E-3</v>
      </c>
      <c r="M20">
        <f t="shared" si="4"/>
        <v>3.3419802912247041E-3</v>
      </c>
      <c r="N20">
        <f t="shared" si="4"/>
        <v>2.8899760033407533E-3</v>
      </c>
      <c r="O20">
        <f t="shared" si="4"/>
        <v>2.5415314423599638E-3</v>
      </c>
      <c r="P20">
        <f t="shared" si="4"/>
        <v>2.2661726156933543E-3</v>
      </c>
    </row>
    <row r="21" spans="2:27" x14ac:dyDescent="0.3">
      <c r="B21" t="s">
        <v>17</v>
      </c>
      <c r="C21">
        <f>1/(C20*C20)</f>
        <v>7482.6134497916819</v>
      </c>
      <c r="D21">
        <f t="shared" ref="D21:P21" si="5">1/(D20*D20)</f>
        <v>8232.2800040415314</v>
      </c>
      <c r="E21">
        <f t="shared" si="5"/>
        <v>9148.5830533450699</v>
      </c>
      <c r="F21">
        <f t="shared" si="5"/>
        <v>10829.787621552019</v>
      </c>
      <c r="G21">
        <f t="shared" si="5"/>
        <v>11658.819961570258</v>
      </c>
      <c r="H21">
        <f t="shared" si="5"/>
        <v>12962.941700601468</v>
      </c>
      <c r="I21">
        <f t="shared" si="5"/>
        <v>14395.828295185443</v>
      </c>
      <c r="J21">
        <f t="shared" si="5"/>
        <v>25859.60886532276</v>
      </c>
      <c r="K21">
        <f t="shared" si="5"/>
        <v>42078.782382110592</v>
      </c>
      <c r="L21">
        <f t="shared" si="5"/>
        <v>62982.263214323073</v>
      </c>
      <c r="M21">
        <f t="shared" si="5"/>
        <v>89534.87491799194</v>
      </c>
      <c r="N21">
        <f t="shared" si="5"/>
        <v>119732.35556224645</v>
      </c>
      <c r="O21">
        <f t="shared" si="5"/>
        <v>154813.57021079535</v>
      </c>
      <c r="P21">
        <f t="shared" si="5"/>
        <v>194721.55339657699</v>
      </c>
    </row>
    <row r="22" spans="2:27" x14ac:dyDescent="0.3">
      <c r="B22" t="s">
        <v>18</v>
      </c>
      <c r="C22">
        <f>C16*C16</f>
        <v>12656.25</v>
      </c>
      <c r="D22">
        <f t="shared" ref="D22:P22" si="6">D16*D16</f>
        <v>17226.5625</v>
      </c>
      <c r="E22">
        <f t="shared" si="6"/>
        <v>22500</v>
      </c>
      <c r="F22">
        <f t="shared" si="6"/>
        <v>28476.5625</v>
      </c>
      <c r="G22">
        <f t="shared" si="6"/>
        <v>35156.25</v>
      </c>
      <c r="H22">
        <f t="shared" si="6"/>
        <v>42539.0625</v>
      </c>
      <c r="I22">
        <f t="shared" si="6"/>
        <v>50625</v>
      </c>
      <c r="J22">
        <f t="shared" si="6"/>
        <v>113906.25</v>
      </c>
      <c r="K22">
        <f t="shared" si="6"/>
        <v>202500</v>
      </c>
      <c r="L22">
        <f t="shared" si="6"/>
        <v>316406.25</v>
      </c>
      <c r="M22">
        <f t="shared" si="6"/>
        <v>455625</v>
      </c>
      <c r="N22">
        <f t="shared" si="6"/>
        <v>620156.25</v>
      </c>
      <c r="O22">
        <f t="shared" si="6"/>
        <v>810000</v>
      </c>
      <c r="P22">
        <f t="shared" si="6"/>
        <v>1025156.25</v>
      </c>
    </row>
    <row r="23" spans="2:27" x14ac:dyDescent="0.3">
      <c r="R23" s="4"/>
      <c r="S23" s="4" t="s">
        <v>11</v>
      </c>
      <c r="T23" s="4"/>
      <c r="U23" s="4"/>
      <c r="V23" s="4"/>
      <c r="W23" s="4"/>
    </row>
    <row r="24" spans="2:27" x14ac:dyDescent="0.3">
      <c r="B24" s="10" t="s">
        <v>31</v>
      </c>
      <c r="C24" s="10">
        <f>C20/$Q$29</f>
        <v>0.80939403293901679</v>
      </c>
      <c r="D24" s="10">
        <f t="shared" ref="D24:P24" si="7">D20/$Q$29</f>
        <v>0.77166106257979872</v>
      </c>
      <c r="E24" s="10">
        <f t="shared" si="7"/>
        <v>0.73199773278347136</v>
      </c>
      <c r="F24" s="10">
        <f t="shared" si="7"/>
        <v>0.67278559386811487</v>
      </c>
      <c r="G24" s="10">
        <f t="shared" si="7"/>
        <v>0.64842440997291939</v>
      </c>
      <c r="H24" s="10">
        <f t="shared" si="7"/>
        <v>0.61494301035041432</v>
      </c>
      <c r="I24" s="10">
        <f t="shared" si="7"/>
        <v>0.58353690075270837</v>
      </c>
      <c r="J24" s="10">
        <f t="shared" si="7"/>
        <v>0.43538722061501828</v>
      </c>
      <c r="K24" s="10">
        <f t="shared" si="7"/>
        <v>0.34131476137704203</v>
      </c>
      <c r="L24" s="10">
        <f t="shared" si="7"/>
        <v>0.27898286001577111</v>
      </c>
      <c r="M24" s="10">
        <f t="shared" si="7"/>
        <v>0.23398635809062079</v>
      </c>
      <c r="N24" s="10">
        <f t="shared" si="7"/>
        <v>0.20233960139339555</v>
      </c>
      <c r="O24" s="10">
        <f t="shared" si="7"/>
        <v>0.17794350485313074</v>
      </c>
      <c r="P24" s="10">
        <f t="shared" si="7"/>
        <v>0.15866445369026008</v>
      </c>
      <c r="Q24" s="11" t="s">
        <v>6</v>
      </c>
      <c r="R24" s="4"/>
      <c r="S24" s="4"/>
      <c r="T24" s="4"/>
      <c r="U24" s="4"/>
      <c r="V24" s="4"/>
      <c r="W24" s="4"/>
    </row>
    <row r="25" spans="2:27" x14ac:dyDescent="0.3">
      <c r="B25" t="s">
        <v>19</v>
      </c>
      <c r="R25" s="4"/>
      <c r="S25" s="4"/>
      <c r="T25" s="4"/>
      <c r="U25" s="4"/>
      <c r="V25" s="4"/>
      <c r="W25" s="4"/>
    </row>
    <row r="28" spans="2:27" x14ac:dyDescent="0.3">
      <c r="Q28" s="9" t="s">
        <v>32</v>
      </c>
    </row>
    <row r="29" spans="2:27" x14ac:dyDescent="0.3">
      <c r="Q29" s="9">
        <f>1/SQRT(4902)</f>
        <v>1.4282799726001058E-2</v>
      </c>
    </row>
    <row r="43" spans="2:17" x14ac:dyDescent="0.3">
      <c r="B43" t="s">
        <v>22</v>
      </c>
      <c r="C43">
        <f>TAN((C15-1/2)*3.14159265359)</f>
        <v>1.3763819204713534</v>
      </c>
      <c r="D43">
        <f t="shared" ref="D43:P43" si="8">TAN((D15-1/2)*3.14159265359)</f>
        <v>1.3763819204713534</v>
      </c>
      <c r="E43">
        <f t="shared" si="8"/>
        <v>1.5398649638148045</v>
      </c>
      <c r="F43">
        <f t="shared" si="8"/>
        <v>1.7320508075691539</v>
      </c>
      <c r="G43">
        <f t="shared" si="8"/>
        <v>1.9626105055055016</v>
      </c>
      <c r="H43">
        <f t="shared" si="8"/>
        <v>1.9626105055055016</v>
      </c>
      <c r="I43">
        <f t="shared" si="8"/>
        <v>2.1251081731576131</v>
      </c>
      <c r="J43">
        <f t="shared" si="8"/>
        <v>2.5257116894478875</v>
      </c>
      <c r="K43">
        <f t="shared" si="8"/>
        <v>4.2193317721265382</v>
      </c>
      <c r="L43">
        <f t="shared" si="8"/>
        <v>4.7046301094805267</v>
      </c>
      <c r="M43">
        <f t="shared" si="8"/>
        <v>5.5104541872143624</v>
      </c>
      <c r="N43">
        <f t="shared" si="8"/>
        <v>9.5143644542314263</v>
      </c>
      <c r="O43">
        <f t="shared" si="8"/>
        <v>-9670101726304.8828</v>
      </c>
      <c r="P43">
        <f t="shared" si="8"/>
        <v>-9670101726304.8828</v>
      </c>
    </row>
    <row r="44" spans="2:17" x14ac:dyDescent="0.3">
      <c r="B44" s="2" t="s">
        <v>3</v>
      </c>
      <c r="C44" s="2">
        <v>112.5</v>
      </c>
      <c r="D44" s="2">
        <v>131.25</v>
      </c>
      <c r="E44" s="2">
        <v>150</v>
      </c>
      <c r="F44" s="2">
        <v>168.75</v>
      </c>
      <c r="G44" s="2">
        <v>187.5</v>
      </c>
      <c r="H44" s="2">
        <v>206.25</v>
      </c>
      <c r="I44" s="2">
        <v>225</v>
      </c>
      <c r="J44" s="2">
        <v>337.5</v>
      </c>
      <c r="K44" s="2">
        <v>450</v>
      </c>
      <c r="L44" s="2">
        <v>562.5</v>
      </c>
      <c r="M44" s="2">
        <v>675</v>
      </c>
      <c r="N44" s="2">
        <v>787.5</v>
      </c>
      <c r="O44" s="2">
        <v>900</v>
      </c>
      <c r="P44" s="2">
        <v>1012.5</v>
      </c>
    </row>
    <row r="46" spans="2:17" x14ac:dyDescent="0.3">
      <c r="Q46" t="s">
        <v>20</v>
      </c>
    </row>
    <row r="48" spans="2:17" x14ac:dyDescent="0.3">
      <c r="Q48" t="s">
        <v>21</v>
      </c>
    </row>
    <row r="61" spans="1:17" x14ac:dyDescent="0.3">
      <c r="A61" s="1" t="s">
        <v>10</v>
      </c>
    </row>
    <row r="62" spans="1:17" x14ac:dyDescent="0.3">
      <c r="B62" s="2" t="s">
        <v>1</v>
      </c>
      <c r="C62" s="2">
        <v>1</v>
      </c>
      <c r="D62" s="2">
        <v>2</v>
      </c>
      <c r="E62" s="2">
        <v>3</v>
      </c>
      <c r="F62" s="2">
        <v>4</v>
      </c>
      <c r="G62" s="2">
        <v>5</v>
      </c>
      <c r="H62" s="2">
        <v>6</v>
      </c>
      <c r="I62" s="2">
        <v>7</v>
      </c>
      <c r="J62" s="2">
        <v>8</v>
      </c>
      <c r="K62" s="2">
        <v>9</v>
      </c>
      <c r="L62" s="2">
        <v>10</v>
      </c>
      <c r="M62" s="2">
        <v>11</v>
      </c>
      <c r="N62" s="2">
        <v>12</v>
      </c>
      <c r="O62" s="2">
        <v>13</v>
      </c>
      <c r="P62" s="2">
        <v>14</v>
      </c>
      <c r="Q62" s="2">
        <v>15</v>
      </c>
    </row>
    <row r="63" spans="1:17" x14ac:dyDescent="0.3">
      <c r="B63" s="2" t="s">
        <v>7</v>
      </c>
      <c r="C63" s="2">
        <f>2.5/2.5</f>
        <v>1</v>
      </c>
      <c r="D63" s="2">
        <f>12/11</f>
        <v>1.0909090909090908</v>
      </c>
      <c r="E63" s="2">
        <f>6/5</f>
        <v>1.2</v>
      </c>
      <c r="F63" s="2">
        <f>4/3</f>
        <v>1.3333333333333333</v>
      </c>
      <c r="G63" s="2">
        <f>7.5/5.5</f>
        <v>1.3636363636363635</v>
      </c>
      <c r="H63" s="2">
        <f>7/5</f>
        <v>1.4</v>
      </c>
      <c r="I63" s="2">
        <f>6/4</f>
        <v>1.5</v>
      </c>
      <c r="J63" s="2">
        <f>5.5/3.5</f>
        <v>1.5714285714285714</v>
      </c>
      <c r="K63" s="2">
        <f>5/3</f>
        <v>1.6666666666666667</v>
      </c>
      <c r="L63" s="2">
        <f>5/3</f>
        <v>1.6666666666666667</v>
      </c>
      <c r="M63" s="2">
        <f>4.6/2.6</f>
        <v>1.7692307692307689</v>
      </c>
      <c r="N63" s="2">
        <f>4.3/2.3</f>
        <v>1.8695652173913044</v>
      </c>
      <c r="O63" s="2">
        <f>4/2.1</f>
        <v>1.9047619047619047</v>
      </c>
      <c r="P63" s="2">
        <f>11/5.5</f>
        <v>2</v>
      </c>
      <c r="Q63" s="2">
        <f>11/5.4</f>
        <v>2.0370370370370368</v>
      </c>
    </row>
    <row r="64" spans="1:17" x14ac:dyDescent="0.3">
      <c r="B64" s="2" t="s">
        <v>3</v>
      </c>
      <c r="C64" s="2">
        <v>1012.5</v>
      </c>
      <c r="D64" s="2">
        <v>3300</v>
      </c>
      <c r="E64" s="2">
        <v>5475</v>
      </c>
      <c r="F64" s="2">
        <v>7650</v>
      </c>
      <c r="G64" s="2">
        <v>9825</v>
      </c>
      <c r="H64" s="2">
        <v>12000</v>
      </c>
      <c r="I64" s="2">
        <v>14175</v>
      </c>
      <c r="J64" s="2">
        <v>16350</v>
      </c>
      <c r="K64" s="2">
        <v>18525</v>
      </c>
      <c r="L64" s="2">
        <v>20700</v>
      </c>
      <c r="M64" s="2">
        <v>22875</v>
      </c>
      <c r="N64" s="2">
        <v>25050</v>
      </c>
      <c r="O64" s="2">
        <v>27225</v>
      </c>
      <c r="P64" s="2">
        <v>29400</v>
      </c>
      <c r="Q64" s="2">
        <v>31575</v>
      </c>
    </row>
    <row r="65" spans="2:30" x14ac:dyDescent="0.3">
      <c r="B65" s="2" t="s">
        <v>2</v>
      </c>
      <c r="C65" s="5">
        <v>125.78477306002929</v>
      </c>
      <c r="D65" s="5">
        <v>71.011713030746705</v>
      </c>
      <c r="E65" s="5">
        <v>43.69106881405564</v>
      </c>
      <c r="F65" s="5">
        <v>33.237188872620791</v>
      </c>
      <c r="G65" s="5">
        <v>28.02342606149341</v>
      </c>
      <c r="H65" s="5">
        <v>19.1696925329429</v>
      </c>
      <c r="I65" s="5">
        <v>15.623718887262079</v>
      </c>
      <c r="J65" s="5">
        <v>12.402781844802343</v>
      </c>
      <c r="K65" s="5">
        <v>9.4278184480234266</v>
      </c>
      <c r="L65" s="5">
        <v>8.39</v>
      </c>
      <c r="M65" s="6">
        <v>7.23</v>
      </c>
      <c r="N65" s="5">
        <v>6.607467057101025</v>
      </c>
      <c r="O65" s="5">
        <v>3.8494875549048313</v>
      </c>
      <c r="P65" s="5">
        <v>2.63</v>
      </c>
      <c r="Q65" s="5">
        <v>1.2558272327964861</v>
      </c>
    </row>
    <row r="66" spans="2:30" x14ac:dyDescent="0.3">
      <c r="B66" s="2" t="s">
        <v>5</v>
      </c>
      <c r="C66" s="5">
        <v>288.94126204764507</v>
      </c>
      <c r="D66" s="5">
        <v>160.61429350791056</v>
      </c>
      <c r="E66" s="5">
        <v>93.875613747954176</v>
      </c>
      <c r="F66" s="5">
        <v>67.950536461174764</v>
      </c>
      <c r="G66" s="5">
        <v>55.009638116021094</v>
      </c>
      <c r="H66" s="5">
        <v>34.19167121294781</v>
      </c>
      <c r="I66" s="5">
        <v>26.704128023276962</v>
      </c>
      <c r="J66" s="5">
        <v>20.68812511365703</v>
      </c>
      <c r="K66" s="5">
        <v>16.057101291143844</v>
      </c>
      <c r="L66" s="5">
        <v>13.97</v>
      </c>
      <c r="M66" s="6">
        <v>13.15</v>
      </c>
      <c r="N66" s="5">
        <v>12.681214766321149</v>
      </c>
      <c r="O66" s="5">
        <v>9.8246953991634847</v>
      </c>
      <c r="P66" s="5">
        <v>8.42</v>
      </c>
      <c r="Q66" s="5">
        <v>6.0160029096199317</v>
      </c>
    </row>
    <row r="67" spans="2:30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2:30" x14ac:dyDescent="0.3">
      <c r="B68" s="2" t="s">
        <v>7</v>
      </c>
      <c r="C68" s="2">
        <f>4/5</f>
        <v>0.8</v>
      </c>
      <c r="D68" s="2">
        <f>4/5</f>
        <v>0.8</v>
      </c>
      <c r="E68" s="2">
        <f>4.9/6</f>
        <v>0.81666666666666676</v>
      </c>
      <c r="F68" s="2">
        <f>5/6</f>
        <v>0.83333333333333337</v>
      </c>
      <c r="G68" s="2">
        <f>5.1/6</f>
        <v>0.85</v>
      </c>
      <c r="H68" s="2">
        <f>5.1/6</f>
        <v>0.85</v>
      </c>
      <c r="I68" s="2">
        <f>4.3/5</f>
        <v>0.86</v>
      </c>
      <c r="J68" s="2">
        <f>4.4/5</f>
        <v>0.88000000000000012</v>
      </c>
      <c r="K68" s="2">
        <f>2.5/2.7</f>
        <v>0.92592592592592582</v>
      </c>
      <c r="L68" s="2">
        <f>4.2/4.5</f>
        <v>0.93333333333333335</v>
      </c>
      <c r="M68" s="2">
        <f>3.3/3.5</f>
        <v>0.94285714285714284</v>
      </c>
      <c r="N68" s="2">
        <f>2.9/3</f>
        <v>0.96666666666666667</v>
      </c>
      <c r="O68" s="2">
        <f>3/3</f>
        <v>1</v>
      </c>
      <c r="P68" s="2">
        <f>2.5/2.5</f>
        <v>1</v>
      </c>
      <c r="Q68" s="7">
        <f>14/13.5</f>
        <v>1.037037037037037</v>
      </c>
      <c r="R68" s="7">
        <f>6/5</f>
        <v>1.2</v>
      </c>
      <c r="S68" s="2">
        <f>4/3</f>
        <v>1.3333333333333333</v>
      </c>
      <c r="T68" s="2">
        <f>7.5/5.5</f>
        <v>1.3636363636363635</v>
      </c>
      <c r="U68" s="2">
        <f>7/5</f>
        <v>1.4</v>
      </c>
      <c r="V68" s="2">
        <f>6/4</f>
        <v>1.5</v>
      </c>
      <c r="W68" s="2">
        <f>5.5/3.5</f>
        <v>1.5714285714285714</v>
      </c>
      <c r="X68" s="2">
        <f>5/3</f>
        <v>1.6666666666666667</v>
      </c>
      <c r="Y68" s="2">
        <f>5/3</f>
        <v>1.6666666666666667</v>
      </c>
      <c r="Z68" s="2">
        <f>4.6/2.6</f>
        <v>1.7692307692307689</v>
      </c>
      <c r="AA68" s="2">
        <f>4.3/2.3</f>
        <v>1.8695652173913044</v>
      </c>
      <c r="AB68" s="2">
        <f>4/2.1</f>
        <v>1.9047619047619047</v>
      </c>
      <c r="AC68" s="2">
        <f>11/5.5</f>
        <v>2</v>
      </c>
      <c r="AD68" s="2">
        <f>11/5.4</f>
        <v>2.0370370370370368</v>
      </c>
    </row>
    <row r="69" spans="2:30" x14ac:dyDescent="0.3">
      <c r="B69" s="2" t="s">
        <v>3</v>
      </c>
      <c r="C69" s="2">
        <v>112.5</v>
      </c>
      <c r="D69" s="2">
        <v>131.25</v>
      </c>
      <c r="E69" s="2">
        <v>150</v>
      </c>
      <c r="F69" s="2">
        <v>168.75</v>
      </c>
      <c r="G69" s="2">
        <v>187.5</v>
      </c>
      <c r="H69" s="2">
        <v>206.25</v>
      </c>
      <c r="I69" s="2">
        <v>225</v>
      </c>
      <c r="J69" s="2">
        <v>337.5</v>
      </c>
      <c r="K69" s="2">
        <v>450</v>
      </c>
      <c r="L69" s="2">
        <v>562.5</v>
      </c>
      <c r="M69" s="2">
        <v>675</v>
      </c>
      <c r="N69" s="2">
        <v>787.5</v>
      </c>
      <c r="O69" s="2">
        <v>900</v>
      </c>
      <c r="P69" s="2">
        <v>1012.5</v>
      </c>
      <c r="Q69" s="7">
        <v>3300</v>
      </c>
      <c r="R69" s="7">
        <v>5475</v>
      </c>
      <c r="S69" s="2">
        <v>7650</v>
      </c>
      <c r="T69" s="2">
        <v>9825</v>
      </c>
      <c r="U69" s="2">
        <v>12000</v>
      </c>
      <c r="V69" s="2">
        <v>14175</v>
      </c>
      <c r="W69" s="2">
        <v>16350</v>
      </c>
      <c r="X69" s="2">
        <v>18525</v>
      </c>
      <c r="Y69" s="2">
        <v>20700</v>
      </c>
      <c r="Z69" s="2">
        <v>22875</v>
      </c>
      <c r="AA69" s="2">
        <v>25050</v>
      </c>
      <c r="AB69" s="2">
        <v>27225</v>
      </c>
      <c r="AC69" s="2">
        <v>29400</v>
      </c>
      <c r="AD69" s="2">
        <v>31575</v>
      </c>
    </row>
    <row r="70" spans="2:30" x14ac:dyDescent="0.3">
      <c r="B70" t="s">
        <v>23</v>
      </c>
      <c r="C70">
        <f>TAN((C68-3/4)*3.14159265359)</f>
        <v>0.15838444032454704</v>
      </c>
      <c r="D70">
        <f t="shared" ref="D70:AD70" si="9">TAN((D68-3/4)*3.14159265359)</f>
        <v>0.15838444032454704</v>
      </c>
      <c r="E70">
        <f t="shared" si="9"/>
        <v>0.21255656167003684</v>
      </c>
      <c r="F70">
        <f t="shared" si="9"/>
        <v>0.26794919243114129</v>
      </c>
      <c r="G70">
        <f t="shared" si="9"/>
        <v>0.32491969623292916</v>
      </c>
      <c r="H70">
        <f t="shared" si="9"/>
        <v>0.32491969623292916</v>
      </c>
      <c r="I70">
        <f t="shared" si="9"/>
        <v>0.36002215309578228</v>
      </c>
      <c r="J70">
        <f t="shared" si="9"/>
        <v>0.43273864224745828</v>
      </c>
      <c r="K70">
        <f t="shared" si="9"/>
        <v>0.61680918414092245</v>
      </c>
      <c r="L70">
        <f t="shared" si="9"/>
        <v>0.64940759319756458</v>
      </c>
      <c r="M70">
        <f t="shared" si="9"/>
        <v>0.69280177043128233</v>
      </c>
      <c r="N70">
        <f t="shared" si="9"/>
        <v>0.8097840331950813</v>
      </c>
      <c r="O70">
        <f t="shared" si="9"/>
        <v>1.0000000000001035</v>
      </c>
      <c r="P70">
        <f t="shared" si="9"/>
        <v>1.0000000000001035</v>
      </c>
      <c r="Q70" s="8">
        <f>TAN((Q68-1/4)*3.14159265359)</f>
        <v>-0.79069748222282665</v>
      </c>
      <c r="R70" s="8">
        <f t="shared" si="9"/>
        <v>6.3137515146788425</v>
      </c>
      <c r="S70">
        <f t="shared" si="9"/>
        <v>-3.7320508075670795</v>
      </c>
      <c r="T70">
        <f t="shared" si="9"/>
        <v>-2.6811037573987089</v>
      </c>
      <c r="U70">
        <f t="shared" si="9"/>
        <v>-1.9626105055045002</v>
      </c>
      <c r="V70">
        <f t="shared" si="9"/>
        <v>-0.99999999999968936</v>
      </c>
      <c r="W70">
        <f t="shared" si="9"/>
        <v>-0.62834164536697668</v>
      </c>
      <c r="X70">
        <f t="shared" si="9"/>
        <v>-0.26794919243091925</v>
      </c>
      <c r="Y70">
        <f t="shared" si="9"/>
        <v>-0.26794919243091925</v>
      </c>
      <c r="Z70">
        <f t="shared" si="9"/>
        <v>6.0488856060472426E-2</v>
      </c>
      <c r="AA70">
        <f t="shared" si="9"/>
        <v>0.39434883334180587</v>
      </c>
      <c r="AB70">
        <f t="shared" si="9"/>
        <v>0.52851543102432752</v>
      </c>
      <c r="AC70">
        <f t="shared" si="9"/>
        <v>1.0000000000005167</v>
      </c>
      <c r="AD70">
        <f t="shared" si="9"/>
        <v>1.2647061897667715</v>
      </c>
    </row>
    <row r="71" spans="2:30" x14ac:dyDescent="0.3">
      <c r="B71" t="s">
        <v>24</v>
      </c>
      <c r="C71">
        <f>SQRT(C69)</f>
        <v>10.606601717798213</v>
      </c>
      <c r="D71">
        <f t="shared" ref="D71:AD71" si="10">SQRT(D69)</f>
        <v>11.456439237389599</v>
      </c>
      <c r="E71">
        <f t="shared" si="10"/>
        <v>12.24744871391589</v>
      </c>
      <c r="F71">
        <f t="shared" si="10"/>
        <v>12.99038105676658</v>
      </c>
      <c r="G71">
        <f t="shared" si="10"/>
        <v>13.693063937629153</v>
      </c>
      <c r="H71">
        <f t="shared" si="10"/>
        <v>14.361406616345072</v>
      </c>
      <c r="I71">
        <f t="shared" si="10"/>
        <v>15</v>
      </c>
      <c r="J71">
        <f t="shared" si="10"/>
        <v>18.371173070873837</v>
      </c>
      <c r="K71">
        <f t="shared" si="10"/>
        <v>21.213203435596427</v>
      </c>
      <c r="L71">
        <f t="shared" si="10"/>
        <v>23.717082451262844</v>
      </c>
      <c r="M71">
        <f t="shared" si="10"/>
        <v>25.98076211353316</v>
      </c>
      <c r="N71">
        <f t="shared" si="10"/>
        <v>28.062430400804562</v>
      </c>
      <c r="O71">
        <f t="shared" si="10"/>
        <v>30</v>
      </c>
      <c r="P71">
        <f t="shared" si="10"/>
        <v>31.81980515339464</v>
      </c>
      <c r="Q71" s="8">
        <f t="shared" si="10"/>
        <v>57.445626465380286</v>
      </c>
      <c r="R71" s="8">
        <f t="shared" si="10"/>
        <v>73.993242934743705</v>
      </c>
      <c r="S71">
        <f t="shared" si="10"/>
        <v>87.464278422679513</v>
      </c>
      <c r="T71">
        <f t="shared" si="10"/>
        <v>99.121138007995043</v>
      </c>
      <c r="U71">
        <f t="shared" si="10"/>
        <v>109.54451150103323</v>
      </c>
      <c r="V71">
        <f t="shared" si="10"/>
        <v>119.05880899790658</v>
      </c>
      <c r="W71">
        <f t="shared" si="10"/>
        <v>127.86711852544421</v>
      </c>
      <c r="X71">
        <f t="shared" si="10"/>
        <v>136.10657588816198</v>
      </c>
      <c r="Y71">
        <f t="shared" si="10"/>
        <v>143.87494569938158</v>
      </c>
      <c r="Z71">
        <f t="shared" si="10"/>
        <v>151.24483462254173</v>
      </c>
      <c r="AA71">
        <f t="shared" si="10"/>
        <v>158.27191791344413</v>
      </c>
      <c r="AB71">
        <f t="shared" si="10"/>
        <v>165</v>
      </c>
      <c r="AC71">
        <f t="shared" si="10"/>
        <v>171.46428199482247</v>
      </c>
      <c r="AD71">
        <f t="shared" si="10"/>
        <v>177.69355643916862</v>
      </c>
    </row>
    <row r="73" spans="2:30" x14ac:dyDescent="0.3">
      <c r="B73" t="s">
        <v>33</v>
      </c>
      <c r="C73">
        <f t="shared" ref="C73:Q73" si="11">C66/(C65*C64)</f>
        <v>2.2687490626293167E-3</v>
      </c>
      <c r="D73">
        <f t="shared" si="11"/>
        <v>6.8539394355444667E-4</v>
      </c>
      <c r="E73">
        <f t="shared" si="11"/>
        <v>3.9244246677774364E-4</v>
      </c>
      <c r="F73">
        <f t="shared" si="11"/>
        <v>2.6724351150337949E-4</v>
      </c>
      <c r="G73">
        <f t="shared" si="11"/>
        <v>1.9979517647250293E-4</v>
      </c>
      <c r="H73">
        <f t="shared" si="11"/>
        <v>1.4863597470412307E-4</v>
      </c>
      <c r="I73">
        <f t="shared" si="11"/>
        <v>1.2057878894039353E-4</v>
      </c>
      <c r="J73">
        <f t="shared" si="11"/>
        <v>1.0201975403277242E-4</v>
      </c>
      <c r="K73">
        <f t="shared" si="11"/>
        <v>9.1938564734416389E-5</v>
      </c>
      <c r="L73">
        <f t="shared" si="11"/>
        <v>8.0438525274510145E-5</v>
      </c>
      <c r="M73">
        <f t="shared" si="11"/>
        <v>7.9510842044003049E-5</v>
      </c>
      <c r="N73">
        <f t="shared" si="11"/>
        <v>7.6615761235156437E-5</v>
      </c>
      <c r="O73">
        <f t="shared" si="11"/>
        <v>9.3745037300639565E-5</v>
      </c>
      <c r="P73">
        <f t="shared" si="11"/>
        <v>1.0889526913426967E-4</v>
      </c>
      <c r="Q73">
        <f t="shared" si="11"/>
        <v>1.5171718700688388E-4</v>
      </c>
    </row>
    <row r="74" spans="2:30" x14ac:dyDescent="0.3">
      <c r="B74" s="10" t="s">
        <v>31</v>
      </c>
      <c r="C74" s="10">
        <f>C73/E44</f>
        <v>1.5124993750862111E-5</v>
      </c>
      <c r="D74" s="10">
        <f t="shared" ref="D74:Q74" si="12">D73/$Q$29</f>
        <v>4.7987366391949358E-2</v>
      </c>
      <c r="E74" s="10">
        <f t="shared" si="12"/>
        <v>2.7476578423439174E-2</v>
      </c>
      <c r="F74" s="10">
        <f t="shared" si="12"/>
        <v>1.8710863180198295E-2</v>
      </c>
      <c r="G74" s="10">
        <f t="shared" si="12"/>
        <v>1.3988516278694765E-2</v>
      </c>
      <c r="H74" s="10">
        <f t="shared" si="12"/>
        <v>1.0406641383729506E-2</v>
      </c>
      <c r="I74" s="10">
        <f t="shared" si="12"/>
        <v>8.4422376042203005E-3</v>
      </c>
      <c r="J74" s="10">
        <f t="shared" si="12"/>
        <v>7.1428400586651805E-3</v>
      </c>
      <c r="K74" s="10">
        <f t="shared" si="12"/>
        <v>6.4370128054828946E-3</v>
      </c>
      <c r="L74" s="10">
        <f t="shared" si="12"/>
        <v>5.631845773771944E-3</v>
      </c>
      <c r="M74" s="10">
        <f t="shared" si="12"/>
        <v>5.5668946963709012E-3</v>
      </c>
      <c r="N74" s="10">
        <f t="shared" si="12"/>
        <v>5.364197685673742E-3</v>
      </c>
      <c r="O74" s="10">
        <f t="shared" si="12"/>
        <v>6.5634916892366585E-3</v>
      </c>
      <c r="P74" s="10">
        <f t="shared" si="12"/>
        <v>7.624224327393723E-3</v>
      </c>
      <c r="Q74" s="10">
        <f t="shared" si="12"/>
        <v>1.0622370257750728E-2</v>
      </c>
      <c r="R74" s="11" t="s">
        <v>10</v>
      </c>
    </row>
    <row r="78" spans="2:30" x14ac:dyDescent="0.3">
      <c r="Q78" t="s">
        <v>25</v>
      </c>
    </row>
    <row r="93" spans="1:22" x14ac:dyDescent="0.3">
      <c r="A93" s="1" t="s">
        <v>12</v>
      </c>
    </row>
    <row r="94" spans="1:22" x14ac:dyDescent="0.3">
      <c r="B94" s="2" t="s">
        <v>1</v>
      </c>
      <c r="C94" s="2">
        <v>1</v>
      </c>
      <c r="D94" s="2">
        <v>2</v>
      </c>
      <c r="E94" s="2">
        <v>3</v>
      </c>
      <c r="F94" s="2">
        <v>4</v>
      </c>
      <c r="G94" s="2">
        <v>5</v>
      </c>
      <c r="H94" s="2">
        <v>6</v>
      </c>
      <c r="I94" s="2">
        <v>7</v>
      </c>
      <c r="J94" s="2">
        <v>8</v>
      </c>
      <c r="K94" s="2">
        <v>9</v>
      </c>
      <c r="L94" s="2">
        <v>10</v>
      </c>
      <c r="M94" s="2">
        <v>11</v>
      </c>
      <c r="N94" s="2">
        <v>12</v>
      </c>
      <c r="O94" s="2">
        <v>13</v>
      </c>
      <c r="P94" s="2">
        <v>14</v>
      </c>
      <c r="Q94" s="2">
        <v>15</v>
      </c>
      <c r="R94" s="2">
        <v>16</v>
      </c>
      <c r="S94" s="2">
        <v>17</v>
      </c>
      <c r="T94" s="2">
        <v>18</v>
      </c>
      <c r="U94" s="2">
        <v>19</v>
      </c>
      <c r="V94" s="2">
        <v>20</v>
      </c>
    </row>
    <row r="95" spans="1:22" x14ac:dyDescent="0.3">
      <c r="B95" s="2" t="s">
        <v>13</v>
      </c>
      <c r="C95" s="2">
        <v>50</v>
      </c>
      <c r="D95" s="2">
        <v>75</v>
      </c>
      <c r="E95" s="2">
        <v>100</v>
      </c>
      <c r="F95" s="2">
        <v>150</v>
      </c>
      <c r="G95" s="2">
        <v>250</v>
      </c>
      <c r="H95" s="2">
        <v>300</v>
      </c>
      <c r="I95" s="2">
        <v>500</v>
      </c>
      <c r="J95" s="2">
        <v>800</v>
      </c>
      <c r="K95" s="2">
        <v>1500</v>
      </c>
      <c r="L95" s="2">
        <v>2000</v>
      </c>
      <c r="M95" s="2">
        <v>2500</v>
      </c>
      <c r="N95" s="2">
        <v>3000</v>
      </c>
      <c r="O95" s="2">
        <v>5000</v>
      </c>
      <c r="P95" s="2">
        <v>6000</v>
      </c>
      <c r="Q95" s="2">
        <v>7500</v>
      </c>
      <c r="R95" s="2">
        <v>10000</v>
      </c>
      <c r="S95" s="2">
        <v>15000</v>
      </c>
      <c r="T95" s="2">
        <v>20000</v>
      </c>
      <c r="U95" s="2">
        <v>25000</v>
      </c>
      <c r="V95" s="2">
        <v>30000</v>
      </c>
    </row>
    <row r="96" spans="1:22" x14ac:dyDescent="0.3">
      <c r="B96" s="2" t="s">
        <v>15</v>
      </c>
      <c r="C96" s="2">
        <v>9.85</v>
      </c>
      <c r="D96" s="2">
        <v>9.3000000000000007</v>
      </c>
      <c r="E96" s="2">
        <v>8.5500000000000007</v>
      </c>
      <c r="F96" s="2">
        <v>7.2</v>
      </c>
      <c r="G96" s="2">
        <v>5.3</v>
      </c>
      <c r="H96" s="2">
        <v>4.8</v>
      </c>
      <c r="I96" s="2">
        <v>3.67</v>
      </c>
      <c r="J96" s="2">
        <v>3.2</v>
      </c>
      <c r="K96" s="2">
        <v>2.96</v>
      </c>
      <c r="L96" s="2">
        <v>2.92</v>
      </c>
      <c r="M96" s="2">
        <v>2.9</v>
      </c>
      <c r="N96" s="2">
        <v>2.8929999999999998</v>
      </c>
      <c r="O96" s="2">
        <v>2.8917999999999999</v>
      </c>
      <c r="P96" s="2">
        <v>2.9011999999999998</v>
      </c>
      <c r="Q96" s="2">
        <v>2.9211</v>
      </c>
      <c r="R96" s="2">
        <v>2.9811000000000001</v>
      </c>
      <c r="S96" s="2">
        <v>3.226</v>
      </c>
      <c r="T96" s="2">
        <v>3.73</v>
      </c>
      <c r="U96" s="2">
        <v>4.79</v>
      </c>
      <c r="V96" s="2">
        <v>7.68</v>
      </c>
    </row>
    <row r="97" spans="2:22" x14ac:dyDescent="0.3">
      <c r="B97" s="2" t="s">
        <v>14</v>
      </c>
      <c r="C97" s="2">
        <v>27</v>
      </c>
      <c r="D97" s="2">
        <v>26.8</v>
      </c>
      <c r="E97" s="2">
        <v>28.7</v>
      </c>
      <c r="F97" s="2">
        <v>31.5</v>
      </c>
      <c r="G97" s="2">
        <v>32.299999999999997</v>
      </c>
      <c r="H97" s="2">
        <v>33.200000000000003</v>
      </c>
      <c r="I97" s="2">
        <v>35.1</v>
      </c>
      <c r="J97" s="2">
        <v>35</v>
      </c>
      <c r="K97" s="2">
        <v>36.200000000000003</v>
      </c>
      <c r="L97" s="2">
        <v>36.6</v>
      </c>
      <c r="M97" s="2">
        <v>36.9</v>
      </c>
      <c r="N97" s="2">
        <v>34.200000000000003</v>
      </c>
      <c r="O97" s="2">
        <v>36.619999999999997</v>
      </c>
      <c r="P97" s="2">
        <v>38.119999999999997</v>
      </c>
      <c r="Q97" s="2">
        <v>40.96</v>
      </c>
      <c r="R97" s="2">
        <v>47.3</v>
      </c>
      <c r="S97" s="2">
        <v>64.400000000000006</v>
      </c>
      <c r="T97" s="2">
        <v>98.2</v>
      </c>
      <c r="U97" s="2">
        <v>185.45</v>
      </c>
      <c r="V97" s="2">
        <v>581.5</v>
      </c>
    </row>
    <row r="99" spans="2:22" x14ac:dyDescent="0.3">
      <c r="B99" t="s">
        <v>26</v>
      </c>
      <c r="C99">
        <f>MAX(C96:V96)</f>
        <v>9.85</v>
      </c>
    </row>
    <row r="100" spans="2:22" x14ac:dyDescent="0.3">
      <c r="B100" t="s">
        <v>27</v>
      </c>
      <c r="C100">
        <f xml:space="preserve"> MIN(C96:V96)</f>
        <v>2.8917999999999999</v>
      </c>
    </row>
    <row r="102" spans="2:22" x14ac:dyDescent="0.3">
      <c r="B102" t="s">
        <v>28</v>
      </c>
      <c r="C102">
        <f>($C$99-$C$100)/(C96-$C$100)</f>
        <v>1</v>
      </c>
      <c r="D102">
        <f t="shared" ref="D102:V102" si="13">($C$99-$C$100)/(D96-$C$100)</f>
        <v>1.0858275334727379</v>
      </c>
      <c r="E102">
        <f t="shared" si="13"/>
        <v>1.2297550457742743</v>
      </c>
      <c r="F102">
        <f t="shared" si="13"/>
        <v>1.6151060767838075</v>
      </c>
      <c r="G102">
        <f t="shared" si="13"/>
        <v>2.8893779586413091</v>
      </c>
      <c r="H102">
        <f t="shared" si="13"/>
        <v>3.6464731160255739</v>
      </c>
      <c r="I102">
        <f t="shared" si="13"/>
        <v>8.9414032382420974</v>
      </c>
      <c r="J102">
        <f t="shared" si="13"/>
        <v>22.576898118105106</v>
      </c>
      <c r="K102">
        <f t="shared" si="13"/>
        <v>102.02639296187677</v>
      </c>
      <c r="L102">
        <f t="shared" si="13"/>
        <v>246.7446808510638</v>
      </c>
      <c r="M102">
        <f t="shared" si="13"/>
        <v>848.56097560975763</v>
      </c>
      <c r="N102">
        <f t="shared" si="13"/>
        <v>5798.5000000006385</v>
      </c>
      <c r="O102" t="e">
        <f t="shared" si="13"/>
        <v>#DIV/0!</v>
      </c>
      <c r="P102">
        <f t="shared" si="13"/>
        <v>740.23404255320304</v>
      </c>
      <c r="Q102">
        <f t="shared" si="13"/>
        <v>237.48122866894113</v>
      </c>
      <c r="R102">
        <f t="shared" si="13"/>
        <v>77.919372900335802</v>
      </c>
      <c r="S102">
        <f t="shared" si="13"/>
        <v>20.820466786355471</v>
      </c>
      <c r="T102">
        <f t="shared" si="13"/>
        <v>8.301360057265569</v>
      </c>
      <c r="U102">
        <f t="shared" si="13"/>
        <v>3.6656832788957958</v>
      </c>
      <c r="V102">
        <f t="shared" si="13"/>
        <v>1.4531974437158013</v>
      </c>
    </row>
    <row r="103" spans="2:22" x14ac:dyDescent="0.3">
      <c r="B103" t="s">
        <v>18</v>
      </c>
      <c r="C103">
        <f>C95*C95</f>
        <v>2500</v>
      </c>
      <c r="D103">
        <f t="shared" ref="D103:V103" si="14">D95*D95</f>
        <v>5625</v>
      </c>
      <c r="E103">
        <f t="shared" si="14"/>
        <v>10000</v>
      </c>
      <c r="F103">
        <f t="shared" si="14"/>
        <v>22500</v>
      </c>
      <c r="G103">
        <f t="shared" si="14"/>
        <v>62500</v>
      </c>
      <c r="H103">
        <f t="shared" si="14"/>
        <v>90000</v>
      </c>
      <c r="I103">
        <f t="shared" si="14"/>
        <v>250000</v>
      </c>
      <c r="J103">
        <f t="shared" si="14"/>
        <v>640000</v>
      </c>
      <c r="K103">
        <f t="shared" si="14"/>
        <v>2250000</v>
      </c>
      <c r="L103">
        <f t="shared" si="14"/>
        <v>4000000</v>
      </c>
      <c r="M103">
        <f t="shared" si="14"/>
        <v>6250000</v>
      </c>
      <c r="N103">
        <f t="shared" si="14"/>
        <v>9000000</v>
      </c>
      <c r="O103" s="8">
        <f t="shared" si="14"/>
        <v>25000000</v>
      </c>
      <c r="P103">
        <f t="shared" si="14"/>
        <v>36000000</v>
      </c>
      <c r="Q103">
        <f t="shared" si="14"/>
        <v>56250000</v>
      </c>
      <c r="R103">
        <f t="shared" si="14"/>
        <v>100000000</v>
      </c>
      <c r="S103">
        <f t="shared" si="14"/>
        <v>225000000</v>
      </c>
      <c r="T103">
        <f t="shared" si="14"/>
        <v>400000000</v>
      </c>
      <c r="U103">
        <f t="shared" si="14"/>
        <v>625000000</v>
      </c>
      <c r="V103">
        <f t="shared" si="14"/>
        <v>900000000</v>
      </c>
    </row>
    <row r="125" spans="20:20" x14ac:dyDescent="0.3">
      <c r="T125" t="s">
        <v>29</v>
      </c>
    </row>
    <row r="141" spans="2:19" x14ac:dyDescent="0.3">
      <c r="B141" s="1" t="s">
        <v>30</v>
      </c>
      <c r="F141" s="2" t="s">
        <v>43</v>
      </c>
      <c r="G141" s="2">
        <f>5.3*10^7</f>
        <v>53000000</v>
      </c>
      <c r="I141" s="2" t="s">
        <v>36</v>
      </c>
      <c r="J141" s="2">
        <v>1</v>
      </c>
      <c r="L141" s="2" t="s">
        <v>39</v>
      </c>
      <c r="M141" s="2">
        <f>21/1000</f>
        <v>2.1000000000000001E-2</v>
      </c>
      <c r="O141" s="2" t="s">
        <v>40</v>
      </c>
      <c r="P141" s="2">
        <f>1.5/1000</f>
        <v>1.5E-3</v>
      </c>
      <c r="R141" s="2" t="s">
        <v>41</v>
      </c>
      <c r="S141" s="2">
        <f>4*3.14*10^(-7)</f>
        <v>1.2559999999999999E-6</v>
      </c>
    </row>
    <row r="143" spans="2:19" x14ac:dyDescent="0.3">
      <c r="B143" s="1" t="s">
        <v>34</v>
      </c>
      <c r="C143" s="3" t="s">
        <v>3</v>
      </c>
      <c r="D143" s="2">
        <v>22.5</v>
      </c>
      <c r="E143" s="2">
        <v>33.75</v>
      </c>
      <c r="F143" s="2">
        <v>45</v>
      </c>
      <c r="G143" s="2">
        <v>56.25</v>
      </c>
      <c r="H143" s="2">
        <v>67.5</v>
      </c>
      <c r="I143" s="2">
        <v>78.750000000000014</v>
      </c>
      <c r="J143" s="2">
        <v>90</v>
      </c>
      <c r="K143" s="2">
        <v>101.25</v>
      </c>
      <c r="L143" s="2">
        <v>106.875</v>
      </c>
      <c r="M143" s="2">
        <v>112.5</v>
      </c>
    </row>
    <row r="144" spans="2:19" x14ac:dyDescent="0.3">
      <c r="C144" s="10" t="s">
        <v>31</v>
      </c>
      <c r="D144" s="10">
        <v>1.0182495466178789</v>
      </c>
      <c r="E144" s="10">
        <v>0.96161594118214344</v>
      </c>
      <c r="F144" s="10">
        <v>0.96738216589785397</v>
      </c>
      <c r="G144" s="10">
        <v>0.93024826802093286</v>
      </c>
      <c r="H144" s="10">
        <v>0.90508310114599144</v>
      </c>
      <c r="I144" s="10">
        <v>0.88538501088365473</v>
      </c>
      <c r="J144" s="10">
        <v>0.86307731889471473</v>
      </c>
      <c r="K144" s="10">
        <v>0.84032173697441048</v>
      </c>
      <c r="L144" s="10">
        <v>0.82108774273895024</v>
      </c>
      <c r="M144" s="10">
        <v>0.80939403293901679</v>
      </c>
      <c r="N144" s="11" t="s">
        <v>0</v>
      </c>
    </row>
    <row r="145" spans="2:19" x14ac:dyDescent="0.3">
      <c r="C145" s="2" t="s">
        <v>3</v>
      </c>
      <c r="D145" s="2">
        <v>112.5</v>
      </c>
      <c r="E145" s="2">
        <v>131.25</v>
      </c>
      <c r="F145" s="2">
        <v>150</v>
      </c>
      <c r="G145" s="2">
        <v>168.75</v>
      </c>
      <c r="H145" s="2">
        <v>187.5</v>
      </c>
      <c r="I145" s="2">
        <v>206.25</v>
      </c>
      <c r="J145" s="2">
        <v>225</v>
      </c>
      <c r="K145" s="2">
        <v>337.5</v>
      </c>
      <c r="L145" s="2">
        <v>450</v>
      </c>
      <c r="M145" s="2">
        <v>562.5</v>
      </c>
      <c r="N145" s="2">
        <v>675</v>
      </c>
      <c r="O145" s="2">
        <v>787.5</v>
      </c>
      <c r="P145" s="2">
        <v>900</v>
      </c>
      <c r="Q145" s="2">
        <v>1012.5</v>
      </c>
    </row>
    <row r="146" spans="2:19" x14ac:dyDescent="0.3">
      <c r="C146" s="10" t="s">
        <v>31</v>
      </c>
      <c r="D146" s="10">
        <v>0.80939403293901679</v>
      </c>
      <c r="E146" s="10">
        <v>0.77166106257979872</v>
      </c>
      <c r="F146" s="10">
        <v>0.73199773278347136</v>
      </c>
      <c r="G146" s="10">
        <v>0.67278559386811487</v>
      </c>
      <c r="H146" s="10">
        <v>0.64842440997291939</v>
      </c>
      <c r="I146" s="10">
        <v>0.61494301035041432</v>
      </c>
      <c r="J146" s="10">
        <v>0.58353690075270837</v>
      </c>
      <c r="K146" s="10">
        <v>0.43538722061501828</v>
      </c>
      <c r="L146" s="10">
        <v>0.34131476137704203</v>
      </c>
      <c r="M146" s="10">
        <v>0.27898286001577111</v>
      </c>
      <c r="N146" s="10">
        <v>0.23398635809062079</v>
      </c>
      <c r="O146" s="10">
        <v>0.20233960139339555</v>
      </c>
      <c r="P146" s="10">
        <v>0.17794350485313074</v>
      </c>
      <c r="Q146" s="10">
        <v>0.15866445369026008</v>
      </c>
      <c r="R146" t="s">
        <v>6</v>
      </c>
    </row>
    <row r="147" spans="2:19" x14ac:dyDescent="0.3">
      <c r="C147" s="2" t="s">
        <v>3</v>
      </c>
      <c r="D147" s="2">
        <v>1012.5</v>
      </c>
      <c r="E147" s="2">
        <v>3300</v>
      </c>
      <c r="F147" s="2">
        <v>5475</v>
      </c>
      <c r="G147" s="2">
        <v>7650</v>
      </c>
      <c r="H147" s="2">
        <v>9825</v>
      </c>
      <c r="I147" s="2">
        <v>12000</v>
      </c>
      <c r="J147" s="2">
        <v>14175</v>
      </c>
      <c r="K147" s="2">
        <v>16350</v>
      </c>
      <c r="L147" s="2">
        <v>18525</v>
      </c>
      <c r="M147" s="2">
        <v>20700</v>
      </c>
      <c r="N147" s="2">
        <v>22875</v>
      </c>
      <c r="O147" s="2">
        <v>25050</v>
      </c>
      <c r="P147" s="2">
        <v>27225</v>
      </c>
      <c r="Q147" s="2">
        <v>29400</v>
      </c>
      <c r="R147" s="2">
        <v>31575</v>
      </c>
    </row>
    <row r="148" spans="2:19" x14ac:dyDescent="0.3">
      <c r="C148" s="10" t="s">
        <v>31</v>
      </c>
      <c r="D148" s="10">
        <v>0.15884484177840727</v>
      </c>
      <c r="E148" s="10">
        <v>4.7987366391949358E-2</v>
      </c>
      <c r="F148" s="10">
        <v>2.7476578423439174E-2</v>
      </c>
      <c r="G148" s="10">
        <v>1.8710863180198295E-2</v>
      </c>
      <c r="H148" s="10">
        <v>1.3988516278694765E-2</v>
      </c>
      <c r="I148" s="10">
        <v>1.0406641383729506E-2</v>
      </c>
      <c r="J148" s="10">
        <v>8.4422376042203005E-3</v>
      </c>
      <c r="K148" s="10">
        <v>7.1428400586651805E-3</v>
      </c>
      <c r="L148" s="10">
        <v>6.4370128054828946E-3</v>
      </c>
      <c r="M148" s="10">
        <v>5.631845773771944E-3</v>
      </c>
      <c r="N148" s="10">
        <v>5.5668946963709012E-3</v>
      </c>
      <c r="O148" s="10">
        <v>5.364197685673742E-3</v>
      </c>
      <c r="P148" s="10">
        <v>6.5634916892366585E-3</v>
      </c>
      <c r="Q148" s="10">
        <v>7.624224327393723E-3</v>
      </c>
      <c r="R148" s="10">
        <v>1.0622370257750728E-2</v>
      </c>
      <c r="S148" t="s">
        <v>10</v>
      </c>
    </row>
    <row r="150" spans="2:19" x14ac:dyDescent="0.3">
      <c r="B150" s="1" t="s">
        <v>35</v>
      </c>
      <c r="C150" s="3" t="s">
        <v>3</v>
      </c>
      <c r="D150" s="2">
        <v>22.5</v>
      </c>
      <c r="E150" s="2">
        <v>33.75</v>
      </c>
      <c r="F150" s="2">
        <v>45</v>
      </c>
      <c r="G150" s="2">
        <v>56.25</v>
      </c>
      <c r="H150" s="2">
        <v>67.5</v>
      </c>
      <c r="I150" s="2">
        <v>78.750000000000014</v>
      </c>
      <c r="J150" s="2">
        <v>90</v>
      </c>
      <c r="K150" s="2">
        <v>101.25</v>
      </c>
      <c r="L150" s="2">
        <v>106.875</v>
      </c>
      <c r="M150" s="2">
        <v>112.5</v>
      </c>
    </row>
    <row r="151" spans="2:19" x14ac:dyDescent="0.3">
      <c r="C151" s="9" t="s">
        <v>31</v>
      </c>
      <c r="D151">
        <f>1/(SQRT(1+0.25*($M$141*$P$141*$G$141*$S$141*2*3.14*D150)^2))</f>
        <v>0.98920385359919139</v>
      </c>
      <c r="E151">
        <f t="shared" ref="E151:M151" si="15">1/(SQRT(1+0.25*($M$141*$P$141*$G$141*$S$141*2*3.14*E150)^2))</f>
        <v>0.97618790619150064</v>
      </c>
      <c r="F151">
        <f t="shared" si="15"/>
        <v>0.95879953777277216</v>
      </c>
      <c r="G151">
        <f t="shared" si="15"/>
        <v>0.93775084393334329</v>
      </c>
      <c r="H151">
        <f t="shared" si="15"/>
        <v>0.91381432453696332</v>
      </c>
      <c r="I151">
        <f t="shared" si="15"/>
        <v>0.88775799569983749</v>
      </c>
      <c r="J151">
        <f t="shared" si="15"/>
        <v>0.86029565130914709</v>
      </c>
      <c r="K151">
        <f t="shared" si="15"/>
        <v>0.8320550092051</v>
      </c>
      <c r="L151">
        <f t="shared" si="15"/>
        <v>0.81781140739619551</v>
      </c>
      <c r="M151">
        <f t="shared" si="15"/>
        <v>0.8035624364267957</v>
      </c>
      <c r="N151" t="s">
        <v>37</v>
      </c>
    </row>
    <row r="152" spans="2:19" x14ac:dyDescent="0.3">
      <c r="C152" s="2" t="s">
        <v>3</v>
      </c>
      <c r="D152" s="2">
        <v>112.5</v>
      </c>
      <c r="E152" s="2">
        <v>131.25</v>
      </c>
      <c r="F152" s="2">
        <v>150</v>
      </c>
      <c r="G152" s="2">
        <v>168.75</v>
      </c>
      <c r="H152" s="2">
        <v>187.5</v>
      </c>
      <c r="I152" s="2">
        <v>206.25</v>
      </c>
      <c r="J152" s="2">
        <v>225</v>
      </c>
      <c r="K152" s="2">
        <v>337.5</v>
      </c>
      <c r="L152" s="2">
        <v>450</v>
      </c>
      <c r="M152" s="2">
        <v>562.5</v>
      </c>
      <c r="N152" s="2">
        <v>675</v>
      </c>
      <c r="O152" s="2">
        <v>787.5</v>
      </c>
      <c r="P152" s="2">
        <v>900</v>
      </c>
      <c r="Q152" s="2">
        <v>1012.5</v>
      </c>
      <c r="R152" t="s">
        <v>37</v>
      </c>
    </row>
    <row r="153" spans="2:19" x14ac:dyDescent="0.3">
      <c r="C153" s="9" t="s">
        <v>31</v>
      </c>
      <c r="D153">
        <f>1/(SQRT(1+0.25*($M$141*$P$141*$G$141*$S$141*2*3.14*D152)^2))</f>
        <v>0.8035624364267957</v>
      </c>
      <c r="E153">
        <f t="shared" ref="E153:Q153" si="16">1/(SQRT(1+0.25*($M$141*$P$141*$G$141*$S$141*2*3.14*E152)^2))</f>
        <v>0.75661889394920678</v>
      </c>
      <c r="F153">
        <f t="shared" si="16"/>
        <v>0.71149149492504138</v>
      </c>
      <c r="G153">
        <f t="shared" si="16"/>
        <v>0.6689715382319632</v>
      </c>
      <c r="H153">
        <f t="shared" si="16"/>
        <v>0.62942874098840673</v>
      </c>
      <c r="I153">
        <f t="shared" si="16"/>
        <v>0.59295638306751652</v>
      </c>
      <c r="J153">
        <f t="shared" si="16"/>
        <v>0.5594799334371805</v>
      </c>
      <c r="K153">
        <f t="shared" si="16"/>
        <v>0.4103709621716668</v>
      </c>
      <c r="L153">
        <f t="shared" si="16"/>
        <v>0.31978393118054399</v>
      </c>
      <c r="M153">
        <f t="shared" si="16"/>
        <v>0.26067032669934642</v>
      </c>
      <c r="N153">
        <f t="shared" si="16"/>
        <v>0.2195160430053395</v>
      </c>
      <c r="O153">
        <f t="shared" si="16"/>
        <v>0.18937099784821232</v>
      </c>
      <c r="P153">
        <f t="shared" si="16"/>
        <v>0.16640039720598393</v>
      </c>
      <c r="Q153">
        <f t="shared" si="16"/>
        <v>0.14834312475259376</v>
      </c>
    </row>
    <row r="154" spans="2:19" x14ac:dyDescent="0.3">
      <c r="C154" s="2" t="s">
        <v>3</v>
      </c>
      <c r="D154" s="2">
        <v>1012.5</v>
      </c>
      <c r="E154" s="2">
        <v>3300</v>
      </c>
      <c r="F154" s="2">
        <v>5475</v>
      </c>
      <c r="G154" s="2">
        <v>7650</v>
      </c>
      <c r="H154" s="2">
        <v>9825</v>
      </c>
      <c r="I154" s="2">
        <v>12000</v>
      </c>
      <c r="J154" s="2">
        <v>14175</v>
      </c>
      <c r="K154" s="2">
        <v>16350</v>
      </c>
      <c r="L154" s="2">
        <v>18525</v>
      </c>
      <c r="M154" s="2">
        <v>20700</v>
      </c>
      <c r="N154" s="2">
        <v>22875</v>
      </c>
      <c r="O154" s="2">
        <v>25050</v>
      </c>
      <c r="P154" s="2">
        <v>27225</v>
      </c>
      <c r="Q154" s="2">
        <v>29400</v>
      </c>
      <c r="R154" s="2">
        <v>31575</v>
      </c>
      <c r="S154" t="s">
        <v>38</v>
      </c>
    </row>
    <row r="155" spans="2:19" x14ac:dyDescent="0.3">
      <c r="C155" s="9" t="s">
        <v>31</v>
      </c>
      <c r="D155">
        <f>2*SQRT(2)*D157/$M$141*EXP(-$P$141/D157)</f>
        <v>0.1468390950475417</v>
      </c>
      <c r="E155">
        <f t="shared" ref="E155:R155" si="17">2*SQRT(2)*E157/$M$141*EXP(-$P$141/E157)</f>
        <v>4.6658440924186646E-2</v>
      </c>
      <c r="F155">
        <f t="shared" si="17"/>
        <v>2.5301396302703331E-2</v>
      </c>
      <c r="G155">
        <f t="shared" si="17"/>
        <v>1.5982009924939332E-2</v>
      </c>
      <c r="H155">
        <f t="shared" si="17"/>
        <v>1.0952364135239676E-2</v>
      </c>
      <c r="I155">
        <f t="shared" si="17"/>
        <v>7.9052012414213921E-3</v>
      </c>
      <c r="J155">
        <f t="shared" si="17"/>
        <v>5.917433438329003E-3</v>
      </c>
      <c r="K155">
        <f t="shared" si="17"/>
        <v>4.5517312827018852E-3</v>
      </c>
      <c r="L155">
        <f t="shared" si="17"/>
        <v>3.5764700415165888E-3</v>
      </c>
      <c r="M155">
        <f t="shared" si="17"/>
        <v>2.8587987513298044E-3</v>
      </c>
      <c r="N155">
        <f t="shared" si="17"/>
        <v>2.3178017141505716E-3</v>
      </c>
      <c r="O155">
        <f t="shared" si="17"/>
        <v>1.9018212319782029E-3</v>
      </c>
      <c r="P155">
        <f t="shared" si="17"/>
        <v>1.5766032778591586E-3</v>
      </c>
      <c r="Q155">
        <f t="shared" si="17"/>
        <v>1.3187123360528068E-3</v>
      </c>
      <c r="R155">
        <f t="shared" si="17"/>
        <v>1.1116876832131472E-3</v>
      </c>
    </row>
    <row r="157" spans="2:19" x14ac:dyDescent="0.3">
      <c r="C157" t="s">
        <v>42</v>
      </c>
      <c r="D157">
        <f>SQRT(2/(2*3.14*D154*$G$141*$S$141))</f>
        <v>2.1737265280748451E-3</v>
      </c>
      <c r="E157">
        <f t="shared" ref="E157:R157" si="18">SQRT(2/(2*3.14*E154*$G$141*$S$141))</f>
        <v>1.2040525769492748E-3</v>
      </c>
      <c r="F157">
        <f t="shared" si="18"/>
        <v>9.3478204004529173E-4</v>
      </c>
      <c r="G157">
        <f t="shared" si="18"/>
        <v>7.9080918321703579E-4</v>
      </c>
      <c r="H157">
        <f t="shared" si="18"/>
        <v>6.9780831788399751E-4</v>
      </c>
      <c r="I157">
        <f t="shared" si="18"/>
        <v>6.3141049818323577E-4</v>
      </c>
      <c r="J157">
        <f t="shared" si="18"/>
        <v>5.8095285147126549E-4</v>
      </c>
      <c r="K157">
        <f t="shared" si="18"/>
        <v>5.4093308254493102E-4</v>
      </c>
      <c r="L157">
        <f t="shared" si="18"/>
        <v>5.0818672153607903E-4</v>
      </c>
      <c r="M157">
        <f t="shared" si="18"/>
        <v>4.8074773716772206E-4</v>
      </c>
      <c r="N157">
        <f t="shared" si="18"/>
        <v>4.5732176409678032E-4</v>
      </c>
      <c r="O157">
        <f t="shared" si="18"/>
        <v>4.3701722637829528E-4</v>
      </c>
      <c r="P157">
        <f t="shared" si="18"/>
        <v>4.1919730048549451E-4</v>
      </c>
      <c r="Q157">
        <f t="shared" si="18"/>
        <v>4.0339337018420647E-4</v>
      </c>
      <c r="R157">
        <f t="shared" si="18"/>
        <v>3.8925190066633244E-4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Костылев</dc:creator>
  <cp:lastModifiedBy>A</cp:lastModifiedBy>
  <dcterms:created xsi:type="dcterms:W3CDTF">2023-10-09T19:00:20Z</dcterms:created>
  <dcterms:modified xsi:type="dcterms:W3CDTF">2023-10-10T22:08:31Z</dcterms:modified>
</cp:coreProperties>
</file>