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redondas/CODE/iberonesia/RBCC_E/configs/"/>
    </mc:Choice>
  </mc:AlternateContent>
  <bookViews>
    <workbookView xWindow="8060" yWindow="2180" windowWidth="20740" windowHeight="11460" activeTab="2"/>
  </bookViews>
  <sheets>
    <sheet name="icf.183" sheetId="1" r:id="rId1"/>
    <sheet name="icf_a.183" sheetId="2" r:id="rId2"/>
    <sheet name="Eventos.183" sheetId="3" r:id="rId3"/>
    <sheet name="Incidencias.183" sheetId="4" r:id="rId4"/>
    <sheet name="Check" sheetId="5" r:id="rId5"/>
    <sheet name="DV-IDENTITY-0" sheetId="6" state="veryHidden" r:id="rId6"/>
  </sheets>
  <definedNames>
    <definedName name="__ICF25904" localSheetId="1">icf_a.183!$C$3:$C$55</definedName>
    <definedName name="_ICF25904" localSheetId="0">icf.183!$C$3:$C$55</definedName>
    <definedName name="ICF25904_1" localSheetId="1">icf_a.183!$D$3:$D$55</definedName>
    <definedName name="ICF25904_1" localSheetId="0">icf.183!$D$3:$D$55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5" l="1" a="1"/>
  <c r="C2" i="5"/>
  <c r="A2" i="5"/>
  <c r="D2" i="5" a="1"/>
  <c r="D2" i="5"/>
  <c r="E2" i="5"/>
  <c r="G2" i="5"/>
  <c r="H2" i="5"/>
  <c r="J2" i="5"/>
  <c r="C3" i="5"/>
  <c r="A3" i="5"/>
  <c r="D3" i="5"/>
  <c r="E3" i="5"/>
  <c r="G3" i="5"/>
  <c r="H3" i="5"/>
  <c r="J3" i="5"/>
  <c r="C4" i="5"/>
  <c r="A4" i="5"/>
  <c r="D4" i="5"/>
  <c r="E4" i="5"/>
  <c r="G4" i="5"/>
  <c r="H4" i="5"/>
  <c r="J4" i="5"/>
  <c r="C5" i="5"/>
  <c r="A5" i="5"/>
  <c r="D5" i="5"/>
  <c r="E5" i="5"/>
  <c r="G5" i="5"/>
  <c r="H5" i="5"/>
  <c r="J5" i="5"/>
  <c r="C6" i="5"/>
  <c r="A6" i="5"/>
  <c r="D6" i="5"/>
  <c r="E6" i="5"/>
  <c r="G6" i="5"/>
  <c r="H6" i="5"/>
  <c r="J6" i="5"/>
  <c r="C7" i="5"/>
  <c r="A7" i="5"/>
  <c r="D7" i="5"/>
  <c r="E7" i="5"/>
  <c r="G7" i="5"/>
  <c r="H7" i="5"/>
  <c r="J7" i="5"/>
  <c r="C8" i="5"/>
  <c r="A8" i="5"/>
  <c r="D8" i="5"/>
  <c r="E8" i="5"/>
  <c r="G8" i="5"/>
  <c r="H8" i="5"/>
  <c r="J8" i="5"/>
  <c r="C9" i="5"/>
  <c r="A9" i="5"/>
  <c r="D9" i="5"/>
  <c r="E9" i="5"/>
  <c r="G9" i="5"/>
  <c r="H9" i="5"/>
  <c r="J9" i="5"/>
  <c r="C10" i="5"/>
  <c r="A10" i="5"/>
  <c r="D10" i="5"/>
  <c r="E10" i="5"/>
  <c r="G10" i="5"/>
  <c r="H10" i="5"/>
  <c r="J10" i="5"/>
  <c r="C11" i="5"/>
  <c r="A11" i="5"/>
  <c r="D11" i="5"/>
  <c r="E11" i="5"/>
  <c r="G11" i="5"/>
  <c r="H11" i="5"/>
  <c r="J11" i="5"/>
  <c r="C12" i="5"/>
  <c r="A12" i="5"/>
  <c r="D12" i="5"/>
  <c r="E12" i="5"/>
  <c r="G12" i="5"/>
  <c r="H12" i="5"/>
  <c r="J12" i="5"/>
  <c r="C13" i="5"/>
  <c r="A13" i="5"/>
  <c r="D13" i="5"/>
  <c r="E13" i="5"/>
  <c r="G13" i="5"/>
  <c r="H13" i="5"/>
  <c r="J13" i="5"/>
  <c r="C14" i="5"/>
  <c r="A14" i="5"/>
  <c r="D14" i="5"/>
  <c r="E14" i="5"/>
  <c r="G14" i="5"/>
  <c r="H14" i="5"/>
  <c r="J14" i="5"/>
  <c r="C15" i="5"/>
  <c r="A15" i="5"/>
  <c r="D15" i="5"/>
  <c r="E15" i="5"/>
  <c r="G15" i="5"/>
  <c r="H15" i="5"/>
  <c r="J15" i="5"/>
  <c r="C16" i="5"/>
  <c r="A16" i="5"/>
  <c r="D16" i="5"/>
  <c r="E16" i="5"/>
  <c r="G16" i="5"/>
  <c r="H16" i="5"/>
  <c r="J16" i="5"/>
  <c r="C17" i="5"/>
  <c r="A17" i="5"/>
  <c r="D17" i="5"/>
  <c r="E17" i="5"/>
  <c r="G17" i="5"/>
  <c r="H17" i="5"/>
  <c r="J17" i="5"/>
  <c r="C18" i="5"/>
  <c r="A18" i="5"/>
  <c r="D18" i="5"/>
  <c r="E18" i="5"/>
  <c r="G18" i="5"/>
  <c r="H18" i="5"/>
  <c r="J18" i="5"/>
  <c r="C19" i="5"/>
  <c r="A19" i="5"/>
  <c r="D19" i="5"/>
  <c r="E19" i="5"/>
  <c r="G19" i="5"/>
  <c r="H19" i="5"/>
  <c r="J19" i="5"/>
  <c r="C20" i="5"/>
  <c r="A20" i="5"/>
  <c r="D20" i="5"/>
  <c r="E20" i="5"/>
  <c r="G20" i="5"/>
  <c r="H20" i="5"/>
  <c r="J20" i="5"/>
  <c r="C21" i="5"/>
  <c r="A21" i="5"/>
  <c r="D21" i="5"/>
  <c r="E21" i="5"/>
  <c r="G21" i="5"/>
  <c r="H21" i="5"/>
  <c r="J21" i="5"/>
  <c r="C22" i="5"/>
  <c r="A22" i="5"/>
  <c r="D22" i="5"/>
  <c r="E22" i="5"/>
  <c r="G22" i="5"/>
  <c r="H22" i="5"/>
  <c r="J22" i="5"/>
  <c r="C23" i="5"/>
  <c r="A23" i="5"/>
  <c r="D23" i="5"/>
  <c r="E23" i="5"/>
  <c r="G23" i="5"/>
  <c r="H23" i="5"/>
  <c r="J23" i="5"/>
  <c r="C24" i="5"/>
  <c r="A24" i="5"/>
  <c r="D24" i="5"/>
  <c r="E24" i="5"/>
  <c r="G24" i="5"/>
  <c r="H24" i="5"/>
  <c r="J24" i="5"/>
  <c r="C25" i="5"/>
  <c r="A25" i="5"/>
  <c r="D25" i="5"/>
  <c r="E25" i="5"/>
  <c r="G25" i="5"/>
  <c r="H25" i="5"/>
  <c r="J25" i="5"/>
  <c r="C26" i="5"/>
  <c r="A26" i="5"/>
  <c r="D26" i="5"/>
  <c r="E26" i="5"/>
  <c r="G26" i="5"/>
  <c r="H26" i="5"/>
  <c r="J26" i="5"/>
  <c r="C27" i="5"/>
  <c r="A27" i="5"/>
  <c r="D27" i="5"/>
  <c r="E27" i="5"/>
  <c r="G27" i="5"/>
  <c r="H27" i="5"/>
  <c r="J27" i="5"/>
  <c r="C28" i="5"/>
  <c r="A28" i="5"/>
  <c r="D28" i="5"/>
  <c r="E28" i="5"/>
  <c r="G28" i="5"/>
  <c r="H28" i="5"/>
  <c r="J28" i="5"/>
  <c r="C29" i="5"/>
  <c r="A29" i="5"/>
  <c r="D29" i="5"/>
  <c r="E29" i="5"/>
  <c r="G29" i="5"/>
  <c r="H29" i="5"/>
  <c r="J29" i="5"/>
  <c r="C30" i="5"/>
  <c r="A30" i="5"/>
  <c r="D30" i="5"/>
  <c r="E30" i="5"/>
  <c r="G30" i="5"/>
  <c r="H30" i="5"/>
  <c r="J30" i="5"/>
  <c r="C31" i="5"/>
  <c r="A31" i="5"/>
  <c r="D31" i="5"/>
  <c r="E31" i="5"/>
  <c r="G31" i="5"/>
  <c r="H31" i="5"/>
  <c r="J31" i="5"/>
  <c r="C32" i="5"/>
  <c r="A32" i="5"/>
  <c r="D32" i="5"/>
  <c r="E32" i="5"/>
  <c r="G32" i="5"/>
  <c r="H32" i="5"/>
  <c r="J32" i="5"/>
  <c r="C33" i="5"/>
  <c r="A33" i="5"/>
  <c r="D33" i="5"/>
  <c r="E33" i="5"/>
  <c r="G33" i="5"/>
  <c r="H33" i="5"/>
  <c r="J33" i="5"/>
  <c r="C34" i="5"/>
  <c r="A34" i="5"/>
  <c r="D34" i="5"/>
  <c r="E34" i="5"/>
  <c r="G34" i="5"/>
  <c r="H34" i="5"/>
  <c r="J34" i="5"/>
  <c r="C35" i="5"/>
  <c r="A35" i="5"/>
  <c r="D35" i="5"/>
  <c r="E35" i="5"/>
  <c r="G35" i="5"/>
  <c r="H35" i="5"/>
  <c r="J35" i="5"/>
  <c r="C36" i="5"/>
  <c r="A36" i="5"/>
  <c r="D36" i="5"/>
  <c r="E36" i="5"/>
  <c r="G36" i="5"/>
  <c r="H36" i="5"/>
  <c r="J36" i="5"/>
  <c r="C37" i="5"/>
  <c r="A37" i="5"/>
  <c r="D37" i="5"/>
  <c r="E37" i="5"/>
  <c r="G37" i="5"/>
  <c r="H37" i="5"/>
  <c r="J37" i="5"/>
  <c r="C38" i="5"/>
  <c r="A38" i="5"/>
  <c r="D38" i="5"/>
  <c r="E38" i="5"/>
  <c r="G38" i="5"/>
  <c r="H38" i="5"/>
  <c r="J38" i="5"/>
  <c r="C39" i="5"/>
  <c r="A39" i="5"/>
  <c r="D39" i="5"/>
  <c r="E39" i="5"/>
  <c r="G39" i="5"/>
  <c r="H39" i="5"/>
  <c r="J39" i="5"/>
  <c r="C40" i="5"/>
  <c r="A40" i="5"/>
  <c r="D40" i="5"/>
  <c r="E40" i="5"/>
  <c r="G40" i="5"/>
  <c r="H40" i="5"/>
  <c r="J40" i="5"/>
  <c r="C41" i="5"/>
  <c r="A41" i="5"/>
  <c r="D41" i="5"/>
  <c r="E41" i="5"/>
  <c r="G41" i="5"/>
  <c r="H41" i="5"/>
  <c r="J41" i="5"/>
  <c r="E42" i="5"/>
  <c r="J42" i="5"/>
  <c r="E43" i="5"/>
  <c r="J43" i="5"/>
  <c r="E44" i="5"/>
  <c r="J44" i="5"/>
  <c r="E45" i="5"/>
  <c r="J45" i="5"/>
  <c r="E46" i="5"/>
  <c r="J46" i="5"/>
  <c r="E47" i="5"/>
  <c r="J47" i="5"/>
  <c r="E48" i="5"/>
  <c r="J48" i="5"/>
  <c r="E49" i="5"/>
  <c r="J49" i="5"/>
  <c r="E50" i="5"/>
  <c r="J50" i="5"/>
  <c r="E51" i="5"/>
  <c r="J51" i="5"/>
  <c r="E52" i="5"/>
  <c r="J52" i="5"/>
  <c r="A1" i="6"/>
  <c r="B1" i="6"/>
  <c r="C1" i="6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F1" i="6"/>
  <c r="AG1" i="6"/>
  <c r="AH1" i="6"/>
  <c r="AI1" i="6"/>
  <c r="AJ1" i="6"/>
  <c r="AK1" i="6"/>
  <c r="AL1" i="6"/>
  <c r="AM1" i="6"/>
  <c r="AN1" i="6"/>
  <c r="AO1" i="6"/>
  <c r="AP1" i="6"/>
  <c r="AQ1" i="6"/>
  <c r="AR1" i="6"/>
  <c r="AS1" i="6"/>
  <c r="AT1" i="6"/>
  <c r="AU1" i="6"/>
  <c r="AV1" i="6"/>
  <c r="AW1" i="6"/>
  <c r="AX1" i="6"/>
  <c r="AY1" i="6"/>
  <c r="AZ1" i="6"/>
  <c r="BA1" i="6"/>
  <c r="BB1" i="6"/>
  <c r="BC1" i="6"/>
  <c r="BD1" i="6"/>
  <c r="BE1" i="6"/>
  <c r="BF1" i="6"/>
  <c r="BG1" i="6"/>
  <c r="BH1" i="6"/>
  <c r="BI1" i="6"/>
  <c r="BJ1" i="6"/>
  <c r="BK1" i="6"/>
  <c r="BL1" i="6"/>
  <c r="BM1" i="6"/>
  <c r="BN1" i="6"/>
  <c r="BO1" i="6"/>
  <c r="BP1" i="6"/>
  <c r="BQ1" i="6"/>
  <c r="BR1" i="6"/>
  <c r="BS1" i="6"/>
  <c r="BT1" i="6"/>
  <c r="BU1" i="6"/>
  <c r="BV1" i="6"/>
  <c r="BW1" i="6"/>
  <c r="BX1" i="6"/>
  <c r="BY1" i="6"/>
  <c r="BZ1" i="6"/>
  <c r="CA1" i="6"/>
  <c r="CB1" i="6"/>
  <c r="CC1" i="6"/>
  <c r="CD1" i="6"/>
  <c r="CE1" i="6"/>
  <c r="CF1" i="6"/>
  <c r="CG1" i="6"/>
  <c r="CH1" i="6"/>
  <c r="CI1" i="6"/>
  <c r="CJ1" i="6"/>
  <c r="CK1" i="6"/>
  <c r="CL1" i="6"/>
  <c r="CM1" i="6"/>
  <c r="CN1" i="6"/>
  <c r="CO1" i="6"/>
  <c r="CP1" i="6"/>
  <c r="CQ1" i="6"/>
  <c r="CR1" i="6"/>
  <c r="CS1" i="6"/>
  <c r="CT1" i="6"/>
  <c r="CU1" i="6"/>
  <c r="CV1" i="6"/>
  <c r="CW1" i="6"/>
  <c r="CX1" i="6"/>
  <c r="CY1" i="6"/>
  <c r="CZ1" i="6"/>
  <c r="DA1" i="6"/>
  <c r="DB1" i="6"/>
  <c r="DC1" i="6"/>
  <c r="DD1" i="6"/>
  <c r="DE1" i="6"/>
  <c r="DF1" i="6"/>
  <c r="DG1" i="6"/>
  <c r="DH1" i="6"/>
  <c r="DI1" i="6"/>
  <c r="DJ1" i="6"/>
  <c r="DK1" i="6"/>
  <c r="DL1" i="6"/>
  <c r="DM1" i="6"/>
  <c r="DN1" i="6"/>
  <c r="DO1" i="6"/>
  <c r="DP1" i="6"/>
  <c r="DQ1" i="6"/>
  <c r="DR1" i="6"/>
  <c r="DS1" i="6"/>
  <c r="DT1" i="6"/>
  <c r="DU1" i="6"/>
  <c r="DV1" i="6"/>
  <c r="DW1" i="6"/>
  <c r="DX1" i="6"/>
  <c r="DY1" i="6"/>
  <c r="DZ1" i="6"/>
  <c r="EA1" i="6"/>
  <c r="EB1" i="6"/>
  <c r="EC1" i="6"/>
  <c r="ED1" i="6"/>
  <c r="EE1" i="6"/>
  <c r="EF1" i="6"/>
  <c r="EG1" i="6"/>
  <c r="EH1" i="6"/>
  <c r="EI1" i="6"/>
  <c r="EJ1" i="6"/>
  <c r="EK1" i="6"/>
  <c r="EL1" i="6"/>
  <c r="EM1" i="6"/>
  <c r="EN1" i="6"/>
  <c r="EO1" i="6"/>
  <c r="EP1" i="6"/>
  <c r="EQ1" i="6"/>
  <c r="ER1" i="6"/>
  <c r="ES1" i="6"/>
  <c r="ET1" i="6"/>
  <c r="EU1" i="6"/>
  <c r="EV1" i="6"/>
  <c r="EW1" i="6"/>
  <c r="EX1" i="6"/>
  <c r="EY1" i="6"/>
  <c r="EZ1" i="6"/>
  <c r="FA1" i="6"/>
  <c r="FB1" i="6"/>
  <c r="FC1" i="6"/>
  <c r="FD1" i="6"/>
  <c r="FE1" i="6"/>
  <c r="FF1" i="6"/>
  <c r="FG1" i="6"/>
  <c r="FH1" i="6"/>
  <c r="FI1" i="6"/>
  <c r="FJ1" i="6"/>
  <c r="FK1" i="6"/>
  <c r="FL1" i="6"/>
  <c r="FM1" i="6"/>
  <c r="FN1" i="6"/>
  <c r="FO1" i="6"/>
  <c r="FP1" i="6"/>
  <c r="FQ1" i="6"/>
  <c r="FR1" i="6"/>
  <c r="FS1" i="6"/>
  <c r="FT1" i="6"/>
  <c r="FU1" i="6"/>
  <c r="FV1" i="6"/>
  <c r="FW1" i="6"/>
  <c r="FX1" i="6"/>
  <c r="FY1" i="6"/>
  <c r="FZ1" i="6"/>
  <c r="GA1" i="6"/>
  <c r="GB1" i="6"/>
  <c r="GC1" i="6"/>
  <c r="GD1" i="6"/>
  <c r="GE1" i="6"/>
  <c r="GF1" i="6"/>
  <c r="GG1" i="6"/>
  <c r="GH1" i="6"/>
  <c r="GI1" i="6"/>
  <c r="GJ1" i="6"/>
  <c r="GK1" i="6"/>
  <c r="GL1" i="6"/>
  <c r="GM1" i="6"/>
  <c r="GN1" i="6"/>
  <c r="GO1" i="6"/>
  <c r="GP1" i="6"/>
  <c r="GQ1" i="6"/>
  <c r="GR1" i="6"/>
  <c r="GS1" i="6"/>
  <c r="GT1" i="6"/>
  <c r="GU1" i="6"/>
  <c r="GV1" i="6"/>
  <c r="GW1" i="6"/>
  <c r="GX1" i="6"/>
  <c r="GY1" i="6"/>
  <c r="GZ1" i="6"/>
  <c r="HA1" i="6"/>
  <c r="HB1" i="6"/>
  <c r="HC1" i="6"/>
  <c r="HD1" i="6"/>
  <c r="HE1" i="6"/>
  <c r="HF1" i="6"/>
  <c r="HG1" i="6"/>
  <c r="HH1" i="6"/>
  <c r="HI1" i="6"/>
  <c r="HJ1" i="6"/>
  <c r="HK1" i="6"/>
  <c r="HL1" i="6"/>
  <c r="HM1" i="6"/>
  <c r="HN1" i="6"/>
  <c r="HO1" i="6"/>
  <c r="HP1" i="6"/>
  <c r="HQ1" i="6"/>
  <c r="HR1" i="6"/>
  <c r="HS1" i="6"/>
  <c r="HT1" i="6"/>
  <c r="HU1" i="6"/>
  <c r="HV1" i="6"/>
  <c r="HW1" i="6"/>
  <c r="HX1" i="6"/>
  <c r="HY1" i="6"/>
  <c r="HZ1" i="6"/>
  <c r="IA1" i="6"/>
  <c r="IB1" i="6"/>
  <c r="IC1" i="6"/>
  <c r="ID1" i="6"/>
  <c r="IE1" i="6"/>
  <c r="IF1" i="6"/>
  <c r="IG1" i="6"/>
  <c r="IH1" i="6"/>
  <c r="II1" i="6"/>
  <c r="IJ1" i="6"/>
  <c r="IK1" i="6"/>
  <c r="IL1" i="6"/>
  <c r="IM1" i="6"/>
  <c r="IN1" i="6"/>
  <c r="IO1" i="6"/>
  <c r="IP1" i="6"/>
  <c r="IQ1" i="6"/>
  <c r="IR1" i="6"/>
  <c r="IS1" i="6"/>
  <c r="IT1" i="6"/>
  <c r="IU1" i="6"/>
  <c r="IV1" i="6"/>
  <c r="A2" i="6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EQ2" i="6"/>
  <c r="ER2" i="6"/>
  <c r="ES2" i="6"/>
  <c r="ET2" i="6"/>
  <c r="EU2" i="6"/>
  <c r="EV2" i="6"/>
  <c r="EW2" i="6"/>
  <c r="EX2" i="6"/>
  <c r="EY2" i="6"/>
  <c r="EZ2" i="6"/>
  <c r="FA2" i="6"/>
  <c r="FB2" i="6"/>
  <c r="FC2" i="6"/>
  <c r="FD2" i="6"/>
  <c r="FE2" i="6"/>
  <c r="FF2" i="6"/>
  <c r="FG2" i="6"/>
  <c r="FH2" i="6"/>
  <c r="FI2" i="6"/>
  <c r="FJ2" i="6"/>
  <c r="FK2" i="6"/>
  <c r="FL2" i="6"/>
  <c r="FM2" i="6"/>
  <c r="FN2" i="6"/>
  <c r="FO2" i="6"/>
  <c r="FP2" i="6"/>
  <c r="FQ2" i="6"/>
  <c r="FR2" i="6"/>
  <c r="FS2" i="6"/>
  <c r="FT2" i="6"/>
  <c r="FU2" i="6"/>
  <c r="FV2" i="6"/>
  <c r="FW2" i="6"/>
  <c r="FX2" i="6"/>
  <c r="FY2" i="6"/>
  <c r="FZ2" i="6"/>
  <c r="GA2" i="6"/>
  <c r="GB2" i="6"/>
  <c r="GC2" i="6"/>
  <c r="GD2" i="6"/>
  <c r="GE2" i="6"/>
  <c r="GF2" i="6"/>
  <c r="GG2" i="6"/>
  <c r="GH2" i="6"/>
  <c r="GI2" i="6"/>
  <c r="GJ2" i="6"/>
  <c r="GK2" i="6"/>
  <c r="GL2" i="6"/>
  <c r="GM2" i="6"/>
  <c r="GN2" i="6"/>
  <c r="GO2" i="6"/>
  <c r="GP2" i="6"/>
  <c r="GQ2" i="6"/>
  <c r="GR2" i="6"/>
  <c r="GS2" i="6"/>
  <c r="GT2" i="6"/>
  <c r="GU2" i="6"/>
  <c r="GV2" i="6"/>
  <c r="GW2" i="6"/>
  <c r="GX2" i="6"/>
  <c r="GY2" i="6"/>
  <c r="GZ2" i="6"/>
  <c r="HA2" i="6"/>
  <c r="HB2" i="6"/>
  <c r="HC2" i="6"/>
  <c r="HD2" i="6"/>
  <c r="HE2" i="6"/>
  <c r="HF2" i="6"/>
  <c r="HG2" i="6"/>
  <c r="HH2" i="6"/>
  <c r="HI2" i="6"/>
  <c r="HJ2" i="6"/>
  <c r="HK2" i="6"/>
  <c r="HL2" i="6"/>
  <c r="HM2" i="6"/>
  <c r="HN2" i="6"/>
  <c r="HO2" i="6"/>
  <c r="HP2" i="6"/>
  <c r="HQ2" i="6"/>
  <c r="HR2" i="6"/>
  <c r="HS2" i="6"/>
  <c r="HT2" i="6"/>
  <c r="HU2" i="6"/>
  <c r="HV2" i="6"/>
  <c r="HW2" i="6"/>
  <c r="HX2" i="6"/>
  <c r="HY2" i="6"/>
  <c r="HZ2" i="6"/>
  <c r="IA2" i="6"/>
  <c r="A2" i="3"/>
  <c r="IB2" i="6"/>
  <c r="IC2" i="6"/>
  <c r="ID2" i="6"/>
  <c r="IE2" i="6"/>
  <c r="IF2" i="6"/>
  <c r="IG2" i="6"/>
  <c r="IH2" i="6"/>
  <c r="II2" i="6"/>
  <c r="A3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EQ3" i="6"/>
  <c r="ER3" i="6"/>
  <c r="ES3" i="6"/>
  <c r="ET3" i="6"/>
  <c r="EU3" i="6"/>
  <c r="EV3" i="6"/>
  <c r="EW3" i="6"/>
  <c r="EX3" i="6"/>
  <c r="EY3" i="6"/>
  <c r="EZ3" i="6"/>
  <c r="FA3" i="6"/>
  <c r="FB3" i="6"/>
  <c r="FC3" i="6"/>
  <c r="FD3" i="6"/>
  <c r="FE3" i="6"/>
  <c r="FF3" i="6"/>
  <c r="FG3" i="6"/>
  <c r="FH3" i="6"/>
  <c r="FI3" i="6"/>
  <c r="FJ3" i="6"/>
  <c r="FK3" i="6"/>
  <c r="FL3" i="6"/>
  <c r="FM3" i="6"/>
  <c r="FN3" i="6"/>
  <c r="FO3" i="6"/>
  <c r="FP3" i="6"/>
  <c r="FQ3" i="6"/>
  <c r="FR3" i="6"/>
  <c r="FS3" i="6"/>
  <c r="FT3" i="6"/>
  <c r="FU3" i="6"/>
  <c r="FV3" i="6"/>
  <c r="FW3" i="6"/>
  <c r="FX3" i="6"/>
  <c r="FY3" i="6"/>
  <c r="FZ3" i="6"/>
  <c r="GA3" i="6"/>
  <c r="GB3" i="6"/>
  <c r="GC3" i="6"/>
  <c r="GD3" i="6"/>
  <c r="GE3" i="6"/>
  <c r="GF3" i="6"/>
  <c r="GG3" i="6"/>
  <c r="GH3" i="6"/>
  <c r="GI3" i="6"/>
  <c r="GJ3" i="6"/>
  <c r="GK3" i="6"/>
  <c r="GL3" i="6"/>
  <c r="GM3" i="6"/>
  <c r="GN3" i="6"/>
  <c r="GO3" i="6"/>
  <c r="A1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W1" i="2"/>
  <c r="AX1" i="2"/>
  <c r="AY1" i="2"/>
  <c r="AZ1" i="2"/>
  <c r="BA1" i="2"/>
  <c r="BB1" i="2"/>
  <c r="BC1" i="2"/>
  <c r="BD1" i="2"/>
  <c r="BE1" i="2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</calcChain>
</file>

<file path=xl/sharedStrings.xml><?xml version="1.0" encoding="utf-8"?>
<sst xmlns="http://schemas.openxmlformats.org/spreadsheetml/2006/main" count="527" uniqueCount="333">
  <si>
    <t>#</t>
  </si>
  <si>
    <t>Fecha</t>
  </si>
  <si>
    <t>o3 Temp coef 1</t>
  </si>
  <si>
    <t>o3 Temp coef 2</t>
  </si>
  <si>
    <t>o3 Temp coef 3</t>
  </si>
  <si>
    <t>o3 Temp coef 4</t>
  </si>
  <si>
    <t>o3 Temp coef 5</t>
  </si>
  <si>
    <t>Micrometer steps/deg</t>
  </si>
  <si>
    <t>O3 on O3 Ratio</t>
  </si>
  <si>
    <t>SO2 on SO2 Ratio</t>
  </si>
  <si>
    <t>O3 on SO2 Ratio</t>
  </si>
  <si>
    <t>ETC on O3 Ratio</t>
  </si>
  <si>
    <t>ETC on SO2 Ratio</t>
  </si>
  <si>
    <t>Dead time (sec)</t>
  </si>
  <si>
    <t>WL cal step number</t>
  </si>
  <si>
    <t>Slitmask motor delay</t>
  </si>
  <si>
    <t>Umkehr Offset</t>
  </si>
  <si>
    <t>ND filter 0</t>
  </si>
  <si>
    <t>ND filter 1</t>
  </si>
  <si>
    <t>ND filter 2</t>
  </si>
  <si>
    <t>ND filter 3</t>
  </si>
  <si>
    <t>ND filter 4</t>
  </si>
  <si>
    <t>ND filter 5</t>
  </si>
  <si>
    <t>Zenith steps/rev</t>
  </si>
  <si>
    <t>Brewer Type</t>
  </si>
  <si>
    <t>SL correction flag</t>
  </si>
  <si>
    <t>o3 Temp coef hg</t>
  </si>
  <si>
    <t>R6 Reference</t>
  </si>
  <si>
    <t>R5 Reference</t>
  </si>
  <si>
    <t>ETC_COR_F2</t>
  </si>
  <si>
    <t>ETC_COR_F3</t>
  </si>
  <si>
    <t>ETC_COR_F4</t>
  </si>
  <si>
    <t>ETC_COR_F5</t>
  </si>
  <si>
    <t>O3 Mic #1 Offset</t>
  </si>
  <si>
    <t>Mic #2 Offset</t>
  </si>
  <si>
    <t>O3 FW #3 Offset</t>
  </si>
  <si>
    <t>ETC_0</t>
  </si>
  <si>
    <t>NaN</t>
  </si>
  <si>
    <t>ETC_2</t>
  </si>
  <si>
    <t>ETC_3</t>
  </si>
  <si>
    <t>ETC_4</t>
  </si>
  <si>
    <t>ETC_5</t>
  </si>
  <si>
    <t>ETC_6</t>
  </si>
  <si>
    <t>Grating Slope</t>
  </si>
  <si>
    <t>Grating Intercept</t>
  </si>
  <si>
    <t>Micrometer Zero</t>
  </si>
  <si>
    <t>Iris Open Steps</t>
  </si>
  <si>
    <t>Buffer Delay (s)</t>
  </si>
  <si>
    <t>NO2 FW#1 Pos</t>
  </si>
  <si>
    <t>O3 FW#1 Pos</t>
  </si>
  <si>
    <t>FW#2 Pos</t>
  </si>
  <si>
    <t>uv FW#2 Pos</t>
  </si>
  <si>
    <t>Zenith Offset</t>
  </si>
  <si>
    <t>Zenith UVB Position</t>
  </si>
  <si>
    <t>Date</t>
  </si>
  <si>
    <t xml:space="preserve"> </t>
  </si>
  <si>
    <t xml:space="preserve">Oct 7/2006   </t>
  </si>
  <si>
    <t>"IOS calibration"</t>
  </si>
  <si>
    <t>"icf25904.183"</t>
  </si>
  <si>
    <t>"Shock"</t>
  </si>
  <si>
    <t>"icf28206.183"</t>
  </si>
  <si>
    <t>"R6 change"</t>
  </si>
  <si>
    <t>"inicial 2008"</t>
  </si>
  <si>
    <t>"AFC"</t>
  </si>
  <si>
    <t>"noisier R6"</t>
  </si>
  <si>
    <t>"SL jump. Lab. Etc SUG. New SLref"</t>
  </si>
  <si>
    <t>"icf18008.183"</t>
  </si>
  <si>
    <t>"IOS09"</t>
  </si>
  <si>
    <t>"icf24709.183"</t>
  </si>
  <si>
    <t>"Chg. Cal?"</t>
  </si>
  <si>
    <t>"Lab"</t>
  </si>
  <si>
    <t>"Setup, 5a"</t>
  </si>
  <si>
    <t>"Mic troub. Chg. R6"</t>
  </si>
  <si>
    <t>"Ctes. Mic, Gel"</t>
  </si>
  <si>
    <t>ETC updated from Sep2010 calibrt (1590)</t>
  </si>
  <si>
    <t>"IOS10"</t>
  </si>
  <si>
    <t>"icf26710.183"</t>
  </si>
  <si>
    <t>"Brewer down"</t>
  </si>
  <si>
    <t>"AFC Maintenance"</t>
  </si>
  <si>
    <t>"IOS11"</t>
  </si>
  <si>
    <t>"icf19911.183"</t>
  </si>
  <si>
    <t>"Calc-step change. A updated to 0.3435"</t>
  </si>
  <si>
    <t>"icf21611.183"</t>
  </si>
  <si>
    <t>"New mics. And slit mask offsets"</t>
  </si>
  <si>
    <t>"icf03312.183"</t>
  </si>
  <si>
    <t>"Laboratory.  New board replacement"</t>
  </si>
  <si>
    <t>"Final setup"</t>
  </si>
  <si>
    <t>"icf08212.183"</t>
  </si>
  <si>
    <t>"SL rplc."</t>
  </si>
  <si>
    <t>"Hg rplc."</t>
  </si>
  <si>
    <t>Solved problems with Hg lamp (not found)</t>
  </si>
  <si>
    <t>"SL rplc"</t>
  </si>
  <si>
    <t>"K&amp;Z maintenance"</t>
  </si>
  <si>
    <t>"Severe weather. Indoor"</t>
  </si>
  <si>
    <t>"icf34512.183"</t>
  </si>
  <si>
    <t>"Indoor. Slitmask trouble"</t>
  </si>
  <si>
    <t>"icf06613.183"</t>
  </si>
  <si>
    <t>"Arenosillo2013"</t>
  </si>
  <si>
    <t>"Back IZO. Slit Troubles. New TU"</t>
  </si>
  <si>
    <t>"icf17613.183"</t>
  </si>
  <si>
    <t>"Lab: Inoperative"</t>
  </si>
  <si>
    <t>"Operative outdoor. Old Board"</t>
  </si>
  <si>
    <t>"icf28213.183"</t>
  </si>
  <si>
    <t>"SL rplc. R6 chg not real"</t>
  </si>
  <si>
    <t>"Prism alignment. New tu"</t>
  </si>
  <si>
    <t>"Prism alignment"</t>
  </si>
  <si>
    <t>"icf04314.183"</t>
  </si>
  <si>
    <t>"Hg replacement"</t>
  </si>
  <si>
    <t>"SlitMask &amp; Tracker troubles"</t>
  </si>
  <si>
    <t>"SlitMask troubles. Cal. Chg."</t>
  </si>
  <si>
    <t>"icf02515.183"</t>
  </si>
  <si>
    <t>"Extreme weather, Comm. problems"</t>
  </si>
  <si>
    <t>"SL replc."</t>
  </si>
  <si>
    <t>"IOS 15"</t>
  </si>
  <si>
    <t>"Lab  1000W"</t>
  </si>
  <si>
    <t>"Storm"</t>
  </si>
  <si>
    <t xml:space="preserve"> " Kipp&amp;Zonen maintenance"</t>
  </si>
  <si>
    <t>"Lab 1000W"</t>
  </si>
  <si>
    <t>"SL replacement"</t>
  </si>
  <si>
    <t>IOS Cal.</t>
  </si>
  <si>
    <t>Shock</t>
  </si>
  <si>
    <t xml:space="preserve">Software fails </t>
  </si>
  <si>
    <t>cambio de soft 376a -&gt; 376</t>
  </si>
  <si>
    <t>Pruebas con la rueda de filtros</t>
  </si>
  <si>
    <t>estacion</t>
  </si>
  <si>
    <t>error with rs</t>
  </si>
  <si>
    <t>Outlies en SL. Depuro</t>
  </si>
  <si>
    <t>B02010.183</t>
  </si>
  <si>
    <t>2010,1,20,14,30,0</t>
  </si>
  <si>
    <t>2010,1,20,19,0,0</t>
  </si>
  <si>
    <t>B05010.183</t>
  </si>
  <si>
    <t>B15810.183</t>
  </si>
  <si>
    <t>Outliers en ozono debido a problema con micrómetros. No detectado por matlab. Depuro</t>
  </si>
  <si>
    <t>B16410.183</t>
  </si>
  <si>
    <t>En previsión de mal tiempo, se baja a la quinta desde el 33710 hasta el 34410</t>
  </si>
  <si>
    <t>Error grave, R6 negativo debido a cuentas elevadas en el dark, fallo DT fallo RS. Depuro fichero B</t>
  </si>
  <si>
    <t>B04111.183</t>
  </si>
  <si>
    <t xml:space="preserve">SL ratios &lt;0 haasta que virgilio resetea en torno a las 12:00. Luego bien. Pero Ozono de mala calidad. Depurado fichero </t>
  </si>
  <si>
    <t>B06511.183</t>
  </si>
  <si>
    <t xml:space="preserve">SL ratios &lt;0 haasta que virgilio resetea en torno a las 12:00. Luego bien. Pero Ozono de mala calidad. Eliminado fichero </t>
  </si>
  <si>
    <t>B06611.183</t>
  </si>
  <si>
    <t>SL ratios &lt;0. No ozono. Eleminado fichero B (¿error de software?)</t>
  </si>
  <si>
    <t>B07311.183</t>
  </si>
  <si>
    <t>B07411.183</t>
  </si>
  <si>
    <t>SL ratios &lt;0. Arreglado problema durante la mañana, pero ozono sigue malo. Eleminado fichero B (¿error de software?)</t>
  </si>
  <si>
    <t>B07511.183</t>
  </si>
  <si>
    <t>SL negativa (slitmasks?). Rechazar obs. Hasta las 12:00. Fichero B depurado.</t>
  </si>
  <si>
    <t>B09511.183</t>
  </si>
  <si>
    <t>Se instala brewer en la terraza</t>
  </si>
  <si>
    <t xml:space="preserve">SL negativa. Parece lo de siempre: error de escritura (carácter %), ¿problemas con slitmask?. Ese día no ozono para ningún brewer. Hg's ok. Fichero B descaratado (descarto unica medida buena, &gt;400DU). Descartado también CI </t>
  </si>
  <si>
    <t>B12111.183</t>
  </si>
  <si>
    <t>Subo brewer al laboratorio para calibración con lámparas de 1000W</t>
  </si>
  <si>
    <t>Sin Hg de 11:00 a 15:00: lamp not detected.Depurado fichero B</t>
  </si>
  <si>
    <t>B15811.183</t>
  </si>
  <si>
    <t>Mantenimientto preventivo - AFC</t>
  </si>
  <si>
    <t>Outliers a mediodía. Depuro B</t>
  </si>
  <si>
    <t>B16811.183</t>
  </si>
  <si>
    <t>CALC-STEP and DT updated to 1020, 23. It results in A = 0.3435 &amp; ETC = 1580. Good agreement 2P - 1P</t>
  </si>
  <si>
    <t>Outliers en la tarde, not related to Hg</t>
  </si>
  <si>
    <t>B27011.183</t>
  </si>
  <si>
    <t>B27111.183</t>
  </si>
  <si>
    <t>Outliers en la mañana, durante secuencia manual de SC's. Desenfocado. Tambien depuro outliers en la tarde</t>
  </si>
  <si>
    <t>B27311.183</t>
  </si>
  <si>
    <t>Datos malos debidos a problemas de enfoque. Depuro</t>
  </si>
  <si>
    <t>B27611.183</t>
  </si>
  <si>
    <t>Datos malos debidos a problemas de enfoque</t>
  </si>
  <si>
    <t>B26911.183</t>
  </si>
  <si>
    <t>2011,09,26,18,0,0</t>
  </si>
  <si>
    <t>2011,09,26,19,0,0</t>
  </si>
  <si>
    <t>2011,09,27,16,0,0</t>
  </si>
  <si>
    <t>2011,09,27,19,0,0</t>
  </si>
  <si>
    <t>2011,09,28,13,0,0</t>
  </si>
  <si>
    <t>2011,09,28,19,0,0</t>
  </si>
  <si>
    <t>2011,09,30,07,0,0</t>
  </si>
  <si>
    <t>2011,09,30,19,0,0</t>
  </si>
  <si>
    <t>2011,10,03,07,0,0</t>
  </si>
  <si>
    <t>2011,10,03,19,0,0</t>
  </si>
  <si>
    <t>B27911.183</t>
  </si>
  <si>
    <t>2011,10,06,07,0,0</t>
  </si>
  <si>
    <t>2011,10,06,19,0,0</t>
  </si>
  <si>
    <t>B28011.183</t>
  </si>
  <si>
    <t>2011,10,07,15,0,0</t>
  </si>
  <si>
    <t>2011,10,07,19,0,0</t>
  </si>
  <si>
    <t>B28111.183</t>
  </si>
  <si>
    <t>2011,10,08,07,0,0</t>
  </si>
  <si>
    <t>2011,10,08,19,0,0</t>
  </si>
  <si>
    <t>B28211.183</t>
  </si>
  <si>
    <t>2011,10,09,13,0,0</t>
  </si>
  <si>
    <t>2011,10,09,19,0,0</t>
  </si>
  <si>
    <t>B28311.183</t>
  </si>
  <si>
    <t>2011,10,10,07,0,0</t>
  </si>
  <si>
    <t>2011,10,10,19,0,0</t>
  </si>
  <si>
    <t>Laboratorio (Nordic camp.)</t>
  </si>
  <si>
    <t>Fallos con las slits,  Fallos con las comunicaciones.</t>
  </si>
  <si>
    <t>Instalado en la azotea. A partir de aquí numerosos fallos (ver log)</t>
  </si>
  <si>
    <t xml:space="preserve">Cambio de lámpara halogena. </t>
  </si>
  <si>
    <t>Cambiados los mic's offsets: #1:-299 #2:718. Actualizado a icf02412. Se resetea firmware.</t>
  </si>
  <si>
    <t>Datos malos durante la mañana. Problemas con micrometro</t>
  </si>
  <si>
    <t>B02612.183</t>
  </si>
  <si>
    <t xml:space="preserve">Cambio de fuente. Nuevas constantes de micrómetro (icf03312). Problemas con las rendijas, manualmente se pone e    M,11,0, -&gt; M,11,-2 </t>
  </si>
  <si>
    <t>Laboratory.  New board replacement</t>
  </si>
  <si>
    <t>200W lamps ok. Zenith adjustment. Micrometers motor's velocity changed.</t>
  </si>
  <si>
    <t>Final setup</t>
  </si>
  <si>
    <t>Datos malos debidos a problemas de enfoque. Depuro outliers a partir del mediodia</t>
  </si>
  <si>
    <t>B12112.183</t>
  </si>
  <si>
    <t>2012,04,30,12,30,0</t>
  </si>
  <si>
    <t>2012,04,30,19,30,0</t>
  </si>
  <si>
    <t>Datos malos debidos a problemas de enfoque. Depuro outliers a partir de las 13:00</t>
  </si>
  <si>
    <t>B12212.183</t>
  </si>
  <si>
    <t>2012,05,01,7,30,0</t>
  </si>
  <si>
    <t>2012,05,1,19,30,0</t>
  </si>
  <si>
    <t>Laboratory</t>
  </si>
  <si>
    <t>SL rplc.</t>
  </si>
  <si>
    <t>Hg rplc.</t>
  </si>
  <si>
    <t>Cambio gel de sílice</t>
  </si>
  <si>
    <t>K&amp;Z maintenance</t>
  </si>
  <si>
    <t>Brewer en la quinta en prevision de mal tiempo</t>
  </si>
  <si>
    <t>Cambio gel de silice</t>
  </si>
  <si>
    <t>Se baja a la 5º en previsión de fuertes vientos</t>
  </si>
  <si>
    <t>Slitmask problems. New dcf03513.183 (not optimal. Discarded)</t>
  </si>
  <si>
    <t>Calibración en el laboratorio. Slitmask problems. New dcf (dcf03613.183) Operativo en la azotea</t>
  </si>
  <si>
    <t>Azimut track system cleaning. Silical gel replacement. B files dep.</t>
  </si>
  <si>
    <t>B08013</t>
  </si>
  <si>
    <t>Mic#1 blocked</t>
  </si>
  <si>
    <t>2013,04,08,7,0,0</t>
  </si>
  <si>
    <t>2013,04,8,19,0,0</t>
  </si>
  <si>
    <t>Limpieza de tracker</t>
  </si>
  <si>
    <t>El Arenosillo 2013</t>
  </si>
  <si>
    <t>Back IZO. Slit Troubles. New TU</t>
  </si>
  <si>
    <t>Laboratory: Inoperative</t>
  </si>
  <si>
    <t>Operativo nuevamente en la azotea. Old board. SL replacement. B files depured (bad o3 data)</t>
  </si>
  <si>
    <t>B28213</t>
  </si>
  <si>
    <t>2013,10,09,7,0,0</t>
  </si>
  <si>
    <t>2013,10,9,15,0,0</t>
  </si>
  <si>
    <t>Datos malos de ozono. Depuro fichero B</t>
  </si>
  <si>
    <t>B28313</t>
  </si>
  <si>
    <t>2013,10,10,7,0,0</t>
  </si>
  <si>
    <t>2013,10,10,12,0,0</t>
  </si>
  <si>
    <t>Tracker off</t>
  </si>
  <si>
    <t>Corregido mal posicionamiento del Tracker</t>
  </si>
  <si>
    <t>Internal Hg lamp replacement</t>
  </si>
  <si>
    <t>SL intensity change due to unknown reasons. Chg. Lamp characteristics.</t>
  </si>
  <si>
    <t>Se baja a la 5. Tormenta</t>
  </si>
  <si>
    <t>Instalado en la azotea nuevamente.</t>
  </si>
  <si>
    <t>SL replacement. Not aligned. Higher ratios (not real)</t>
  </si>
  <si>
    <t>B35313</t>
  </si>
  <si>
    <t>2013,12,19,13,0,0</t>
  </si>
  <si>
    <t>2013,12,19,19,0,0</t>
  </si>
  <si>
    <t>Troubles with tracker</t>
  </si>
  <si>
    <t>Se carga el firmware, intentando arreglar problemas con Hg y Tracker</t>
  </si>
  <si>
    <t>Se alinea el prisma. Nueva constante tu. Intensidad y R6 ahora normales</t>
  </si>
  <si>
    <t>New Cenit adjustment</t>
  </si>
  <si>
    <t>Hg replacement</t>
  </si>
  <si>
    <t>B07114</t>
  </si>
  <si>
    <t>2014,3,12,7,0,0</t>
  </si>
  <si>
    <t>2014,3,12,11,0,0</t>
  </si>
  <si>
    <t>Se baja a la 5º en previsión de mal tiempo</t>
  </si>
  <si>
    <t>Slitmask problems</t>
  </si>
  <si>
    <t>Calibracion en Lab.</t>
  </si>
  <si>
    <t>Bad Data</t>
  </si>
  <si>
    <t>B28714</t>
  </si>
  <si>
    <t>2014,10,14,11,0,0</t>
  </si>
  <si>
    <t>2014,10,14,11,30,0</t>
  </si>
  <si>
    <t>Indoor due to bad weather</t>
  </si>
  <si>
    <t>Reinstalled outdoors</t>
  </si>
  <si>
    <t>Reinstalled outdoors. SlitMask troubles</t>
  </si>
  <si>
    <t>B32814</t>
  </si>
  <si>
    <t>2014,11,24,7,0,0</t>
  </si>
  <si>
    <t>2014,11,24,11,30,0</t>
  </si>
  <si>
    <t>Reinstalled outdoors. SlitMask and Tracker troubles</t>
  </si>
  <si>
    <t>Datos malos debidos a problemas con slitmask</t>
  </si>
  <si>
    <t>B34014</t>
  </si>
  <si>
    <t>2014,12,6,7,0,0</t>
  </si>
  <si>
    <t>2014,12,6,19,0,0</t>
  </si>
  <si>
    <t>B34814</t>
  </si>
  <si>
    <t>2014,12,14,7,0,0</t>
  </si>
  <si>
    <t>2014,12,14,19,0,0</t>
  </si>
  <si>
    <t>B35114</t>
  </si>
  <si>
    <t>2014,12,17,7,0,0</t>
  </si>
  <si>
    <t>2014,12,17,12,0,0</t>
  </si>
  <si>
    <t>B35514</t>
  </si>
  <si>
    <t>2014,12,21,7,0,0</t>
  </si>
  <si>
    <t>2014,12,21,19,0,0</t>
  </si>
  <si>
    <t>SlitMask troubles. Cal. (R6) change</t>
  </si>
  <si>
    <t>B35814</t>
  </si>
  <si>
    <t>2014,12,24,7,0,0</t>
  </si>
  <si>
    <t>2014,12,24,12,0,0</t>
  </si>
  <si>
    <t xml:space="preserve">SlitMask troubles. </t>
  </si>
  <si>
    <t>B36514</t>
  </si>
  <si>
    <t>2014,12,31,7,0,0</t>
  </si>
  <si>
    <t>2014,12,31,19,0,0</t>
  </si>
  <si>
    <t>B00115</t>
  </si>
  <si>
    <t>2015,01,01,7,0,0</t>
  </si>
  <si>
    <t>2015,01,01,11,0,0</t>
  </si>
  <si>
    <t>B00315</t>
  </si>
  <si>
    <t>2015,01,03,7,0,0</t>
  </si>
  <si>
    <t>2015,01,03,19,0,0</t>
  </si>
  <si>
    <t>B00415</t>
  </si>
  <si>
    <t>2015,01,04,7,0,0</t>
  </si>
  <si>
    <t>2015,01,04,19,0,0</t>
  </si>
  <si>
    <t>B00515</t>
  </si>
  <si>
    <t>2015,01,05,7,0,0</t>
  </si>
  <si>
    <t>2015,01,05,11,0,0</t>
  </si>
  <si>
    <t>B00615</t>
  </si>
  <si>
    <t>2015,01,06,7,0,0</t>
  </si>
  <si>
    <t>2015,01,06,19,0,0</t>
  </si>
  <si>
    <t>B00815</t>
  </si>
  <si>
    <t>2015,01,08,7,0,0</t>
  </si>
  <si>
    <t>2015,01,08,15,0,0</t>
  </si>
  <si>
    <t>B01815</t>
  </si>
  <si>
    <t>2015,01,18,10,0,0</t>
  </si>
  <si>
    <t>2015,01,18,19,0,0</t>
  </si>
  <si>
    <t>B01915</t>
  </si>
  <si>
    <t>2015,01,19,07,0,0</t>
  </si>
  <si>
    <t>2015,01,19,11,0,0</t>
  </si>
  <si>
    <t>B07115</t>
  </si>
  <si>
    <t>2015,3,12,13,15,0</t>
  </si>
  <si>
    <t>2015,3,12,16,0,0</t>
  </si>
  <si>
    <t>Problemas varios: hielo, comm., …</t>
  </si>
  <si>
    <t>SL replacement</t>
  </si>
  <si>
    <t>IOS Maintenance</t>
  </si>
  <si>
    <t>Brewer calibración 1000W</t>
  </si>
  <si>
    <t>Cambio icf 28815.183</t>
  </si>
  <si>
    <t>Rotura del hiso seguridad tracker</t>
  </si>
  <si>
    <t>Brewer bajado por temporal</t>
  </si>
  <si>
    <t>Mantenimientto Kipp&amp;Zonen</t>
  </si>
  <si>
    <t>Calibración 1000W</t>
  </si>
  <si>
    <t>Icf</t>
  </si>
  <si>
    <t>icf_a</t>
  </si>
  <si>
    <t>Events</t>
  </si>
  <si>
    <t>Diff icf - Event</t>
  </si>
  <si>
    <t>Diff icf_a - Event</t>
  </si>
  <si>
    <t>AAAAAH/OzPM=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</si>
</sst>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ourier"/>
      <family val="3"/>
    </font>
    <font>
      <sz val="10"/>
      <color indexed="8"/>
      <name val="Calibri"/>
      <family val="2"/>
    </font>
    <font>
      <b/>
      <sz val="10"/>
      <name val="Courier"/>
      <family val="3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0" borderId="1" applyNumberFormat="0" applyFill="0" applyAlignment="0" applyProtection="0"/>
  </cellStyleXfs>
  <cellXfs count="42">
    <xf numFmtId="0" fontId="0" fillId="0" borderId="0" xfId="0"/>
    <xf numFmtId="14" fontId="0" fillId="0" borderId="0" xfId="0" applyNumberFormat="1"/>
    <xf numFmtId="14" fontId="3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1" fontId="2" fillId="0" borderId="0" xfId="0" applyNumberFormat="1" applyFont="1" applyBorder="1"/>
    <xf numFmtId="1" fontId="3" fillId="0" borderId="0" xfId="0" applyNumberFormat="1" applyFont="1" applyBorder="1"/>
    <xf numFmtId="0" fontId="0" fillId="0" borderId="0" xfId="0" applyAlignment="1">
      <alignment horizontal="left" vertical="top" wrapText="1"/>
    </xf>
    <xf numFmtId="1" fontId="0" fillId="0" borderId="0" xfId="0" applyNumberFormat="1"/>
    <xf numFmtId="1" fontId="3" fillId="0" borderId="0" xfId="0" applyNumberFormat="1" applyFont="1" applyFill="1" applyBorder="1"/>
    <xf numFmtId="0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3" fillId="0" borderId="0" xfId="0" applyNumberFormat="1" applyFont="1" applyBorder="1" applyAlignment="1">
      <alignment horizontal="left" wrapText="1"/>
    </xf>
    <xf numFmtId="0" fontId="3" fillId="0" borderId="0" xfId="0" applyNumberFormat="1" applyFont="1" applyBorder="1"/>
    <xf numFmtId="0" fontId="0" fillId="0" borderId="0" xfId="0" applyAlignment="1">
      <alignment horizontal="center"/>
    </xf>
    <xf numFmtId="14" fontId="3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11" fontId="2" fillId="0" borderId="0" xfId="0" applyNumberFormat="1" applyFont="1" applyFill="1" applyBorder="1" applyAlignment="1">
      <alignment vertical="top" wrapText="1"/>
    </xf>
    <xf numFmtId="11" fontId="2" fillId="0" borderId="0" xfId="0" applyNumberFormat="1" applyFont="1" applyFill="1" applyBorder="1"/>
    <xf numFmtId="11" fontId="3" fillId="0" borderId="0" xfId="0" applyNumberFormat="1" applyFont="1" applyFill="1" applyBorder="1"/>
    <xf numFmtId="1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Fill="1"/>
    <xf numFmtId="14" fontId="3" fillId="0" borderId="0" xfId="0" applyNumberFormat="1" applyFont="1" applyFill="1" applyBorder="1"/>
    <xf numFmtId="1" fontId="2" fillId="0" borderId="0" xfId="0" applyNumberFormat="1" applyFont="1" applyFill="1" applyBorder="1"/>
    <xf numFmtId="0" fontId="3" fillId="0" borderId="0" xfId="0" applyNumberFormat="1" applyFont="1" applyFill="1" applyBorder="1"/>
    <xf numFmtId="178" fontId="3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vertical="top" wrapText="1"/>
    </xf>
    <xf numFmtId="3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/>
    <xf numFmtId="17" fontId="2" fillId="0" borderId="0" xfId="0" applyNumberFormat="1" applyFont="1" applyFill="1" applyBorder="1"/>
    <xf numFmtId="1" fontId="0" fillId="0" borderId="0" xfId="0" applyNumberFormat="1" applyFill="1"/>
    <xf numFmtId="14" fontId="5" fillId="0" borderId="0" xfId="0" applyNumberFormat="1" applyFont="1"/>
    <xf numFmtId="0" fontId="0" fillId="0" borderId="0" xfId="0" applyAlignment="1">
      <alignment wrapText="1"/>
    </xf>
    <xf numFmtId="1" fontId="3" fillId="0" borderId="0" xfId="0" applyNumberFormat="1" applyFont="1" applyFill="1" applyBorder="1" applyAlignment="1">
      <alignment horizontal="right"/>
    </xf>
    <xf numFmtId="1" fontId="6" fillId="0" borderId="0" xfId="0" applyNumberFormat="1" applyFont="1"/>
    <xf numFmtId="1" fontId="1" fillId="0" borderId="0" xfId="0" applyNumberFormat="1" applyFont="1" applyFill="1" applyBorder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opLeftCell="AU1" workbookViewId="0">
      <selection activeCell="BE2" sqref="BE2"/>
    </sheetView>
  </sheetViews>
  <sheetFormatPr baseColWidth="10" defaultColWidth="11.33203125" defaultRowHeight="15" x14ac:dyDescent="0.2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customWidth="1"/>
    <col min="22" max="23" width="14.6640625" style="29" customWidth="1"/>
    <col min="24" max="24" width="12" style="29" customWidth="1"/>
    <col min="25" max="33" width="11.33203125" style="29"/>
    <col min="34" max="43" width="12" style="29" customWidth="1"/>
    <col min="44" max="56" width="12.1640625" style="29" customWidth="1"/>
    <col min="57" max="16384" width="11.33203125" style="29"/>
  </cols>
  <sheetData>
    <row r="1" spans="1:57" s="25" customFormat="1" x14ac:dyDescent="0.2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T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ref="U1:BE1" si="1">+U2-693960</f>
        <v>40742</v>
      </c>
      <c r="V1" s="24">
        <f t="shared" si="1"/>
        <v>40759</v>
      </c>
      <c r="W1" s="24">
        <f t="shared" si="1"/>
        <v>40854</v>
      </c>
      <c r="X1" s="24">
        <f t="shared" si="1"/>
        <v>40940</v>
      </c>
      <c r="Y1" s="24">
        <f t="shared" si="1"/>
        <v>40975</v>
      </c>
      <c r="Z1" s="24">
        <f t="shared" si="1"/>
        <v>40992</v>
      </c>
      <c r="AA1" s="24">
        <f t="shared" si="1"/>
        <v>41057</v>
      </c>
      <c r="AB1" s="24">
        <f t="shared" si="1"/>
        <v>41075</v>
      </c>
      <c r="AC1" s="24">
        <f t="shared" si="1"/>
        <v>41097</v>
      </c>
      <c r="AD1" s="24">
        <f t="shared" si="1"/>
        <v>41172</v>
      </c>
      <c r="AE1" s="24">
        <f t="shared" si="1"/>
        <v>41205</v>
      </c>
      <c r="AF1" s="24">
        <f t="shared" si="1"/>
        <v>41213</v>
      </c>
      <c r="AG1" s="24">
        <f t="shared" si="1"/>
        <v>41228</v>
      </c>
      <c r="AH1" s="24">
        <f t="shared" si="1"/>
        <v>41253</v>
      </c>
      <c r="AI1" s="24">
        <f t="shared" si="1"/>
        <v>41340</v>
      </c>
      <c r="AJ1" s="24">
        <f t="shared" si="1"/>
        <v>41428</v>
      </c>
      <c r="AK1" s="24">
        <f t="shared" si="1"/>
        <v>41450</v>
      </c>
      <c r="AL1" s="24">
        <f t="shared" si="1"/>
        <v>41506</v>
      </c>
      <c r="AM1" s="24">
        <f t="shared" si="1"/>
        <v>41556</v>
      </c>
      <c r="AN1" s="24">
        <f t="shared" si="1"/>
        <v>41576</v>
      </c>
      <c r="AO1" s="24">
        <f t="shared" si="1"/>
        <v>41627</v>
      </c>
      <c r="AP1" s="24">
        <f t="shared" si="1"/>
        <v>41634</v>
      </c>
      <c r="AQ1" s="24">
        <f t="shared" si="1"/>
        <v>41650</v>
      </c>
      <c r="AR1" s="24">
        <f t="shared" si="1"/>
        <v>41682</v>
      </c>
      <c r="AS1" s="24">
        <f t="shared" si="1"/>
        <v>41710</v>
      </c>
      <c r="AT1" s="24">
        <f t="shared" si="1"/>
        <v>41753</v>
      </c>
      <c r="AU1" s="24">
        <f t="shared" si="1"/>
        <v>41974</v>
      </c>
      <c r="AV1" s="24">
        <f t="shared" si="1"/>
        <v>41997</v>
      </c>
      <c r="AW1" s="24">
        <f t="shared" si="1"/>
        <v>42028</v>
      </c>
      <c r="AX1" s="24">
        <f t="shared" si="1"/>
        <v>42085</v>
      </c>
      <c r="AY1" s="24">
        <f t="shared" si="1"/>
        <v>42104</v>
      </c>
      <c r="AZ1" s="24">
        <f t="shared" si="1"/>
        <v>42164</v>
      </c>
      <c r="BA1" s="24">
        <f>BA2-693960</f>
        <v>42274</v>
      </c>
      <c r="BB1" s="24">
        <f t="shared" si="1"/>
        <v>42417</v>
      </c>
      <c r="BC1" s="24">
        <f t="shared" si="1"/>
        <v>42440</v>
      </c>
      <c r="BD1" s="24">
        <f t="shared" si="1"/>
        <v>42447</v>
      </c>
      <c r="BE1" s="24">
        <f t="shared" si="1"/>
        <v>42564</v>
      </c>
    </row>
    <row r="2" spans="1:57" s="8" customFormat="1" x14ac:dyDescent="0.2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40">
        <v>736124</v>
      </c>
      <c r="BA2" s="40">
        <v>736234</v>
      </c>
      <c r="BB2" s="40">
        <v>736377</v>
      </c>
      <c r="BC2" s="40">
        <v>736400</v>
      </c>
      <c r="BD2" s="40">
        <v>736407</v>
      </c>
      <c r="BE2" s="41">
        <v>736524</v>
      </c>
    </row>
    <row r="3" spans="1:57" x14ac:dyDescent="0.2">
      <c r="A3" s="16">
        <v>1</v>
      </c>
      <c r="B3" s="17" t="s">
        <v>2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>
        <v>0</v>
      </c>
    </row>
    <row r="4" spans="1:57" x14ac:dyDescent="0.2">
      <c r="A4" s="16">
        <v>2</v>
      </c>
      <c r="B4" s="17" t="s">
        <v>3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  <c r="BA4" s="28">
        <v>2.92E-2</v>
      </c>
      <c r="BB4" s="28">
        <v>2.92E-2</v>
      </c>
      <c r="BC4" s="28">
        <v>2.92E-2</v>
      </c>
      <c r="BD4" s="28">
        <v>2.92E-2</v>
      </c>
      <c r="BE4" s="28">
        <v>2.92E-2</v>
      </c>
    </row>
    <row r="5" spans="1:57" x14ac:dyDescent="0.2">
      <c r="A5" s="16">
        <v>3</v>
      </c>
      <c r="B5" s="17" t="s">
        <v>4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  <c r="BA5" s="28">
        <v>0.21490000000000001</v>
      </c>
      <c r="BB5" s="28">
        <v>0.21490000000000001</v>
      </c>
      <c r="BC5" s="28">
        <v>0.21490000000000001</v>
      </c>
      <c r="BD5" s="28">
        <v>0.21490000000000001</v>
      </c>
      <c r="BE5" s="28">
        <v>0.21490000000000001</v>
      </c>
    </row>
    <row r="6" spans="1:57" x14ac:dyDescent="0.2">
      <c r="A6" s="16">
        <v>4</v>
      </c>
      <c r="B6" s="17" t="s">
        <v>5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  <c r="BA6" s="28">
        <v>0.38400000000000001</v>
      </c>
      <c r="BB6" s="28">
        <v>0.38400000000000001</v>
      </c>
      <c r="BC6" s="28">
        <v>0.38400000000000001</v>
      </c>
      <c r="BD6" s="28">
        <v>0.38400000000000001</v>
      </c>
      <c r="BE6" s="28">
        <v>0.38400000000000001</v>
      </c>
    </row>
    <row r="7" spans="1:57" x14ac:dyDescent="0.2">
      <c r="A7" s="16">
        <v>5</v>
      </c>
      <c r="B7" s="17" t="s">
        <v>6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  <c r="BA7" s="28">
        <v>0.4919</v>
      </c>
      <c r="BB7" s="28">
        <v>0.4919</v>
      </c>
      <c r="BC7" s="28">
        <v>0.4919</v>
      </c>
      <c r="BD7" s="28">
        <v>0.4919</v>
      </c>
      <c r="BE7" s="28">
        <v>0.4919</v>
      </c>
    </row>
    <row r="8" spans="1:57" x14ac:dyDescent="0.2">
      <c r="A8" s="16">
        <v>6</v>
      </c>
      <c r="B8" s="17" t="s">
        <v>7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</row>
    <row r="9" spans="1:57" x14ac:dyDescent="0.2">
      <c r="A9" s="16">
        <v>7</v>
      </c>
      <c r="B9" s="17" t="s">
        <v>8</v>
      </c>
      <c r="C9" s="17">
        <v>0.34050000000000002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0.34399999999999997</v>
      </c>
      <c r="Q9" s="30">
        <v>0.34399999999999997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  <c r="BA9" s="28">
        <v>0.34100000000000003</v>
      </c>
      <c r="BB9" s="28">
        <v>0.34100000000000003</v>
      </c>
      <c r="BC9" s="28">
        <v>0.34100000000000003</v>
      </c>
      <c r="BD9" s="28">
        <v>0.34100000000000003</v>
      </c>
      <c r="BE9" s="28">
        <v>0.34100000000000003</v>
      </c>
    </row>
    <row r="10" spans="1:57" x14ac:dyDescent="0.2">
      <c r="A10" s="16">
        <v>8</v>
      </c>
      <c r="B10" s="17" t="s">
        <v>9</v>
      </c>
      <c r="C10" s="17">
        <v>2.35</v>
      </c>
      <c r="D10" s="17">
        <v>2.35</v>
      </c>
      <c r="E10" s="30">
        <v>2.35</v>
      </c>
      <c r="F10" s="30">
        <v>2.35</v>
      </c>
      <c r="G10" s="30">
        <v>2.35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  <c r="BA10" s="28">
        <v>2.35</v>
      </c>
      <c r="BB10" s="28">
        <v>2.35</v>
      </c>
      <c r="BC10" s="28">
        <v>2.35</v>
      </c>
      <c r="BD10" s="28">
        <v>2.35</v>
      </c>
      <c r="BE10" s="28">
        <v>2.35</v>
      </c>
    </row>
    <row r="11" spans="1:57" x14ac:dyDescent="0.2">
      <c r="A11" s="16">
        <v>9</v>
      </c>
      <c r="B11" s="17" t="s">
        <v>10</v>
      </c>
      <c r="C11" s="17">
        <v>1.1559999999999999</v>
      </c>
      <c r="D11" s="17">
        <v>1.1559999999999999</v>
      </c>
      <c r="E11" s="17">
        <v>1.1559999999999999</v>
      </c>
      <c r="F11" s="17">
        <v>1.1559999999999999</v>
      </c>
      <c r="G11" s="17">
        <v>1.1559999999999999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  <c r="BA11" s="28">
        <v>1.46</v>
      </c>
      <c r="BB11" s="28">
        <v>1.46</v>
      </c>
      <c r="BC11" s="28">
        <v>1.46</v>
      </c>
      <c r="BD11" s="28">
        <v>1.46</v>
      </c>
      <c r="BE11" s="28">
        <v>1.46</v>
      </c>
    </row>
    <row r="12" spans="1:57" s="8" customFormat="1" x14ac:dyDescent="0.2">
      <c r="A12" s="16">
        <v>10</v>
      </c>
      <c r="B12" s="17" t="s">
        <v>11</v>
      </c>
      <c r="C12" s="17">
        <v>1650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1600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1630</v>
      </c>
      <c r="BA12" s="8">
        <v>1630</v>
      </c>
      <c r="BB12" s="8">
        <v>1630</v>
      </c>
      <c r="BC12" s="8">
        <v>1630</v>
      </c>
      <c r="BD12" s="8">
        <v>1630</v>
      </c>
      <c r="BE12" s="8">
        <v>1630</v>
      </c>
    </row>
    <row r="13" spans="1:57" s="8" customFormat="1" x14ac:dyDescent="0.2">
      <c r="A13" s="16">
        <v>11</v>
      </c>
      <c r="B13" s="17" t="s">
        <v>12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  <c r="BA13" s="17">
        <v>270</v>
      </c>
      <c r="BB13" s="17">
        <v>270</v>
      </c>
      <c r="BC13" s="17">
        <v>270</v>
      </c>
      <c r="BD13" s="17">
        <v>270</v>
      </c>
      <c r="BE13" s="17">
        <v>270</v>
      </c>
    </row>
    <row r="14" spans="1:57" s="20" customFormat="1" x14ac:dyDescent="0.2">
      <c r="A14" s="16">
        <v>12</v>
      </c>
      <c r="B14" s="17" t="s">
        <v>13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2.3000000000000001E-8</v>
      </c>
      <c r="X14" s="17">
        <v>2.3000000000000001E-8</v>
      </c>
      <c r="Y14" s="17">
        <v>2.3000000000000001E-8</v>
      </c>
      <c r="Z14" s="17">
        <v>2.3000000000000001E-8</v>
      </c>
      <c r="AA14" s="17">
        <v>2.3000000000000001E-8</v>
      </c>
      <c r="AB14" s="17">
        <v>2.3000000000000001E-8</v>
      </c>
      <c r="AC14" s="17">
        <v>2.3000000000000001E-8</v>
      </c>
      <c r="AD14" s="17">
        <v>2.3000000000000001E-8</v>
      </c>
      <c r="AE14" s="17">
        <v>2.3000000000000001E-8</v>
      </c>
      <c r="AF14" s="17">
        <v>2.3000000000000001E-8</v>
      </c>
      <c r="AG14" s="17">
        <v>2.3000000000000001E-8</v>
      </c>
      <c r="AH14" s="17">
        <v>2.3000000000000001E-8</v>
      </c>
      <c r="AI14" s="17">
        <v>2.3000000000000001E-8</v>
      </c>
      <c r="AJ14" s="17">
        <v>2.3000000000000001E-8</v>
      </c>
      <c r="AK14" s="17">
        <v>2.3000000000000001E-8</v>
      </c>
      <c r="AL14" s="17">
        <v>2.3000000000000001E-8</v>
      </c>
      <c r="AM14" s="17">
        <v>2.3000000000000001E-8</v>
      </c>
      <c r="AN14" s="17">
        <v>2.3000000000000001E-8</v>
      </c>
      <c r="AO14" s="17">
        <v>2.3000000000000001E-8</v>
      </c>
      <c r="AP14" s="17">
        <v>2.3000000000000001E-8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  <c r="BA14" s="17">
        <v>2.3000000000000001E-8</v>
      </c>
      <c r="BB14" s="17">
        <v>2.3000000000000001E-8</v>
      </c>
      <c r="BC14" s="17">
        <v>2.3000000000000001E-8</v>
      </c>
      <c r="BD14" s="17">
        <v>2.3000000000000001E-8</v>
      </c>
      <c r="BE14" s="17">
        <v>2.3000000000000001E-8</v>
      </c>
    </row>
    <row r="15" spans="1:57" s="8" customFormat="1" x14ac:dyDescent="0.2">
      <c r="A15" s="16">
        <v>13</v>
      </c>
      <c r="B15" s="17" t="s">
        <v>14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  <c r="BA15" s="17">
        <v>1020</v>
      </c>
      <c r="BB15" s="17">
        <v>1020</v>
      </c>
      <c r="BC15" s="17">
        <v>1020</v>
      </c>
      <c r="BD15" s="17">
        <v>1020</v>
      </c>
      <c r="BE15" s="17">
        <v>1020</v>
      </c>
    </row>
    <row r="16" spans="1:57" s="8" customFormat="1" x14ac:dyDescent="0.2">
      <c r="A16" s="16">
        <v>14</v>
      </c>
      <c r="B16" s="17" t="s">
        <v>15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  <c r="BA16" s="17">
        <v>14</v>
      </c>
      <c r="BB16" s="17">
        <v>14</v>
      </c>
      <c r="BC16" s="17">
        <v>14</v>
      </c>
      <c r="BD16" s="17">
        <v>14</v>
      </c>
      <c r="BE16" s="17">
        <v>14</v>
      </c>
    </row>
    <row r="17" spans="1:57" s="8" customFormat="1" x14ac:dyDescent="0.2">
      <c r="A17" s="16">
        <v>15</v>
      </c>
      <c r="B17" s="17" t="s">
        <v>16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  <c r="BA17" s="17">
        <v>2430</v>
      </c>
      <c r="BB17" s="17">
        <v>2430</v>
      </c>
      <c r="BC17" s="17">
        <v>2430</v>
      </c>
      <c r="BD17" s="17">
        <v>2430</v>
      </c>
      <c r="BE17" s="17">
        <v>2430</v>
      </c>
    </row>
    <row r="18" spans="1:57" s="8" customFormat="1" x14ac:dyDescent="0.2">
      <c r="A18" s="16">
        <v>16</v>
      </c>
      <c r="B18" s="17" t="s">
        <v>17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</row>
    <row r="19" spans="1:57" s="8" customFormat="1" x14ac:dyDescent="0.2">
      <c r="A19" s="16">
        <v>17</v>
      </c>
      <c r="B19" s="17" t="s">
        <v>18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  <c r="BA19" s="17">
        <v>4350</v>
      </c>
      <c r="BB19" s="17">
        <v>4350</v>
      </c>
      <c r="BC19" s="17">
        <v>4350</v>
      </c>
      <c r="BD19" s="17">
        <v>4350</v>
      </c>
      <c r="BE19" s="17">
        <v>4350</v>
      </c>
    </row>
    <row r="20" spans="1:57" s="8" customFormat="1" x14ac:dyDescent="0.2">
      <c r="A20" s="16">
        <v>18</v>
      </c>
      <c r="B20" s="17" t="s">
        <v>19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  <c r="BA20" s="17">
        <v>10250</v>
      </c>
      <c r="BB20" s="17">
        <v>10250</v>
      </c>
      <c r="BC20" s="17">
        <v>10250</v>
      </c>
      <c r="BD20" s="17">
        <v>10250</v>
      </c>
      <c r="BE20" s="17">
        <v>10250</v>
      </c>
    </row>
    <row r="21" spans="1:57" s="8" customFormat="1" x14ac:dyDescent="0.2">
      <c r="A21" s="16">
        <v>19</v>
      </c>
      <c r="B21" s="17" t="s">
        <v>20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  <c r="BA21" s="17">
        <v>14100</v>
      </c>
      <c r="BB21" s="17">
        <v>14100</v>
      </c>
      <c r="BC21" s="17">
        <v>14100</v>
      </c>
      <c r="BD21" s="17">
        <v>14100</v>
      </c>
      <c r="BE21" s="17">
        <v>14100</v>
      </c>
    </row>
    <row r="22" spans="1:57" s="8" customFormat="1" x14ac:dyDescent="0.2">
      <c r="A22" s="16">
        <v>20</v>
      </c>
      <c r="B22" s="17" t="s">
        <v>21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  <c r="BA22" s="8">
        <v>21500</v>
      </c>
      <c r="BB22" s="8">
        <v>21500</v>
      </c>
      <c r="BC22" s="8">
        <v>21500</v>
      </c>
      <c r="BD22" s="8">
        <v>21500</v>
      </c>
      <c r="BE22" s="8">
        <v>21500</v>
      </c>
    </row>
    <row r="23" spans="1:57" s="8" customFormat="1" x14ac:dyDescent="0.2">
      <c r="A23" s="16">
        <v>21</v>
      </c>
      <c r="B23" s="17" t="s">
        <v>22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  <c r="BA23" s="8">
        <v>25800</v>
      </c>
      <c r="BB23" s="8">
        <v>25800</v>
      </c>
      <c r="BC23" s="8">
        <v>25800</v>
      </c>
      <c r="BD23" s="8">
        <v>25800</v>
      </c>
      <c r="BE23" s="8">
        <v>25800</v>
      </c>
    </row>
    <row r="24" spans="1:57" s="8" customFormat="1" x14ac:dyDescent="0.2">
      <c r="A24" s="16">
        <v>22</v>
      </c>
      <c r="B24" s="17" t="s">
        <v>23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  <c r="BA24" s="8">
        <v>2972</v>
      </c>
      <c r="BB24" s="8">
        <v>2972</v>
      </c>
      <c r="BC24" s="8">
        <v>2972</v>
      </c>
      <c r="BD24" s="8">
        <v>2972</v>
      </c>
      <c r="BE24" s="8">
        <v>2972</v>
      </c>
    </row>
    <row r="25" spans="1:57" s="8" customFormat="1" x14ac:dyDescent="0.2">
      <c r="A25" s="16">
        <v>23</v>
      </c>
      <c r="B25" s="17" t="s">
        <v>24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3</v>
      </c>
      <c r="BE25" s="8">
        <v>3</v>
      </c>
    </row>
    <row r="26" spans="1:57" s="8" customFormat="1" x14ac:dyDescent="0.2">
      <c r="A26" s="16">
        <v>24</v>
      </c>
      <c r="B26" s="17" t="s">
        <v>25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1</v>
      </c>
      <c r="AI26" s="17">
        <v>1</v>
      </c>
      <c r="AJ26" s="17">
        <v>1</v>
      </c>
      <c r="AK26" s="17">
        <v>1</v>
      </c>
      <c r="AL26" s="17">
        <v>1</v>
      </c>
      <c r="AM26" s="17">
        <v>1</v>
      </c>
      <c r="AN26" s="17">
        <v>1</v>
      </c>
      <c r="AO26" s="17">
        <v>1</v>
      </c>
      <c r="AP26" s="17">
        <v>1</v>
      </c>
      <c r="AQ26" s="17">
        <v>1</v>
      </c>
      <c r="AR26" s="17">
        <v>1</v>
      </c>
      <c r="AS26" s="17">
        <v>1</v>
      </c>
      <c r="AT26" s="17">
        <v>1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</row>
    <row r="27" spans="1:57" x14ac:dyDescent="0.2">
      <c r="A27" s="16">
        <v>25</v>
      </c>
      <c r="B27" s="17" t="s">
        <v>26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</row>
    <row r="28" spans="1:57" x14ac:dyDescent="0.2">
      <c r="A28" s="16">
        <v>26</v>
      </c>
      <c r="B28" s="17" t="s">
        <v>27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350</v>
      </c>
      <c r="P28" s="30">
        <v>360</v>
      </c>
      <c r="Q28" s="30">
        <v>365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333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385</v>
      </c>
      <c r="BA28" s="17">
        <v>385</v>
      </c>
      <c r="BB28" s="17">
        <v>385</v>
      </c>
      <c r="BC28" s="17">
        <v>385</v>
      </c>
      <c r="BD28" s="17">
        <v>385</v>
      </c>
      <c r="BE28" s="17">
        <v>385</v>
      </c>
    </row>
    <row r="29" spans="1:57" x14ac:dyDescent="0.2">
      <c r="A29" s="16">
        <v>27</v>
      </c>
      <c r="B29" s="17" t="s">
        <v>28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610</v>
      </c>
      <c r="P29" s="30">
        <v>590</v>
      </c>
      <c r="Q29" s="30">
        <v>610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557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  <c r="BA29" s="28">
        <v>550</v>
      </c>
      <c r="BB29" s="28">
        <v>550</v>
      </c>
      <c r="BC29" s="28">
        <v>550</v>
      </c>
      <c r="BD29" s="28">
        <v>550</v>
      </c>
      <c r="BE29" s="28">
        <v>550</v>
      </c>
    </row>
    <row r="30" spans="1:57" x14ac:dyDescent="0.2">
      <c r="A30" s="16">
        <v>28</v>
      </c>
      <c r="B30" s="17" t="s">
        <v>29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</row>
    <row r="31" spans="1:57" x14ac:dyDescent="0.2">
      <c r="A31" s="16">
        <v>29</v>
      </c>
      <c r="B31" s="17" t="s">
        <v>30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</row>
    <row r="32" spans="1:57" x14ac:dyDescent="0.2">
      <c r="A32" s="16">
        <v>30</v>
      </c>
      <c r="B32" s="17" t="s">
        <v>31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  <c r="BA32" s="28">
        <v>-8</v>
      </c>
      <c r="BB32" s="28">
        <v>-8</v>
      </c>
      <c r="BC32" s="28">
        <v>-8</v>
      </c>
      <c r="BD32" s="28">
        <v>-8</v>
      </c>
      <c r="BE32" s="28">
        <v>-8</v>
      </c>
    </row>
    <row r="33" spans="1:57" x14ac:dyDescent="0.2">
      <c r="A33" s="16">
        <v>31</v>
      </c>
      <c r="B33" s="17" t="s">
        <v>32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</row>
    <row r="34" spans="1:57" x14ac:dyDescent="0.2">
      <c r="A34" s="16">
        <v>32</v>
      </c>
      <c r="B34" s="17" t="s">
        <v>33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</row>
    <row r="35" spans="1:57" s="8" customFormat="1" x14ac:dyDescent="0.2">
      <c r="A35" s="16">
        <v>33</v>
      </c>
      <c r="B35" s="17" t="s">
        <v>34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  <c r="BA35" s="8">
        <v>2</v>
      </c>
      <c r="BB35" s="8">
        <v>2</v>
      </c>
      <c r="BC35" s="8">
        <v>2</v>
      </c>
      <c r="BD35" s="8">
        <v>2</v>
      </c>
      <c r="BE35" s="8">
        <v>2</v>
      </c>
    </row>
    <row r="36" spans="1:57" s="8" customFormat="1" x14ac:dyDescent="0.2">
      <c r="A36" s="16">
        <v>34</v>
      </c>
      <c r="B36" s="17" t="s">
        <v>35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  <c r="BA36" s="8">
        <v>242</v>
      </c>
      <c r="BB36" s="8">
        <v>242</v>
      </c>
      <c r="BC36" s="8">
        <v>242</v>
      </c>
      <c r="BD36" s="8">
        <v>242</v>
      </c>
      <c r="BE36" s="8">
        <v>242</v>
      </c>
    </row>
    <row r="37" spans="1:57" s="8" customFormat="1" x14ac:dyDescent="0.2">
      <c r="A37" s="16">
        <v>35</v>
      </c>
      <c r="B37" s="17" t="s">
        <v>36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 t="s">
        <v>37</v>
      </c>
      <c r="AB37" s="8" t="s">
        <v>37</v>
      </c>
      <c r="AC37" s="8" t="s">
        <v>37</v>
      </c>
      <c r="AD37" s="8" t="s">
        <v>37</v>
      </c>
      <c r="AE37" s="8" t="s">
        <v>37</v>
      </c>
      <c r="AF37" s="8" t="s">
        <v>37</v>
      </c>
      <c r="AG37" s="8" t="s">
        <v>37</v>
      </c>
      <c r="AH37" s="8" t="s">
        <v>37</v>
      </c>
      <c r="AI37" s="8" t="s">
        <v>37</v>
      </c>
      <c r="AJ37" s="8" t="s">
        <v>37</v>
      </c>
      <c r="AK37" s="8" t="s">
        <v>37</v>
      </c>
      <c r="AL37" s="8" t="s">
        <v>37</v>
      </c>
      <c r="AM37" s="8" t="s">
        <v>37</v>
      </c>
      <c r="AN37" s="8" t="s">
        <v>37</v>
      </c>
      <c r="AO37" s="8" t="s">
        <v>37</v>
      </c>
      <c r="AP37" s="8" t="s">
        <v>37</v>
      </c>
      <c r="AQ37" s="8" t="s">
        <v>37</v>
      </c>
      <c r="AR37" s="8" t="s">
        <v>37</v>
      </c>
      <c r="AS37" s="39" t="s">
        <v>37</v>
      </c>
      <c r="AT37" s="39" t="s">
        <v>37</v>
      </c>
      <c r="AU37" s="8" t="s">
        <v>37</v>
      </c>
      <c r="AV37" s="8" t="s">
        <v>37</v>
      </c>
      <c r="AW37" s="8" t="s">
        <v>37</v>
      </c>
      <c r="AX37" s="8" t="s">
        <v>37</v>
      </c>
      <c r="AY37" s="8" t="s">
        <v>37</v>
      </c>
      <c r="AZ37" s="8" t="s">
        <v>37</v>
      </c>
      <c r="BA37" s="8" t="s">
        <v>37</v>
      </c>
      <c r="BB37" s="8" t="s">
        <v>37</v>
      </c>
      <c r="BC37" s="8" t="s">
        <v>37</v>
      </c>
      <c r="BD37" s="8" t="s">
        <v>37</v>
      </c>
      <c r="BE37" s="8" t="s">
        <v>37</v>
      </c>
    </row>
    <row r="38" spans="1:57" s="8" customFormat="1" x14ac:dyDescent="0.2">
      <c r="A38" s="16">
        <v>36</v>
      </c>
      <c r="B38" s="17" t="s">
        <v>38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78870</v>
      </c>
      <c r="AB38" s="8">
        <v>78870</v>
      </c>
      <c r="AC38" s="8">
        <v>78870</v>
      </c>
      <c r="AD38" s="8">
        <v>78870</v>
      </c>
      <c r="AE38" s="8">
        <v>78870</v>
      </c>
      <c r="AF38" s="8">
        <v>78870</v>
      </c>
      <c r="AG38" s="8">
        <v>78870</v>
      </c>
      <c r="AH38" s="8">
        <v>78870</v>
      </c>
      <c r="AI38" s="8">
        <v>78870</v>
      </c>
      <c r="AJ38" s="8">
        <v>78870</v>
      </c>
      <c r="AK38" s="8">
        <v>78870</v>
      </c>
      <c r="AL38" s="8">
        <v>78870</v>
      </c>
      <c r="AM38" s="8">
        <v>78870</v>
      </c>
      <c r="AN38" s="8">
        <v>74984937</v>
      </c>
      <c r="AO38" s="8">
        <v>78870</v>
      </c>
      <c r="AP38" s="8">
        <v>78870</v>
      </c>
      <c r="AQ38" s="8">
        <v>78870</v>
      </c>
      <c r="AR38" s="8">
        <v>78870</v>
      </c>
      <c r="AS38" s="8">
        <v>73799494</v>
      </c>
      <c r="AT38" s="8">
        <v>73054578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  <c r="BA38" s="8">
        <v>72815633</v>
      </c>
      <c r="BB38" s="8">
        <v>72815633</v>
      </c>
      <c r="BC38" s="8">
        <v>72815633</v>
      </c>
      <c r="BD38" s="8">
        <v>72815633</v>
      </c>
      <c r="BE38" s="8">
        <v>72815633</v>
      </c>
    </row>
    <row r="39" spans="1:57" s="8" customFormat="1" x14ac:dyDescent="0.2">
      <c r="A39" s="16">
        <v>37</v>
      </c>
      <c r="B39" s="17" t="s">
        <v>39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78035</v>
      </c>
      <c r="AB39" s="8">
        <v>78035</v>
      </c>
      <c r="AC39" s="8">
        <v>78035</v>
      </c>
      <c r="AD39" s="8">
        <v>78035</v>
      </c>
      <c r="AE39" s="8">
        <v>78035</v>
      </c>
      <c r="AF39" s="8">
        <v>78035</v>
      </c>
      <c r="AG39" s="8">
        <v>78035</v>
      </c>
      <c r="AH39" s="8">
        <v>78035</v>
      </c>
      <c r="AI39" s="8">
        <v>78035</v>
      </c>
      <c r="AJ39" s="8">
        <v>78035</v>
      </c>
      <c r="AK39" s="8">
        <v>78035</v>
      </c>
      <c r="AL39" s="8">
        <v>78035</v>
      </c>
      <c r="AM39" s="8">
        <v>78035</v>
      </c>
      <c r="AN39" s="8">
        <v>62646681</v>
      </c>
      <c r="AO39" s="8">
        <v>78035</v>
      </c>
      <c r="AP39" s="8">
        <v>78035</v>
      </c>
      <c r="AQ39" s="8">
        <v>78035</v>
      </c>
      <c r="AR39" s="8">
        <v>78035</v>
      </c>
      <c r="AS39" s="8">
        <v>61672607</v>
      </c>
      <c r="AT39" s="8">
        <v>60887416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  <c r="BA39" s="8">
        <v>61485032</v>
      </c>
      <c r="BB39" s="8">
        <v>61485032</v>
      </c>
      <c r="BC39" s="8">
        <v>61485032</v>
      </c>
      <c r="BD39" s="8">
        <v>61485032</v>
      </c>
      <c r="BE39" s="8">
        <v>61485032</v>
      </c>
    </row>
    <row r="40" spans="1:57" s="8" customFormat="1" x14ac:dyDescent="0.2">
      <c r="A40" s="16">
        <v>38</v>
      </c>
      <c r="B40" s="17" t="s">
        <v>40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80350</v>
      </c>
      <c r="AB40" s="8">
        <v>80350</v>
      </c>
      <c r="AC40" s="8">
        <v>80350</v>
      </c>
      <c r="AD40" s="8">
        <v>80350</v>
      </c>
      <c r="AE40" s="8">
        <v>80350</v>
      </c>
      <c r="AF40" s="8">
        <v>80350</v>
      </c>
      <c r="AG40" s="8">
        <v>80350</v>
      </c>
      <c r="AH40" s="8">
        <v>80350</v>
      </c>
      <c r="AI40" s="8">
        <v>80350</v>
      </c>
      <c r="AJ40" s="8">
        <v>80350</v>
      </c>
      <c r="AK40" s="8">
        <v>80350</v>
      </c>
      <c r="AL40" s="8">
        <v>80350</v>
      </c>
      <c r="AM40" s="8">
        <v>80350</v>
      </c>
      <c r="AN40" s="8">
        <v>108180746</v>
      </c>
      <c r="AO40" s="8">
        <v>80350</v>
      </c>
      <c r="AP40" s="8">
        <v>80350</v>
      </c>
      <c r="AQ40" s="8">
        <v>80350</v>
      </c>
      <c r="AR40" s="8">
        <v>80350</v>
      </c>
      <c r="AS40" s="8">
        <v>105571827</v>
      </c>
      <c r="AT40" s="8">
        <v>104192213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  <c r="BA40" s="8">
        <v>106318375</v>
      </c>
      <c r="BB40" s="8">
        <v>106318375</v>
      </c>
      <c r="BC40" s="8">
        <v>106318375</v>
      </c>
      <c r="BD40" s="8">
        <v>106318375</v>
      </c>
      <c r="BE40" s="8">
        <v>106318375</v>
      </c>
    </row>
    <row r="41" spans="1:57" s="8" customFormat="1" x14ac:dyDescent="0.2">
      <c r="A41" s="16">
        <v>39</v>
      </c>
      <c r="B41" s="17" t="s">
        <v>41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80560</v>
      </c>
      <c r="AB41" s="8">
        <v>80560</v>
      </c>
      <c r="AC41" s="8">
        <v>80560</v>
      </c>
      <c r="AD41" s="8">
        <v>80560</v>
      </c>
      <c r="AE41" s="8">
        <v>80560</v>
      </c>
      <c r="AF41" s="8">
        <v>80560</v>
      </c>
      <c r="AG41" s="8">
        <v>80560</v>
      </c>
      <c r="AH41" s="8">
        <v>80560</v>
      </c>
      <c r="AI41" s="8">
        <v>80560</v>
      </c>
      <c r="AJ41" s="8">
        <v>80560</v>
      </c>
      <c r="AK41" s="8">
        <v>80560</v>
      </c>
      <c r="AL41" s="8">
        <v>80560</v>
      </c>
      <c r="AM41" s="8">
        <v>80560</v>
      </c>
      <c r="AN41" s="8">
        <v>114524521</v>
      </c>
      <c r="AO41" s="8">
        <v>80560</v>
      </c>
      <c r="AP41" s="8">
        <v>80560</v>
      </c>
      <c r="AQ41" s="8">
        <v>80560</v>
      </c>
      <c r="AR41" s="8">
        <v>80560</v>
      </c>
      <c r="AS41" s="8">
        <v>111802925</v>
      </c>
      <c r="AT41" s="8">
        <v>110369077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  <c r="BA41" s="8">
        <v>114516340</v>
      </c>
      <c r="BB41" s="8">
        <v>114516340</v>
      </c>
      <c r="BC41" s="8">
        <v>114516340</v>
      </c>
      <c r="BD41" s="8">
        <v>114516340</v>
      </c>
      <c r="BE41" s="8">
        <v>114516340</v>
      </c>
    </row>
    <row r="42" spans="1:57" s="8" customFormat="1" x14ac:dyDescent="0.2">
      <c r="A42" s="16">
        <v>40</v>
      </c>
      <c r="B42" s="17" t="s">
        <v>42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81040</v>
      </c>
      <c r="AB42" s="8">
        <v>81040</v>
      </c>
      <c r="AC42" s="8">
        <v>81040</v>
      </c>
      <c r="AD42" s="8">
        <v>81040</v>
      </c>
      <c r="AE42" s="8">
        <v>81040</v>
      </c>
      <c r="AF42" s="8">
        <v>81040</v>
      </c>
      <c r="AG42" s="8">
        <v>81040</v>
      </c>
      <c r="AH42" s="8">
        <v>81040</v>
      </c>
      <c r="AI42" s="8">
        <v>81040</v>
      </c>
      <c r="AJ42" s="8">
        <v>81040</v>
      </c>
      <c r="AK42" s="8">
        <v>81040</v>
      </c>
      <c r="AL42" s="8">
        <v>81040</v>
      </c>
      <c r="AM42" s="8">
        <v>81040</v>
      </c>
      <c r="AN42" s="8">
        <v>130040205</v>
      </c>
      <c r="AO42" s="8">
        <v>81040</v>
      </c>
      <c r="AP42" s="8">
        <v>81040</v>
      </c>
      <c r="AQ42" s="8">
        <v>81040</v>
      </c>
      <c r="AR42" s="8">
        <v>81040</v>
      </c>
      <c r="AS42" s="8">
        <v>126128700</v>
      </c>
      <c r="AT42" s="8">
        <v>124820454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  <c r="BA42" s="8">
        <v>129150519</v>
      </c>
      <c r="BB42" s="8">
        <v>129150519</v>
      </c>
      <c r="BC42" s="8">
        <v>129150519</v>
      </c>
      <c r="BD42" s="8">
        <v>129150519</v>
      </c>
      <c r="BE42" s="8">
        <v>129150519</v>
      </c>
    </row>
    <row r="43" spans="1:57" x14ac:dyDescent="0.2">
      <c r="A43" s="16">
        <v>41</v>
      </c>
      <c r="B43" s="17" t="s">
        <v>43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  <c r="BA43" s="28">
        <v>0.99099999999999999</v>
      </c>
      <c r="BB43" s="28">
        <v>0.99099999999999999</v>
      </c>
      <c r="BC43" s="28">
        <v>0.99099999999999999</v>
      </c>
      <c r="BD43" s="28">
        <v>0.99099999999999999</v>
      </c>
      <c r="BE43" s="28">
        <v>0.99099999999999999</v>
      </c>
    </row>
    <row r="44" spans="1:57" x14ac:dyDescent="0.2">
      <c r="A44" s="16">
        <v>42</v>
      </c>
      <c r="B44" s="17" t="s">
        <v>44</v>
      </c>
      <c r="C44" s="17">
        <v>8</v>
      </c>
      <c r="D44" s="17">
        <v>8</v>
      </c>
      <c r="E44" s="17">
        <v>8</v>
      </c>
      <c r="F44" s="17">
        <v>8</v>
      </c>
      <c r="G44" s="17">
        <v>8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  <c r="BA44" s="28">
        <v>22</v>
      </c>
      <c r="BB44" s="28">
        <v>22</v>
      </c>
      <c r="BC44" s="28">
        <v>22</v>
      </c>
      <c r="BD44" s="28">
        <v>22</v>
      </c>
      <c r="BE44" s="28">
        <v>22</v>
      </c>
    </row>
    <row r="45" spans="1:57" s="8" customFormat="1" x14ac:dyDescent="0.2">
      <c r="A45" s="16">
        <v>43</v>
      </c>
      <c r="B45" s="17" t="s">
        <v>45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  <c r="BA45" s="8">
        <v>1732</v>
      </c>
      <c r="BB45" s="8">
        <v>1732</v>
      </c>
      <c r="BC45" s="8">
        <v>1732</v>
      </c>
      <c r="BD45" s="8">
        <v>1732</v>
      </c>
      <c r="BE45" s="8">
        <v>1732</v>
      </c>
    </row>
    <row r="46" spans="1:57" s="8" customFormat="1" x14ac:dyDescent="0.2">
      <c r="A46" s="16">
        <v>44</v>
      </c>
      <c r="B46" s="17" t="s">
        <v>46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  <c r="BA46" s="8">
        <v>250</v>
      </c>
      <c r="BB46" s="8">
        <v>250</v>
      </c>
      <c r="BC46" s="8">
        <v>250</v>
      </c>
      <c r="BD46" s="8">
        <v>250</v>
      </c>
      <c r="BE46" s="8">
        <v>250</v>
      </c>
    </row>
    <row r="47" spans="1:57" s="8" customFormat="1" x14ac:dyDescent="0.2">
      <c r="A47" s="16">
        <v>45</v>
      </c>
      <c r="B47" s="17" t="s">
        <v>47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  <c r="BA47" s="8">
        <v>0.4</v>
      </c>
      <c r="BB47" s="8">
        <v>0.4</v>
      </c>
      <c r="BC47" s="8">
        <v>0.4</v>
      </c>
      <c r="BD47" s="8">
        <v>0.4</v>
      </c>
      <c r="BE47" s="8">
        <v>0.4</v>
      </c>
    </row>
    <row r="48" spans="1:57" s="8" customFormat="1" x14ac:dyDescent="0.2">
      <c r="A48" s="16">
        <v>46</v>
      </c>
      <c r="B48" s="17" t="s">
        <v>48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</row>
    <row r="49" spans="1:57" s="8" customFormat="1" x14ac:dyDescent="0.2">
      <c r="A49" s="16">
        <v>47</v>
      </c>
      <c r="B49" s="17" t="s">
        <v>49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  <c r="BA49" s="8">
        <v>256</v>
      </c>
      <c r="BB49" s="8">
        <v>256</v>
      </c>
      <c r="BC49" s="8">
        <v>256</v>
      </c>
      <c r="BD49" s="8">
        <v>256</v>
      </c>
      <c r="BE49" s="8">
        <v>256</v>
      </c>
    </row>
    <row r="50" spans="1:57" s="8" customFormat="1" x14ac:dyDescent="0.2">
      <c r="A50" s="16">
        <v>48</v>
      </c>
      <c r="B50" s="17" t="s">
        <v>50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</row>
    <row r="51" spans="1:57" s="8" customFormat="1" x14ac:dyDescent="0.2">
      <c r="A51" s="16">
        <v>49</v>
      </c>
      <c r="B51" s="17" t="s">
        <v>51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  <c r="BA51" s="8">
        <v>64</v>
      </c>
      <c r="BB51" s="8">
        <v>64</v>
      </c>
      <c r="BC51" s="8">
        <v>64</v>
      </c>
      <c r="BD51" s="8">
        <v>64</v>
      </c>
      <c r="BE51" s="8">
        <v>64</v>
      </c>
    </row>
    <row r="52" spans="1:57" s="8" customFormat="1" x14ac:dyDescent="0.2">
      <c r="A52" s="16">
        <v>50</v>
      </c>
      <c r="B52" s="17" t="s">
        <v>52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</row>
    <row r="53" spans="1:57" s="8" customFormat="1" x14ac:dyDescent="0.2">
      <c r="A53" s="16">
        <v>51</v>
      </c>
      <c r="B53" s="17" t="s">
        <v>53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  <c r="BA53" s="8">
        <v>2207</v>
      </c>
      <c r="BB53" s="8">
        <v>2207</v>
      </c>
      <c r="BC53" s="8">
        <v>2207</v>
      </c>
      <c r="BD53" s="8">
        <v>2207</v>
      </c>
      <c r="BE53" s="8">
        <v>2207</v>
      </c>
    </row>
    <row r="54" spans="1:57" x14ac:dyDescent="0.2">
      <c r="A54" s="16">
        <v>52</v>
      </c>
      <c r="B54" s="17" t="s">
        <v>54</v>
      </c>
      <c r="E54" s="30"/>
      <c r="F54" s="30"/>
      <c r="G54" s="30"/>
      <c r="H54" s="30"/>
      <c r="I54" s="30"/>
      <c r="J54" s="30"/>
      <c r="K54" s="30"/>
      <c r="L54" s="35"/>
      <c r="V54" s="29" t="s">
        <v>55</v>
      </c>
      <c r="W54" s="29" t="s">
        <v>55</v>
      </c>
    </row>
  </sheetData>
  <pageMargins left="0.7" right="0.7" top="0.75" bottom="0.75" header="0.3" footer="0.3"/>
  <pageSetup paperSize="9" orientation="portrait"/>
  <customProperties>
    <customPr name="DVSECTION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opLeftCell="AQ1" workbookViewId="0">
      <selection activeCell="BE2" sqref="BE2"/>
    </sheetView>
  </sheetViews>
  <sheetFormatPr baseColWidth="10" defaultColWidth="11.33203125" defaultRowHeight="15" x14ac:dyDescent="0.2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customWidth="1"/>
    <col min="22" max="23" width="14.6640625" style="29" customWidth="1"/>
    <col min="24" max="24" width="12" style="29" customWidth="1"/>
    <col min="25" max="33" width="11.33203125" style="29"/>
    <col min="34" max="42" width="12" style="29" customWidth="1"/>
    <col min="43" max="56" width="12.1640625" style="29" customWidth="1"/>
    <col min="57" max="16384" width="11.33203125" style="29"/>
  </cols>
  <sheetData>
    <row r="1" spans="1:57" s="25" customFormat="1" x14ac:dyDescent="0.2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BE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si="0"/>
        <v>40742</v>
      </c>
      <c r="V1" s="24">
        <f t="shared" si="0"/>
        <v>40759</v>
      </c>
      <c r="W1" s="24">
        <f t="shared" si="0"/>
        <v>40854</v>
      </c>
      <c r="X1" s="24">
        <f t="shared" si="0"/>
        <v>40940</v>
      </c>
      <c r="Y1" s="24">
        <f t="shared" si="0"/>
        <v>40975</v>
      </c>
      <c r="Z1" s="24">
        <f t="shared" si="0"/>
        <v>40992</v>
      </c>
      <c r="AA1" s="24">
        <f t="shared" si="0"/>
        <v>41057</v>
      </c>
      <c r="AB1" s="24">
        <f t="shared" si="0"/>
        <v>41075</v>
      </c>
      <c r="AC1" s="24">
        <f t="shared" si="0"/>
        <v>41097</v>
      </c>
      <c r="AD1" s="24">
        <f t="shared" si="0"/>
        <v>41172</v>
      </c>
      <c r="AE1" s="24">
        <f t="shared" si="0"/>
        <v>41205</v>
      </c>
      <c r="AF1" s="24">
        <f t="shared" si="0"/>
        <v>41213</v>
      </c>
      <c r="AG1" s="24">
        <f t="shared" si="0"/>
        <v>41228</v>
      </c>
      <c r="AH1" s="24">
        <f t="shared" si="0"/>
        <v>41253</v>
      </c>
      <c r="AI1" s="24">
        <f t="shared" si="0"/>
        <v>41340</v>
      </c>
      <c r="AJ1" s="24">
        <f t="shared" si="0"/>
        <v>41428</v>
      </c>
      <c r="AK1" s="24">
        <f t="shared" si="0"/>
        <v>41450</v>
      </c>
      <c r="AL1" s="24">
        <f t="shared" si="0"/>
        <v>41506</v>
      </c>
      <c r="AM1" s="24">
        <f t="shared" si="0"/>
        <v>41556</v>
      </c>
      <c r="AN1" s="24">
        <f t="shared" si="0"/>
        <v>41576</v>
      </c>
      <c r="AO1" s="24">
        <f t="shared" si="0"/>
        <v>41627</v>
      </c>
      <c r="AP1" s="24">
        <f t="shared" si="0"/>
        <v>41634</v>
      </c>
      <c r="AQ1" s="24">
        <f t="shared" si="0"/>
        <v>41650</v>
      </c>
      <c r="AR1" s="24">
        <f t="shared" si="0"/>
        <v>41682</v>
      </c>
      <c r="AS1" s="24">
        <f t="shared" si="0"/>
        <v>41710</v>
      </c>
      <c r="AT1" s="24">
        <f t="shared" si="0"/>
        <v>41753</v>
      </c>
      <c r="AU1" s="24">
        <v>41974</v>
      </c>
      <c r="AV1" s="24">
        <v>41997</v>
      </c>
      <c r="AW1" s="24">
        <f t="shared" si="0"/>
        <v>42028</v>
      </c>
      <c r="AX1" s="24">
        <f t="shared" si="0"/>
        <v>42085</v>
      </c>
      <c r="AY1" s="24">
        <f t="shared" si="0"/>
        <v>42104</v>
      </c>
      <c r="AZ1" s="24">
        <f t="shared" si="0"/>
        <v>42164</v>
      </c>
      <c r="BA1" s="24">
        <f t="shared" si="0"/>
        <v>42274</v>
      </c>
      <c r="BB1" s="24">
        <f t="shared" si="0"/>
        <v>42417</v>
      </c>
      <c r="BC1" s="24">
        <f t="shared" si="0"/>
        <v>42440</v>
      </c>
      <c r="BD1" s="24">
        <f t="shared" si="0"/>
        <v>42447</v>
      </c>
      <c r="BE1" s="24">
        <f t="shared" si="0"/>
        <v>42564</v>
      </c>
    </row>
    <row r="2" spans="1:57" s="8" customFormat="1" x14ac:dyDescent="0.2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36">
        <v>736124</v>
      </c>
      <c r="BA2" s="36">
        <v>736234</v>
      </c>
      <c r="BB2" s="36">
        <v>736377</v>
      </c>
      <c r="BC2" s="36">
        <v>736400</v>
      </c>
      <c r="BD2" s="36">
        <v>736407</v>
      </c>
      <c r="BE2" s="41">
        <v>736524</v>
      </c>
    </row>
    <row r="3" spans="1:57" ht="18" customHeight="1" x14ac:dyDescent="0.2">
      <c r="A3" s="16">
        <v>1</v>
      </c>
      <c r="B3" s="17" t="s">
        <v>2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>
        <v>0</v>
      </c>
    </row>
    <row r="4" spans="1:57" x14ac:dyDescent="0.2">
      <c r="A4" s="16">
        <v>2</v>
      </c>
      <c r="B4" s="17" t="s">
        <v>3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  <c r="BA4" s="28">
        <v>2.92E-2</v>
      </c>
      <c r="BB4" s="28">
        <v>2.92E-2</v>
      </c>
      <c r="BC4" s="28">
        <v>2.92E-2</v>
      </c>
      <c r="BD4" s="28">
        <v>2.92E-2</v>
      </c>
      <c r="BE4" s="28">
        <v>2.92E-2</v>
      </c>
    </row>
    <row r="5" spans="1:57" x14ac:dyDescent="0.2">
      <c r="A5" s="16">
        <v>3</v>
      </c>
      <c r="B5" s="17" t="s">
        <v>4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  <c r="BA5" s="28">
        <v>0.21490000000000001</v>
      </c>
      <c r="BB5" s="28">
        <v>0.21490000000000001</v>
      </c>
      <c r="BC5" s="28">
        <v>0.21490000000000001</v>
      </c>
      <c r="BD5" s="28">
        <v>0.21490000000000001</v>
      </c>
      <c r="BE5" s="28">
        <v>0.21490000000000001</v>
      </c>
    </row>
    <row r="6" spans="1:57" x14ac:dyDescent="0.2">
      <c r="A6" s="16">
        <v>4</v>
      </c>
      <c r="B6" s="17" t="s">
        <v>5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  <c r="BA6" s="28">
        <v>0.38400000000000001</v>
      </c>
      <c r="BB6" s="28">
        <v>0.38400000000000001</v>
      </c>
      <c r="BC6" s="28">
        <v>0.38400000000000001</v>
      </c>
      <c r="BD6" s="28">
        <v>0.38400000000000001</v>
      </c>
      <c r="BE6" s="28">
        <v>0.38400000000000001</v>
      </c>
    </row>
    <row r="7" spans="1:57" x14ac:dyDescent="0.2">
      <c r="A7" s="16">
        <v>5</v>
      </c>
      <c r="B7" s="17" t="s">
        <v>6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  <c r="BA7" s="28">
        <v>0.4919</v>
      </c>
      <c r="BB7" s="28">
        <v>0.4919</v>
      </c>
      <c r="BC7" s="28">
        <v>0.4919</v>
      </c>
      <c r="BD7" s="28">
        <v>0.4919</v>
      </c>
      <c r="BE7" s="28">
        <v>0.4919</v>
      </c>
    </row>
    <row r="8" spans="1:57" x14ac:dyDescent="0.2">
      <c r="A8" s="16">
        <v>6</v>
      </c>
      <c r="B8" s="17" t="s">
        <v>7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</row>
    <row r="9" spans="1:57" x14ac:dyDescent="0.2">
      <c r="A9" s="16">
        <v>7</v>
      </c>
      <c r="B9" s="17" t="s">
        <v>8</v>
      </c>
      <c r="C9" s="17">
        <v>0.34520000000000001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0.34350000000000003</v>
      </c>
      <c r="Q9" s="30">
        <v>0.34350000000000003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  <c r="BA9" s="28">
        <v>0.34100000000000003</v>
      </c>
      <c r="BB9" s="28">
        <v>0.34100000000000003</v>
      </c>
      <c r="BC9" s="28">
        <v>0.34100000000000003</v>
      </c>
      <c r="BD9" s="28">
        <v>0.34100000000000003</v>
      </c>
      <c r="BE9" s="28">
        <v>0.34100000000000003</v>
      </c>
    </row>
    <row r="10" spans="1:57" x14ac:dyDescent="0.2">
      <c r="A10" s="16">
        <v>8</v>
      </c>
      <c r="B10" s="17" t="s">
        <v>9</v>
      </c>
      <c r="C10" s="17">
        <v>2.35</v>
      </c>
      <c r="D10" s="17">
        <v>2.35</v>
      </c>
      <c r="E10" s="31">
        <v>235000</v>
      </c>
      <c r="F10" s="31">
        <v>235000</v>
      </c>
      <c r="G10" s="31">
        <v>235000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  <c r="BA10" s="28">
        <v>2.35</v>
      </c>
      <c r="BB10" s="28">
        <v>2.35</v>
      </c>
      <c r="BC10" s="28">
        <v>2.35</v>
      </c>
      <c r="BD10" s="28">
        <v>2.35</v>
      </c>
      <c r="BE10" s="28">
        <v>2.35</v>
      </c>
    </row>
    <row r="11" spans="1:57" x14ac:dyDescent="0.2">
      <c r="A11" s="16">
        <v>9</v>
      </c>
      <c r="B11" s="17" t="s">
        <v>10</v>
      </c>
      <c r="C11" s="17">
        <v>1.1559999999999999</v>
      </c>
      <c r="D11" s="17">
        <v>1.1559999999999999</v>
      </c>
      <c r="E11" s="31">
        <v>114600</v>
      </c>
      <c r="F11" s="31">
        <v>114600</v>
      </c>
      <c r="G11" s="31">
        <v>114600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  <c r="BA11" s="28">
        <v>1.46</v>
      </c>
      <c r="BB11" s="28">
        <v>1.46</v>
      </c>
      <c r="BC11" s="28">
        <v>1.46</v>
      </c>
      <c r="BD11" s="28">
        <v>1.46</v>
      </c>
      <c r="BE11" s="28">
        <v>1.46</v>
      </c>
    </row>
    <row r="12" spans="1:57" s="8" customFormat="1" ht="17.25" customHeight="1" x14ac:dyDescent="0.2">
      <c r="A12" s="16">
        <v>10</v>
      </c>
      <c r="B12" s="17" t="s">
        <v>11</v>
      </c>
      <c r="C12" s="17">
        <v>1641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1590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1630</v>
      </c>
      <c r="BA12" s="8">
        <v>1630</v>
      </c>
      <c r="BB12" s="8">
        <v>1630</v>
      </c>
      <c r="BC12" s="8">
        <v>1630</v>
      </c>
      <c r="BD12" s="8">
        <v>1630</v>
      </c>
      <c r="BE12" s="8">
        <v>1630</v>
      </c>
    </row>
    <row r="13" spans="1:57" s="8" customFormat="1" x14ac:dyDescent="0.2">
      <c r="A13" s="16">
        <v>11</v>
      </c>
      <c r="B13" s="17" t="s">
        <v>12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  <c r="BA13" s="17">
        <v>270</v>
      </c>
      <c r="BB13" s="17">
        <v>270</v>
      </c>
      <c r="BC13" s="17">
        <v>270</v>
      </c>
      <c r="BD13" s="17">
        <v>270</v>
      </c>
      <c r="BE13" s="17">
        <v>270</v>
      </c>
    </row>
    <row r="14" spans="1:57" s="20" customFormat="1" ht="17.25" customHeight="1" x14ac:dyDescent="0.2">
      <c r="A14" s="16">
        <v>12</v>
      </c>
      <c r="B14" s="17" t="s">
        <v>13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2.6000000000000001E-8</v>
      </c>
      <c r="X14" s="17">
        <v>2.6000000000000001E-8</v>
      </c>
      <c r="Y14" s="17">
        <v>2.6000000000000001E-8</v>
      </c>
      <c r="Z14" s="17">
        <v>2.6000000000000001E-8</v>
      </c>
      <c r="AA14" s="17">
        <v>2.6000000000000001E-8</v>
      </c>
      <c r="AB14" s="17">
        <v>2.6000000000000001E-8</v>
      </c>
      <c r="AC14" s="17">
        <v>2.6000000000000001E-8</v>
      </c>
      <c r="AD14" s="17">
        <v>2.6000000000000001E-8</v>
      </c>
      <c r="AE14" s="17">
        <v>2.6000000000000001E-8</v>
      </c>
      <c r="AF14" s="17">
        <v>2.6000000000000001E-8</v>
      </c>
      <c r="AG14" s="17">
        <v>2.6000000000000001E-8</v>
      </c>
      <c r="AH14" s="17">
        <v>2.6000000000000001E-8</v>
      </c>
      <c r="AI14" s="17">
        <v>2.6000000000000001E-8</v>
      </c>
      <c r="AJ14" s="17">
        <v>2.6000000000000001E-8</v>
      </c>
      <c r="AK14" s="17">
        <v>2.6000000000000001E-8</v>
      </c>
      <c r="AL14" s="17">
        <v>2.6000000000000001E-8</v>
      </c>
      <c r="AM14" s="17">
        <v>2.6000000000000001E-8</v>
      </c>
      <c r="AN14" s="17">
        <v>2.6000000000000001E-8</v>
      </c>
      <c r="AO14" s="17">
        <v>2.6000000000000001E-8</v>
      </c>
      <c r="AP14" s="17">
        <v>2.6000000000000001E-8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  <c r="BA14" s="17">
        <v>2.3000000000000001E-8</v>
      </c>
      <c r="BB14" s="17">
        <v>2.3000000000000001E-8</v>
      </c>
      <c r="BC14" s="17">
        <v>2.3000000000000001E-8</v>
      </c>
      <c r="BD14" s="17">
        <v>2.3000000000000001E-8</v>
      </c>
      <c r="BE14" s="17">
        <v>2.3000000000000001E-8</v>
      </c>
    </row>
    <row r="15" spans="1:57" s="8" customFormat="1" ht="16.5" customHeight="1" x14ac:dyDescent="0.2">
      <c r="A15" s="16">
        <v>13</v>
      </c>
      <c r="B15" s="17" t="s">
        <v>14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  <c r="BA15" s="17">
        <v>1020</v>
      </c>
      <c r="BB15" s="17">
        <v>1020</v>
      </c>
      <c r="BC15" s="17">
        <v>1020</v>
      </c>
      <c r="BD15" s="17">
        <v>1020</v>
      </c>
      <c r="BE15" s="17">
        <v>1020</v>
      </c>
    </row>
    <row r="16" spans="1:57" s="8" customFormat="1" ht="16.5" customHeight="1" x14ac:dyDescent="0.2">
      <c r="A16" s="16">
        <v>14</v>
      </c>
      <c r="B16" s="17" t="s">
        <v>15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  <c r="BA16" s="17">
        <v>14</v>
      </c>
      <c r="BB16" s="17">
        <v>14</v>
      </c>
      <c r="BC16" s="17">
        <v>14</v>
      </c>
      <c r="BD16" s="17">
        <v>14</v>
      </c>
      <c r="BE16" s="17">
        <v>14</v>
      </c>
    </row>
    <row r="17" spans="1:57" s="8" customFormat="1" ht="16.5" customHeight="1" x14ac:dyDescent="0.2">
      <c r="A17" s="16">
        <v>15</v>
      </c>
      <c r="B17" s="17" t="s">
        <v>16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  <c r="BA17" s="17">
        <v>2430</v>
      </c>
      <c r="BB17" s="17">
        <v>2430</v>
      </c>
      <c r="BC17" s="17">
        <v>2430</v>
      </c>
      <c r="BD17" s="17">
        <v>2430</v>
      </c>
      <c r="BE17" s="17">
        <v>2430</v>
      </c>
    </row>
    <row r="18" spans="1:57" s="8" customFormat="1" ht="15" customHeight="1" x14ac:dyDescent="0.2">
      <c r="A18" s="16">
        <v>16</v>
      </c>
      <c r="B18" s="17" t="s">
        <v>17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</row>
    <row r="19" spans="1:57" s="8" customFormat="1" ht="15" customHeight="1" x14ac:dyDescent="0.2">
      <c r="A19" s="16">
        <v>17</v>
      </c>
      <c r="B19" s="17" t="s">
        <v>18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  <c r="BA19" s="17">
        <v>4350</v>
      </c>
      <c r="BB19" s="17">
        <v>4350</v>
      </c>
      <c r="BC19" s="17">
        <v>4350</v>
      </c>
      <c r="BD19" s="17">
        <v>4350</v>
      </c>
      <c r="BE19" s="17">
        <v>4350</v>
      </c>
    </row>
    <row r="20" spans="1:57" s="8" customFormat="1" ht="15" customHeight="1" x14ac:dyDescent="0.2">
      <c r="A20" s="16">
        <v>18</v>
      </c>
      <c r="B20" s="17" t="s">
        <v>19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  <c r="BA20" s="17">
        <v>10250</v>
      </c>
      <c r="BB20" s="17">
        <v>10250</v>
      </c>
      <c r="BC20" s="17">
        <v>10250</v>
      </c>
      <c r="BD20" s="17">
        <v>10250</v>
      </c>
      <c r="BE20" s="17">
        <v>10250</v>
      </c>
    </row>
    <row r="21" spans="1:57" s="8" customFormat="1" ht="15" customHeight="1" x14ac:dyDescent="0.2">
      <c r="A21" s="16">
        <v>19</v>
      </c>
      <c r="B21" s="17" t="s">
        <v>20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  <c r="BA21" s="17">
        <v>14100</v>
      </c>
      <c r="BB21" s="17">
        <v>14100</v>
      </c>
      <c r="BC21" s="17">
        <v>14100</v>
      </c>
      <c r="BD21" s="17">
        <v>14100</v>
      </c>
      <c r="BE21" s="17">
        <v>14100</v>
      </c>
    </row>
    <row r="22" spans="1:57" s="8" customFormat="1" ht="15" customHeight="1" x14ac:dyDescent="0.2">
      <c r="A22" s="16">
        <v>20</v>
      </c>
      <c r="B22" s="17" t="s">
        <v>21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  <c r="BA22" s="8">
        <v>21500</v>
      </c>
      <c r="BB22" s="8">
        <v>21500</v>
      </c>
      <c r="BC22" s="8">
        <v>21500</v>
      </c>
      <c r="BD22" s="8">
        <v>21500</v>
      </c>
      <c r="BE22" s="8">
        <v>21500</v>
      </c>
    </row>
    <row r="23" spans="1:57" s="8" customFormat="1" ht="15" customHeight="1" x14ac:dyDescent="0.2">
      <c r="A23" s="16">
        <v>21</v>
      </c>
      <c r="B23" s="17" t="s">
        <v>22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  <c r="BA23" s="8">
        <v>25800</v>
      </c>
      <c r="BB23" s="8">
        <v>25800</v>
      </c>
      <c r="BC23" s="8">
        <v>25800</v>
      </c>
      <c r="BD23" s="8">
        <v>25800</v>
      </c>
      <c r="BE23" s="8">
        <v>25800</v>
      </c>
    </row>
    <row r="24" spans="1:57" s="8" customFormat="1" x14ac:dyDescent="0.2">
      <c r="A24" s="16">
        <v>22</v>
      </c>
      <c r="B24" s="17" t="s">
        <v>23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  <c r="BA24" s="8">
        <v>2972</v>
      </c>
      <c r="BB24" s="8">
        <v>2972</v>
      </c>
      <c r="BC24" s="8">
        <v>2972</v>
      </c>
      <c r="BD24" s="8">
        <v>2972</v>
      </c>
      <c r="BE24" s="8">
        <v>2972</v>
      </c>
    </row>
    <row r="25" spans="1:57" s="8" customFormat="1" x14ac:dyDescent="0.2">
      <c r="A25" s="16">
        <v>23</v>
      </c>
      <c r="B25" s="17" t="s">
        <v>24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3</v>
      </c>
      <c r="BE25" s="8">
        <v>3</v>
      </c>
    </row>
    <row r="26" spans="1:57" s="8" customFormat="1" x14ac:dyDescent="0.2">
      <c r="A26" s="16">
        <v>24</v>
      </c>
      <c r="B26" s="17" t="s">
        <v>25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</row>
    <row r="27" spans="1:57" x14ac:dyDescent="0.2">
      <c r="A27" s="16">
        <v>25</v>
      </c>
      <c r="B27" s="17" t="s">
        <v>26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</row>
    <row r="28" spans="1:57" x14ac:dyDescent="0.2">
      <c r="A28" s="16">
        <v>26</v>
      </c>
      <c r="B28" s="17" t="s">
        <v>27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335</v>
      </c>
      <c r="P28" s="30">
        <v>335</v>
      </c>
      <c r="Q28" s="30">
        <v>350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325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385</v>
      </c>
      <c r="BA28" s="17">
        <v>385</v>
      </c>
      <c r="BB28" s="17">
        <v>385</v>
      </c>
      <c r="BC28" s="17">
        <v>385</v>
      </c>
      <c r="BD28" s="17">
        <v>385</v>
      </c>
      <c r="BE28" s="17">
        <v>385</v>
      </c>
    </row>
    <row r="29" spans="1:57" x14ac:dyDescent="0.2">
      <c r="A29" s="16">
        <v>27</v>
      </c>
      <c r="B29" s="17" t="s">
        <v>28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560</v>
      </c>
      <c r="P29" s="30">
        <v>560</v>
      </c>
      <c r="Q29" s="30">
        <v>560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550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  <c r="BA29" s="28">
        <v>550</v>
      </c>
      <c r="BB29" s="28">
        <v>550</v>
      </c>
      <c r="BC29" s="28">
        <v>550</v>
      </c>
      <c r="BD29" s="28">
        <v>550</v>
      </c>
      <c r="BE29" s="28">
        <v>550</v>
      </c>
    </row>
    <row r="30" spans="1:57" x14ac:dyDescent="0.2">
      <c r="A30" s="16">
        <v>28</v>
      </c>
      <c r="B30" s="17" t="s">
        <v>29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</row>
    <row r="31" spans="1:57" x14ac:dyDescent="0.2">
      <c r="A31" s="16">
        <v>29</v>
      </c>
      <c r="B31" s="17" t="s">
        <v>30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</row>
    <row r="32" spans="1:57" x14ac:dyDescent="0.2">
      <c r="A32" s="16">
        <v>30</v>
      </c>
      <c r="B32" s="17" t="s">
        <v>31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  <c r="BA32" s="28">
        <v>-8</v>
      </c>
      <c r="BB32" s="28">
        <v>-8</v>
      </c>
      <c r="BC32" s="28">
        <v>-8</v>
      </c>
      <c r="BD32" s="28">
        <v>-8</v>
      </c>
      <c r="BE32" s="28">
        <v>-8</v>
      </c>
    </row>
    <row r="33" spans="1:57" x14ac:dyDescent="0.2">
      <c r="A33" s="16">
        <v>31</v>
      </c>
      <c r="B33" s="17" t="s">
        <v>32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</row>
    <row r="34" spans="1:57" x14ac:dyDescent="0.2">
      <c r="A34" s="16">
        <v>32</v>
      </c>
      <c r="B34" s="17" t="s">
        <v>33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</row>
    <row r="35" spans="1:57" s="8" customFormat="1" x14ac:dyDescent="0.2">
      <c r="A35" s="16">
        <v>33</v>
      </c>
      <c r="B35" s="17" t="s">
        <v>34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  <c r="BA35" s="8">
        <v>2</v>
      </c>
      <c r="BB35" s="8">
        <v>2</v>
      </c>
      <c r="BC35" s="8">
        <v>2</v>
      </c>
      <c r="BD35" s="8">
        <v>2</v>
      </c>
      <c r="BE35" s="8">
        <v>2</v>
      </c>
    </row>
    <row r="36" spans="1:57" s="8" customFormat="1" x14ac:dyDescent="0.2">
      <c r="A36" s="16">
        <v>34</v>
      </c>
      <c r="B36" s="17" t="s">
        <v>35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  <c r="BA36" s="8">
        <v>242</v>
      </c>
      <c r="BB36" s="8">
        <v>242</v>
      </c>
      <c r="BC36" s="8">
        <v>242</v>
      </c>
      <c r="BD36" s="8">
        <v>242</v>
      </c>
      <c r="BE36" s="8">
        <v>242</v>
      </c>
    </row>
    <row r="37" spans="1:57" s="8" customFormat="1" x14ac:dyDescent="0.2">
      <c r="A37" s="16">
        <v>35</v>
      </c>
      <c r="B37" s="17" t="s">
        <v>36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>
        <v>-3</v>
      </c>
      <c r="AB37" s="8">
        <v>-3</v>
      </c>
      <c r="AC37" s="8">
        <v>-3</v>
      </c>
      <c r="AD37" s="8">
        <v>-3</v>
      </c>
      <c r="AE37" s="8">
        <v>-3</v>
      </c>
      <c r="AF37" s="8">
        <v>-3</v>
      </c>
      <c r="AG37" s="8">
        <v>-3</v>
      </c>
      <c r="AH37" s="8">
        <v>-3</v>
      </c>
      <c r="AI37" s="8">
        <v>-3</v>
      </c>
      <c r="AJ37" s="8">
        <v>-3</v>
      </c>
      <c r="AK37" s="8">
        <v>-3</v>
      </c>
      <c r="AL37" s="8">
        <v>-3</v>
      </c>
      <c r="AM37" s="8">
        <v>-3</v>
      </c>
      <c r="AN37" s="8">
        <v>-3</v>
      </c>
      <c r="AO37" s="8">
        <v>-3</v>
      </c>
      <c r="AP37" s="8">
        <v>-3</v>
      </c>
      <c r="AQ37" s="8">
        <v>-3</v>
      </c>
      <c r="AR37" s="8">
        <v>-3</v>
      </c>
      <c r="AS37" s="8">
        <v>-3</v>
      </c>
      <c r="AT37" s="8">
        <v>-3</v>
      </c>
      <c r="AU37" s="8" t="s">
        <v>37</v>
      </c>
      <c r="AV37" s="8" t="s">
        <v>37</v>
      </c>
      <c r="AW37" s="8" t="s">
        <v>37</v>
      </c>
      <c r="AX37" s="8" t="s">
        <v>37</v>
      </c>
      <c r="AY37" s="8" t="s">
        <v>37</v>
      </c>
      <c r="AZ37" s="8" t="s">
        <v>37</v>
      </c>
      <c r="BA37" s="8" t="s">
        <v>37</v>
      </c>
      <c r="BB37" s="8" t="s">
        <v>37</v>
      </c>
      <c r="BC37" s="8" t="s">
        <v>37</v>
      </c>
      <c r="BD37" s="8" t="s">
        <v>37</v>
      </c>
      <c r="BE37" s="8" t="s">
        <v>37</v>
      </c>
    </row>
    <row r="38" spans="1:57" s="8" customFormat="1" x14ac:dyDescent="0.2">
      <c r="A38" s="16">
        <v>36</v>
      </c>
      <c r="B38" s="17" t="s">
        <v>38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770</v>
      </c>
      <c r="AB38" s="8">
        <v>770</v>
      </c>
      <c r="AC38" s="8">
        <v>770</v>
      </c>
      <c r="AD38" s="8">
        <v>770</v>
      </c>
      <c r="AE38" s="8">
        <v>770</v>
      </c>
      <c r="AF38" s="8">
        <v>770</v>
      </c>
      <c r="AG38" s="8">
        <v>770</v>
      </c>
      <c r="AH38" s="8">
        <v>770</v>
      </c>
      <c r="AI38" s="8">
        <v>770</v>
      </c>
      <c r="AJ38" s="8">
        <v>770</v>
      </c>
      <c r="AK38" s="8">
        <v>770</v>
      </c>
      <c r="AL38" s="8">
        <v>770</v>
      </c>
      <c r="AM38" s="8">
        <v>770</v>
      </c>
      <c r="AN38" s="8">
        <v>770</v>
      </c>
      <c r="AO38" s="8">
        <v>770</v>
      </c>
      <c r="AP38" s="8">
        <v>770</v>
      </c>
      <c r="AQ38" s="8">
        <v>770</v>
      </c>
      <c r="AR38" s="8">
        <v>770</v>
      </c>
      <c r="AS38" s="8">
        <v>770</v>
      </c>
      <c r="AT38" s="8">
        <v>770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  <c r="BA38" s="8">
        <v>72815633</v>
      </c>
      <c r="BB38" s="8">
        <v>72815633</v>
      </c>
      <c r="BC38" s="8">
        <v>72815633</v>
      </c>
      <c r="BD38" s="8">
        <v>72815633</v>
      </c>
      <c r="BE38" s="8">
        <v>72815633</v>
      </c>
    </row>
    <row r="39" spans="1:57" s="8" customFormat="1" x14ac:dyDescent="0.2">
      <c r="A39" s="16">
        <v>37</v>
      </c>
      <c r="B39" s="17" t="s">
        <v>39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740</v>
      </c>
      <c r="AB39" s="8">
        <v>740</v>
      </c>
      <c r="AC39" s="8">
        <v>740</v>
      </c>
      <c r="AD39" s="8">
        <v>740</v>
      </c>
      <c r="AE39" s="8">
        <v>740</v>
      </c>
      <c r="AF39" s="8">
        <v>740</v>
      </c>
      <c r="AG39" s="8">
        <v>740</v>
      </c>
      <c r="AH39" s="8">
        <v>740</v>
      </c>
      <c r="AI39" s="8">
        <v>740</v>
      </c>
      <c r="AJ39" s="8">
        <v>740</v>
      </c>
      <c r="AK39" s="8">
        <v>740</v>
      </c>
      <c r="AL39" s="8">
        <v>740</v>
      </c>
      <c r="AM39" s="8">
        <v>740</v>
      </c>
      <c r="AN39" s="8">
        <v>740</v>
      </c>
      <c r="AO39" s="8">
        <v>740</v>
      </c>
      <c r="AP39" s="8">
        <v>740</v>
      </c>
      <c r="AQ39" s="8">
        <v>740</v>
      </c>
      <c r="AR39" s="8">
        <v>740</v>
      </c>
      <c r="AS39" s="8">
        <v>740</v>
      </c>
      <c r="AT39" s="8">
        <v>740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  <c r="BA39" s="8">
        <v>61485032</v>
      </c>
      <c r="BB39" s="8">
        <v>61485032</v>
      </c>
      <c r="BC39" s="8">
        <v>61485032</v>
      </c>
      <c r="BD39" s="8">
        <v>61485032</v>
      </c>
      <c r="BE39" s="8">
        <v>61485032</v>
      </c>
    </row>
    <row r="40" spans="1:57" s="8" customFormat="1" x14ac:dyDescent="0.2">
      <c r="A40" s="16">
        <v>38</v>
      </c>
      <c r="B40" s="17" t="s">
        <v>40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8028</v>
      </c>
      <c r="AB40" s="8">
        <v>8028</v>
      </c>
      <c r="AC40" s="8">
        <v>8028</v>
      </c>
      <c r="AD40" s="8">
        <v>8028</v>
      </c>
      <c r="AE40" s="8">
        <v>8028</v>
      </c>
      <c r="AF40" s="8">
        <v>8028</v>
      </c>
      <c r="AG40" s="8">
        <v>8028</v>
      </c>
      <c r="AH40" s="8">
        <v>8028</v>
      </c>
      <c r="AI40" s="8">
        <v>8028</v>
      </c>
      <c r="AJ40" s="8">
        <v>8028</v>
      </c>
      <c r="AK40" s="8">
        <v>8028</v>
      </c>
      <c r="AL40" s="8">
        <v>8028</v>
      </c>
      <c r="AM40" s="8">
        <v>8028</v>
      </c>
      <c r="AN40" s="8">
        <v>8028</v>
      </c>
      <c r="AO40" s="8">
        <v>8028</v>
      </c>
      <c r="AP40" s="8">
        <v>8028</v>
      </c>
      <c r="AQ40" s="8">
        <v>8028</v>
      </c>
      <c r="AR40" s="8">
        <v>8028</v>
      </c>
      <c r="AS40" s="8">
        <v>8028</v>
      </c>
      <c r="AT40" s="8">
        <v>8028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  <c r="BA40" s="8">
        <v>106318375</v>
      </c>
      <c r="BB40" s="8">
        <v>106318375</v>
      </c>
      <c r="BC40" s="8">
        <v>106318375</v>
      </c>
      <c r="BD40" s="8">
        <v>106318375</v>
      </c>
      <c r="BE40" s="8">
        <v>106318375</v>
      </c>
    </row>
    <row r="41" spans="1:57" s="8" customFormat="1" x14ac:dyDescent="0.2">
      <c r="A41" s="16">
        <v>39</v>
      </c>
      <c r="B41" s="17" t="s">
        <v>41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178</v>
      </c>
      <c r="AB41" s="8">
        <v>178</v>
      </c>
      <c r="AC41" s="8">
        <v>178</v>
      </c>
      <c r="AD41" s="8">
        <v>178</v>
      </c>
      <c r="AE41" s="8">
        <v>178</v>
      </c>
      <c r="AF41" s="8">
        <v>178</v>
      </c>
      <c r="AG41" s="8">
        <v>178</v>
      </c>
      <c r="AH41" s="8">
        <v>178</v>
      </c>
      <c r="AI41" s="8">
        <v>178</v>
      </c>
      <c r="AJ41" s="8">
        <v>178</v>
      </c>
      <c r="AK41" s="8">
        <v>178</v>
      </c>
      <c r="AL41" s="8">
        <v>178</v>
      </c>
      <c r="AM41" s="8">
        <v>178</v>
      </c>
      <c r="AN41" s="8">
        <v>178</v>
      </c>
      <c r="AO41" s="8">
        <v>178</v>
      </c>
      <c r="AP41" s="8">
        <v>178</v>
      </c>
      <c r="AQ41" s="8">
        <v>178</v>
      </c>
      <c r="AR41" s="8">
        <v>178</v>
      </c>
      <c r="AS41" s="8">
        <v>178</v>
      </c>
      <c r="AT41" s="8">
        <v>178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  <c r="BA41" s="8">
        <v>114516340</v>
      </c>
      <c r="BB41" s="8">
        <v>114516340</v>
      </c>
      <c r="BC41" s="8">
        <v>114516340</v>
      </c>
      <c r="BD41" s="8">
        <v>114516340</v>
      </c>
      <c r="BE41" s="8">
        <v>114516340</v>
      </c>
    </row>
    <row r="42" spans="1:57" s="8" customFormat="1" x14ac:dyDescent="0.2">
      <c r="A42" s="16">
        <v>40</v>
      </c>
      <c r="B42" s="17" t="s">
        <v>42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2505</v>
      </c>
      <c r="AB42" s="8">
        <v>2505</v>
      </c>
      <c r="AC42" s="8">
        <v>2505</v>
      </c>
      <c r="AD42" s="8">
        <v>2505</v>
      </c>
      <c r="AE42" s="8">
        <v>2505</v>
      </c>
      <c r="AF42" s="8">
        <v>2505</v>
      </c>
      <c r="AG42" s="8">
        <v>2505</v>
      </c>
      <c r="AH42" s="8">
        <v>2505</v>
      </c>
      <c r="AI42" s="8">
        <v>2505</v>
      </c>
      <c r="AJ42" s="8">
        <v>2505</v>
      </c>
      <c r="AK42" s="8">
        <v>2505</v>
      </c>
      <c r="AL42" s="8">
        <v>2505</v>
      </c>
      <c r="AM42" s="8">
        <v>2505</v>
      </c>
      <c r="AN42" s="8">
        <v>2505</v>
      </c>
      <c r="AO42" s="8">
        <v>2505</v>
      </c>
      <c r="AP42" s="8">
        <v>2505</v>
      </c>
      <c r="AQ42" s="8">
        <v>2505</v>
      </c>
      <c r="AR42" s="8">
        <v>2505</v>
      </c>
      <c r="AS42" s="8">
        <v>2505</v>
      </c>
      <c r="AT42" s="8">
        <v>2505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  <c r="BA42" s="8">
        <v>129150519</v>
      </c>
      <c r="BB42" s="8">
        <v>129150519</v>
      </c>
      <c r="BC42" s="8">
        <v>129150519</v>
      </c>
      <c r="BD42" s="8">
        <v>129150519</v>
      </c>
      <c r="BE42" s="8">
        <v>129150519</v>
      </c>
    </row>
    <row r="43" spans="1:57" x14ac:dyDescent="0.2">
      <c r="A43" s="16">
        <v>41</v>
      </c>
      <c r="B43" s="17" t="s">
        <v>43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  <c r="BA43" s="28">
        <v>0.99099999999999999</v>
      </c>
      <c r="BB43" s="28">
        <v>0.99099999999999999</v>
      </c>
      <c r="BC43" s="28">
        <v>0.99099999999999999</v>
      </c>
      <c r="BD43" s="28">
        <v>0.99099999999999999</v>
      </c>
      <c r="BE43" s="28">
        <v>0.99099999999999999</v>
      </c>
    </row>
    <row r="44" spans="1:57" x14ac:dyDescent="0.2">
      <c r="A44" s="16">
        <v>42</v>
      </c>
      <c r="B44" s="17" t="s">
        <v>44</v>
      </c>
      <c r="C44" s="17">
        <v>8</v>
      </c>
      <c r="D44" s="17">
        <v>8</v>
      </c>
      <c r="E44" s="33">
        <v>800000</v>
      </c>
      <c r="F44" s="33">
        <v>800000</v>
      </c>
      <c r="G44" s="33">
        <v>800000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  <c r="BA44" s="28">
        <v>22</v>
      </c>
      <c r="BB44" s="28">
        <v>22</v>
      </c>
      <c r="BC44" s="28">
        <v>22</v>
      </c>
      <c r="BD44" s="28">
        <v>22</v>
      </c>
      <c r="BE44" s="28">
        <v>22</v>
      </c>
    </row>
    <row r="45" spans="1:57" s="8" customFormat="1" ht="11.25" customHeight="1" x14ac:dyDescent="0.2">
      <c r="A45" s="16">
        <v>43</v>
      </c>
      <c r="B45" s="17" t="s">
        <v>45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  <c r="BA45" s="8">
        <v>1732</v>
      </c>
      <c r="BB45" s="8">
        <v>1732</v>
      </c>
      <c r="BC45" s="8">
        <v>1732</v>
      </c>
      <c r="BD45" s="8">
        <v>1732</v>
      </c>
      <c r="BE45" s="8">
        <v>1732</v>
      </c>
    </row>
    <row r="46" spans="1:57" s="8" customFormat="1" x14ac:dyDescent="0.2">
      <c r="A46" s="16">
        <v>44</v>
      </c>
      <c r="B46" s="17" t="s">
        <v>46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  <c r="BA46" s="8">
        <v>250</v>
      </c>
      <c r="BB46" s="8">
        <v>250</v>
      </c>
      <c r="BC46" s="8">
        <v>250</v>
      </c>
      <c r="BD46" s="8">
        <v>250</v>
      </c>
      <c r="BE46" s="8">
        <v>250</v>
      </c>
    </row>
    <row r="47" spans="1:57" s="8" customFormat="1" x14ac:dyDescent="0.2">
      <c r="A47" s="16">
        <v>45</v>
      </c>
      <c r="B47" s="17" t="s">
        <v>47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  <c r="BA47" s="8">
        <v>0.4</v>
      </c>
      <c r="BB47" s="8">
        <v>0.4</v>
      </c>
      <c r="BC47" s="8">
        <v>0.4</v>
      </c>
      <c r="BD47" s="8">
        <v>0.4</v>
      </c>
      <c r="BE47" s="8">
        <v>0.4</v>
      </c>
    </row>
    <row r="48" spans="1:57" s="8" customFormat="1" x14ac:dyDescent="0.2">
      <c r="A48" s="16">
        <v>46</v>
      </c>
      <c r="B48" s="17" t="s">
        <v>48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</row>
    <row r="49" spans="1:57" s="8" customFormat="1" x14ac:dyDescent="0.2">
      <c r="A49" s="16">
        <v>47</v>
      </c>
      <c r="B49" s="17" t="s">
        <v>49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  <c r="BA49" s="8">
        <v>256</v>
      </c>
      <c r="BB49" s="8">
        <v>256</v>
      </c>
      <c r="BC49" s="8">
        <v>256</v>
      </c>
      <c r="BD49" s="8">
        <v>256</v>
      </c>
      <c r="BE49" s="8">
        <v>256</v>
      </c>
    </row>
    <row r="50" spans="1:57" s="8" customFormat="1" x14ac:dyDescent="0.2">
      <c r="A50" s="16">
        <v>48</v>
      </c>
      <c r="B50" s="17" t="s">
        <v>50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</row>
    <row r="51" spans="1:57" s="8" customFormat="1" x14ac:dyDescent="0.2">
      <c r="A51" s="16">
        <v>49</v>
      </c>
      <c r="B51" s="17" t="s">
        <v>51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  <c r="BA51" s="8">
        <v>64</v>
      </c>
      <c r="BB51" s="8">
        <v>64</v>
      </c>
      <c r="BC51" s="8">
        <v>64</v>
      </c>
      <c r="BD51" s="8">
        <v>64</v>
      </c>
      <c r="BE51" s="8">
        <v>64</v>
      </c>
    </row>
    <row r="52" spans="1:57" s="8" customFormat="1" x14ac:dyDescent="0.2">
      <c r="A52" s="16">
        <v>50</v>
      </c>
      <c r="B52" s="17" t="s">
        <v>52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</row>
    <row r="53" spans="1:57" s="8" customFormat="1" x14ac:dyDescent="0.2">
      <c r="A53" s="16">
        <v>51</v>
      </c>
      <c r="B53" s="17" t="s">
        <v>53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  <c r="BA53" s="8">
        <v>2207</v>
      </c>
      <c r="BB53" s="8">
        <v>2207</v>
      </c>
      <c r="BC53" s="8">
        <v>2207</v>
      </c>
      <c r="BD53" s="8">
        <v>2207</v>
      </c>
      <c r="BE53" s="8">
        <v>2207</v>
      </c>
    </row>
    <row r="54" spans="1:57" x14ac:dyDescent="0.2">
      <c r="A54" s="16">
        <v>52</v>
      </c>
      <c r="B54" s="17" t="s">
        <v>54</v>
      </c>
      <c r="E54" s="30" t="s">
        <v>56</v>
      </c>
      <c r="F54" s="30" t="s">
        <v>56</v>
      </c>
      <c r="G54" s="30" t="s">
        <v>56</v>
      </c>
      <c r="H54" s="30" t="s">
        <v>56</v>
      </c>
      <c r="I54" s="30" t="s">
        <v>56</v>
      </c>
      <c r="J54" s="30" t="s">
        <v>56</v>
      </c>
      <c r="K54" s="30" t="s">
        <v>56</v>
      </c>
      <c r="L54" s="35">
        <v>38231</v>
      </c>
      <c r="V54" s="29" t="s">
        <v>55</v>
      </c>
      <c r="W54" s="29" t="s">
        <v>55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E1" sqref="E1"/>
    </sheetView>
  </sheetViews>
  <sheetFormatPr baseColWidth="10" defaultRowHeight="15" x14ac:dyDescent="0.2"/>
  <cols>
    <col min="1" max="1" width="10.83203125" style="1"/>
    <col min="3" max="3" width="38.5" customWidth="1"/>
    <col min="4" max="4" width="17" customWidth="1"/>
    <col min="257" max="257" width="10.83203125" customWidth="1"/>
    <col min="259" max="260" width="10.83203125" customWidth="1"/>
    <col min="264" max="273" width="10.83203125" customWidth="1"/>
    <col min="275" max="279" width="10.83203125" customWidth="1"/>
    <col min="281" max="290" width="10.83203125" customWidth="1"/>
    <col min="293" max="293" width="10.83203125" customWidth="1"/>
    <col min="296" max="304" width="10.83203125" customWidth="1"/>
    <col min="306" max="307" width="10.83203125" customWidth="1"/>
    <col min="309" max="309" width="10.83203125" customWidth="1"/>
    <col min="312" max="320" width="10.83203125" customWidth="1"/>
    <col min="322" max="322" width="10.83203125" customWidth="1"/>
    <col min="325" max="325" width="10.83203125" customWidth="1"/>
    <col min="328" max="339" width="10.83203125" customWidth="1"/>
    <col min="341" max="341" width="10.83203125" customWidth="1"/>
    <col min="344" max="352" width="10.83203125" customWidth="1"/>
    <col min="355" max="355" width="10.83203125" customWidth="1"/>
    <col min="360" max="370" width="10.83203125" customWidth="1"/>
    <col min="373" max="373" width="10.83203125" customWidth="1"/>
    <col min="376" max="384" width="10.83203125" customWidth="1"/>
    <col min="386" max="386" width="10.83203125" customWidth="1"/>
    <col min="388" max="391" width="10.83203125" customWidth="1"/>
    <col min="393" max="401" width="10.83203125" customWidth="1"/>
    <col min="405" max="405" width="10.83203125" customWidth="1"/>
    <col min="408" max="417" width="10.83203125" customWidth="1"/>
    <col min="420" max="421" width="10.83203125" customWidth="1"/>
    <col min="424" max="432" width="10.83203125" customWidth="1"/>
    <col min="435" max="435" width="10.83203125" customWidth="1"/>
    <col min="437" max="437" width="10.83203125" customWidth="1"/>
    <col min="440" max="448" width="10.83203125" customWidth="1"/>
    <col min="454" max="455" width="10.83203125" customWidth="1"/>
    <col min="457" max="465" width="10.83203125" customWidth="1"/>
    <col min="467" max="467" width="10.83203125" customWidth="1"/>
    <col min="469" max="469" width="10.83203125" customWidth="1"/>
    <col min="472" max="481" width="10.83203125" customWidth="1"/>
    <col min="483" max="484" width="10.83203125" customWidth="1"/>
    <col min="488" max="497" width="10.83203125" customWidth="1"/>
    <col min="500" max="500" width="10.83203125" customWidth="1"/>
    <col min="502" max="503" width="10.83203125" customWidth="1"/>
    <col min="505" max="512" width="10.83203125" customWidth="1"/>
    <col min="515" max="515" width="10.83203125" customWidth="1"/>
    <col min="517" max="517" width="10.83203125" customWidth="1"/>
    <col min="520" max="528" width="10.83203125" customWidth="1"/>
    <col min="530" max="533" width="10.83203125" customWidth="1"/>
    <col min="535" max="535" width="10.83203125" customWidth="1"/>
    <col min="537" max="542" width="10.83203125" customWidth="1"/>
    <col min="544" max="544" width="10.83203125" customWidth="1"/>
    <col min="548" max="548" width="10.83203125" customWidth="1"/>
    <col min="550" max="550" width="10.83203125" customWidth="1"/>
    <col min="552" max="573" width="10.83203125" customWidth="1"/>
    <col min="576" max="576" width="10.83203125" customWidth="1"/>
    <col min="578" max="581" width="10.83203125" customWidth="1"/>
    <col min="583" max="583" width="10.83203125" customWidth="1"/>
    <col min="585" max="590" width="10.83203125" customWidth="1"/>
    <col min="592" max="592" width="10.83203125" customWidth="1"/>
    <col min="596" max="596" width="10.83203125" customWidth="1"/>
    <col min="598" max="598" width="10.83203125" customWidth="1"/>
    <col min="600" max="621" width="10.83203125" customWidth="1"/>
    <col min="624" max="624" width="10.83203125" customWidth="1"/>
    <col min="626" max="629" width="10.83203125" customWidth="1"/>
    <col min="631" max="631" width="10.83203125" customWidth="1"/>
    <col min="633" max="638" width="10.83203125" customWidth="1"/>
    <col min="640" max="640" width="10.83203125" customWidth="1"/>
    <col min="644" max="644" width="10.83203125" customWidth="1"/>
    <col min="646" max="646" width="10.83203125" customWidth="1"/>
    <col min="648" max="669" width="10.83203125" customWidth="1"/>
    <col min="672" max="672" width="10.83203125" customWidth="1"/>
    <col min="674" max="677" width="10.83203125" customWidth="1"/>
    <col min="679" max="679" width="10.83203125" customWidth="1"/>
    <col min="681" max="686" width="10.83203125" customWidth="1"/>
    <col min="688" max="688" width="10.83203125" customWidth="1"/>
    <col min="692" max="692" width="10.83203125" customWidth="1"/>
    <col min="694" max="694" width="10.83203125" customWidth="1"/>
    <col min="696" max="717" width="10.83203125" customWidth="1"/>
    <col min="720" max="720" width="10.83203125" customWidth="1"/>
    <col min="722" max="725" width="10.83203125" customWidth="1"/>
    <col min="727" max="727" width="10.83203125" customWidth="1"/>
    <col min="729" max="734" width="10.83203125" customWidth="1"/>
    <col min="736" max="737" width="10.83203125" customWidth="1"/>
    <col min="741" max="742" width="10.83203125" customWidth="1"/>
    <col min="744" max="765" width="10.83203125" customWidth="1"/>
    <col min="768" max="768" width="10.83203125" customWidth="1"/>
    <col min="770" max="773" width="10.83203125" customWidth="1"/>
    <col min="775" max="775" width="10.83203125" customWidth="1"/>
    <col min="777" max="782" width="10.83203125" customWidth="1"/>
    <col min="784" max="785" width="10.83203125" customWidth="1"/>
    <col min="789" max="790" width="10.83203125" customWidth="1"/>
    <col min="792" max="813" width="10.83203125" customWidth="1"/>
    <col min="816" max="816" width="10.83203125" customWidth="1"/>
    <col min="818" max="821" width="10.83203125" customWidth="1"/>
    <col min="823" max="823" width="10.83203125" customWidth="1"/>
    <col min="825" max="830" width="10.83203125" customWidth="1"/>
    <col min="832" max="833" width="10.83203125" customWidth="1"/>
    <col min="837" max="838" width="10.83203125" customWidth="1"/>
    <col min="840" max="861" width="10.83203125" customWidth="1"/>
    <col min="864" max="864" width="10.83203125" customWidth="1"/>
    <col min="866" max="869" width="10.83203125" customWidth="1"/>
    <col min="871" max="871" width="10.83203125" customWidth="1"/>
    <col min="873" max="878" width="10.83203125" customWidth="1"/>
    <col min="880" max="881" width="10.83203125" customWidth="1"/>
    <col min="885" max="886" width="10.83203125" customWidth="1"/>
    <col min="888" max="909" width="10.83203125" customWidth="1"/>
    <col min="912" max="912" width="10.83203125" customWidth="1"/>
    <col min="914" max="917" width="10.83203125" customWidth="1"/>
    <col min="919" max="919" width="10.83203125" customWidth="1"/>
    <col min="921" max="926" width="10.83203125" customWidth="1"/>
    <col min="928" max="928" width="10.83203125" customWidth="1"/>
    <col min="930" max="930" width="10.83203125" customWidth="1"/>
    <col min="932" max="934" width="10.83203125" customWidth="1"/>
    <col min="936" max="957" width="10.83203125" customWidth="1"/>
    <col min="960" max="960" width="10.83203125" customWidth="1"/>
    <col min="962" max="965" width="10.83203125" customWidth="1"/>
    <col min="967" max="967" width="10.83203125" customWidth="1"/>
    <col min="969" max="974" width="10.83203125" customWidth="1"/>
    <col min="976" max="976" width="10.83203125" customWidth="1"/>
    <col min="978" max="978" width="10.83203125" customWidth="1"/>
    <col min="980" max="982" width="10.83203125" customWidth="1"/>
    <col min="984" max="1005" width="10.83203125" customWidth="1"/>
    <col min="1008" max="1008" width="10.83203125" customWidth="1"/>
    <col min="1010" max="1013" width="10.83203125" customWidth="1"/>
    <col min="1015" max="1015" width="10.83203125" customWidth="1"/>
    <col min="1017" max="1022" width="10.83203125" customWidth="1"/>
    <col min="1024" max="1024" width="10.83203125" customWidth="1"/>
    <col min="1026" max="1026" width="10.83203125" customWidth="1"/>
    <col min="1028" max="1030" width="10.83203125" customWidth="1"/>
    <col min="1032" max="1053" width="10.83203125" customWidth="1"/>
    <col min="1056" max="1056" width="10.83203125" customWidth="1"/>
    <col min="1058" max="1061" width="10.83203125" customWidth="1"/>
    <col min="1063" max="1063" width="10.83203125" customWidth="1"/>
    <col min="1065" max="1070" width="10.83203125" customWidth="1"/>
    <col min="1072" max="1072" width="10.83203125" customWidth="1"/>
    <col min="1074" max="1074" width="10.83203125" customWidth="1"/>
    <col min="1076" max="1078" width="10.83203125" customWidth="1"/>
    <col min="1080" max="1099" width="10.83203125" customWidth="1"/>
    <col min="1101" max="1101" width="10.83203125" customWidth="1"/>
    <col min="1103" max="1103" width="10.83203125" customWidth="1"/>
    <col min="1106" max="1109" width="10.83203125" customWidth="1"/>
    <col min="1111" max="1111" width="10.83203125" customWidth="1"/>
    <col min="1113" max="1118" width="10.83203125" customWidth="1"/>
    <col min="1120" max="1120" width="10.83203125" customWidth="1"/>
    <col min="1122" max="1122" width="10.83203125" customWidth="1"/>
    <col min="1124" max="1126" width="10.83203125" customWidth="1"/>
    <col min="1128" max="1147" width="10.83203125" customWidth="1"/>
    <col min="1149" max="1149" width="10.83203125" customWidth="1"/>
    <col min="1151" max="1151" width="10.83203125" customWidth="1"/>
    <col min="1154" max="1157" width="10.83203125" customWidth="1"/>
    <col min="1159" max="1159" width="10.83203125" customWidth="1"/>
    <col min="1161" max="1166" width="10.83203125" customWidth="1"/>
    <col min="1168" max="1168" width="10.83203125" customWidth="1"/>
    <col min="1170" max="1170" width="10.83203125" customWidth="1"/>
    <col min="1172" max="1174" width="10.83203125" customWidth="1"/>
    <col min="1176" max="1195" width="10.83203125" customWidth="1"/>
    <col min="1197" max="1197" width="10.83203125" customWidth="1"/>
    <col min="1199" max="1199" width="10.83203125" customWidth="1"/>
    <col min="1202" max="1205" width="10.83203125" customWidth="1"/>
    <col min="1207" max="1207" width="10.83203125" customWidth="1"/>
    <col min="1209" max="1214" width="10.83203125" customWidth="1"/>
    <col min="1216" max="1216" width="10.83203125" customWidth="1"/>
    <col min="1218" max="1218" width="10.83203125" customWidth="1"/>
    <col min="1220" max="1222" width="10.83203125" customWidth="1"/>
    <col min="1224" max="1243" width="10.83203125" customWidth="1"/>
    <col min="1245" max="1245" width="10.83203125" customWidth="1"/>
    <col min="1247" max="1247" width="10.83203125" customWidth="1"/>
    <col min="1250" max="1253" width="10.83203125" customWidth="1"/>
    <col min="1255" max="1255" width="10.83203125" customWidth="1"/>
    <col min="1257" max="1262" width="10.83203125" customWidth="1"/>
    <col min="1264" max="1264" width="10.83203125" customWidth="1"/>
    <col min="1266" max="1266" width="10.83203125" customWidth="1"/>
    <col min="1268" max="1270" width="10.83203125" customWidth="1"/>
    <col min="1272" max="1291" width="10.83203125" customWidth="1"/>
    <col min="1293" max="1293" width="10.83203125" customWidth="1"/>
    <col min="1295" max="1295" width="10.83203125" customWidth="1"/>
    <col min="1298" max="1301" width="10.83203125" customWidth="1"/>
    <col min="1303" max="1303" width="10.83203125" customWidth="1"/>
    <col min="1305" max="1310" width="10.83203125" customWidth="1"/>
    <col min="1312" max="1312" width="10.83203125" customWidth="1"/>
    <col min="1314" max="1314" width="10.83203125" customWidth="1"/>
    <col min="1316" max="1318" width="10.83203125" customWidth="1"/>
    <col min="1320" max="1339" width="10.83203125" customWidth="1"/>
    <col min="1341" max="1341" width="10.83203125" customWidth="1"/>
    <col min="1343" max="1343" width="10.83203125" customWidth="1"/>
    <col min="1346" max="1349" width="10.83203125" customWidth="1"/>
    <col min="1351" max="1351" width="10.83203125" customWidth="1"/>
    <col min="1353" max="1358" width="10.83203125" customWidth="1"/>
    <col min="1360" max="1360" width="10.83203125" customWidth="1"/>
    <col min="1362" max="1362" width="10.83203125" customWidth="1"/>
    <col min="1364" max="1366" width="10.83203125" customWidth="1"/>
    <col min="1368" max="1387" width="10.83203125" customWidth="1"/>
    <col min="1389" max="1389" width="10.83203125" customWidth="1"/>
    <col min="1391" max="1391" width="10.83203125" customWidth="1"/>
    <col min="1394" max="1397" width="10.83203125" customWidth="1"/>
    <col min="1399" max="1399" width="10.83203125" customWidth="1"/>
    <col min="1401" max="1406" width="10.83203125" customWidth="1"/>
    <col min="1408" max="1408" width="10.83203125" customWidth="1"/>
    <col min="1410" max="1410" width="10.83203125" customWidth="1"/>
    <col min="1412" max="1414" width="10.83203125" customWidth="1"/>
    <col min="1416" max="1435" width="10.83203125" customWidth="1"/>
    <col min="1437" max="1437" width="10.83203125" customWidth="1"/>
    <col min="1439" max="1439" width="10.83203125" customWidth="1"/>
    <col min="1442" max="1445" width="10.83203125" customWidth="1"/>
    <col min="1447" max="1447" width="10.83203125" customWidth="1"/>
    <col min="1449" max="1454" width="10.83203125" customWidth="1"/>
    <col min="1456" max="1456" width="10.83203125" customWidth="1"/>
    <col min="1458" max="1458" width="10.83203125" customWidth="1"/>
    <col min="1460" max="1462" width="10.83203125" customWidth="1"/>
    <col min="1464" max="1483" width="10.83203125" customWidth="1"/>
    <col min="1485" max="1485" width="10.83203125" customWidth="1"/>
    <col min="1487" max="1487" width="10.83203125" customWidth="1"/>
    <col min="1490" max="1493" width="10.83203125" customWidth="1"/>
    <col min="1495" max="1495" width="10.83203125" customWidth="1"/>
    <col min="1497" max="1502" width="10.83203125" customWidth="1"/>
    <col min="1504" max="1504" width="10.83203125" customWidth="1"/>
    <col min="1506" max="1506" width="10.83203125" customWidth="1"/>
    <col min="1508" max="1510" width="10.83203125" customWidth="1"/>
    <col min="1512" max="1531" width="10.83203125" customWidth="1"/>
    <col min="1533" max="1533" width="10.83203125" customWidth="1"/>
    <col min="1535" max="1535" width="10.83203125" customWidth="1"/>
    <col min="1538" max="1541" width="10.83203125" customWidth="1"/>
    <col min="1543" max="1543" width="10.83203125" customWidth="1"/>
    <col min="1545" max="1550" width="10.83203125" customWidth="1"/>
    <col min="1552" max="1552" width="10.83203125" customWidth="1"/>
    <col min="1554" max="1554" width="10.83203125" customWidth="1"/>
    <col min="1556" max="1558" width="10.83203125" customWidth="1"/>
    <col min="1560" max="1579" width="10.83203125" customWidth="1"/>
    <col min="1581" max="1581" width="10.83203125" customWidth="1"/>
    <col min="1583" max="1583" width="10.83203125" customWidth="1"/>
    <col min="1586" max="1589" width="10.83203125" customWidth="1"/>
    <col min="1591" max="1591" width="10.83203125" customWidth="1"/>
    <col min="1593" max="1598" width="10.83203125" customWidth="1"/>
    <col min="1600" max="1600" width="10.83203125" customWidth="1"/>
    <col min="1602" max="1602" width="10.83203125" customWidth="1"/>
    <col min="1604" max="1606" width="10.83203125" customWidth="1"/>
    <col min="1608" max="1627" width="10.83203125" customWidth="1"/>
    <col min="1629" max="1629" width="10.83203125" customWidth="1"/>
    <col min="1631" max="1631" width="10.83203125" customWidth="1"/>
    <col min="1634" max="1637" width="10.83203125" customWidth="1"/>
    <col min="1639" max="1639" width="10.83203125" customWidth="1"/>
    <col min="1641" max="1646" width="10.83203125" customWidth="1"/>
    <col min="1648" max="1648" width="10.83203125" customWidth="1"/>
    <col min="1650" max="1650" width="10.83203125" customWidth="1"/>
    <col min="1652" max="1654" width="10.83203125" customWidth="1"/>
    <col min="1656" max="1673" width="10.83203125" customWidth="1"/>
    <col min="1677" max="1678" width="10.83203125" customWidth="1"/>
    <col min="1680" max="1680" width="10.83203125" customWidth="1"/>
    <col min="1682" max="1685" width="10.83203125" customWidth="1"/>
    <col min="1687" max="1687" width="10.83203125" customWidth="1"/>
    <col min="1689" max="1694" width="10.83203125" customWidth="1"/>
    <col min="1696" max="1696" width="10.83203125" customWidth="1"/>
    <col min="1698" max="1698" width="10.83203125" customWidth="1"/>
    <col min="1700" max="1702" width="10.83203125" customWidth="1"/>
    <col min="1704" max="1721" width="10.83203125" customWidth="1"/>
    <col min="1725" max="1726" width="10.83203125" customWidth="1"/>
    <col min="1728" max="1728" width="10.83203125" customWidth="1"/>
    <col min="1730" max="1733" width="10.83203125" customWidth="1"/>
    <col min="1735" max="1735" width="10.83203125" customWidth="1"/>
    <col min="1737" max="1742" width="10.83203125" customWidth="1"/>
    <col min="1744" max="1744" width="10.83203125" customWidth="1"/>
    <col min="1746" max="1746" width="10.83203125" customWidth="1"/>
    <col min="1748" max="1750" width="10.83203125" customWidth="1"/>
    <col min="1752" max="1769" width="10.83203125" customWidth="1"/>
    <col min="1773" max="1774" width="10.83203125" customWidth="1"/>
    <col min="1776" max="1776" width="10.83203125" customWidth="1"/>
    <col min="1778" max="1781" width="10.83203125" customWidth="1"/>
    <col min="1783" max="1783" width="10.83203125" customWidth="1"/>
    <col min="1785" max="1790" width="10.83203125" customWidth="1"/>
    <col min="1792" max="1792" width="10.83203125" customWidth="1"/>
    <col min="1794" max="1794" width="10.83203125" customWidth="1"/>
    <col min="1796" max="1798" width="10.83203125" customWidth="1"/>
    <col min="1800" max="1817" width="10.83203125" customWidth="1"/>
    <col min="1821" max="1822" width="10.83203125" customWidth="1"/>
    <col min="1824" max="1824" width="10.83203125" customWidth="1"/>
    <col min="1826" max="1829" width="10.83203125" customWidth="1"/>
    <col min="1831" max="1831" width="10.83203125" customWidth="1"/>
    <col min="1833" max="1838" width="10.83203125" customWidth="1"/>
    <col min="1840" max="1840" width="10.83203125" customWidth="1"/>
    <col min="1842" max="1842" width="10.83203125" customWidth="1"/>
    <col min="1844" max="1846" width="10.83203125" customWidth="1"/>
    <col min="1848" max="1865" width="10.83203125" customWidth="1"/>
    <col min="1869" max="1870" width="10.83203125" customWidth="1"/>
    <col min="1872" max="1872" width="10.83203125" customWidth="1"/>
    <col min="1874" max="1877" width="10.83203125" customWidth="1"/>
    <col min="1879" max="1879" width="10.83203125" customWidth="1"/>
    <col min="1881" max="1886" width="10.83203125" customWidth="1"/>
    <col min="1888" max="1888" width="10.83203125" customWidth="1"/>
    <col min="1890" max="1890" width="10.83203125" customWidth="1"/>
    <col min="1892" max="1894" width="10.83203125" customWidth="1"/>
    <col min="1896" max="1915" width="10.83203125" customWidth="1"/>
    <col min="1918" max="1918" width="10.83203125" customWidth="1"/>
    <col min="1920" max="1920" width="10.83203125" customWidth="1"/>
    <col min="1922" max="1925" width="10.83203125" customWidth="1"/>
    <col min="1927" max="1927" width="10.83203125" customWidth="1"/>
    <col min="1929" max="1934" width="10.83203125" customWidth="1"/>
    <col min="1936" max="1936" width="10.83203125" customWidth="1"/>
    <col min="1938" max="1938" width="10.83203125" customWidth="1"/>
    <col min="1940" max="1942" width="10.83203125" customWidth="1"/>
    <col min="1944" max="1963" width="10.83203125" customWidth="1"/>
    <col min="1966" max="1966" width="10.83203125" customWidth="1"/>
    <col min="1968" max="1968" width="10.83203125" customWidth="1"/>
    <col min="1970" max="1973" width="10.83203125" customWidth="1"/>
    <col min="1975" max="1975" width="10.83203125" customWidth="1"/>
    <col min="1977" max="1982" width="10.83203125" customWidth="1"/>
    <col min="1984" max="1984" width="10.83203125" customWidth="1"/>
    <col min="1986" max="1986" width="10.83203125" customWidth="1"/>
    <col min="1988" max="1990" width="10.83203125" customWidth="1"/>
    <col min="1992" max="2009" width="10.83203125" customWidth="1"/>
    <col min="2015" max="2016" width="10.83203125" customWidth="1"/>
    <col min="2018" max="2021" width="10.83203125" customWidth="1"/>
    <col min="2023" max="2023" width="10.83203125" customWidth="1"/>
    <col min="2025" max="2030" width="10.83203125" customWidth="1"/>
    <col min="2032" max="2032" width="10.83203125" customWidth="1"/>
    <col min="2034" max="2034" width="10.83203125" customWidth="1"/>
    <col min="2036" max="2038" width="10.83203125" customWidth="1"/>
    <col min="2040" max="2057" width="10.83203125" customWidth="1"/>
    <col min="2063" max="2064" width="10.83203125" customWidth="1"/>
    <col min="2066" max="2069" width="10.83203125" customWidth="1"/>
    <col min="2071" max="2071" width="10.83203125" customWidth="1"/>
    <col min="2073" max="2078" width="10.83203125" customWidth="1"/>
    <col min="2080" max="2080" width="10.83203125" customWidth="1"/>
    <col min="2082" max="2082" width="10.83203125" customWidth="1"/>
    <col min="2084" max="2086" width="10.83203125" customWidth="1"/>
    <col min="2088" max="2105" width="10.83203125" customWidth="1"/>
    <col min="2111" max="2112" width="10.83203125" customWidth="1"/>
    <col min="2114" max="2117" width="10.83203125" customWidth="1"/>
    <col min="2119" max="2119" width="10.83203125" customWidth="1"/>
    <col min="2121" max="2126" width="10.83203125" customWidth="1"/>
    <col min="2128" max="2128" width="10.83203125" customWidth="1"/>
    <col min="2130" max="2130" width="10.83203125" customWidth="1"/>
    <col min="2132" max="2134" width="10.83203125" customWidth="1"/>
    <col min="2136" max="2153" width="10.83203125" customWidth="1"/>
    <col min="2159" max="2160" width="10.83203125" customWidth="1"/>
    <col min="2162" max="2165" width="10.83203125" customWidth="1"/>
    <col min="2167" max="2167" width="10.83203125" customWidth="1"/>
    <col min="2169" max="2174" width="10.83203125" customWidth="1"/>
    <col min="2176" max="2176" width="10.83203125" customWidth="1"/>
    <col min="2178" max="2178" width="10.83203125" customWidth="1"/>
    <col min="2180" max="2182" width="10.83203125" customWidth="1"/>
    <col min="2184" max="2201" width="10.83203125" customWidth="1"/>
    <col min="2207" max="2208" width="10.83203125" customWidth="1"/>
    <col min="2210" max="2213" width="10.83203125" customWidth="1"/>
    <col min="2215" max="2215" width="10.83203125" customWidth="1"/>
    <col min="2217" max="2222" width="10.83203125" customWidth="1"/>
    <col min="2224" max="2224" width="10.83203125" customWidth="1"/>
    <col min="2226" max="2226" width="10.83203125" customWidth="1"/>
    <col min="2228" max="2230" width="10.83203125" customWidth="1"/>
    <col min="2232" max="2249" width="10.83203125" customWidth="1"/>
    <col min="2255" max="2256" width="10.83203125" customWidth="1"/>
    <col min="2258" max="2261" width="10.83203125" customWidth="1"/>
    <col min="2263" max="2263" width="10.83203125" customWidth="1"/>
    <col min="2265" max="2270" width="10.83203125" customWidth="1"/>
    <col min="2272" max="2272" width="10.83203125" customWidth="1"/>
    <col min="2274" max="2274" width="10.83203125" customWidth="1"/>
    <col min="2276" max="2278" width="10.83203125" customWidth="1"/>
    <col min="2280" max="2297" width="10.83203125" customWidth="1"/>
    <col min="2303" max="2304" width="10.83203125" customWidth="1"/>
    <col min="2306" max="2309" width="10.83203125" customWidth="1"/>
    <col min="2311" max="2311" width="10.83203125" customWidth="1"/>
    <col min="2313" max="2318" width="10.83203125" customWidth="1"/>
    <col min="2320" max="2320" width="10.83203125" customWidth="1"/>
    <col min="2322" max="2322" width="10.83203125" customWidth="1"/>
    <col min="2324" max="2326" width="10.83203125" customWidth="1"/>
    <col min="2328" max="2345" width="10.83203125" customWidth="1"/>
    <col min="2351" max="2352" width="10.83203125" customWidth="1"/>
    <col min="2354" max="2357" width="10.83203125" customWidth="1"/>
    <col min="2359" max="2359" width="10.83203125" customWidth="1"/>
    <col min="2361" max="2366" width="10.83203125" customWidth="1"/>
    <col min="2368" max="2368" width="10.83203125" customWidth="1"/>
    <col min="2370" max="2370" width="10.83203125" customWidth="1"/>
    <col min="2372" max="2374" width="10.83203125" customWidth="1"/>
    <col min="2376" max="2393" width="10.83203125" customWidth="1"/>
    <col min="2399" max="2400" width="10.83203125" customWidth="1"/>
    <col min="2402" max="2405" width="10.83203125" customWidth="1"/>
    <col min="2407" max="2407" width="10.83203125" customWidth="1"/>
    <col min="2409" max="2414" width="10.83203125" customWidth="1"/>
    <col min="2416" max="2416" width="10.83203125" customWidth="1"/>
    <col min="2418" max="2418" width="10.83203125" customWidth="1"/>
    <col min="2420" max="2422" width="10.83203125" customWidth="1"/>
    <col min="2424" max="2441" width="10.83203125" customWidth="1"/>
    <col min="2447" max="2448" width="10.83203125" customWidth="1"/>
    <col min="2450" max="2453" width="10.83203125" customWidth="1"/>
    <col min="2455" max="2455" width="10.83203125" customWidth="1"/>
    <col min="2457" max="2462" width="10.83203125" customWidth="1"/>
    <col min="2464" max="2464" width="10.83203125" customWidth="1"/>
    <col min="2466" max="2466" width="10.83203125" customWidth="1"/>
    <col min="2468" max="2470" width="10.83203125" customWidth="1"/>
    <col min="2472" max="2489" width="10.83203125" customWidth="1"/>
    <col min="2495" max="2496" width="10.83203125" customWidth="1"/>
    <col min="2498" max="2501" width="10.83203125" customWidth="1"/>
    <col min="2503" max="2503" width="10.83203125" customWidth="1"/>
    <col min="2505" max="2510" width="10.83203125" customWidth="1"/>
    <col min="2512" max="2512" width="10.83203125" customWidth="1"/>
    <col min="2514" max="2514" width="10.83203125" customWidth="1"/>
    <col min="2516" max="2518" width="10.83203125" customWidth="1"/>
    <col min="2520" max="2537" width="10.83203125" customWidth="1"/>
    <col min="2543" max="2544" width="10.83203125" customWidth="1"/>
    <col min="2546" max="2549" width="10.83203125" customWidth="1"/>
    <col min="2551" max="2551" width="10.83203125" customWidth="1"/>
    <col min="2553" max="2558" width="10.83203125" customWidth="1"/>
    <col min="2560" max="2560" width="10.83203125" customWidth="1"/>
    <col min="2562" max="2562" width="10.83203125" customWidth="1"/>
    <col min="2564" max="2566" width="10.83203125" customWidth="1"/>
    <col min="2568" max="2585" width="10.83203125" customWidth="1"/>
    <col min="2591" max="2592" width="10.83203125" customWidth="1"/>
    <col min="2594" max="2597" width="10.83203125" customWidth="1"/>
    <col min="2599" max="2599" width="10.83203125" customWidth="1"/>
    <col min="2601" max="2606" width="10.83203125" customWidth="1"/>
    <col min="2608" max="2608" width="10.83203125" customWidth="1"/>
    <col min="2610" max="2610" width="10.83203125" customWidth="1"/>
    <col min="2612" max="2614" width="10.83203125" customWidth="1"/>
    <col min="2616" max="2633" width="10.83203125" customWidth="1"/>
    <col min="2639" max="2640" width="10.83203125" customWidth="1"/>
    <col min="2642" max="2645" width="10.83203125" customWidth="1"/>
    <col min="2647" max="2647" width="10.83203125" customWidth="1"/>
    <col min="2649" max="2654" width="10.83203125" customWidth="1"/>
    <col min="2656" max="2659" width="10.83203125" customWidth="1"/>
    <col min="2663" max="15928" width="10.83203125" customWidth="1"/>
    <col min="15930" max="16384" width="10.83203125" customWidth="1"/>
  </cols>
  <sheetData>
    <row r="1" spans="1:6" x14ac:dyDescent="0.2">
      <c r="A1" s="1">
        <f>+B1-693960</f>
        <v>38245</v>
      </c>
      <c r="B1" s="4">
        <v>732205</v>
      </c>
      <c r="C1" t="s">
        <v>57</v>
      </c>
      <c r="D1" t="s">
        <v>58</v>
      </c>
      <c r="E1">
        <v>386</v>
      </c>
    </row>
    <row r="2" spans="1:6" x14ac:dyDescent="0.2">
      <c r="A2" s="1">
        <f>+B2-693960</f>
        <v>38341</v>
      </c>
      <c r="B2" s="4">
        <v>732301</v>
      </c>
      <c r="C2" t="s">
        <v>59</v>
      </c>
      <c r="E2">
        <v>366</v>
      </c>
    </row>
    <row r="3" spans="1:6" x14ac:dyDescent="0.2">
      <c r="A3" s="1">
        <f t="shared" ref="A3:A29" si="0">+B3-693960</f>
        <v>39000</v>
      </c>
      <c r="B3" s="4">
        <v>732960</v>
      </c>
      <c r="C3" t="s">
        <v>57</v>
      </c>
      <c r="D3" t="s">
        <v>60</v>
      </c>
      <c r="E3">
        <v>400</v>
      </c>
    </row>
    <row r="4" spans="1:6" x14ac:dyDescent="0.2">
      <c r="A4" s="1">
        <f t="shared" si="0"/>
        <v>39089</v>
      </c>
      <c r="B4" s="4">
        <v>733049</v>
      </c>
      <c r="C4" t="s">
        <v>61</v>
      </c>
      <c r="D4" t="s">
        <v>60</v>
      </c>
      <c r="E4">
        <v>400</v>
      </c>
    </row>
    <row r="5" spans="1:6" x14ac:dyDescent="0.2">
      <c r="A5" s="1">
        <f t="shared" si="0"/>
        <v>39091</v>
      </c>
      <c r="B5" s="4">
        <v>733051</v>
      </c>
      <c r="C5" t="s">
        <v>57</v>
      </c>
      <c r="D5" t="s">
        <v>60</v>
      </c>
      <c r="E5">
        <v>410</v>
      </c>
    </row>
    <row r="6" spans="1:6" x14ac:dyDescent="0.2">
      <c r="A6" s="1">
        <f t="shared" si="0"/>
        <v>39627</v>
      </c>
      <c r="B6" s="4">
        <v>733587</v>
      </c>
      <c r="C6" t="s">
        <v>62</v>
      </c>
      <c r="D6" t="s">
        <v>60</v>
      </c>
      <c r="E6">
        <v>410</v>
      </c>
    </row>
    <row r="7" spans="1:6" x14ac:dyDescent="0.2">
      <c r="A7" s="1">
        <f t="shared" si="0"/>
        <v>39982</v>
      </c>
      <c r="B7" s="4">
        <v>733942</v>
      </c>
      <c r="C7" t="s">
        <v>63</v>
      </c>
      <c r="D7" t="s">
        <v>60</v>
      </c>
      <c r="E7">
        <v>410</v>
      </c>
    </row>
    <row r="8" spans="1:6" x14ac:dyDescent="0.2">
      <c r="A8" s="1">
        <f t="shared" si="0"/>
        <v>40019</v>
      </c>
      <c r="B8" s="4">
        <v>733979</v>
      </c>
      <c r="C8" t="s">
        <v>64</v>
      </c>
      <c r="D8" t="s">
        <v>60</v>
      </c>
      <c r="E8">
        <v>410</v>
      </c>
    </row>
    <row r="9" spans="1:6" x14ac:dyDescent="0.2">
      <c r="A9" s="2">
        <f t="shared" si="0"/>
        <v>40045</v>
      </c>
      <c r="B9" s="4">
        <v>734005</v>
      </c>
      <c r="C9" t="s">
        <v>65</v>
      </c>
      <c r="D9" t="s">
        <v>66</v>
      </c>
      <c r="E9">
        <v>485</v>
      </c>
    </row>
    <row r="10" spans="1:6" x14ac:dyDescent="0.2">
      <c r="A10" s="2">
        <f t="shared" si="0"/>
        <v>40061</v>
      </c>
      <c r="B10" s="4">
        <v>734021</v>
      </c>
      <c r="C10" t="s">
        <v>67</v>
      </c>
      <c r="D10" t="s">
        <v>68</v>
      </c>
      <c r="E10">
        <v>335</v>
      </c>
    </row>
    <row r="11" spans="1:6" x14ac:dyDescent="0.2">
      <c r="A11" s="2">
        <f t="shared" si="0"/>
        <v>40081</v>
      </c>
      <c r="B11">
        <v>734041</v>
      </c>
      <c r="C11" t="s">
        <v>69</v>
      </c>
      <c r="D11" t="s">
        <v>68</v>
      </c>
      <c r="E11">
        <v>335</v>
      </c>
    </row>
    <row r="12" spans="1:6" x14ac:dyDescent="0.2">
      <c r="A12" s="2">
        <f t="shared" si="0"/>
        <v>40179</v>
      </c>
      <c r="B12">
        <v>734139</v>
      </c>
      <c r="C12" t="s">
        <v>70</v>
      </c>
      <c r="D12" t="s">
        <v>68</v>
      </c>
      <c r="E12">
        <v>335</v>
      </c>
    </row>
    <row r="13" spans="1:6" x14ac:dyDescent="0.2">
      <c r="A13" s="2">
        <f t="shared" si="0"/>
        <v>40239</v>
      </c>
      <c r="B13">
        <v>734199</v>
      </c>
      <c r="C13" t="s">
        <v>71</v>
      </c>
      <c r="D13" t="s">
        <v>68</v>
      </c>
      <c r="E13">
        <v>335</v>
      </c>
    </row>
    <row r="14" spans="1:6" x14ac:dyDescent="0.2">
      <c r="A14" s="2">
        <f t="shared" si="0"/>
        <v>40256</v>
      </c>
      <c r="B14">
        <v>734216</v>
      </c>
      <c r="C14" t="s">
        <v>72</v>
      </c>
      <c r="D14" t="s">
        <v>68</v>
      </c>
      <c r="E14">
        <v>335</v>
      </c>
    </row>
    <row r="15" spans="1:6" x14ac:dyDescent="0.2">
      <c r="A15" s="2">
        <f t="shared" si="0"/>
        <v>40290</v>
      </c>
      <c r="B15">
        <v>734250</v>
      </c>
      <c r="C15" t="s">
        <v>73</v>
      </c>
      <c r="D15" t="s">
        <v>68</v>
      </c>
      <c r="E15">
        <v>335</v>
      </c>
      <c r="F15" t="s">
        <v>74</v>
      </c>
    </row>
    <row r="16" spans="1:6" x14ac:dyDescent="0.2">
      <c r="A16" s="2">
        <f t="shared" si="0"/>
        <v>40445</v>
      </c>
      <c r="B16">
        <v>734405</v>
      </c>
      <c r="C16" t="s">
        <v>75</v>
      </c>
      <c r="D16" t="s">
        <v>76</v>
      </c>
      <c r="E16">
        <v>335</v>
      </c>
    </row>
    <row r="17" spans="1:6" x14ac:dyDescent="0.2">
      <c r="A17" s="2">
        <f>+B17-693960</f>
        <v>40512</v>
      </c>
      <c r="B17">
        <v>734472</v>
      </c>
      <c r="C17" t="s">
        <v>77</v>
      </c>
      <c r="D17" t="s">
        <v>76</v>
      </c>
      <c r="E17">
        <v>335</v>
      </c>
    </row>
    <row r="18" spans="1:6" x14ac:dyDescent="0.2">
      <c r="A18" s="2">
        <f t="shared" si="0"/>
        <v>40702</v>
      </c>
      <c r="B18">
        <v>734662</v>
      </c>
      <c r="C18" s="6" t="s">
        <v>78</v>
      </c>
      <c r="D18" t="s">
        <v>76</v>
      </c>
      <c r="E18">
        <v>335</v>
      </c>
    </row>
    <row r="19" spans="1:6" x14ac:dyDescent="0.2">
      <c r="A19" s="2">
        <f t="shared" si="0"/>
        <v>40742</v>
      </c>
      <c r="B19">
        <v>734702</v>
      </c>
      <c r="C19" t="s">
        <v>79</v>
      </c>
      <c r="D19" t="s">
        <v>80</v>
      </c>
      <c r="E19">
        <v>335</v>
      </c>
    </row>
    <row r="20" spans="1:6" x14ac:dyDescent="0.2">
      <c r="A20" s="2">
        <f t="shared" si="0"/>
        <v>40759</v>
      </c>
      <c r="B20" s="5">
        <v>734719</v>
      </c>
      <c r="C20" t="s">
        <v>81</v>
      </c>
      <c r="D20" t="s">
        <v>82</v>
      </c>
      <c r="E20">
        <v>335</v>
      </c>
    </row>
    <row r="21" spans="1:6" x14ac:dyDescent="0.2">
      <c r="A21" s="2">
        <f t="shared" si="0"/>
        <v>40854</v>
      </c>
      <c r="B21" s="5">
        <v>734814</v>
      </c>
      <c r="C21" t="s">
        <v>70</v>
      </c>
      <c r="D21" t="s">
        <v>82</v>
      </c>
      <c r="E21">
        <v>335</v>
      </c>
    </row>
    <row r="22" spans="1:6" x14ac:dyDescent="0.2">
      <c r="A22" s="2">
        <f t="shared" si="0"/>
        <v>40940</v>
      </c>
      <c r="B22" s="5">
        <v>734900</v>
      </c>
      <c r="C22" t="s">
        <v>83</v>
      </c>
      <c r="D22" t="s">
        <v>84</v>
      </c>
      <c r="E22">
        <v>335</v>
      </c>
    </row>
    <row r="23" spans="1:6" x14ac:dyDescent="0.2">
      <c r="A23" s="2">
        <f t="shared" si="0"/>
        <v>40975</v>
      </c>
      <c r="B23">
        <v>734935</v>
      </c>
      <c r="C23" t="s">
        <v>85</v>
      </c>
      <c r="D23" t="s">
        <v>84</v>
      </c>
      <c r="E23">
        <v>335</v>
      </c>
    </row>
    <row r="24" spans="1:6" x14ac:dyDescent="0.2">
      <c r="A24" s="2">
        <f t="shared" si="0"/>
        <v>40992</v>
      </c>
      <c r="B24">
        <v>734952</v>
      </c>
      <c r="C24" t="s">
        <v>86</v>
      </c>
      <c r="D24" t="s">
        <v>87</v>
      </c>
      <c r="E24">
        <v>345</v>
      </c>
    </row>
    <row r="25" spans="1:6" x14ac:dyDescent="0.2">
      <c r="A25" s="2">
        <f t="shared" si="0"/>
        <v>41057</v>
      </c>
      <c r="B25" s="8">
        <v>735017</v>
      </c>
      <c r="C25" t="s">
        <v>70</v>
      </c>
      <c r="D25" t="s">
        <v>87</v>
      </c>
      <c r="E25">
        <v>345</v>
      </c>
    </row>
    <row r="26" spans="1:6" x14ac:dyDescent="0.2">
      <c r="A26" s="2">
        <f t="shared" si="0"/>
        <v>41075</v>
      </c>
      <c r="B26">
        <v>735035</v>
      </c>
      <c r="C26" t="s">
        <v>88</v>
      </c>
      <c r="D26" t="s">
        <v>87</v>
      </c>
      <c r="E26">
        <v>345</v>
      </c>
    </row>
    <row r="27" spans="1:6" x14ac:dyDescent="0.2">
      <c r="A27" s="2">
        <f t="shared" si="0"/>
        <v>41097</v>
      </c>
      <c r="B27">
        <v>735057</v>
      </c>
      <c r="C27" t="s">
        <v>89</v>
      </c>
      <c r="D27" t="s">
        <v>87</v>
      </c>
      <c r="E27">
        <v>345</v>
      </c>
      <c r="F27" t="s">
        <v>90</v>
      </c>
    </row>
    <row r="28" spans="1:6" x14ac:dyDescent="0.2">
      <c r="A28" s="2">
        <f t="shared" si="0"/>
        <v>41172</v>
      </c>
      <c r="B28">
        <v>735132</v>
      </c>
      <c r="C28" t="s">
        <v>91</v>
      </c>
      <c r="D28" t="s">
        <v>87</v>
      </c>
      <c r="E28">
        <v>345</v>
      </c>
    </row>
    <row r="29" spans="1:6" x14ac:dyDescent="0.2">
      <c r="A29" s="2">
        <f t="shared" si="0"/>
        <v>41205</v>
      </c>
      <c r="B29">
        <v>735165</v>
      </c>
      <c r="C29" t="s">
        <v>92</v>
      </c>
      <c r="D29" t="s">
        <v>87</v>
      </c>
      <c r="E29">
        <v>345</v>
      </c>
    </row>
    <row r="30" spans="1:6" x14ac:dyDescent="0.2">
      <c r="A30" s="2">
        <f t="shared" ref="A30:A35" si="1">+B30-693960</f>
        <v>41213</v>
      </c>
      <c r="B30" s="13">
        <v>735173</v>
      </c>
      <c r="C30" t="s">
        <v>93</v>
      </c>
      <c r="D30" t="s">
        <v>87</v>
      </c>
      <c r="E30">
        <v>345</v>
      </c>
    </row>
    <row r="31" spans="1:6" x14ac:dyDescent="0.2">
      <c r="A31" s="2">
        <f t="shared" si="1"/>
        <v>41228</v>
      </c>
      <c r="B31">
        <v>735188</v>
      </c>
      <c r="C31" t="s">
        <v>88</v>
      </c>
      <c r="D31" t="s">
        <v>87</v>
      </c>
      <c r="E31">
        <v>345</v>
      </c>
    </row>
    <row r="32" spans="1:6" x14ac:dyDescent="0.2">
      <c r="A32" s="2">
        <f t="shared" si="1"/>
        <v>41253</v>
      </c>
      <c r="B32">
        <v>735213</v>
      </c>
      <c r="C32" t="s">
        <v>88</v>
      </c>
      <c r="D32" t="s">
        <v>94</v>
      </c>
      <c r="E32">
        <v>350</v>
      </c>
    </row>
    <row r="33" spans="1:5" x14ac:dyDescent="0.2">
      <c r="A33" s="2">
        <f t="shared" si="1"/>
        <v>41340</v>
      </c>
      <c r="B33">
        <v>735300</v>
      </c>
      <c r="C33" t="s">
        <v>95</v>
      </c>
      <c r="D33" t="s">
        <v>96</v>
      </c>
      <c r="E33">
        <v>383</v>
      </c>
    </row>
    <row r="34" spans="1:5" x14ac:dyDescent="0.2">
      <c r="A34" s="2">
        <f t="shared" si="1"/>
        <v>41428</v>
      </c>
      <c r="B34" s="13">
        <v>735388</v>
      </c>
      <c r="C34" t="s">
        <v>97</v>
      </c>
      <c r="D34" t="s">
        <v>96</v>
      </c>
      <c r="E34">
        <v>383</v>
      </c>
    </row>
    <row r="35" spans="1:5" x14ac:dyDescent="0.2">
      <c r="A35" s="2">
        <f t="shared" si="1"/>
        <v>41450</v>
      </c>
      <c r="B35" s="13">
        <v>735410</v>
      </c>
      <c r="C35" t="s">
        <v>98</v>
      </c>
      <c r="D35" t="s">
        <v>99</v>
      </c>
      <c r="E35">
        <v>383</v>
      </c>
    </row>
    <row r="36" spans="1:5" x14ac:dyDescent="0.2">
      <c r="A36" s="2">
        <f t="shared" ref="A36:A42" si="2">+B36-693960</f>
        <v>41506</v>
      </c>
      <c r="B36" s="13">
        <v>735466</v>
      </c>
      <c r="C36" t="s">
        <v>100</v>
      </c>
      <c r="D36" t="s">
        <v>99</v>
      </c>
      <c r="E36">
        <v>315</v>
      </c>
    </row>
    <row r="37" spans="1:5" x14ac:dyDescent="0.2">
      <c r="A37" s="2">
        <f t="shared" si="2"/>
        <v>41556</v>
      </c>
      <c r="B37" s="13">
        <v>735516</v>
      </c>
      <c r="C37" t="s">
        <v>101</v>
      </c>
      <c r="D37" t="s">
        <v>102</v>
      </c>
      <c r="E37">
        <v>325</v>
      </c>
    </row>
    <row r="38" spans="1:5" x14ac:dyDescent="0.2">
      <c r="A38" s="2">
        <f t="shared" si="2"/>
        <v>41576</v>
      </c>
      <c r="B38" s="13">
        <v>735536</v>
      </c>
      <c r="C38" t="s">
        <v>89</v>
      </c>
      <c r="D38" t="s">
        <v>102</v>
      </c>
      <c r="E38">
        <v>325</v>
      </c>
    </row>
    <row r="39" spans="1:5" x14ac:dyDescent="0.2">
      <c r="A39" s="2">
        <f t="shared" si="2"/>
        <v>41627</v>
      </c>
      <c r="B39" s="13">
        <v>735587</v>
      </c>
      <c r="C39" t="s">
        <v>103</v>
      </c>
      <c r="D39" t="s">
        <v>102</v>
      </c>
      <c r="E39">
        <v>335</v>
      </c>
    </row>
    <row r="40" spans="1:5" x14ac:dyDescent="0.2">
      <c r="A40" s="2">
        <f t="shared" si="2"/>
        <v>41634</v>
      </c>
      <c r="B40" s="13">
        <v>735594</v>
      </c>
      <c r="C40" t="s">
        <v>104</v>
      </c>
      <c r="D40" t="s">
        <v>102</v>
      </c>
      <c r="E40">
        <v>325</v>
      </c>
    </row>
    <row r="41" spans="1:5" x14ac:dyDescent="0.2">
      <c r="A41" s="2">
        <f>+B41-693960</f>
        <v>41650</v>
      </c>
      <c r="B41" s="13">
        <v>735610</v>
      </c>
      <c r="C41" t="s">
        <v>105</v>
      </c>
      <c r="D41" t="s">
        <v>102</v>
      </c>
      <c r="E41">
        <v>325</v>
      </c>
    </row>
    <row r="42" spans="1:5" x14ac:dyDescent="0.2">
      <c r="A42" s="2">
        <f t="shared" si="2"/>
        <v>41682</v>
      </c>
      <c r="B42" s="13">
        <v>735642</v>
      </c>
      <c r="C42" t="s">
        <v>92</v>
      </c>
      <c r="D42" t="s">
        <v>106</v>
      </c>
      <c r="E42">
        <v>325</v>
      </c>
    </row>
    <row r="43" spans="1:5" x14ac:dyDescent="0.2">
      <c r="A43" s="2">
        <f t="shared" ref="A43:A55" si="3">+B43-693960</f>
        <v>41710</v>
      </c>
      <c r="B43" s="13">
        <v>735670</v>
      </c>
      <c r="C43" t="s">
        <v>107</v>
      </c>
      <c r="D43" t="s">
        <v>106</v>
      </c>
      <c r="E43">
        <v>320</v>
      </c>
    </row>
    <row r="44" spans="1:5" x14ac:dyDescent="0.2">
      <c r="A44" s="2">
        <f t="shared" si="3"/>
        <v>41753</v>
      </c>
      <c r="B44" s="8">
        <v>735713</v>
      </c>
      <c r="C44" t="s">
        <v>70</v>
      </c>
      <c r="D44" t="s">
        <v>106</v>
      </c>
      <c r="E44">
        <v>320</v>
      </c>
    </row>
    <row r="45" spans="1:5" x14ac:dyDescent="0.2">
      <c r="A45" s="37">
        <f t="shared" si="3"/>
        <v>41974</v>
      </c>
      <c r="B45" s="36">
        <v>735934</v>
      </c>
      <c r="C45" t="s">
        <v>108</v>
      </c>
      <c r="D45" t="s">
        <v>106</v>
      </c>
      <c r="E45">
        <v>320</v>
      </c>
    </row>
    <row r="46" spans="1:5" x14ac:dyDescent="0.2">
      <c r="A46" s="37">
        <f t="shared" si="3"/>
        <v>41997</v>
      </c>
      <c r="B46" s="36">
        <v>735957</v>
      </c>
      <c r="C46" t="s">
        <v>109</v>
      </c>
      <c r="D46" t="s">
        <v>106</v>
      </c>
      <c r="E46">
        <v>348</v>
      </c>
    </row>
    <row r="47" spans="1:5" x14ac:dyDescent="0.2">
      <c r="A47" s="2">
        <f t="shared" si="3"/>
        <v>42028</v>
      </c>
      <c r="B47" s="36">
        <v>735988</v>
      </c>
      <c r="C47" t="s">
        <v>92</v>
      </c>
      <c r="D47" t="s">
        <v>110</v>
      </c>
      <c r="E47">
        <v>390</v>
      </c>
    </row>
    <row r="48" spans="1:5" x14ac:dyDescent="0.2">
      <c r="A48" s="2">
        <f t="shared" si="3"/>
        <v>42085</v>
      </c>
      <c r="B48" s="36">
        <v>736045</v>
      </c>
      <c r="C48" t="s">
        <v>111</v>
      </c>
      <c r="D48" t="s">
        <v>110</v>
      </c>
      <c r="E48">
        <v>390</v>
      </c>
    </row>
    <row r="49" spans="1:5" x14ac:dyDescent="0.2">
      <c r="A49" s="2">
        <f t="shared" si="3"/>
        <v>42104</v>
      </c>
      <c r="B49" s="36">
        <v>736064</v>
      </c>
      <c r="C49" t="s">
        <v>112</v>
      </c>
      <c r="D49" t="s">
        <v>110</v>
      </c>
      <c r="E49">
        <v>390</v>
      </c>
    </row>
    <row r="50" spans="1:5" x14ac:dyDescent="0.2">
      <c r="A50" s="2">
        <f t="shared" si="3"/>
        <v>42164</v>
      </c>
      <c r="B50" s="36">
        <v>736124</v>
      </c>
      <c r="C50" t="s">
        <v>113</v>
      </c>
      <c r="D50" t="s">
        <v>110</v>
      </c>
      <c r="E50">
        <v>395</v>
      </c>
    </row>
    <row r="51" spans="1:5" x14ac:dyDescent="0.2">
      <c r="A51" s="2">
        <f t="shared" si="3"/>
        <v>42274</v>
      </c>
      <c r="B51" s="36">
        <v>736234</v>
      </c>
      <c r="C51" s="11" t="s">
        <v>114</v>
      </c>
      <c r="D51" t="s">
        <v>110</v>
      </c>
      <c r="E51">
        <v>395</v>
      </c>
    </row>
    <row r="52" spans="1:5" x14ac:dyDescent="0.2">
      <c r="A52" s="2">
        <f t="shared" si="3"/>
        <v>42417</v>
      </c>
      <c r="B52" s="36">
        <v>736377</v>
      </c>
      <c r="C52" s="11" t="s">
        <v>115</v>
      </c>
      <c r="D52" t="s">
        <v>110</v>
      </c>
      <c r="E52">
        <v>395</v>
      </c>
    </row>
    <row r="53" spans="1:5" x14ac:dyDescent="0.2">
      <c r="A53" s="2">
        <f t="shared" si="3"/>
        <v>42440</v>
      </c>
      <c r="B53" s="36">
        <v>736400</v>
      </c>
      <c r="C53" s="11" t="s">
        <v>116</v>
      </c>
      <c r="D53" t="s">
        <v>110</v>
      </c>
      <c r="E53">
        <v>395</v>
      </c>
    </row>
    <row r="54" spans="1:5" x14ac:dyDescent="0.2">
      <c r="A54" s="2">
        <f t="shared" si="3"/>
        <v>42447</v>
      </c>
      <c r="B54" s="36">
        <v>736407</v>
      </c>
      <c r="C54" s="11" t="s">
        <v>117</v>
      </c>
      <c r="D54" t="s">
        <v>110</v>
      </c>
      <c r="E54">
        <v>395</v>
      </c>
    </row>
    <row r="55" spans="1:5" x14ac:dyDescent="0.2">
      <c r="A55" s="2">
        <f t="shared" si="3"/>
        <v>42564</v>
      </c>
      <c r="B55" s="41">
        <v>736524</v>
      </c>
      <c r="C55" s="11" t="s">
        <v>118</v>
      </c>
      <c r="D55" t="s">
        <v>110</v>
      </c>
      <c r="E55">
        <v>385</v>
      </c>
    </row>
  </sheetData>
  <pageMargins left="0.7" right="0.7" top="0.75" bottom="0.75" header="0.3" footer="0.3"/>
  <pageSetup paperSize="9" orientation="portrait"/>
  <customProperties>
    <customPr name="DVSECTION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02" workbookViewId="0">
      <selection activeCell="C125" sqref="C125"/>
    </sheetView>
  </sheetViews>
  <sheetFormatPr baseColWidth="10" defaultRowHeight="15" x14ac:dyDescent="0.2"/>
  <cols>
    <col min="1" max="1" width="12.1640625" style="11" customWidth="1"/>
    <col min="2" max="2" width="43" style="11" customWidth="1"/>
    <col min="4" max="4" width="16.5" customWidth="1"/>
    <col min="5" max="5" width="18" customWidth="1"/>
  </cols>
  <sheetData>
    <row r="1" spans="1:5" x14ac:dyDescent="0.2">
      <c r="A1" s="10">
        <v>38245</v>
      </c>
      <c r="B1" s="11" t="s">
        <v>119</v>
      </c>
    </row>
    <row r="2" spans="1:5" x14ac:dyDescent="0.2">
      <c r="A2" s="10">
        <v>38341</v>
      </c>
      <c r="B2" s="11" t="s">
        <v>120</v>
      </c>
    </row>
    <row r="3" spans="1:5" x14ac:dyDescent="0.2">
      <c r="A3" s="10">
        <v>39275</v>
      </c>
      <c r="B3" s="11" t="s">
        <v>121</v>
      </c>
    </row>
    <row r="4" spans="1:5" x14ac:dyDescent="0.2">
      <c r="A4" s="10">
        <v>39285</v>
      </c>
      <c r="B4" s="11" t="s">
        <v>122</v>
      </c>
    </row>
    <row r="5" spans="1:5" x14ac:dyDescent="0.2">
      <c r="A5" s="10">
        <v>39385</v>
      </c>
      <c r="B5" s="11" t="s">
        <v>123</v>
      </c>
    </row>
    <row r="6" spans="1:5" x14ac:dyDescent="0.2">
      <c r="A6" s="10">
        <v>39356</v>
      </c>
      <c r="B6" s="11" t="s">
        <v>124</v>
      </c>
    </row>
    <row r="7" spans="1:5" x14ac:dyDescent="0.2">
      <c r="A7" s="10">
        <v>39428</v>
      </c>
      <c r="B7" s="11" t="s">
        <v>125</v>
      </c>
    </row>
    <row r="8" spans="1:5" x14ac:dyDescent="0.2">
      <c r="A8" s="10">
        <v>40198</v>
      </c>
      <c r="B8" s="11" t="s">
        <v>126</v>
      </c>
      <c r="C8" t="s">
        <v>127</v>
      </c>
      <c r="D8" t="s">
        <v>128</v>
      </c>
      <c r="E8" t="s">
        <v>129</v>
      </c>
    </row>
    <row r="9" spans="1:5" x14ac:dyDescent="0.2">
      <c r="A9" s="10">
        <v>40228</v>
      </c>
      <c r="B9" s="11" t="s">
        <v>126</v>
      </c>
      <c r="C9" t="s">
        <v>130</v>
      </c>
    </row>
    <row r="10" spans="1:5" x14ac:dyDescent="0.2">
      <c r="A10" s="10">
        <v>40336</v>
      </c>
      <c r="B10" s="11" t="s">
        <v>126</v>
      </c>
      <c r="C10" t="s">
        <v>131</v>
      </c>
    </row>
    <row r="11" spans="1:5" ht="30" x14ac:dyDescent="0.2">
      <c r="A11" s="10">
        <v>40342</v>
      </c>
      <c r="B11" s="11" t="s">
        <v>132</v>
      </c>
      <c r="C11" t="s">
        <v>133</v>
      </c>
    </row>
    <row r="12" spans="1:5" ht="30" x14ac:dyDescent="0.2">
      <c r="A12" s="10">
        <v>40515</v>
      </c>
      <c r="B12" s="6" t="s">
        <v>134</v>
      </c>
    </row>
    <row r="13" spans="1:5" ht="30" x14ac:dyDescent="0.2">
      <c r="A13" s="10">
        <v>40584</v>
      </c>
      <c r="B13" s="6" t="s">
        <v>135</v>
      </c>
      <c r="C13" t="s">
        <v>136</v>
      </c>
    </row>
    <row r="14" spans="1:5" ht="42" customHeight="1" x14ac:dyDescent="0.2">
      <c r="A14" s="10">
        <v>40608</v>
      </c>
      <c r="B14" s="6" t="s">
        <v>137</v>
      </c>
      <c r="C14" t="s">
        <v>138</v>
      </c>
    </row>
    <row r="15" spans="1:5" ht="42" customHeight="1" x14ac:dyDescent="0.2">
      <c r="A15" s="10">
        <v>40609</v>
      </c>
      <c r="B15" s="6" t="s">
        <v>139</v>
      </c>
      <c r="C15" t="s">
        <v>140</v>
      </c>
    </row>
    <row r="16" spans="1:5" ht="20" customHeight="1" x14ac:dyDescent="0.2">
      <c r="A16" s="10">
        <v>40616</v>
      </c>
      <c r="B16" s="6" t="s">
        <v>141</v>
      </c>
      <c r="C16" t="s">
        <v>142</v>
      </c>
    </row>
    <row r="17" spans="1:5" ht="21.75" customHeight="1" x14ac:dyDescent="0.2">
      <c r="A17" s="10">
        <v>40617</v>
      </c>
      <c r="B17" s="6" t="s">
        <v>141</v>
      </c>
      <c r="C17" t="s">
        <v>143</v>
      </c>
    </row>
    <row r="18" spans="1:5" ht="29.25" customHeight="1" x14ac:dyDescent="0.2">
      <c r="A18" s="10">
        <v>40618</v>
      </c>
      <c r="B18" s="6" t="s">
        <v>144</v>
      </c>
      <c r="C18" t="s">
        <v>145</v>
      </c>
    </row>
    <row r="19" spans="1:5" ht="30" x14ac:dyDescent="0.2">
      <c r="A19" s="10">
        <v>40638</v>
      </c>
      <c r="B19" s="6" t="s">
        <v>146</v>
      </c>
      <c r="C19" t="s">
        <v>147</v>
      </c>
    </row>
    <row r="20" spans="1:5" x14ac:dyDescent="0.2">
      <c r="A20" s="10">
        <v>40651</v>
      </c>
      <c r="B20" s="6" t="s">
        <v>148</v>
      </c>
    </row>
    <row r="21" spans="1:5" ht="75" x14ac:dyDescent="0.2">
      <c r="A21" s="10">
        <v>40664</v>
      </c>
      <c r="B21" s="6" t="s">
        <v>149</v>
      </c>
      <c r="C21" t="s">
        <v>150</v>
      </c>
    </row>
    <row r="22" spans="1:5" ht="30" x14ac:dyDescent="0.2">
      <c r="A22" s="10">
        <v>40674</v>
      </c>
      <c r="B22" s="6" t="s">
        <v>151</v>
      </c>
    </row>
    <row r="23" spans="1:5" ht="30" x14ac:dyDescent="0.2">
      <c r="A23" s="10">
        <v>40701</v>
      </c>
      <c r="B23" s="6" t="s">
        <v>152</v>
      </c>
      <c r="C23" t="s">
        <v>153</v>
      </c>
    </row>
    <row r="24" spans="1:5" x14ac:dyDescent="0.2">
      <c r="A24" s="10">
        <v>40702</v>
      </c>
      <c r="B24" s="6" t="s">
        <v>154</v>
      </c>
    </row>
    <row r="25" spans="1:5" x14ac:dyDescent="0.2">
      <c r="A25" s="10">
        <v>40711</v>
      </c>
      <c r="B25" s="6" t="s">
        <v>155</v>
      </c>
      <c r="C25" t="s">
        <v>156</v>
      </c>
    </row>
    <row r="26" spans="1:5" ht="30" x14ac:dyDescent="0.2">
      <c r="A26" s="10">
        <v>40759</v>
      </c>
      <c r="B26" s="6" t="s">
        <v>157</v>
      </c>
    </row>
    <row r="27" spans="1:5" x14ac:dyDescent="0.2">
      <c r="A27" s="10">
        <v>40813</v>
      </c>
      <c r="B27" s="6" t="s">
        <v>158</v>
      </c>
      <c r="C27" t="s">
        <v>159</v>
      </c>
    </row>
    <row r="28" spans="1:5" x14ac:dyDescent="0.2">
      <c r="A28" s="10">
        <v>40814</v>
      </c>
      <c r="B28" s="6" t="s">
        <v>158</v>
      </c>
      <c r="C28" t="s">
        <v>160</v>
      </c>
    </row>
    <row r="29" spans="1:5" ht="30" x14ac:dyDescent="0.2">
      <c r="A29" s="10">
        <v>40816</v>
      </c>
      <c r="B29" s="6" t="s">
        <v>161</v>
      </c>
      <c r="C29" t="s">
        <v>162</v>
      </c>
    </row>
    <row r="30" spans="1:5" x14ac:dyDescent="0.2">
      <c r="A30" s="10">
        <v>40819</v>
      </c>
      <c r="B30" s="6" t="s">
        <v>163</v>
      </c>
      <c r="C30" t="s">
        <v>164</v>
      </c>
    </row>
    <row r="31" spans="1:5" x14ac:dyDescent="0.2">
      <c r="A31" s="10">
        <v>40812</v>
      </c>
      <c r="B31" s="6" t="s">
        <v>165</v>
      </c>
      <c r="C31" t="s">
        <v>166</v>
      </c>
      <c r="D31" t="s">
        <v>167</v>
      </c>
      <c r="E31" t="s">
        <v>168</v>
      </c>
    </row>
    <row r="32" spans="1:5" x14ac:dyDescent="0.2">
      <c r="A32" s="10">
        <v>40813</v>
      </c>
      <c r="B32" s="6" t="s">
        <v>165</v>
      </c>
      <c r="C32" t="s">
        <v>159</v>
      </c>
      <c r="D32" t="s">
        <v>169</v>
      </c>
      <c r="E32" t="s">
        <v>170</v>
      </c>
    </row>
    <row r="33" spans="1:5" x14ac:dyDescent="0.2">
      <c r="A33" s="10">
        <v>40814</v>
      </c>
      <c r="B33" s="6" t="s">
        <v>165</v>
      </c>
      <c r="C33" t="s">
        <v>160</v>
      </c>
      <c r="D33" t="s">
        <v>171</v>
      </c>
      <c r="E33" t="s">
        <v>172</v>
      </c>
    </row>
    <row r="34" spans="1:5" x14ac:dyDescent="0.2">
      <c r="A34" s="10">
        <v>40816</v>
      </c>
      <c r="B34" s="6" t="s">
        <v>165</v>
      </c>
      <c r="C34" t="s">
        <v>162</v>
      </c>
      <c r="D34" t="s">
        <v>173</v>
      </c>
      <c r="E34" t="s">
        <v>174</v>
      </c>
    </row>
    <row r="35" spans="1:5" x14ac:dyDescent="0.2">
      <c r="A35" s="10">
        <v>40819</v>
      </c>
      <c r="B35" s="6" t="s">
        <v>165</v>
      </c>
      <c r="C35" t="s">
        <v>164</v>
      </c>
      <c r="D35" t="s">
        <v>175</v>
      </c>
      <c r="E35" t="s">
        <v>176</v>
      </c>
    </row>
    <row r="36" spans="1:5" x14ac:dyDescent="0.2">
      <c r="A36" s="10">
        <v>40822</v>
      </c>
      <c r="B36" s="6" t="s">
        <v>165</v>
      </c>
      <c r="C36" t="s">
        <v>177</v>
      </c>
      <c r="D36" t="s">
        <v>178</v>
      </c>
      <c r="E36" t="s">
        <v>179</v>
      </c>
    </row>
    <row r="37" spans="1:5" x14ac:dyDescent="0.2">
      <c r="A37" s="10">
        <v>40823</v>
      </c>
      <c r="B37" s="6" t="s">
        <v>165</v>
      </c>
      <c r="C37" t="s">
        <v>180</v>
      </c>
      <c r="D37" t="s">
        <v>181</v>
      </c>
      <c r="E37" t="s">
        <v>182</v>
      </c>
    </row>
    <row r="38" spans="1:5" x14ac:dyDescent="0.2">
      <c r="A38" s="10">
        <v>40824</v>
      </c>
      <c r="B38" s="6" t="s">
        <v>165</v>
      </c>
      <c r="C38" t="s">
        <v>183</v>
      </c>
      <c r="D38" t="s">
        <v>184</v>
      </c>
      <c r="E38" t="s">
        <v>185</v>
      </c>
    </row>
    <row r="39" spans="1:5" x14ac:dyDescent="0.2">
      <c r="A39" s="10">
        <v>40825</v>
      </c>
      <c r="B39" s="6" t="s">
        <v>165</v>
      </c>
      <c r="C39" t="s">
        <v>186</v>
      </c>
      <c r="D39" t="s">
        <v>187</v>
      </c>
      <c r="E39" t="s">
        <v>188</v>
      </c>
    </row>
    <row r="40" spans="1:5" x14ac:dyDescent="0.2">
      <c r="A40" s="10">
        <v>40825</v>
      </c>
      <c r="B40" s="6" t="s">
        <v>165</v>
      </c>
      <c r="C40" t="s">
        <v>189</v>
      </c>
      <c r="D40" t="s">
        <v>190</v>
      </c>
      <c r="E40" t="s">
        <v>191</v>
      </c>
    </row>
    <row r="41" spans="1:5" x14ac:dyDescent="0.2">
      <c r="A41" s="10">
        <v>40854</v>
      </c>
      <c r="B41" s="6" t="s">
        <v>192</v>
      </c>
    </row>
    <row r="42" spans="1:5" x14ac:dyDescent="0.2">
      <c r="A42" s="10">
        <v>40870</v>
      </c>
      <c r="B42" s="11" t="s">
        <v>193</v>
      </c>
    </row>
    <row r="43" spans="1:5" ht="30" x14ac:dyDescent="0.2">
      <c r="A43" s="10">
        <v>40892</v>
      </c>
      <c r="B43" s="11" t="s">
        <v>194</v>
      </c>
    </row>
    <row r="44" spans="1:5" x14ac:dyDescent="0.2">
      <c r="A44" s="10">
        <v>40925</v>
      </c>
      <c r="B44" s="11" t="s">
        <v>195</v>
      </c>
    </row>
    <row r="45" spans="1:5" ht="30" x14ac:dyDescent="0.2">
      <c r="A45" s="10">
        <v>40932</v>
      </c>
      <c r="B45" s="11" t="s">
        <v>196</v>
      </c>
    </row>
    <row r="46" spans="1:5" ht="30" x14ac:dyDescent="0.2">
      <c r="A46" s="10">
        <v>40934</v>
      </c>
      <c r="B46" s="6" t="s">
        <v>197</v>
      </c>
      <c r="C46" t="s">
        <v>198</v>
      </c>
    </row>
    <row r="47" spans="1:5" ht="45" x14ac:dyDescent="0.2">
      <c r="A47" s="10">
        <v>40940</v>
      </c>
      <c r="B47" s="11" t="s">
        <v>199</v>
      </c>
    </row>
    <row r="48" spans="1:5" x14ac:dyDescent="0.2">
      <c r="A48" s="10">
        <v>40975</v>
      </c>
      <c r="B48" s="38" t="s">
        <v>200</v>
      </c>
    </row>
    <row r="49" spans="1:5" ht="30" x14ac:dyDescent="0.2">
      <c r="A49" s="10">
        <v>40982</v>
      </c>
      <c r="B49" s="11" t="s">
        <v>201</v>
      </c>
    </row>
    <row r="50" spans="1:5" x14ac:dyDescent="0.2">
      <c r="A50" s="10">
        <v>40992</v>
      </c>
      <c r="B50" s="38" t="s">
        <v>202</v>
      </c>
    </row>
    <row r="51" spans="1:5" ht="30" x14ac:dyDescent="0.2">
      <c r="A51" s="10">
        <v>41029</v>
      </c>
      <c r="B51" s="6" t="s">
        <v>203</v>
      </c>
      <c r="C51" t="s">
        <v>204</v>
      </c>
      <c r="D51" t="s">
        <v>205</v>
      </c>
      <c r="E51" t="s">
        <v>206</v>
      </c>
    </row>
    <row r="52" spans="1:5" ht="30" x14ac:dyDescent="0.2">
      <c r="A52" s="10">
        <v>41030</v>
      </c>
      <c r="B52" s="6" t="s">
        <v>207</v>
      </c>
      <c r="C52" t="s">
        <v>208</v>
      </c>
      <c r="D52" t="s">
        <v>209</v>
      </c>
      <c r="E52" t="s">
        <v>210</v>
      </c>
    </row>
    <row r="53" spans="1:5" x14ac:dyDescent="0.2">
      <c r="A53" s="10">
        <v>41057</v>
      </c>
      <c r="B53" s="38" t="s">
        <v>211</v>
      </c>
    </row>
    <row r="54" spans="1:5" x14ac:dyDescent="0.2">
      <c r="A54" s="10">
        <v>41075</v>
      </c>
      <c r="B54" s="38" t="s">
        <v>212</v>
      </c>
    </row>
    <row r="55" spans="1:5" x14ac:dyDescent="0.2">
      <c r="A55" s="10">
        <v>41097</v>
      </c>
      <c r="B55" s="38" t="s">
        <v>213</v>
      </c>
    </row>
    <row r="56" spans="1:5" ht="17.25" customHeight="1" x14ac:dyDescent="0.2">
      <c r="A56" s="10">
        <v>41135</v>
      </c>
      <c r="B56" s="11" t="s">
        <v>214</v>
      </c>
    </row>
    <row r="57" spans="1:5" x14ac:dyDescent="0.2">
      <c r="A57" s="10">
        <v>41142</v>
      </c>
      <c r="B57" s="11" t="s">
        <v>214</v>
      </c>
    </row>
    <row r="58" spans="1:5" x14ac:dyDescent="0.2">
      <c r="A58" s="10">
        <v>41172</v>
      </c>
      <c r="B58" s="11" t="s">
        <v>195</v>
      </c>
    </row>
    <row r="59" spans="1:5" x14ac:dyDescent="0.2">
      <c r="A59" s="12">
        <v>41205</v>
      </c>
      <c r="B59" s="38" t="s">
        <v>215</v>
      </c>
    </row>
    <row r="60" spans="1:5" s="14" customFormat="1" x14ac:dyDescent="0.2">
      <c r="A60" s="15">
        <v>41213</v>
      </c>
      <c r="B60" s="11" t="s">
        <v>216</v>
      </c>
    </row>
    <row r="61" spans="1:5" s="14" customFormat="1" x14ac:dyDescent="0.2">
      <c r="A61" s="15">
        <v>41228</v>
      </c>
      <c r="B61" s="38" t="s">
        <v>212</v>
      </c>
    </row>
    <row r="62" spans="1:5" x14ac:dyDescent="0.2">
      <c r="A62" s="10">
        <v>41253</v>
      </c>
      <c r="B62" s="11" t="s">
        <v>195</v>
      </c>
    </row>
    <row r="63" spans="1:5" x14ac:dyDescent="0.2">
      <c r="A63" s="10">
        <v>41257</v>
      </c>
      <c r="B63" s="11" t="s">
        <v>217</v>
      </c>
    </row>
    <row r="64" spans="1:5" x14ac:dyDescent="0.2">
      <c r="A64" s="10">
        <v>41335</v>
      </c>
      <c r="B64" s="11" t="s">
        <v>218</v>
      </c>
    </row>
    <row r="65" spans="1:5" ht="30" x14ac:dyDescent="0.2">
      <c r="A65" s="10">
        <v>41339</v>
      </c>
      <c r="B65" s="11" t="s">
        <v>219</v>
      </c>
    </row>
    <row r="66" spans="1:5" ht="30" x14ac:dyDescent="0.2">
      <c r="A66" s="10">
        <v>41340</v>
      </c>
      <c r="B66" s="11" t="s">
        <v>220</v>
      </c>
    </row>
    <row r="67" spans="1:5" ht="30" x14ac:dyDescent="0.2">
      <c r="A67" s="10">
        <v>41354</v>
      </c>
      <c r="B67" s="11" t="s">
        <v>221</v>
      </c>
      <c r="C67" t="s">
        <v>222</v>
      </c>
    </row>
    <row r="68" spans="1:5" x14ac:dyDescent="0.2">
      <c r="A68" s="10">
        <v>41372</v>
      </c>
      <c r="B68" s="11" t="s">
        <v>223</v>
      </c>
      <c r="C68" t="s">
        <v>222</v>
      </c>
      <c r="D68" t="s">
        <v>224</v>
      </c>
      <c r="E68" t="s">
        <v>225</v>
      </c>
    </row>
    <row r="69" spans="1:5" x14ac:dyDescent="0.2">
      <c r="A69" s="10">
        <v>41376</v>
      </c>
      <c r="B69" s="11" t="s">
        <v>214</v>
      </c>
    </row>
    <row r="70" spans="1:5" x14ac:dyDescent="0.2">
      <c r="A70" s="10">
        <v>41389</v>
      </c>
      <c r="B70" s="11" t="s">
        <v>226</v>
      </c>
    </row>
    <row r="71" spans="1:5" x14ac:dyDescent="0.2">
      <c r="A71" s="10">
        <v>41428</v>
      </c>
      <c r="B71" s="38" t="s">
        <v>227</v>
      </c>
    </row>
    <row r="72" spans="1:5" x14ac:dyDescent="0.2">
      <c r="A72" s="10">
        <v>41450</v>
      </c>
      <c r="B72" s="38" t="s">
        <v>228</v>
      </c>
    </row>
    <row r="73" spans="1:5" x14ac:dyDescent="0.2">
      <c r="A73" s="21">
        <v>41506</v>
      </c>
      <c r="B73" s="38" t="s">
        <v>229</v>
      </c>
    </row>
    <row r="74" spans="1:5" ht="30" x14ac:dyDescent="0.2">
      <c r="A74" s="10">
        <v>41556</v>
      </c>
      <c r="B74" s="11" t="s">
        <v>230</v>
      </c>
      <c r="C74" t="s">
        <v>231</v>
      </c>
      <c r="D74" t="s">
        <v>232</v>
      </c>
      <c r="E74" t="s">
        <v>233</v>
      </c>
    </row>
    <row r="75" spans="1:5" x14ac:dyDescent="0.2">
      <c r="A75" s="10">
        <v>41557</v>
      </c>
      <c r="B75" s="6" t="s">
        <v>234</v>
      </c>
      <c r="C75" t="s">
        <v>235</v>
      </c>
      <c r="D75" t="s">
        <v>236</v>
      </c>
      <c r="E75" t="s">
        <v>237</v>
      </c>
    </row>
    <row r="76" spans="1:5" x14ac:dyDescent="0.2">
      <c r="A76" s="10">
        <v>41562</v>
      </c>
      <c r="B76" s="6" t="s">
        <v>238</v>
      </c>
    </row>
    <row r="77" spans="1:5" x14ac:dyDescent="0.2">
      <c r="A77" s="10">
        <v>41566</v>
      </c>
      <c r="B77" s="6" t="s">
        <v>239</v>
      </c>
    </row>
    <row r="78" spans="1:5" x14ac:dyDescent="0.2">
      <c r="A78" s="10">
        <v>41576</v>
      </c>
      <c r="B78" s="11" t="s">
        <v>240</v>
      </c>
    </row>
    <row r="79" spans="1:5" ht="30" x14ac:dyDescent="0.2">
      <c r="A79" s="10">
        <v>41616</v>
      </c>
      <c r="B79" s="11" t="s">
        <v>241</v>
      </c>
    </row>
    <row r="80" spans="1:5" x14ac:dyDescent="0.2">
      <c r="A80" s="10">
        <v>41617</v>
      </c>
      <c r="B80" s="11" t="s">
        <v>242</v>
      </c>
    </row>
    <row r="81" spans="1:5" x14ac:dyDescent="0.2">
      <c r="A81" s="10">
        <v>41621</v>
      </c>
      <c r="B81" s="11" t="s">
        <v>243</v>
      </c>
    </row>
    <row r="82" spans="1:5" x14ac:dyDescent="0.2">
      <c r="A82" s="10">
        <v>41627</v>
      </c>
      <c r="B82" s="11" t="s">
        <v>244</v>
      </c>
      <c r="C82" t="s">
        <v>245</v>
      </c>
      <c r="D82" t="s">
        <v>246</v>
      </c>
      <c r="E82" t="s">
        <v>247</v>
      </c>
    </row>
    <row r="83" spans="1:5" x14ac:dyDescent="0.2">
      <c r="A83" s="10">
        <v>41628</v>
      </c>
      <c r="B83" s="11" t="s">
        <v>248</v>
      </c>
    </row>
    <row r="84" spans="1:5" ht="30" x14ac:dyDescent="0.2">
      <c r="A84" s="10">
        <v>41631</v>
      </c>
      <c r="B84" s="11" t="s">
        <v>249</v>
      </c>
    </row>
    <row r="85" spans="1:5" ht="30" x14ac:dyDescent="0.2">
      <c r="A85" s="10">
        <v>41634</v>
      </c>
      <c r="B85" s="11" t="s">
        <v>250</v>
      </c>
    </row>
    <row r="86" spans="1:5" x14ac:dyDescent="0.2">
      <c r="A86" s="10">
        <v>41650</v>
      </c>
      <c r="B86" s="11" t="s">
        <v>251</v>
      </c>
    </row>
    <row r="87" spans="1:5" x14ac:dyDescent="0.2">
      <c r="A87" s="10">
        <v>41682</v>
      </c>
      <c r="B87" s="11" t="s">
        <v>215</v>
      </c>
    </row>
    <row r="88" spans="1:5" x14ac:dyDescent="0.2">
      <c r="A88" s="10">
        <v>41710</v>
      </c>
      <c r="B88" s="11" t="s">
        <v>252</v>
      </c>
      <c r="C88" t="s">
        <v>253</v>
      </c>
      <c r="D88" t="s">
        <v>254</v>
      </c>
      <c r="E88" t="s">
        <v>255</v>
      </c>
    </row>
    <row r="89" spans="1:5" x14ac:dyDescent="0.2">
      <c r="A89" s="10">
        <v>41725</v>
      </c>
      <c r="B89" s="6" t="s">
        <v>256</v>
      </c>
    </row>
    <row r="90" spans="1:5" x14ac:dyDescent="0.2">
      <c r="A90" s="10">
        <v>41729</v>
      </c>
      <c r="B90" s="6" t="s">
        <v>256</v>
      </c>
    </row>
    <row r="91" spans="1:5" x14ac:dyDescent="0.2">
      <c r="A91" s="10">
        <v>41750</v>
      </c>
      <c r="B91" s="6" t="s">
        <v>257</v>
      </c>
    </row>
    <row r="92" spans="1:5" x14ac:dyDescent="0.2">
      <c r="A92" s="10">
        <v>41753</v>
      </c>
      <c r="B92" s="6" t="s">
        <v>258</v>
      </c>
    </row>
    <row r="93" spans="1:5" x14ac:dyDescent="0.2">
      <c r="A93" s="10">
        <v>41926</v>
      </c>
      <c r="B93" s="6" t="s">
        <v>259</v>
      </c>
      <c r="C93" t="s">
        <v>260</v>
      </c>
      <c r="D93" t="s">
        <v>261</v>
      </c>
      <c r="E93" t="s">
        <v>262</v>
      </c>
    </row>
    <row r="94" spans="1:5" x14ac:dyDescent="0.2">
      <c r="A94" s="10">
        <v>41929</v>
      </c>
      <c r="B94" s="6" t="s">
        <v>263</v>
      </c>
    </row>
    <row r="95" spans="1:5" x14ac:dyDescent="0.2">
      <c r="A95" s="10">
        <v>41934</v>
      </c>
      <c r="B95" s="6" t="s">
        <v>264</v>
      </c>
    </row>
    <row r="96" spans="1:5" x14ac:dyDescent="0.2">
      <c r="A96" s="10">
        <v>41961</v>
      </c>
      <c r="B96" s="6" t="s">
        <v>263</v>
      </c>
    </row>
    <row r="97" spans="1:5" x14ac:dyDescent="0.2">
      <c r="A97" s="10">
        <v>41967</v>
      </c>
      <c r="B97" s="6" t="s">
        <v>265</v>
      </c>
      <c r="C97" t="s">
        <v>266</v>
      </c>
      <c r="D97" t="s">
        <v>267</v>
      </c>
      <c r="E97" t="s">
        <v>268</v>
      </c>
    </row>
    <row r="98" spans="1:5" x14ac:dyDescent="0.2">
      <c r="A98" s="10">
        <v>41969</v>
      </c>
      <c r="B98" s="6" t="s">
        <v>263</v>
      </c>
    </row>
    <row r="99" spans="1:5" x14ac:dyDescent="0.2">
      <c r="A99" s="10">
        <v>41974</v>
      </c>
      <c r="B99" s="6" t="s">
        <v>269</v>
      </c>
    </row>
    <row r="100" spans="1:5" x14ac:dyDescent="0.2">
      <c r="A100" s="10">
        <v>41979</v>
      </c>
      <c r="B100" s="6" t="s">
        <v>270</v>
      </c>
      <c r="C100" t="s">
        <v>271</v>
      </c>
      <c r="D100" t="s">
        <v>272</v>
      </c>
      <c r="E100" t="s">
        <v>273</v>
      </c>
    </row>
    <row r="101" spans="1:5" x14ac:dyDescent="0.2">
      <c r="A101" s="10">
        <v>41987</v>
      </c>
      <c r="B101" s="6" t="s">
        <v>270</v>
      </c>
      <c r="C101" t="s">
        <v>274</v>
      </c>
      <c r="D101" t="s">
        <v>275</v>
      </c>
      <c r="E101" t="s">
        <v>276</v>
      </c>
    </row>
    <row r="102" spans="1:5" x14ac:dyDescent="0.2">
      <c r="A102" s="10">
        <v>41990</v>
      </c>
      <c r="B102" s="6" t="s">
        <v>270</v>
      </c>
      <c r="C102" t="s">
        <v>277</v>
      </c>
      <c r="D102" t="s">
        <v>278</v>
      </c>
      <c r="E102" t="s">
        <v>279</v>
      </c>
    </row>
    <row r="103" spans="1:5" x14ac:dyDescent="0.2">
      <c r="A103" s="10">
        <v>41994</v>
      </c>
      <c r="B103" s="6" t="s">
        <v>270</v>
      </c>
      <c r="C103" t="s">
        <v>280</v>
      </c>
      <c r="D103" t="s">
        <v>281</v>
      </c>
      <c r="E103" t="s">
        <v>282</v>
      </c>
    </row>
    <row r="104" spans="1:5" x14ac:dyDescent="0.2">
      <c r="A104" s="10">
        <v>41997</v>
      </c>
      <c r="B104" s="6" t="s">
        <v>283</v>
      </c>
      <c r="C104" t="s">
        <v>284</v>
      </c>
      <c r="D104" t="s">
        <v>285</v>
      </c>
      <c r="E104" t="s">
        <v>286</v>
      </c>
    </row>
    <row r="105" spans="1:5" x14ac:dyDescent="0.2">
      <c r="A105" s="10">
        <v>42004</v>
      </c>
      <c r="B105" s="6" t="s">
        <v>287</v>
      </c>
      <c r="C105" t="s">
        <v>288</v>
      </c>
      <c r="D105" t="s">
        <v>289</v>
      </c>
      <c r="E105" t="s">
        <v>290</v>
      </c>
    </row>
    <row r="106" spans="1:5" x14ac:dyDescent="0.2">
      <c r="A106" s="10">
        <v>42005</v>
      </c>
      <c r="B106" s="6" t="s">
        <v>287</v>
      </c>
      <c r="C106" t="s">
        <v>291</v>
      </c>
      <c r="D106" t="s">
        <v>292</v>
      </c>
      <c r="E106" t="s">
        <v>293</v>
      </c>
    </row>
    <row r="107" spans="1:5" x14ac:dyDescent="0.2">
      <c r="A107" s="10">
        <v>42007</v>
      </c>
      <c r="B107" s="6" t="s">
        <v>287</v>
      </c>
      <c r="C107" t="s">
        <v>294</v>
      </c>
      <c r="D107" t="s">
        <v>295</v>
      </c>
      <c r="E107" t="s">
        <v>296</v>
      </c>
    </row>
    <row r="108" spans="1:5" x14ac:dyDescent="0.2">
      <c r="A108" s="10">
        <v>42008</v>
      </c>
      <c r="B108" s="6" t="s">
        <v>287</v>
      </c>
      <c r="C108" t="s">
        <v>297</v>
      </c>
      <c r="D108" t="s">
        <v>298</v>
      </c>
      <c r="E108" t="s">
        <v>299</v>
      </c>
    </row>
    <row r="109" spans="1:5" x14ac:dyDescent="0.2">
      <c r="A109" s="10">
        <v>42009</v>
      </c>
      <c r="B109" s="6" t="s">
        <v>287</v>
      </c>
      <c r="C109" t="s">
        <v>300</v>
      </c>
      <c r="D109" t="s">
        <v>301</v>
      </c>
      <c r="E109" t="s">
        <v>302</v>
      </c>
    </row>
    <row r="110" spans="1:5" x14ac:dyDescent="0.2">
      <c r="A110" s="10">
        <v>42010</v>
      </c>
      <c r="B110" s="6" t="s">
        <v>287</v>
      </c>
      <c r="C110" t="s">
        <v>303</v>
      </c>
      <c r="D110" t="s">
        <v>304</v>
      </c>
      <c r="E110" t="s">
        <v>305</v>
      </c>
    </row>
    <row r="111" spans="1:5" x14ac:dyDescent="0.2">
      <c r="A111" s="10">
        <v>42012</v>
      </c>
      <c r="B111" s="6" t="s">
        <v>287</v>
      </c>
      <c r="C111" t="s">
        <v>306</v>
      </c>
      <c r="D111" t="s">
        <v>307</v>
      </c>
      <c r="E111" t="s">
        <v>308</v>
      </c>
    </row>
    <row r="112" spans="1:5" x14ac:dyDescent="0.2">
      <c r="A112" s="10">
        <v>42022</v>
      </c>
      <c r="B112" s="6" t="s">
        <v>287</v>
      </c>
      <c r="C112" t="s">
        <v>309</v>
      </c>
      <c r="D112" t="s">
        <v>310</v>
      </c>
      <c r="E112" t="s">
        <v>311</v>
      </c>
    </row>
    <row r="113" spans="1:5" x14ac:dyDescent="0.2">
      <c r="A113" s="10">
        <v>42023</v>
      </c>
      <c r="B113" s="6" t="s">
        <v>287</v>
      </c>
      <c r="C113" t="s">
        <v>312</v>
      </c>
      <c r="D113" t="s">
        <v>313</v>
      </c>
      <c r="E113" t="s">
        <v>314</v>
      </c>
    </row>
    <row r="114" spans="1:5" x14ac:dyDescent="0.2">
      <c r="A114" s="10">
        <v>42028</v>
      </c>
      <c r="B114" s="6" t="s">
        <v>215</v>
      </c>
    </row>
    <row r="115" spans="1:5" x14ac:dyDescent="0.2">
      <c r="A115" s="10">
        <v>41994</v>
      </c>
      <c r="B115" s="6" t="s">
        <v>165</v>
      </c>
      <c r="C115" t="s">
        <v>315</v>
      </c>
      <c r="D115" t="s">
        <v>316</v>
      </c>
      <c r="E115" t="s">
        <v>317</v>
      </c>
    </row>
    <row r="116" spans="1:5" x14ac:dyDescent="0.2">
      <c r="A116" s="10">
        <v>42085</v>
      </c>
      <c r="B116" s="6" t="s">
        <v>318</v>
      </c>
    </row>
    <row r="117" spans="1:5" x14ac:dyDescent="0.2">
      <c r="A117" s="10">
        <v>42104</v>
      </c>
      <c r="B117" s="6" t="s">
        <v>319</v>
      </c>
    </row>
    <row r="118" spans="1:5" x14ac:dyDescent="0.2">
      <c r="A118" s="10">
        <v>42164</v>
      </c>
      <c r="B118" s="6" t="s">
        <v>320</v>
      </c>
    </row>
    <row r="119" spans="1:5" x14ac:dyDescent="0.2">
      <c r="A119" s="10">
        <v>42274</v>
      </c>
      <c r="B119" s="11" t="s">
        <v>321</v>
      </c>
    </row>
    <row r="120" spans="1:5" x14ac:dyDescent="0.2">
      <c r="A120" s="10">
        <v>42292</v>
      </c>
      <c r="B120" s="11" t="s">
        <v>322</v>
      </c>
    </row>
    <row r="121" spans="1:5" x14ac:dyDescent="0.2">
      <c r="A121" s="10">
        <v>42314</v>
      </c>
      <c r="B121" s="11" t="s">
        <v>323</v>
      </c>
    </row>
    <row r="122" spans="1:5" x14ac:dyDescent="0.2">
      <c r="A122" s="10">
        <v>42417</v>
      </c>
      <c r="B122" s="11" t="s">
        <v>324</v>
      </c>
    </row>
    <row r="123" spans="1:5" x14ac:dyDescent="0.2">
      <c r="A123" s="10">
        <v>42440</v>
      </c>
      <c r="B123" s="11" t="s">
        <v>325</v>
      </c>
    </row>
    <row r="124" spans="1:5" x14ac:dyDescent="0.2">
      <c r="A124" s="10">
        <v>42447</v>
      </c>
      <c r="B124" s="11" t="s">
        <v>326</v>
      </c>
    </row>
    <row r="125" spans="1:5" x14ac:dyDescent="0.2">
      <c r="A125" s="10">
        <v>42564</v>
      </c>
      <c r="B125" s="11" t="s">
        <v>319</v>
      </c>
    </row>
  </sheetData>
  <pageMargins left="0.7" right="0.7" top="0.75" bottom="0.75" header="0.3" footer="0.3"/>
  <pageSetup paperSize="9" orientation="portrait"/>
  <customProperties>
    <customPr name="DVSECTION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G22" workbookViewId="0">
      <selection activeCell="G34" sqref="G34"/>
    </sheetView>
  </sheetViews>
  <sheetFormatPr baseColWidth="10" defaultRowHeight="15" x14ac:dyDescent="0.2"/>
  <cols>
    <col min="1" max="2" width="10.83203125" style="1"/>
    <col min="3" max="6" width="10.83203125" style="9"/>
    <col min="7" max="7" width="22.83203125" customWidth="1"/>
    <col min="8" max="9" width="20.1640625" customWidth="1"/>
    <col min="10" max="10" width="32.1640625" style="22" customWidth="1"/>
    <col min="257" max="258" width="10.83203125" customWidth="1"/>
    <col min="260" max="260" width="10.83203125" customWidth="1"/>
    <col min="264" max="275" width="10.83203125" customWidth="1"/>
    <col min="280" max="289" width="10.83203125" customWidth="1"/>
    <col min="292" max="293" width="10.83203125" customWidth="1"/>
    <col min="296" max="305" width="10.83203125" customWidth="1"/>
    <col min="308" max="309" width="10.83203125" customWidth="1"/>
    <col min="312" max="320" width="10.83203125" customWidth="1"/>
    <col min="323" max="324" width="10.83203125" customWidth="1"/>
    <col min="328" max="337" width="10.83203125" customWidth="1"/>
    <col min="339" max="340" width="10.83203125" customWidth="1"/>
    <col min="342" max="344" width="10.83203125" customWidth="1"/>
    <col min="346" max="353" width="10.83203125" customWidth="1"/>
    <col min="357" max="357" width="10.83203125" customWidth="1"/>
    <col min="359" max="360" width="10.83203125" customWidth="1"/>
    <col min="362" max="368" width="10.83203125" customWidth="1"/>
    <col min="370" max="372" width="10.83203125" customWidth="1"/>
    <col min="375" max="376" width="10.83203125" customWidth="1"/>
    <col min="378" max="385" width="10.83203125" customWidth="1"/>
    <col min="387" max="387" width="10.83203125" customWidth="1"/>
    <col min="390" max="392" width="10.83203125" customWidth="1"/>
    <col min="394" max="401" width="10.83203125" customWidth="1"/>
    <col min="403" max="404" width="10.83203125" customWidth="1"/>
    <col min="406" max="408" width="10.83203125" customWidth="1"/>
    <col min="410" max="416" width="10.83203125" customWidth="1"/>
    <col min="420" max="420" width="10.83203125" customWidth="1"/>
    <col min="422" max="424" width="10.83203125" customWidth="1"/>
    <col min="426" max="432" width="10.83203125" customWidth="1"/>
    <col min="436" max="436" width="10.83203125" customWidth="1"/>
    <col min="438" max="440" width="10.83203125" customWidth="1"/>
    <col min="442" max="449" width="10.83203125" customWidth="1"/>
    <col min="452" max="452" width="10.83203125" customWidth="1"/>
    <col min="454" max="456" width="10.83203125" customWidth="1"/>
    <col min="458" max="465" width="10.83203125" customWidth="1"/>
    <col min="470" max="472" width="10.83203125" customWidth="1"/>
    <col min="474" max="480" width="10.83203125" customWidth="1"/>
    <col min="482" max="482" width="10.83203125" customWidth="1"/>
    <col min="484" max="485" width="10.83203125" customWidth="1"/>
    <col min="487" max="488" width="10.83203125" customWidth="1"/>
    <col min="490" max="496" width="10.83203125" customWidth="1"/>
    <col min="500" max="500" width="10.83203125" customWidth="1"/>
    <col min="502" max="504" width="10.83203125" customWidth="1"/>
    <col min="506" max="512" width="10.83203125" customWidth="1"/>
    <col min="516" max="516" width="10.83203125" customWidth="1"/>
    <col min="518" max="520" width="10.83203125" customWidth="1"/>
    <col min="522" max="529" width="10.83203125" customWidth="1"/>
    <col min="531" max="532" width="10.83203125" customWidth="1"/>
    <col min="536" max="536" width="10.83203125" customWidth="1"/>
    <col min="538" max="541" width="10.83203125" customWidth="1"/>
    <col min="544" max="549" width="10.83203125" customWidth="1"/>
    <col min="551" max="553" width="10.83203125" customWidth="1"/>
    <col min="557" max="557" width="10.83203125" customWidth="1"/>
    <col min="560" max="560" width="10.83203125" customWidth="1"/>
    <col min="565" max="565" width="10.83203125" customWidth="1"/>
    <col min="568" max="569" width="10.83203125" customWidth="1"/>
    <col min="571" max="572" width="10.83203125" customWidth="1"/>
    <col min="576" max="576" width="10.83203125" customWidth="1"/>
    <col min="578" max="578" width="10.83203125" customWidth="1"/>
    <col min="581" max="581" width="10.83203125" customWidth="1"/>
    <col min="584" max="584" width="10.83203125" customWidth="1"/>
    <col min="586" max="589" width="10.83203125" customWidth="1"/>
    <col min="592" max="594" width="10.83203125" customWidth="1"/>
    <col min="597" max="597" width="10.83203125" customWidth="1"/>
    <col min="600" max="600" width="10.83203125" customWidth="1"/>
    <col min="602" max="602" width="10.83203125" customWidth="1"/>
    <col min="604" max="605" width="10.83203125" customWidth="1"/>
    <col min="608" max="608" width="10.83203125" customWidth="1"/>
    <col min="611" max="612" width="10.83203125" customWidth="1"/>
    <col min="616" max="616" width="10.83203125" customWidth="1"/>
    <col min="618" max="618" width="10.83203125" customWidth="1"/>
    <col min="620" max="621" width="10.83203125" customWidth="1"/>
    <col min="624" max="628" width="10.83203125" customWidth="1"/>
    <col min="632" max="632" width="10.83203125" customWidth="1"/>
    <col min="634" max="634" width="10.83203125" customWidth="1"/>
    <col min="636" max="636" width="10.83203125" customWidth="1"/>
    <col min="640" max="641" width="10.83203125" customWidth="1"/>
    <col min="643" max="644" width="10.83203125" customWidth="1"/>
    <col min="648" max="648" width="10.83203125" customWidth="1"/>
    <col min="650" max="650" width="10.83203125" customWidth="1"/>
    <col min="652" max="653" width="10.83203125" customWidth="1"/>
    <col min="656" max="658" width="10.83203125" customWidth="1"/>
    <col min="660" max="661" width="10.83203125" customWidth="1"/>
    <col min="664" max="669" width="10.83203125" customWidth="1"/>
    <col min="671" max="675" width="10.83203125" customWidth="1"/>
    <col min="677" max="677" width="10.83203125" customWidth="1"/>
    <col min="679" max="681" width="10.83203125" customWidth="1"/>
    <col min="683" max="685" width="10.83203125" customWidth="1"/>
    <col min="688" max="688" width="10.83203125" customWidth="1"/>
    <col min="690" max="693" width="10.83203125" customWidth="1"/>
    <col min="696" max="698" width="10.83203125" customWidth="1"/>
    <col min="700" max="701" width="10.83203125" customWidth="1"/>
    <col min="704" max="709" width="10.83203125" customWidth="1"/>
    <col min="711" max="712" width="10.83203125" customWidth="1"/>
    <col min="717" max="717" width="10.83203125" customWidth="1"/>
    <col min="720" max="720" width="10.83203125" customWidth="1"/>
    <col min="723" max="724" width="10.83203125" customWidth="1"/>
    <col min="727" max="733" width="10.83203125" customWidth="1"/>
    <col min="735" max="738" width="10.83203125" customWidth="1"/>
    <col min="740" max="741" width="10.83203125" customWidth="1"/>
    <col min="744" max="744" width="10.83203125" customWidth="1"/>
    <col min="746" max="749" width="10.83203125" customWidth="1"/>
    <col min="752" max="754" width="10.83203125" customWidth="1"/>
    <col min="756" max="756" width="10.83203125" customWidth="1"/>
    <col min="760" max="760" width="10.83203125" customWidth="1"/>
    <col min="762" max="765" width="10.83203125" customWidth="1"/>
    <col min="768" max="768" width="10.83203125" customWidth="1"/>
    <col min="770" max="771" width="10.83203125" customWidth="1"/>
    <col min="773" max="773" width="10.83203125" customWidth="1"/>
    <col min="775" max="776" width="10.83203125" customWidth="1"/>
    <col min="781" max="781" width="10.83203125" customWidth="1"/>
    <col min="784" max="786" width="10.83203125" customWidth="1"/>
    <col min="788" max="788" width="10.83203125" customWidth="1"/>
    <col min="792" max="792" width="10.83203125" customWidth="1"/>
    <col min="794" max="794" width="10.83203125" customWidth="1"/>
    <col min="796" max="797" width="10.83203125" customWidth="1"/>
    <col min="800" max="800" width="10.83203125" customWidth="1"/>
    <col min="802" max="805" width="10.83203125" customWidth="1"/>
    <col min="808" max="810" width="10.83203125" customWidth="1"/>
    <col min="813" max="813" width="10.83203125" customWidth="1"/>
    <col min="816" max="816" width="10.83203125" customWidth="1"/>
    <col min="818" max="818" width="10.83203125" customWidth="1"/>
    <col min="821" max="821" width="10.83203125" customWidth="1"/>
    <col min="824" max="824" width="10.83203125" customWidth="1"/>
    <col min="826" max="826" width="10.83203125" customWidth="1"/>
    <col min="828" max="829" width="10.83203125" customWidth="1"/>
    <col min="832" max="833" width="10.83203125" customWidth="1"/>
    <col min="837" max="837" width="10.83203125" customWidth="1"/>
    <col min="840" max="842" width="10.83203125" customWidth="1"/>
    <col min="844" max="844" width="10.83203125" customWidth="1"/>
    <col min="848" max="848" width="10.83203125" customWidth="1"/>
    <col min="850" max="850" width="10.83203125" customWidth="1"/>
    <col min="852" max="853" width="10.83203125" customWidth="1"/>
    <col min="856" max="861" width="10.83203125" customWidth="1"/>
    <col min="863" max="864" width="10.83203125" customWidth="1"/>
    <col min="867" max="868" width="10.83203125" customWidth="1"/>
    <col min="872" max="872" width="10.83203125" customWidth="1"/>
    <col min="874" max="874" width="10.83203125" customWidth="1"/>
    <col min="876" max="877" width="10.83203125" customWidth="1"/>
    <col min="880" max="885" width="10.83203125" customWidth="1"/>
    <col min="887" max="892" width="10.83203125" customWidth="1"/>
    <col min="896" max="896" width="10.83203125" customWidth="1"/>
    <col min="901" max="901" width="10.83203125" customWidth="1"/>
    <col min="904" max="905" width="10.83203125" customWidth="1"/>
    <col min="909" max="909" width="10.83203125" customWidth="1"/>
    <col min="912" max="912" width="10.83203125" customWidth="1"/>
    <col min="914" max="914" width="10.83203125" customWidth="1"/>
    <col min="916" max="917" width="10.83203125" customWidth="1"/>
    <col min="920" max="925" width="10.83203125" customWidth="1"/>
    <col min="927" max="928" width="10.83203125" customWidth="1"/>
    <col min="930" max="930" width="10.83203125" customWidth="1"/>
    <col min="932" max="933" width="10.83203125" customWidth="1"/>
    <col min="936" max="941" width="10.83203125" customWidth="1"/>
    <col min="943" max="949" width="10.83203125" customWidth="1"/>
    <col min="951" max="957" width="10.83203125" customWidth="1"/>
    <col min="959" max="965" width="10.83203125" customWidth="1"/>
    <col min="967" max="968" width="10.83203125" customWidth="1"/>
    <col min="970" max="970" width="10.83203125" customWidth="1"/>
    <col min="973" max="974" width="10.83203125" customWidth="1"/>
    <col min="976" max="978" width="10.83203125" customWidth="1"/>
    <col min="981" max="981" width="10.83203125" customWidth="1"/>
    <col min="983" max="984" width="10.83203125" customWidth="1"/>
    <col min="986" max="988" width="10.83203125" customWidth="1"/>
    <col min="991" max="992" width="10.83203125" customWidth="1"/>
    <col min="994" max="996" width="10.83203125" customWidth="1"/>
    <col min="999" max="1002" width="10.83203125" customWidth="1"/>
    <col min="1005" max="1005" width="10.83203125" customWidth="1"/>
    <col min="1007" max="1012" width="10.83203125" customWidth="1"/>
    <col min="1015" max="1018" width="10.83203125" customWidth="1"/>
    <col min="1021" max="1021" width="10.83203125" customWidth="1"/>
    <col min="1023" max="1029" width="10.83203125" customWidth="1"/>
    <col min="1031" max="1032" width="10.83203125" customWidth="1"/>
    <col min="1034" max="1034" width="10.83203125" customWidth="1"/>
    <col min="1037" max="1037" width="10.83203125" customWidth="1"/>
    <col min="1039" max="1041" width="10.83203125" customWidth="1"/>
    <col min="1047" max="1053" width="10.83203125" customWidth="1"/>
    <col min="1055" max="1056" width="10.83203125" customWidth="1"/>
    <col min="1058" max="1058" width="10.83203125" customWidth="1"/>
    <col min="1061" max="1062" width="10.83203125" customWidth="1"/>
    <col min="1064" max="1066" width="10.83203125" customWidth="1"/>
    <col min="1069" max="1069" width="10.83203125" customWidth="1"/>
    <col min="1071" max="1072" width="10.83203125" customWidth="1"/>
    <col min="1074" max="1076" width="10.83203125" customWidth="1"/>
    <col min="1079" max="1080" width="10.83203125" customWidth="1"/>
    <col min="1082" max="1084" width="10.83203125" customWidth="1"/>
    <col min="1087" max="1090" width="10.83203125" customWidth="1"/>
    <col min="1093" max="1093" width="10.83203125" customWidth="1"/>
    <col min="1095" max="1096" width="10.83203125" customWidth="1"/>
    <col min="1098" max="1098" width="10.83203125" customWidth="1"/>
    <col min="1101" max="1101" width="10.83203125" customWidth="1"/>
    <col min="1103" max="1105" width="10.83203125" customWidth="1"/>
    <col min="1107" max="1108" width="10.83203125" customWidth="1"/>
    <col min="1111" max="1117" width="10.83203125" customWidth="1"/>
    <col min="1119" max="1120" width="10.83203125" customWidth="1"/>
    <col min="1123" max="1124" width="10.83203125" customWidth="1"/>
    <col min="1128" max="1133" width="10.83203125" customWidth="1"/>
    <col min="1135" max="1136" width="10.83203125" customWidth="1"/>
    <col min="1141" max="1141" width="10.83203125" customWidth="1"/>
    <col min="1144" max="1144" width="10.83203125" customWidth="1"/>
    <col min="1147" max="1147" width="10.83203125" customWidth="1"/>
    <col min="1149" max="1149" width="10.83203125" customWidth="1"/>
    <col min="1152" max="1153" width="10.83203125" customWidth="1"/>
    <col min="1157" max="1157" width="10.83203125" customWidth="1"/>
    <col min="1159" max="1165" width="10.83203125" customWidth="1"/>
    <col min="1167" max="1169" width="10.83203125" customWidth="1"/>
    <col min="1172" max="1174" width="10.83203125" customWidth="1"/>
    <col min="1176" max="1176" width="10.83203125" customWidth="1"/>
    <col min="1178" max="1179" width="10.83203125" customWidth="1"/>
    <col min="1181" max="1181" width="10.83203125" customWidth="1"/>
    <col min="1184" max="1184" width="10.83203125" customWidth="1"/>
    <col min="1187" max="1189" width="10.83203125" customWidth="1"/>
    <col min="1192" max="1195" width="10.83203125" customWidth="1"/>
    <col min="1197" max="1197" width="10.83203125" customWidth="1"/>
    <col min="1200" max="1200" width="10.83203125" customWidth="1"/>
    <col min="1202" max="1202" width="10.83203125" customWidth="1"/>
    <col min="1204" max="1205" width="10.83203125" customWidth="1"/>
    <col min="1208" max="1209" width="10.83203125" customWidth="1"/>
    <col min="1211" max="1212" width="10.83203125" customWidth="1"/>
    <col min="1216" max="1216" width="10.83203125" customWidth="1"/>
    <col min="1221" max="1221" width="10.83203125" customWidth="1"/>
    <col min="1224" max="1229" width="10.83203125" customWidth="1"/>
    <col min="1231" max="1233" width="10.83203125" customWidth="1"/>
    <col min="1235" max="1238" width="10.83203125" customWidth="1"/>
    <col min="1240" max="1245" width="10.83203125" customWidth="1"/>
    <col min="1247" max="1250" width="10.83203125" customWidth="1"/>
    <col min="1252" max="1253" width="10.83203125" customWidth="1"/>
    <col min="1256" max="1256" width="10.83203125" customWidth="1"/>
    <col min="1258" max="1258" width="10.83203125" customWidth="1"/>
    <col min="1260" max="1261" width="10.83203125" customWidth="1"/>
    <col min="1264" max="1264" width="10.83203125" customWidth="1"/>
    <col min="1267" max="1268" width="10.83203125" customWidth="1"/>
    <col min="1272" max="1272" width="10.83203125" customWidth="1"/>
    <col min="1275" max="1277" width="10.83203125" customWidth="1"/>
    <col min="1280" max="1280" width="10.83203125" customWidth="1"/>
    <col min="1282" max="1285" width="10.83203125" customWidth="1"/>
    <col min="1288" max="1289" width="10.83203125" customWidth="1"/>
    <col min="1291" max="1292" width="10.83203125" customWidth="1"/>
    <col min="1296" max="1296" width="10.83203125" customWidth="1"/>
    <col min="1298" max="1301" width="10.83203125" customWidth="1"/>
    <col min="1304" max="1306" width="10.83203125" customWidth="1"/>
    <col min="1308" max="1308" width="10.83203125" customWidth="1"/>
    <col min="1312" max="1312" width="10.83203125" customWidth="1"/>
    <col min="1314" max="1317" width="10.83203125" customWidth="1"/>
    <col min="1320" max="1322" width="10.83203125" customWidth="1"/>
    <col min="1324" max="1325" width="10.83203125" customWidth="1"/>
    <col min="1328" max="1328" width="10.83203125" customWidth="1"/>
    <col min="1333" max="1333" width="10.83203125" customWidth="1"/>
    <col min="1336" max="1341" width="10.83203125" customWidth="1"/>
    <col min="1343" max="1347" width="10.83203125" customWidth="1"/>
    <col min="1349" max="1349" width="10.83203125" customWidth="1"/>
    <col min="1351" max="1354" width="10.83203125" customWidth="1"/>
    <col min="1356" max="1357" width="10.83203125" customWidth="1"/>
    <col min="1360" max="1360" width="10.83203125" customWidth="1"/>
    <col min="1362" max="1362" width="10.83203125" customWidth="1"/>
    <col min="1364" max="1365" width="10.83203125" customWidth="1"/>
    <col min="1368" max="1368" width="10.83203125" customWidth="1"/>
    <col min="1371" max="1372" width="10.83203125" customWidth="1"/>
    <col min="1376" max="1376" width="10.83203125" customWidth="1"/>
    <col min="1379" max="1381" width="10.83203125" customWidth="1"/>
    <col min="1384" max="1384" width="10.83203125" customWidth="1"/>
    <col min="1386" max="1389" width="10.83203125" customWidth="1"/>
    <col min="1392" max="1393" width="10.83203125" customWidth="1"/>
    <col min="1395" max="1396" width="10.83203125" customWidth="1"/>
    <col min="1400" max="1402" width="10.83203125" customWidth="1"/>
    <col min="1404" max="1404" width="10.83203125" customWidth="1"/>
    <col min="1408" max="1408" width="10.83203125" customWidth="1"/>
    <col min="1413" max="1413" width="10.83203125" customWidth="1"/>
    <col min="1416" max="1421" width="10.83203125" customWidth="1"/>
    <col min="1423" max="1424" width="10.83203125" customWidth="1"/>
    <col min="1426" max="1426" width="10.83203125" customWidth="1"/>
    <col min="1428" max="1428" width="10.83203125" customWidth="1"/>
    <col min="1432" max="1433" width="10.83203125" customWidth="1"/>
    <col min="1437" max="1437" width="10.83203125" customWidth="1"/>
    <col min="1440" max="1440" width="10.83203125" customWidth="1"/>
    <col min="1442" max="1443" width="10.83203125" customWidth="1"/>
    <col min="1445" max="1445" width="10.83203125" customWidth="1"/>
    <col min="1448" max="1448" width="10.83203125" customWidth="1"/>
    <col min="1451" max="1453" width="10.83203125" customWidth="1"/>
    <col min="1456" max="1456" width="10.83203125" customWidth="1"/>
    <col min="1458" max="1461" width="10.83203125" customWidth="1"/>
    <col min="1464" max="1469" width="10.83203125" customWidth="1"/>
    <col min="1471" max="1472" width="10.83203125" customWidth="1"/>
    <col min="1474" max="1474" width="10.83203125" customWidth="1"/>
    <col min="1477" max="1477" width="10.83203125" customWidth="1"/>
    <col min="1480" max="1480" width="10.83203125" customWidth="1"/>
    <col min="1482" max="1482" width="10.83203125" customWidth="1"/>
    <col min="1484" max="1485" width="10.83203125" customWidth="1"/>
    <col min="1488" max="1490" width="10.83203125" customWidth="1"/>
    <col min="1492" max="1493" width="10.83203125" customWidth="1"/>
    <col min="1496" max="1496" width="10.83203125" customWidth="1"/>
    <col min="1498" max="1499" width="10.83203125" customWidth="1"/>
    <col min="1501" max="1501" width="10.83203125" customWidth="1"/>
    <col min="1504" max="1506" width="10.83203125" customWidth="1"/>
    <col min="1508" max="1509" width="10.83203125" customWidth="1"/>
    <col min="1512" max="1512" width="10.83203125" customWidth="1"/>
    <col min="1514" max="1517" width="10.83203125" customWidth="1"/>
    <col min="1520" max="1525" width="10.83203125" customWidth="1"/>
    <col min="1527" max="1529" width="10.83203125" customWidth="1"/>
    <col min="1531" max="1533" width="10.83203125" customWidth="1"/>
    <col min="1536" max="1536" width="10.83203125" customWidth="1"/>
    <col min="1538" max="1538" width="10.83203125" customWidth="1"/>
    <col min="1540" max="1540" width="10.83203125" customWidth="1"/>
    <col min="1544" max="1544" width="10.83203125" customWidth="1"/>
    <col min="1546" max="1546" width="10.83203125" customWidth="1"/>
    <col min="1548" max="1549" width="10.83203125" customWidth="1"/>
    <col min="1552" max="1553" width="10.83203125" customWidth="1"/>
    <col min="1557" max="1557" width="10.83203125" customWidth="1"/>
    <col min="1560" max="1560" width="10.83203125" customWidth="1"/>
    <col min="1562" max="1565" width="10.83203125" customWidth="1"/>
    <col min="1568" max="1570" width="10.83203125" customWidth="1"/>
    <col min="1573" max="1573" width="10.83203125" customWidth="1"/>
    <col min="1575" max="1581" width="10.83203125" customWidth="1"/>
    <col min="1583" max="1585" width="10.83203125" customWidth="1"/>
    <col min="1591" max="1594" width="10.83203125" customWidth="1"/>
    <col min="1596" max="1596" width="10.83203125" customWidth="1"/>
    <col min="1599" max="1604" width="10.83203125" customWidth="1"/>
    <col min="1607" max="1612" width="10.83203125" customWidth="1"/>
    <col min="1615" max="1618" width="10.83203125" customWidth="1"/>
    <col min="1620" max="1622" width="10.83203125" customWidth="1"/>
    <col min="1624" max="1624" width="10.83203125" customWidth="1"/>
    <col min="1626" max="1626" width="10.83203125" customWidth="1"/>
    <col min="1628" max="1628" width="10.83203125" customWidth="1"/>
    <col min="1630" max="1630" width="10.83203125" customWidth="1"/>
    <col min="1632" max="1632" width="10.83203125" customWidth="1"/>
    <col min="1634" max="1635" width="10.83203125" customWidth="1"/>
    <col min="1637" max="1637" width="10.83203125" customWidth="1"/>
    <col min="1639" max="1641" width="10.83203125" customWidth="1"/>
    <col min="1645" max="1645" width="10.83203125" customWidth="1"/>
    <col min="1647" max="1653" width="10.83203125" customWidth="1"/>
    <col min="1655" max="1658" width="10.83203125" customWidth="1"/>
    <col min="1660" max="1662" width="10.83203125" customWidth="1"/>
    <col min="1664" max="1664" width="10.83203125" customWidth="1"/>
    <col min="1666" max="1666" width="10.83203125" customWidth="1"/>
    <col min="1668" max="1669" width="10.83203125" customWidth="1"/>
    <col min="1672" max="1672" width="10.83203125" customWidth="1"/>
    <col min="1675" max="1676" width="10.83203125" customWidth="1"/>
    <col min="1680" max="1680" width="10.83203125" customWidth="1"/>
    <col min="1683" max="1685" width="10.83203125" customWidth="1"/>
    <col min="1688" max="1688" width="10.83203125" customWidth="1"/>
    <col min="1690" max="1693" width="10.83203125" customWidth="1"/>
    <col min="1696" max="1697" width="10.83203125" customWidth="1"/>
    <col min="1699" max="1700" width="10.83203125" customWidth="1"/>
    <col min="1704" max="1706" width="10.83203125" customWidth="1"/>
    <col min="1708" max="1708" width="10.83203125" customWidth="1"/>
    <col min="1712" max="1712" width="10.83203125" customWidth="1"/>
    <col min="1714" max="1717" width="10.83203125" customWidth="1"/>
    <col min="1720" max="1722" width="10.83203125" customWidth="1"/>
    <col min="1724" max="1725" width="10.83203125" customWidth="1"/>
    <col min="1728" max="1728" width="10.83203125" customWidth="1"/>
    <col min="1733" max="1733" width="10.83203125" customWidth="1"/>
    <col min="1736" max="1741" width="10.83203125" customWidth="1"/>
    <col min="1743" max="1746" width="10.83203125" customWidth="1"/>
    <col min="1748" max="1748" width="10.83203125" customWidth="1"/>
    <col min="1752" max="1752" width="10.83203125" customWidth="1"/>
    <col min="1754" max="1757" width="10.83203125" customWidth="1"/>
    <col min="1760" max="1760" width="10.83203125" customWidth="1"/>
    <col min="1762" max="1762" width="10.83203125" customWidth="1"/>
    <col min="1765" max="1765" width="10.83203125" customWidth="1"/>
    <col min="1768" max="1769" width="10.83203125" customWidth="1"/>
    <col min="1771" max="1773" width="10.83203125" customWidth="1"/>
    <col min="1776" max="1776" width="10.83203125" customWidth="1"/>
    <col min="1778" max="1779" width="10.83203125" customWidth="1"/>
    <col min="1781" max="1781" width="10.83203125" customWidth="1"/>
    <col min="1784" max="1784" width="10.83203125" customWidth="1"/>
    <col min="1786" max="1787" width="10.83203125" customWidth="1"/>
    <col min="1789" max="1789" width="10.83203125" customWidth="1"/>
    <col min="1793" max="1793" width="10.83203125" customWidth="1"/>
    <col min="1797" max="1797" width="10.83203125" customWidth="1"/>
    <col min="1800" max="1805" width="10.83203125" customWidth="1"/>
    <col min="1807" max="1808" width="10.83203125" customWidth="1"/>
    <col min="1811" max="1814" width="10.83203125" customWidth="1"/>
    <col min="1816" max="1816" width="10.83203125" customWidth="1"/>
    <col min="1818" max="1819" width="10.83203125" customWidth="1"/>
    <col min="1821" max="1822" width="10.83203125" customWidth="1"/>
    <col min="1824" max="1829" width="10.83203125" customWidth="1"/>
    <col min="1831" max="1838" width="10.83203125" customWidth="1"/>
    <col min="1840" max="1840" width="10.83203125" customWidth="1"/>
    <col min="1842" max="1842" width="10.83203125" customWidth="1"/>
    <col min="1844" max="1846" width="10.83203125" customWidth="1"/>
    <col min="1848" max="1865" width="10.83203125" customWidth="1"/>
    <col min="1869" max="1870" width="10.83203125" customWidth="1"/>
    <col min="1872" max="1872" width="10.83203125" customWidth="1"/>
    <col min="1874" max="1877" width="10.83203125" customWidth="1"/>
    <col min="1879" max="1879" width="10.83203125" customWidth="1"/>
    <col min="1881" max="1886" width="10.83203125" customWidth="1"/>
    <col min="1888" max="1888" width="10.83203125" customWidth="1"/>
    <col min="1890" max="1890" width="10.83203125" customWidth="1"/>
    <col min="1892" max="1894" width="10.83203125" customWidth="1"/>
    <col min="1896" max="1915" width="10.83203125" customWidth="1"/>
    <col min="1918" max="1918" width="10.83203125" customWidth="1"/>
    <col min="1920" max="1920" width="10.83203125" customWidth="1"/>
    <col min="1922" max="1925" width="10.83203125" customWidth="1"/>
    <col min="1927" max="1927" width="10.83203125" customWidth="1"/>
    <col min="1929" max="1934" width="10.83203125" customWidth="1"/>
    <col min="1936" max="1936" width="10.83203125" customWidth="1"/>
    <col min="1938" max="1938" width="10.83203125" customWidth="1"/>
    <col min="1940" max="1942" width="10.83203125" customWidth="1"/>
    <col min="1944" max="1963" width="10.83203125" customWidth="1"/>
    <col min="1966" max="1966" width="10.83203125" customWidth="1"/>
    <col min="1968" max="1968" width="10.83203125" customWidth="1"/>
    <col min="1970" max="1973" width="10.83203125" customWidth="1"/>
    <col min="1975" max="1975" width="10.83203125" customWidth="1"/>
    <col min="1977" max="1982" width="10.83203125" customWidth="1"/>
    <col min="1984" max="1984" width="10.83203125" customWidth="1"/>
    <col min="1986" max="1986" width="10.83203125" customWidth="1"/>
    <col min="1988" max="1990" width="10.83203125" customWidth="1"/>
    <col min="1992" max="2009" width="10.83203125" customWidth="1"/>
    <col min="2015" max="2016" width="10.83203125" customWidth="1"/>
    <col min="2018" max="2021" width="10.83203125" customWidth="1"/>
    <col min="2023" max="2023" width="10.83203125" customWidth="1"/>
    <col min="2025" max="2030" width="10.83203125" customWidth="1"/>
    <col min="2032" max="2032" width="10.83203125" customWidth="1"/>
    <col min="2034" max="2034" width="10.83203125" customWidth="1"/>
    <col min="2036" max="2038" width="10.83203125" customWidth="1"/>
    <col min="2040" max="2057" width="10.83203125" customWidth="1"/>
    <col min="2063" max="2064" width="10.83203125" customWidth="1"/>
    <col min="2066" max="2069" width="10.83203125" customWidth="1"/>
    <col min="2071" max="2071" width="10.83203125" customWidth="1"/>
    <col min="2073" max="2078" width="10.83203125" customWidth="1"/>
    <col min="2080" max="2080" width="10.83203125" customWidth="1"/>
    <col min="2082" max="2082" width="10.83203125" customWidth="1"/>
    <col min="2084" max="2086" width="10.83203125" customWidth="1"/>
    <col min="2088" max="2105" width="10.83203125" customWidth="1"/>
    <col min="2111" max="2112" width="10.83203125" customWidth="1"/>
    <col min="2114" max="2117" width="10.83203125" customWidth="1"/>
    <col min="2119" max="2119" width="10.83203125" customWidth="1"/>
    <col min="2121" max="2126" width="10.83203125" customWidth="1"/>
    <col min="2128" max="2128" width="10.83203125" customWidth="1"/>
    <col min="2130" max="2130" width="10.83203125" customWidth="1"/>
    <col min="2132" max="2134" width="10.83203125" customWidth="1"/>
    <col min="2136" max="2153" width="10.83203125" customWidth="1"/>
    <col min="2159" max="2160" width="10.83203125" customWidth="1"/>
    <col min="2162" max="2165" width="10.83203125" customWidth="1"/>
    <col min="2167" max="2167" width="10.83203125" customWidth="1"/>
    <col min="2169" max="2174" width="10.83203125" customWidth="1"/>
    <col min="2176" max="2176" width="10.83203125" customWidth="1"/>
    <col min="2178" max="2178" width="10.83203125" customWidth="1"/>
    <col min="2180" max="2182" width="10.83203125" customWidth="1"/>
    <col min="2184" max="2201" width="10.83203125" customWidth="1"/>
    <col min="2207" max="2208" width="10.83203125" customWidth="1"/>
    <col min="2210" max="2213" width="10.83203125" customWidth="1"/>
    <col min="2215" max="2215" width="10.83203125" customWidth="1"/>
    <col min="2217" max="2222" width="10.83203125" customWidth="1"/>
    <col min="2224" max="2224" width="10.83203125" customWidth="1"/>
    <col min="2226" max="2226" width="10.83203125" customWidth="1"/>
    <col min="2228" max="2230" width="10.83203125" customWidth="1"/>
    <col min="2232" max="2249" width="10.83203125" customWidth="1"/>
    <col min="2255" max="2256" width="10.83203125" customWidth="1"/>
    <col min="2258" max="2261" width="10.83203125" customWidth="1"/>
    <col min="2263" max="2263" width="10.83203125" customWidth="1"/>
    <col min="2265" max="2270" width="10.83203125" customWidth="1"/>
    <col min="2272" max="2272" width="10.83203125" customWidth="1"/>
    <col min="2274" max="2274" width="10.83203125" customWidth="1"/>
    <col min="2276" max="2278" width="10.83203125" customWidth="1"/>
    <col min="2280" max="2297" width="10.83203125" customWidth="1"/>
    <col min="2303" max="2304" width="10.83203125" customWidth="1"/>
    <col min="2306" max="2309" width="10.83203125" customWidth="1"/>
    <col min="2311" max="2311" width="10.83203125" customWidth="1"/>
    <col min="2313" max="2318" width="10.83203125" customWidth="1"/>
    <col min="2320" max="2320" width="10.83203125" customWidth="1"/>
    <col min="2322" max="2322" width="10.83203125" customWidth="1"/>
    <col min="2324" max="2326" width="10.83203125" customWidth="1"/>
    <col min="2328" max="2345" width="10.83203125" customWidth="1"/>
    <col min="2351" max="2352" width="10.83203125" customWidth="1"/>
    <col min="2354" max="2357" width="10.83203125" customWidth="1"/>
    <col min="2359" max="2359" width="10.83203125" customWidth="1"/>
    <col min="2361" max="2366" width="10.83203125" customWidth="1"/>
    <col min="2368" max="2368" width="10.83203125" customWidth="1"/>
    <col min="2370" max="2370" width="10.83203125" customWidth="1"/>
    <col min="2372" max="2374" width="10.83203125" customWidth="1"/>
    <col min="2376" max="2393" width="10.83203125" customWidth="1"/>
    <col min="2399" max="2400" width="10.83203125" customWidth="1"/>
    <col min="2402" max="2405" width="10.83203125" customWidth="1"/>
    <col min="2407" max="2407" width="10.83203125" customWidth="1"/>
    <col min="2409" max="2414" width="10.83203125" customWidth="1"/>
    <col min="2416" max="2416" width="10.83203125" customWidth="1"/>
    <col min="2418" max="2418" width="10.83203125" customWidth="1"/>
    <col min="2420" max="2422" width="10.83203125" customWidth="1"/>
    <col min="2424" max="2441" width="10.83203125" customWidth="1"/>
    <col min="2447" max="2448" width="10.83203125" customWidth="1"/>
    <col min="2450" max="2453" width="10.83203125" customWidth="1"/>
    <col min="2455" max="2455" width="10.83203125" customWidth="1"/>
    <col min="2457" max="2462" width="10.83203125" customWidth="1"/>
    <col min="2464" max="2464" width="10.83203125" customWidth="1"/>
    <col min="2466" max="2466" width="10.83203125" customWidth="1"/>
    <col min="2468" max="2470" width="10.83203125" customWidth="1"/>
    <col min="2472" max="2489" width="10.83203125" customWidth="1"/>
    <col min="2495" max="2496" width="10.83203125" customWidth="1"/>
    <col min="2498" max="2501" width="10.83203125" customWidth="1"/>
    <col min="2503" max="2503" width="10.83203125" customWidth="1"/>
    <col min="2505" max="2510" width="10.83203125" customWidth="1"/>
    <col min="2512" max="2512" width="10.83203125" customWidth="1"/>
    <col min="2514" max="2514" width="10.83203125" customWidth="1"/>
    <col min="2516" max="2518" width="10.83203125" customWidth="1"/>
    <col min="2520" max="2537" width="10.83203125" customWidth="1"/>
    <col min="2543" max="2544" width="10.83203125" customWidth="1"/>
    <col min="2546" max="2549" width="10.83203125" customWidth="1"/>
    <col min="2551" max="2551" width="10.83203125" customWidth="1"/>
    <col min="2553" max="2558" width="10.83203125" customWidth="1"/>
    <col min="2560" max="2560" width="10.83203125" customWidth="1"/>
    <col min="2562" max="2562" width="10.83203125" customWidth="1"/>
    <col min="2564" max="2566" width="10.83203125" customWidth="1"/>
    <col min="2568" max="2585" width="10.83203125" customWidth="1"/>
    <col min="2591" max="2592" width="10.83203125" customWidth="1"/>
    <col min="2594" max="2597" width="10.83203125" customWidth="1"/>
    <col min="2599" max="2599" width="10.83203125" customWidth="1"/>
    <col min="2601" max="2606" width="10.83203125" customWidth="1"/>
    <col min="2608" max="2608" width="10.83203125" customWidth="1"/>
    <col min="2610" max="2610" width="10.83203125" customWidth="1"/>
    <col min="2612" max="2614" width="10.83203125" customWidth="1"/>
    <col min="2616" max="2633" width="10.83203125" customWidth="1"/>
    <col min="2639" max="2640" width="10.83203125" customWidth="1"/>
    <col min="2642" max="2645" width="10.83203125" customWidth="1"/>
    <col min="2647" max="2647" width="10.83203125" customWidth="1"/>
    <col min="2649" max="2654" width="10.83203125" customWidth="1"/>
    <col min="2656" max="2659" width="10.83203125" customWidth="1"/>
    <col min="2663" max="15928" width="10.83203125" customWidth="1"/>
    <col min="15930" max="16384" width="10.83203125" customWidth="1"/>
  </cols>
  <sheetData>
    <row r="1" spans="1:10" x14ac:dyDescent="0.2">
      <c r="C1" s="9" t="s">
        <v>327</v>
      </c>
      <c r="D1" s="9" t="s">
        <v>328</v>
      </c>
      <c r="E1" t="s">
        <v>329</v>
      </c>
      <c r="F1"/>
      <c r="G1" t="s">
        <v>330</v>
      </c>
      <c r="H1" t="s">
        <v>331</v>
      </c>
    </row>
    <row r="2" spans="1:10" x14ac:dyDescent="0.2">
      <c r="A2" s="2">
        <f>C2-693960</f>
        <v>39000</v>
      </c>
      <c r="C2" s="9">
        <f t="array" ref="C2:C41">TRANSPOSE(icf.183!E2:AS2)</f>
        <v>732960</v>
      </c>
      <c r="D2" s="9">
        <f t="array" ref="D2:D41">TRANSPOSE(icf_a.183!E2:AS2)</f>
        <v>732960</v>
      </c>
      <c r="E2" s="7">
        <f>Eventos.183!B3</f>
        <v>732960</v>
      </c>
      <c r="F2" s="7"/>
      <c r="G2" s="7">
        <f>C2-E2</f>
        <v>0</v>
      </c>
      <c r="H2" s="7">
        <f>D2-E2</f>
        <v>0</v>
      </c>
      <c r="I2" s="7"/>
      <c r="J2" s="23" t="str">
        <f>Eventos.183!C3</f>
        <v>"IOS calibration"</v>
      </c>
    </row>
    <row r="3" spans="1:10" x14ac:dyDescent="0.2">
      <c r="A3" s="2">
        <f t="shared" ref="A3:A41" si="0">C3-693960</f>
        <v>39089</v>
      </c>
      <c r="C3" s="9">
        <v>733049</v>
      </c>
      <c r="D3" s="9">
        <v>733049</v>
      </c>
      <c r="E3" s="7">
        <f>Eventos.183!B4</f>
        <v>733049</v>
      </c>
      <c r="F3" s="7"/>
      <c r="G3" s="7">
        <f t="shared" ref="G3:G41" si="1">C3-E3</f>
        <v>0</v>
      </c>
      <c r="H3" s="7">
        <f t="shared" ref="H3:H41" si="2">D3-E3</f>
        <v>0</v>
      </c>
      <c r="I3" s="7"/>
      <c r="J3" s="23" t="str">
        <f>Eventos.183!C4</f>
        <v>"R6 change"</v>
      </c>
    </row>
    <row r="4" spans="1:10" x14ac:dyDescent="0.2">
      <c r="A4" s="2">
        <f t="shared" si="0"/>
        <v>39091</v>
      </c>
      <c r="C4" s="9">
        <v>733051</v>
      </c>
      <c r="D4" s="9">
        <v>733051</v>
      </c>
      <c r="E4" s="7">
        <f>Eventos.183!B5</f>
        <v>733051</v>
      </c>
      <c r="F4" s="7"/>
      <c r="G4" s="7">
        <f t="shared" si="1"/>
        <v>0</v>
      </c>
      <c r="H4" s="7">
        <f t="shared" si="2"/>
        <v>0</v>
      </c>
      <c r="I4" s="7"/>
      <c r="J4" s="23" t="str">
        <f>Eventos.183!C5</f>
        <v>"IOS calibration"</v>
      </c>
    </row>
    <row r="5" spans="1:10" x14ac:dyDescent="0.2">
      <c r="A5" s="2">
        <f t="shared" si="0"/>
        <v>39627</v>
      </c>
      <c r="C5" s="9">
        <v>733587</v>
      </c>
      <c r="D5" s="9">
        <v>733587</v>
      </c>
      <c r="E5" s="7">
        <f>Eventos.183!B6</f>
        <v>733587</v>
      </c>
      <c r="F5" s="7"/>
      <c r="G5" s="7">
        <f t="shared" si="1"/>
        <v>0</v>
      </c>
      <c r="H5" s="7">
        <f t="shared" si="2"/>
        <v>0</v>
      </c>
      <c r="I5" s="7"/>
      <c r="J5" s="23" t="str">
        <f>Eventos.183!C6</f>
        <v>"inicial 2008"</v>
      </c>
    </row>
    <row r="6" spans="1:10" x14ac:dyDescent="0.2">
      <c r="A6" s="2">
        <f t="shared" si="0"/>
        <v>39982</v>
      </c>
      <c r="C6" s="9">
        <v>733942</v>
      </c>
      <c r="D6" s="9">
        <v>733942</v>
      </c>
      <c r="E6" s="7">
        <f>Eventos.183!B7</f>
        <v>733942</v>
      </c>
      <c r="F6" s="7"/>
      <c r="G6" s="7">
        <f t="shared" si="1"/>
        <v>0</v>
      </c>
      <c r="H6" s="7">
        <f t="shared" si="2"/>
        <v>0</v>
      </c>
      <c r="I6" s="7"/>
      <c r="J6" s="23" t="str">
        <f>Eventos.183!C7</f>
        <v>"AFC"</v>
      </c>
    </row>
    <row r="7" spans="1:10" x14ac:dyDescent="0.2">
      <c r="A7" s="2">
        <f t="shared" si="0"/>
        <v>40019</v>
      </c>
      <c r="C7" s="9">
        <v>733979</v>
      </c>
      <c r="D7" s="9">
        <v>733979</v>
      </c>
      <c r="E7" s="7">
        <f>Eventos.183!B8</f>
        <v>733979</v>
      </c>
      <c r="F7" s="7"/>
      <c r="G7" s="7">
        <f t="shared" si="1"/>
        <v>0</v>
      </c>
      <c r="H7" s="7">
        <f t="shared" si="2"/>
        <v>0</v>
      </c>
      <c r="I7" s="7"/>
      <c r="J7" s="23" t="str">
        <f>Eventos.183!C8</f>
        <v>"noisier R6"</v>
      </c>
    </row>
    <row r="8" spans="1:10" x14ac:dyDescent="0.2">
      <c r="A8" s="2">
        <f t="shared" si="0"/>
        <v>40045</v>
      </c>
      <c r="C8" s="9">
        <v>734005</v>
      </c>
      <c r="D8" s="9">
        <v>734005</v>
      </c>
      <c r="E8" s="7">
        <f>Eventos.183!B9</f>
        <v>734005</v>
      </c>
      <c r="F8" s="7"/>
      <c r="G8" s="7">
        <f t="shared" si="1"/>
        <v>0</v>
      </c>
      <c r="H8" s="7">
        <f t="shared" si="2"/>
        <v>0</v>
      </c>
      <c r="I8" s="7"/>
      <c r="J8" s="23" t="str">
        <f>Eventos.183!C9</f>
        <v>"SL jump. Lab. Etc SUG. New SLref"</v>
      </c>
    </row>
    <row r="9" spans="1:10" x14ac:dyDescent="0.2">
      <c r="A9" s="2">
        <f t="shared" si="0"/>
        <v>40061</v>
      </c>
      <c r="C9" s="9">
        <v>734021</v>
      </c>
      <c r="D9" s="9">
        <v>734021</v>
      </c>
      <c r="E9" s="7">
        <f>Eventos.183!B10</f>
        <v>734021</v>
      </c>
      <c r="F9" s="7"/>
      <c r="G9" s="7">
        <f t="shared" si="1"/>
        <v>0</v>
      </c>
      <c r="H9" s="7">
        <f t="shared" si="2"/>
        <v>0</v>
      </c>
      <c r="I9" s="7"/>
      <c r="J9" s="23" t="str">
        <f>Eventos.183!C10</f>
        <v>"IOS09"</v>
      </c>
    </row>
    <row r="10" spans="1:10" x14ac:dyDescent="0.2">
      <c r="A10" s="2">
        <f t="shared" si="0"/>
        <v>40081</v>
      </c>
      <c r="C10" s="9">
        <v>734041</v>
      </c>
      <c r="D10" s="9">
        <v>734041</v>
      </c>
      <c r="E10" s="7">
        <f>Eventos.183!B11</f>
        <v>734041</v>
      </c>
      <c r="F10" s="7"/>
      <c r="G10" s="7">
        <f t="shared" si="1"/>
        <v>0</v>
      </c>
      <c r="H10" s="7">
        <f t="shared" si="2"/>
        <v>0</v>
      </c>
      <c r="I10" s="7"/>
      <c r="J10" s="23" t="str">
        <f>Eventos.183!C11</f>
        <v>"Chg. Cal?"</v>
      </c>
    </row>
    <row r="11" spans="1:10" x14ac:dyDescent="0.2">
      <c r="A11" s="2">
        <f t="shared" si="0"/>
        <v>40179</v>
      </c>
      <c r="C11" s="9">
        <v>734139</v>
      </c>
      <c r="D11" s="9">
        <v>734139</v>
      </c>
      <c r="E11" s="7">
        <f>Eventos.183!B12</f>
        <v>734139</v>
      </c>
      <c r="F11" s="7"/>
      <c r="G11" s="7">
        <f t="shared" si="1"/>
        <v>0</v>
      </c>
      <c r="H11" s="7">
        <f t="shared" si="2"/>
        <v>0</v>
      </c>
      <c r="I11" s="7"/>
      <c r="J11" s="23" t="str">
        <f>Eventos.183!C12</f>
        <v>"Lab"</v>
      </c>
    </row>
    <row r="12" spans="1:10" x14ac:dyDescent="0.2">
      <c r="A12" s="2">
        <f t="shared" si="0"/>
        <v>40239</v>
      </c>
      <c r="C12" s="9">
        <v>734199</v>
      </c>
      <c r="D12" s="9">
        <v>734199</v>
      </c>
      <c r="E12" s="7">
        <f>Eventos.183!B13</f>
        <v>734199</v>
      </c>
      <c r="F12" s="7"/>
      <c r="G12" s="7">
        <f t="shared" si="1"/>
        <v>0</v>
      </c>
      <c r="H12" s="7">
        <f t="shared" si="2"/>
        <v>0</v>
      </c>
      <c r="I12" s="7"/>
      <c r="J12" s="23" t="str">
        <f>Eventos.183!C13</f>
        <v>"Setup, 5a"</v>
      </c>
    </row>
    <row r="13" spans="1:10" x14ac:dyDescent="0.2">
      <c r="A13" s="2">
        <f t="shared" si="0"/>
        <v>40256</v>
      </c>
      <c r="C13" s="9">
        <v>734216</v>
      </c>
      <c r="D13" s="9">
        <v>734216</v>
      </c>
      <c r="E13" s="7">
        <f>Eventos.183!B14</f>
        <v>734216</v>
      </c>
      <c r="F13" s="7"/>
      <c r="G13" s="7">
        <f t="shared" si="1"/>
        <v>0</v>
      </c>
      <c r="H13" s="7">
        <f t="shared" si="2"/>
        <v>0</v>
      </c>
      <c r="I13" s="7"/>
      <c r="J13" s="23" t="str">
        <f>Eventos.183!C14</f>
        <v>"Mic troub. Chg. R6"</v>
      </c>
    </row>
    <row r="14" spans="1:10" x14ac:dyDescent="0.2">
      <c r="A14" s="2">
        <f t="shared" si="0"/>
        <v>40290</v>
      </c>
      <c r="C14" s="9">
        <v>734250</v>
      </c>
      <c r="D14" s="9">
        <v>734250</v>
      </c>
      <c r="E14" s="7">
        <f>Eventos.183!B15</f>
        <v>734250</v>
      </c>
      <c r="F14" s="7"/>
      <c r="G14" s="7">
        <f t="shared" si="1"/>
        <v>0</v>
      </c>
      <c r="H14" s="7">
        <f t="shared" si="2"/>
        <v>0</v>
      </c>
      <c r="I14" s="7"/>
      <c r="J14" s="23" t="str">
        <f>Eventos.183!C15</f>
        <v>"Ctes. Mic, Gel"</v>
      </c>
    </row>
    <row r="15" spans="1:10" x14ac:dyDescent="0.2">
      <c r="A15" s="2">
        <f t="shared" si="0"/>
        <v>40445</v>
      </c>
      <c r="C15" s="9">
        <v>734405</v>
      </c>
      <c r="D15" s="9">
        <v>734405</v>
      </c>
      <c r="E15" s="7">
        <f>Eventos.183!B16</f>
        <v>734405</v>
      </c>
      <c r="F15" s="7"/>
      <c r="G15" s="7">
        <f t="shared" si="1"/>
        <v>0</v>
      </c>
      <c r="H15" s="7">
        <f t="shared" si="2"/>
        <v>0</v>
      </c>
      <c r="I15" s="7"/>
      <c r="J15" s="23" t="str">
        <f>Eventos.183!C16</f>
        <v>"IOS10"</v>
      </c>
    </row>
    <row r="16" spans="1:10" x14ac:dyDescent="0.2">
      <c r="A16" s="2">
        <f t="shared" si="0"/>
        <v>40512</v>
      </c>
      <c r="C16" s="9">
        <v>734472</v>
      </c>
      <c r="D16" s="9">
        <v>734472</v>
      </c>
      <c r="E16" s="7">
        <f>Eventos.183!B17</f>
        <v>734472</v>
      </c>
      <c r="F16" s="7"/>
      <c r="G16" s="7">
        <f t="shared" si="1"/>
        <v>0</v>
      </c>
      <c r="H16" s="7">
        <f t="shared" si="2"/>
        <v>0</v>
      </c>
      <c r="I16" s="7"/>
      <c r="J16" s="23" t="str">
        <f>Eventos.183!C17</f>
        <v>"Brewer down"</v>
      </c>
    </row>
    <row r="17" spans="1:10" x14ac:dyDescent="0.2">
      <c r="A17" s="2">
        <f t="shared" si="0"/>
        <v>40702</v>
      </c>
      <c r="C17" s="9">
        <v>734662</v>
      </c>
      <c r="D17" s="9">
        <v>734662</v>
      </c>
      <c r="E17" s="7">
        <f>Eventos.183!B18</f>
        <v>734662</v>
      </c>
      <c r="F17" s="7"/>
      <c r="G17" s="7">
        <f t="shared" si="1"/>
        <v>0</v>
      </c>
      <c r="H17" s="7">
        <f t="shared" si="2"/>
        <v>0</v>
      </c>
      <c r="I17" s="7"/>
      <c r="J17" s="23" t="str">
        <f>Eventos.183!C18</f>
        <v>"AFC Maintenance"</v>
      </c>
    </row>
    <row r="18" spans="1:10" x14ac:dyDescent="0.2">
      <c r="A18" s="2">
        <f t="shared" si="0"/>
        <v>40742</v>
      </c>
      <c r="C18" s="9">
        <v>734702</v>
      </c>
      <c r="D18" s="9">
        <v>734702</v>
      </c>
      <c r="E18" s="7">
        <f>Eventos.183!B19</f>
        <v>734702</v>
      </c>
      <c r="F18" s="7"/>
      <c r="G18" s="7">
        <f t="shared" si="1"/>
        <v>0</v>
      </c>
      <c r="H18" s="7">
        <f t="shared" si="2"/>
        <v>0</v>
      </c>
      <c r="I18" s="7"/>
      <c r="J18" s="23" t="str">
        <f>Eventos.183!C19</f>
        <v>"IOS11"</v>
      </c>
    </row>
    <row r="19" spans="1:10" x14ac:dyDescent="0.2">
      <c r="A19" s="2">
        <f t="shared" si="0"/>
        <v>40759</v>
      </c>
      <c r="C19" s="9">
        <v>734719</v>
      </c>
      <c r="D19" s="9">
        <v>734719</v>
      </c>
      <c r="E19" s="7">
        <f>Eventos.183!B20</f>
        <v>734719</v>
      </c>
      <c r="F19" s="7"/>
      <c r="G19" s="7">
        <f t="shared" si="1"/>
        <v>0</v>
      </c>
      <c r="H19" s="7">
        <f t="shared" si="2"/>
        <v>0</v>
      </c>
      <c r="I19" s="7"/>
      <c r="J19" s="23" t="str">
        <f>Eventos.183!C20</f>
        <v>"Calc-step change. A updated to 0.3435"</v>
      </c>
    </row>
    <row r="20" spans="1:10" x14ac:dyDescent="0.2">
      <c r="A20" s="2">
        <f t="shared" si="0"/>
        <v>40854</v>
      </c>
      <c r="C20" s="9">
        <v>734814</v>
      </c>
      <c r="D20" s="9">
        <v>734814</v>
      </c>
      <c r="E20" s="7">
        <f>Eventos.183!B21</f>
        <v>734814</v>
      </c>
      <c r="F20" s="7"/>
      <c r="G20" s="7">
        <f t="shared" si="1"/>
        <v>0</v>
      </c>
      <c r="H20" s="7">
        <f t="shared" si="2"/>
        <v>0</v>
      </c>
      <c r="I20" s="7"/>
      <c r="J20" s="23" t="str">
        <f>Eventos.183!C21</f>
        <v>"Lab"</v>
      </c>
    </row>
    <row r="21" spans="1:10" x14ac:dyDescent="0.2">
      <c r="A21" s="2">
        <f t="shared" si="0"/>
        <v>40940</v>
      </c>
      <c r="C21" s="9">
        <v>734900</v>
      </c>
      <c r="D21" s="9">
        <v>734900</v>
      </c>
      <c r="E21" s="7">
        <f>Eventos.183!B22</f>
        <v>734900</v>
      </c>
      <c r="F21" s="7"/>
      <c r="G21" s="7">
        <f t="shared" si="1"/>
        <v>0</v>
      </c>
      <c r="H21" s="7">
        <f t="shared" si="2"/>
        <v>0</v>
      </c>
      <c r="I21" s="7"/>
      <c r="J21" s="23" t="str">
        <f>Eventos.183!C22</f>
        <v>"New mics. And slit mask offsets"</v>
      </c>
    </row>
    <row r="22" spans="1:10" x14ac:dyDescent="0.2">
      <c r="A22" s="2">
        <f t="shared" si="0"/>
        <v>40975</v>
      </c>
      <c r="C22" s="9">
        <v>734935</v>
      </c>
      <c r="D22" s="9">
        <v>734935</v>
      </c>
      <c r="E22" s="7">
        <f>Eventos.183!B23</f>
        <v>734935</v>
      </c>
      <c r="F22" s="7"/>
      <c r="G22" s="7">
        <f t="shared" si="1"/>
        <v>0</v>
      </c>
      <c r="H22" s="7">
        <f t="shared" si="2"/>
        <v>0</v>
      </c>
      <c r="I22" s="7"/>
      <c r="J22" s="23" t="str">
        <f>Eventos.183!C23</f>
        <v>"Laboratory.  New board replacement"</v>
      </c>
    </row>
    <row r="23" spans="1:10" x14ac:dyDescent="0.2">
      <c r="A23" s="2">
        <f t="shared" si="0"/>
        <v>40992</v>
      </c>
      <c r="C23" s="9">
        <v>734952</v>
      </c>
      <c r="D23" s="9">
        <v>734952</v>
      </c>
      <c r="E23" s="7">
        <f>Eventos.183!B24</f>
        <v>734952</v>
      </c>
      <c r="F23" s="7"/>
      <c r="G23" s="7">
        <f t="shared" si="1"/>
        <v>0</v>
      </c>
      <c r="H23" s="7">
        <f t="shared" si="2"/>
        <v>0</v>
      </c>
      <c r="I23" s="7"/>
      <c r="J23" s="23" t="str">
        <f>Eventos.183!C24</f>
        <v>"Final setup"</v>
      </c>
    </row>
    <row r="24" spans="1:10" x14ac:dyDescent="0.2">
      <c r="A24" s="2">
        <f t="shared" si="0"/>
        <v>41057</v>
      </c>
      <c r="C24" s="9">
        <v>735017</v>
      </c>
      <c r="D24" s="9">
        <v>735017</v>
      </c>
      <c r="E24" s="7">
        <f>Eventos.183!B25</f>
        <v>735017</v>
      </c>
      <c r="F24" s="7"/>
      <c r="G24" s="7">
        <f t="shared" si="1"/>
        <v>0</v>
      </c>
      <c r="H24" s="7">
        <f t="shared" si="2"/>
        <v>0</v>
      </c>
      <c r="I24" s="7"/>
      <c r="J24" s="23" t="str">
        <f>Eventos.183!C25</f>
        <v>"Lab"</v>
      </c>
    </row>
    <row r="25" spans="1:10" x14ac:dyDescent="0.2">
      <c r="A25" s="2">
        <f t="shared" si="0"/>
        <v>41075</v>
      </c>
      <c r="C25" s="9">
        <v>735035</v>
      </c>
      <c r="D25" s="9">
        <v>735035</v>
      </c>
      <c r="E25" s="7">
        <f>Eventos.183!B26</f>
        <v>735035</v>
      </c>
      <c r="F25" s="7"/>
      <c r="G25" s="7">
        <f t="shared" si="1"/>
        <v>0</v>
      </c>
      <c r="H25" s="7">
        <f t="shared" si="2"/>
        <v>0</v>
      </c>
      <c r="I25" s="7"/>
      <c r="J25" s="23" t="str">
        <f>Eventos.183!C26</f>
        <v>"SL rplc."</v>
      </c>
    </row>
    <row r="26" spans="1:10" x14ac:dyDescent="0.2">
      <c r="A26" s="2">
        <f t="shared" si="0"/>
        <v>41097</v>
      </c>
      <c r="C26" s="9">
        <v>735057</v>
      </c>
      <c r="D26" s="9">
        <v>735057</v>
      </c>
      <c r="E26" s="7">
        <f>Eventos.183!B27</f>
        <v>735057</v>
      </c>
      <c r="F26" s="7"/>
      <c r="G26" s="7">
        <f t="shared" si="1"/>
        <v>0</v>
      </c>
      <c r="H26" s="7">
        <f t="shared" si="2"/>
        <v>0</v>
      </c>
      <c r="I26" s="7"/>
      <c r="J26" s="23" t="str">
        <f>Eventos.183!C27</f>
        <v>"Hg rplc."</v>
      </c>
    </row>
    <row r="27" spans="1:10" x14ac:dyDescent="0.2">
      <c r="A27" s="2">
        <f t="shared" si="0"/>
        <v>41172</v>
      </c>
      <c r="C27" s="9">
        <v>735132</v>
      </c>
      <c r="D27" s="9">
        <v>735132</v>
      </c>
      <c r="E27" s="7">
        <f>Eventos.183!B28</f>
        <v>735132</v>
      </c>
      <c r="F27" s="7"/>
      <c r="G27" s="7">
        <f t="shared" si="1"/>
        <v>0</v>
      </c>
      <c r="H27" s="7">
        <f t="shared" si="2"/>
        <v>0</v>
      </c>
      <c r="I27" s="7"/>
      <c r="J27" s="23" t="str">
        <f>Eventos.183!C28</f>
        <v>"SL rplc"</v>
      </c>
    </row>
    <row r="28" spans="1:10" x14ac:dyDescent="0.2">
      <c r="A28" s="2">
        <f t="shared" si="0"/>
        <v>41205</v>
      </c>
      <c r="C28" s="9">
        <v>735165</v>
      </c>
      <c r="D28" s="9">
        <v>735165</v>
      </c>
      <c r="E28" s="7">
        <f>Eventos.183!B29</f>
        <v>735165</v>
      </c>
      <c r="F28" s="7"/>
      <c r="G28" s="7">
        <f t="shared" si="1"/>
        <v>0</v>
      </c>
      <c r="H28" s="7">
        <f t="shared" si="2"/>
        <v>0</v>
      </c>
      <c r="I28" s="7"/>
      <c r="J28" s="23" t="str">
        <f>Eventos.183!C29</f>
        <v>"K&amp;Z maintenance"</v>
      </c>
    </row>
    <row r="29" spans="1:10" x14ac:dyDescent="0.2">
      <c r="A29" s="2">
        <f t="shared" si="0"/>
        <v>41213</v>
      </c>
      <c r="C29" s="9">
        <v>735173</v>
      </c>
      <c r="D29" s="9">
        <v>735173</v>
      </c>
      <c r="E29" s="7">
        <f>Eventos.183!B30</f>
        <v>735173</v>
      </c>
      <c r="F29" s="7"/>
      <c r="G29" s="7">
        <f t="shared" si="1"/>
        <v>0</v>
      </c>
      <c r="H29" s="7">
        <f t="shared" si="2"/>
        <v>0</v>
      </c>
      <c r="I29" s="7"/>
      <c r="J29" s="23" t="str">
        <f>Eventos.183!C30</f>
        <v>"Severe weather. Indoor"</v>
      </c>
    </row>
    <row r="30" spans="1:10" x14ac:dyDescent="0.2">
      <c r="A30" s="2">
        <f t="shared" si="0"/>
        <v>41228</v>
      </c>
      <c r="C30" s="9">
        <v>735188</v>
      </c>
      <c r="D30" s="9">
        <v>735188</v>
      </c>
      <c r="E30" s="7">
        <f>Eventos.183!B31</f>
        <v>735188</v>
      </c>
      <c r="F30" s="7"/>
      <c r="G30" s="7">
        <f t="shared" si="1"/>
        <v>0</v>
      </c>
      <c r="H30" s="7">
        <f t="shared" si="2"/>
        <v>0</v>
      </c>
      <c r="I30" s="7"/>
      <c r="J30" s="23" t="str">
        <f>Eventos.183!C31</f>
        <v>"SL rplc."</v>
      </c>
    </row>
    <row r="31" spans="1:10" x14ac:dyDescent="0.2">
      <c r="A31" s="2">
        <f t="shared" si="0"/>
        <v>41253</v>
      </c>
      <c r="C31" s="9">
        <v>735213</v>
      </c>
      <c r="D31" s="9">
        <v>735213</v>
      </c>
      <c r="E31" s="7">
        <f>Eventos.183!B32</f>
        <v>735213</v>
      </c>
      <c r="F31" s="7"/>
      <c r="G31" s="7">
        <f t="shared" si="1"/>
        <v>0</v>
      </c>
      <c r="H31" s="7">
        <f t="shared" si="2"/>
        <v>0</v>
      </c>
      <c r="I31" s="7"/>
      <c r="J31" s="23" t="str">
        <f>Eventos.183!C32</f>
        <v>"SL rplc."</v>
      </c>
    </row>
    <row r="32" spans="1:10" x14ac:dyDescent="0.2">
      <c r="A32" s="2">
        <f t="shared" si="0"/>
        <v>41340</v>
      </c>
      <c r="C32" s="9">
        <v>735300</v>
      </c>
      <c r="D32" s="9">
        <v>735300</v>
      </c>
      <c r="E32" s="7">
        <f>Eventos.183!B33</f>
        <v>735300</v>
      </c>
      <c r="F32" s="7"/>
      <c r="G32" s="7">
        <f t="shared" si="1"/>
        <v>0</v>
      </c>
      <c r="H32" s="7">
        <f t="shared" si="2"/>
        <v>0</v>
      </c>
      <c r="I32" s="7"/>
      <c r="J32" s="23" t="str">
        <f>Eventos.183!C33</f>
        <v>"Indoor. Slitmask trouble"</v>
      </c>
    </row>
    <row r="33" spans="1:10" x14ac:dyDescent="0.2">
      <c r="A33" s="2">
        <f t="shared" si="0"/>
        <v>41428</v>
      </c>
      <c r="C33" s="9">
        <v>735388</v>
      </c>
      <c r="D33" s="9">
        <v>735388</v>
      </c>
      <c r="E33" s="7">
        <f>Eventos.183!B34</f>
        <v>735388</v>
      </c>
      <c r="F33" s="7"/>
      <c r="G33" s="7">
        <f t="shared" si="1"/>
        <v>0</v>
      </c>
      <c r="H33" s="7">
        <f t="shared" si="2"/>
        <v>0</v>
      </c>
      <c r="I33" s="7"/>
      <c r="J33" s="23" t="str">
        <f>Eventos.183!C34</f>
        <v>"Arenosillo2013"</v>
      </c>
    </row>
    <row r="34" spans="1:10" x14ac:dyDescent="0.2">
      <c r="A34" s="2">
        <f t="shared" si="0"/>
        <v>41450</v>
      </c>
      <c r="C34" s="9">
        <v>735410</v>
      </c>
      <c r="D34" s="9">
        <v>735410</v>
      </c>
      <c r="E34" s="7">
        <f>Eventos.183!B35</f>
        <v>735410</v>
      </c>
      <c r="F34" s="7"/>
      <c r="G34" s="7">
        <f t="shared" si="1"/>
        <v>0</v>
      </c>
      <c r="H34" s="7">
        <f t="shared" si="2"/>
        <v>0</v>
      </c>
      <c r="I34" s="7"/>
      <c r="J34" s="23" t="str">
        <f>Eventos.183!C35</f>
        <v>"Back IZO. Slit Troubles. New TU"</v>
      </c>
    </row>
    <row r="35" spans="1:10" x14ac:dyDescent="0.2">
      <c r="A35" s="2">
        <f t="shared" si="0"/>
        <v>41506</v>
      </c>
      <c r="C35" s="9">
        <v>735466</v>
      </c>
      <c r="D35" s="9">
        <v>735466</v>
      </c>
      <c r="E35" s="7">
        <f>Eventos.183!B36</f>
        <v>735466</v>
      </c>
      <c r="F35" s="7"/>
      <c r="G35" s="7">
        <f t="shared" si="1"/>
        <v>0</v>
      </c>
      <c r="H35" s="7">
        <f t="shared" si="2"/>
        <v>0</v>
      </c>
      <c r="I35" s="7"/>
      <c r="J35" s="23" t="str">
        <f>Eventos.183!C36</f>
        <v>"Lab: Inoperative"</v>
      </c>
    </row>
    <row r="36" spans="1:10" x14ac:dyDescent="0.2">
      <c r="A36" s="2">
        <f t="shared" si="0"/>
        <v>41556</v>
      </c>
      <c r="C36" s="9">
        <v>735516</v>
      </c>
      <c r="D36" s="9">
        <v>735516</v>
      </c>
      <c r="E36" s="7">
        <f>Eventos.183!B37</f>
        <v>735516</v>
      </c>
      <c r="F36" s="7"/>
      <c r="G36" s="7">
        <f t="shared" si="1"/>
        <v>0</v>
      </c>
      <c r="H36" s="7">
        <f t="shared" si="2"/>
        <v>0</v>
      </c>
      <c r="I36" s="7"/>
      <c r="J36" s="23" t="str">
        <f>Eventos.183!C37</f>
        <v>"Operative outdoor. Old Board"</v>
      </c>
    </row>
    <row r="37" spans="1:10" x14ac:dyDescent="0.2">
      <c r="A37" s="2">
        <f t="shared" si="0"/>
        <v>41576</v>
      </c>
      <c r="C37" s="9">
        <v>735536</v>
      </c>
      <c r="D37" s="9">
        <v>735536</v>
      </c>
      <c r="E37" s="7">
        <f>Eventos.183!B38</f>
        <v>735536</v>
      </c>
      <c r="F37" s="7"/>
      <c r="G37" s="7">
        <f t="shared" si="1"/>
        <v>0</v>
      </c>
      <c r="H37" s="7">
        <f t="shared" si="2"/>
        <v>0</v>
      </c>
      <c r="I37" s="7"/>
      <c r="J37" s="23" t="str">
        <f>Eventos.183!C38</f>
        <v>"Hg rplc."</v>
      </c>
    </row>
    <row r="38" spans="1:10" x14ac:dyDescent="0.2">
      <c r="A38" s="2">
        <f t="shared" si="0"/>
        <v>41627</v>
      </c>
      <c r="C38" s="9">
        <v>735587</v>
      </c>
      <c r="D38" s="9">
        <v>735587</v>
      </c>
      <c r="E38" s="7">
        <f>Eventos.183!B39</f>
        <v>735587</v>
      </c>
      <c r="F38" s="7"/>
      <c r="G38" s="7">
        <f t="shared" si="1"/>
        <v>0</v>
      </c>
      <c r="H38" s="7">
        <f t="shared" si="2"/>
        <v>0</v>
      </c>
      <c r="I38" s="7"/>
      <c r="J38" s="23" t="str">
        <f>Eventos.183!C39</f>
        <v>"SL rplc. R6 chg not real"</v>
      </c>
    </row>
    <row r="39" spans="1:10" x14ac:dyDescent="0.2">
      <c r="A39" s="2">
        <f t="shared" si="0"/>
        <v>41634</v>
      </c>
      <c r="C39" s="9">
        <v>735594</v>
      </c>
      <c r="D39" s="9">
        <v>735594</v>
      </c>
      <c r="E39" s="7">
        <f>Eventos.183!B40</f>
        <v>735594</v>
      </c>
      <c r="F39" s="7"/>
      <c r="G39" s="7">
        <f t="shared" si="1"/>
        <v>0</v>
      </c>
      <c r="H39" s="7">
        <f t="shared" si="2"/>
        <v>0</v>
      </c>
      <c r="I39" s="7"/>
      <c r="J39" s="23" t="str">
        <f>Eventos.183!C40</f>
        <v>"Prism alignment. New tu"</v>
      </c>
    </row>
    <row r="40" spans="1:10" x14ac:dyDescent="0.2">
      <c r="A40" s="2">
        <f t="shared" si="0"/>
        <v>41650</v>
      </c>
      <c r="C40" s="9">
        <v>735610</v>
      </c>
      <c r="D40" s="9">
        <v>735610</v>
      </c>
      <c r="E40" s="7">
        <f>Eventos.183!B42</f>
        <v>735642</v>
      </c>
      <c r="F40" s="7"/>
      <c r="G40" s="7">
        <f t="shared" si="1"/>
        <v>-32</v>
      </c>
      <c r="H40" s="7">
        <f t="shared" si="2"/>
        <v>-32</v>
      </c>
      <c r="I40" s="7"/>
      <c r="J40" s="23" t="str">
        <f>Eventos.183!C42</f>
        <v>"K&amp;Z maintenance"</v>
      </c>
    </row>
    <row r="41" spans="1:10" x14ac:dyDescent="0.2">
      <c r="A41" s="2">
        <f t="shared" si="0"/>
        <v>41682</v>
      </c>
      <c r="C41" s="9">
        <v>735642</v>
      </c>
      <c r="D41" s="9">
        <v>735642</v>
      </c>
      <c r="E41" s="7">
        <f>Eventos.183!B43</f>
        <v>735670</v>
      </c>
      <c r="F41" s="7"/>
      <c r="G41" s="7">
        <f t="shared" si="1"/>
        <v>-28</v>
      </c>
      <c r="H41" s="7">
        <f t="shared" si="2"/>
        <v>-28</v>
      </c>
      <c r="I41" s="7"/>
      <c r="J41" s="23" t="str">
        <f>Eventos.183!C43</f>
        <v>"Hg replacement"</v>
      </c>
    </row>
    <row r="42" spans="1:10" x14ac:dyDescent="0.2">
      <c r="E42" s="7">
        <f>Eventos.183!B44</f>
        <v>735713</v>
      </c>
      <c r="F42" s="7"/>
      <c r="G42" s="7"/>
      <c r="J42" s="23" t="str">
        <f>Eventos.183!C44</f>
        <v>"Lab"</v>
      </c>
    </row>
    <row r="43" spans="1:10" x14ac:dyDescent="0.2">
      <c r="E43" s="7">
        <f>Eventos.183!B45</f>
        <v>735934</v>
      </c>
      <c r="F43" s="7"/>
      <c r="G43" s="7"/>
      <c r="J43" s="23" t="str">
        <f>Eventos.183!C45</f>
        <v>"SlitMask &amp; Tracker troubles"</v>
      </c>
    </row>
    <row r="44" spans="1:10" x14ac:dyDescent="0.2">
      <c r="E44" s="7">
        <f>Eventos.183!B46</f>
        <v>735957</v>
      </c>
      <c r="F44" s="7"/>
      <c r="G44" s="7"/>
      <c r="J44" s="23" t="str">
        <f>Eventos.183!C46</f>
        <v>"SlitMask troubles. Cal. Chg."</v>
      </c>
    </row>
    <row r="45" spans="1:10" x14ac:dyDescent="0.2">
      <c r="E45" s="7">
        <f>Eventos.183!B47</f>
        <v>735988</v>
      </c>
      <c r="F45" s="7"/>
      <c r="G45" s="7"/>
      <c r="J45" s="23" t="str">
        <f>Eventos.183!C47</f>
        <v>"K&amp;Z maintenance"</v>
      </c>
    </row>
    <row r="46" spans="1:10" x14ac:dyDescent="0.2">
      <c r="E46" s="7">
        <f>Eventos.183!B49</f>
        <v>736064</v>
      </c>
      <c r="F46" s="7"/>
      <c r="G46" s="8"/>
      <c r="J46" s="23" t="str">
        <f>Eventos.183!C49</f>
        <v>"SL replc."</v>
      </c>
    </row>
    <row r="47" spans="1:10" x14ac:dyDescent="0.2">
      <c r="E47" s="7">
        <f>Eventos.183!B50</f>
        <v>736124</v>
      </c>
      <c r="F47" s="7"/>
      <c r="G47" s="8"/>
      <c r="J47" s="23" t="str">
        <f>Eventos.183!C50</f>
        <v>"IOS 15"</v>
      </c>
    </row>
    <row r="48" spans="1:10" x14ac:dyDescent="0.2">
      <c r="E48" s="7">
        <f>Eventos.183!B51</f>
        <v>736234</v>
      </c>
      <c r="F48" s="7"/>
      <c r="G48" s="8"/>
      <c r="J48" s="23" t="str">
        <f>Eventos.183!C51</f>
        <v>"Lab  1000W"</v>
      </c>
    </row>
    <row r="49" spans="5:10" x14ac:dyDescent="0.2">
      <c r="E49" s="7" t="e">
        <f>Eventos.183!#REF!</f>
        <v>#REF!</v>
      </c>
      <c r="F49" s="7"/>
      <c r="G49" s="8"/>
      <c r="J49" s="23" t="e">
        <f>Eventos.183!#REF!</f>
        <v>#REF!</v>
      </c>
    </row>
    <row r="50" spans="5:10" x14ac:dyDescent="0.2">
      <c r="E50" s="7" t="e">
        <f>Eventos.183!#REF!</f>
        <v>#REF!</v>
      </c>
      <c r="F50" s="7"/>
      <c r="G50" s="8"/>
      <c r="J50" s="23" t="e">
        <f>Eventos.183!#REF!</f>
        <v>#REF!</v>
      </c>
    </row>
    <row r="51" spans="5:10" x14ac:dyDescent="0.2">
      <c r="E51" s="7">
        <f>Eventos.183!B52</f>
        <v>736377</v>
      </c>
      <c r="F51" s="7"/>
      <c r="G51" s="7"/>
      <c r="J51" s="23" t="str">
        <f>Eventos.183!C52</f>
        <v>"Storm"</v>
      </c>
    </row>
    <row r="52" spans="5:10" x14ac:dyDescent="0.2">
      <c r="E52" s="7">
        <f>Eventos.183!B53</f>
        <v>736400</v>
      </c>
      <c r="F52" s="7"/>
      <c r="G52" s="7"/>
      <c r="J52" s="23" t="str">
        <f>Eventos.183!C53</f>
        <v xml:space="preserve"> " Kipp&amp;Zonen maintenance"</v>
      </c>
    </row>
  </sheetData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workbookViewId="0">
      <selection activeCell="IJ2" sqref="IJ2"/>
    </sheetView>
  </sheetViews>
  <sheetFormatPr baseColWidth="10" defaultRowHeight="15" x14ac:dyDescent="0.2"/>
  <sheetData>
    <row r="1" spans="1:256" x14ac:dyDescent="0.2">
      <c r="A1">
        <f>IF(icf.183!1:1,"AAAAAC77/wA=",0)</f>
        <v>0</v>
      </c>
      <c r="B1" t="e">
        <f>AND(icf.183!A1,"AAAAAC77/wE=")</f>
        <v>#VALUE!</v>
      </c>
      <c r="C1" t="e">
        <f>AND(icf.183!#REF!,"AAAAAC77/wI=")</f>
        <v>#REF!</v>
      </c>
      <c r="D1" t="e">
        <f>AND(icf.183!H1,"AAAAAC77/wM=")</f>
        <v>#VALUE!</v>
      </c>
      <c r="E1" t="e">
        <f>AND(icf.183!#REF!,"AAAAAC77/wQ=")</f>
        <v>#REF!</v>
      </c>
      <c r="F1" t="e">
        <f>AND(icf.183!J1,"AAAAAC77/wU=")</f>
        <v>#VALUE!</v>
      </c>
      <c r="G1" t="e">
        <f>AND(icf.183!K1,"AAAAAC77/wY=")</f>
        <v>#VALUE!</v>
      </c>
      <c r="H1" t="e">
        <f>AND(icf.183!L1,"AAAAAC77/wc=")</f>
        <v>#VALUE!</v>
      </c>
      <c r="I1" t="str">
        <f>IF(icf.183!2:2,"AAAAAC77/wg=",0)</f>
        <v>AAAAAC77/wg=</v>
      </c>
      <c r="J1" t="e">
        <f>AND(icf.183!A2,"AAAAAC77/wk=")</f>
        <v>#VALUE!</v>
      </c>
      <c r="K1" t="e">
        <f>AND(icf.183!#REF!,"AAAAAC77/wo=")</f>
        <v>#REF!</v>
      </c>
      <c r="L1" t="e">
        <f>AND(icf.183!H2,"AAAAAC77/ws=")</f>
        <v>#VALUE!</v>
      </c>
      <c r="M1" t="e">
        <f>AND(icf.183!#REF!,"AAAAAC77/ww=")</f>
        <v>#REF!</v>
      </c>
      <c r="N1" t="e">
        <f>AND(icf.183!J2,"AAAAAC77/w0=")</f>
        <v>#VALUE!</v>
      </c>
      <c r="O1" t="e">
        <f>AND(icf.183!K2,"AAAAAC77/w4=")</f>
        <v>#VALUE!</v>
      </c>
      <c r="P1" t="e">
        <f>AND(icf.183!L2,"AAAAAC77/w8=")</f>
        <v>#VALUE!</v>
      </c>
      <c r="Q1">
        <f>IF(icf.183!3:3,"AAAAAC77/xA=",0)</f>
        <v>0</v>
      </c>
      <c r="R1" t="e">
        <f>AND(icf.183!A3,"AAAAAC77/xE=")</f>
        <v>#VALUE!</v>
      </c>
      <c r="S1" t="e">
        <f>AND(icf.183!#REF!,"AAAAAC77/xI=")</f>
        <v>#REF!</v>
      </c>
      <c r="T1" t="e">
        <f>AND(icf.183!H3,"AAAAAC77/xM=")</f>
        <v>#VALUE!</v>
      </c>
      <c r="U1" t="e">
        <f>AND(icf.183!#REF!,"AAAAAC77/xQ=")</f>
        <v>#REF!</v>
      </c>
      <c r="V1" t="e">
        <f>AND(icf.183!J3,"AAAAAC77/xU=")</f>
        <v>#VALUE!</v>
      </c>
      <c r="W1" t="e">
        <f>AND(icf.183!K3,"AAAAAC77/xY=")</f>
        <v>#VALUE!</v>
      </c>
      <c r="X1" t="e">
        <f>AND(icf.183!L3,"AAAAAC77/xc=")</f>
        <v>#VALUE!</v>
      </c>
      <c r="Y1" t="str">
        <f>IF(icf.183!4:4,"AAAAAC77/xg=",0)</f>
        <v>AAAAAC77/xg=</v>
      </c>
      <c r="Z1" t="e">
        <f>AND(icf.183!A4,"AAAAAC77/xk=")</f>
        <v>#VALUE!</v>
      </c>
      <c r="AA1" t="e">
        <f>AND(icf.183!#REF!,"AAAAAC77/xo=")</f>
        <v>#REF!</v>
      </c>
      <c r="AB1" t="e">
        <f>AND(icf.183!H4,"AAAAAC77/xs=")</f>
        <v>#VALUE!</v>
      </c>
      <c r="AC1" t="e">
        <f>AND(icf.183!#REF!,"AAAAAC77/xw=")</f>
        <v>#REF!</v>
      </c>
      <c r="AD1" t="e">
        <f>AND(icf.183!J4,"AAAAAC77/x0=")</f>
        <v>#VALUE!</v>
      </c>
      <c r="AE1" t="e">
        <f>AND(icf.183!K4,"AAAAAC77/x4=")</f>
        <v>#VALUE!</v>
      </c>
      <c r="AF1" t="e">
        <f>AND(icf.183!L4,"AAAAAC77/x8=")</f>
        <v>#VALUE!</v>
      </c>
      <c r="AG1" t="str">
        <f>IF(icf.183!5:5,"AAAAAC77/yA=",0)</f>
        <v>AAAAAC77/yA=</v>
      </c>
      <c r="AH1" t="e">
        <f>AND(icf.183!A5,"AAAAAC77/yE=")</f>
        <v>#VALUE!</v>
      </c>
      <c r="AI1" t="e">
        <f>AND(icf.183!#REF!,"AAAAAC77/yI=")</f>
        <v>#REF!</v>
      </c>
      <c r="AJ1" t="e">
        <f>AND(icf.183!H5,"AAAAAC77/yM=")</f>
        <v>#VALUE!</v>
      </c>
      <c r="AK1" t="e">
        <f>AND(icf.183!#REF!,"AAAAAC77/yQ=")</f>
        <v>#REF!</v>
      </c>
      <c r="AL1" t="e">
        <f>AND(icf.183!J5,"AAAAAC77/yU=")</f>
        <v>#VALUE!</v>
      </c>
      <c r="AM1" t="e">
        <f>AND(icf.183!K5,"AAAAAC77/yY=")</f>
        <v>#VALUE!</v>
      </c>
      <c r="AN1" t="e">
        <f>AND(icf.183!L5,"AAAAAC77/yc=")</f>
        <v>#VALUE!</v>
      </c>
      <c r="AO1" t="str">
        <f>IF(icf.183!6:6,"AAAAAC77/yg=",0)</f>
        <v>AAAAAC77/yg=</v>
      </c>
      <c r="AP1" t="e">
        <f>AND(icf.183!A6,"AAAAAC77/yk=")</f>
        <v>#VALUE!</v>
      </c>
      <c r="AQ1" t="e">
        <f>AND(icf.183!#REF!,"AAAAAC77/yo=")</f>
        <v>#REF!</v>
      </c>
      <c r="AR1" t="e">
        <f>AND(icf.183!H6,"AAAAAC77/ys=")</f>
        <v>#VALUE!</v>
      </c>
      <c r="AS1" t="e">
        <f>AND(icf.183!#REF!,"AAAAAC77/yw=")</f>
        <v>#REF!</v>
      </c>
      <c r="AT1" t="e">
        <f>AND(icf.183!J6,"AAAAAC77/y0=")</f>
        <v>#VALUE!</v>
      </c>
      <c r="AU1" t="e">
        <f>AND(icf.183!K6,"AAAAAC77/y4=")</f>
        <v>#VALUE!</v>
      </c>
      <c r="AV1" t="e">
        <f>AND(icf.183!L6,"AAAAAC77/y8=")</f>
        <v>#VALUE!</v>
      </c>
      <c r="AW1" t="str">
        <f>IF(icf.183!7:7,"AAAAAC77/zA=",0)</f>
        <v>AAAAAC77/zA=</v>
      </c>
      <c r="AX1" t="e">
        <f>AND(icf.183!A7,"AAAAAC77/zE=")</f>
        <v>#VALUE!</v>
      </c>
      <c r="AY1" t="e">
        <f>AND(icf.183!#REF!,"AAAAAC77/zI=")</f>
        <v>#REF!</v>
      </c>
      <c r="AZ1" t="e">
        <f>AND(icf.183!H7,"AAAAAC77/zM=")</f>
        <v>#VALUE!</v>
      </c>
      <c r="BA1" t="e">
        <f>AND(icf.183!#REF!,"AAAAAC77/zQ=")</f>
        <v>#REF!</v>
      </c>
      <c r="BB1" t="e">
        <f>AND(icf.183!J7,"AAAAAC77/zU=")</f>
        <v>#VALUE!</v>
      </c>
      <c r="BC1" t="e">
        <f>AND(icf.183!K7,"AAAAAC77/zY=")</f>
        <v>#VALUE!</v>
      </c>
      <c r="BD1" t="e">
        <f>AND(icf.183!L7,"AAAAAC77/zc=")</f>
        <v>#VALUE!</v>
      </c>
      <c r="BE1">
        <f>IF(icf.183!8:8,"AAAAAC77/zg=",0)</f>
        <v>0</v>
      </c>
      <c r="BF1" t="e">
        <f>AND(icf.183!A8,"AAAAAC77/zk=")</f>
        <v>#VALUE!</v>
      </c>
      <c r="BG1" t="e">
        <f>AND(icf.183!#REF!,"AAAAAC77/zo=")</f>
        <v>#REF!</v>
      </c>
      <c r="BH1" t="e">
        <f>AND(icf.183!H8,"AAAAAC77/zs=")</f>
        <v>#VALUE!</v>
      </c>
      <c r="BI1" t="e">
        <f>AND(icf.183!#REF!,"AAAAAC77/zw=")</f>
        <v>#REF!</v>
      </c>
      <c r="BJ1" t="e">
        <f>AND(icf.183!J8,"AAAAAC77/z0=")</f>
        <v>#VALUE!</v>
      </c>
      <c r="BK1" t="e">
        <f>AND(icf.183!K8,"AAAAAC77/z4=")</f>
        <v>#VALUE!</v>
      </c>
      <c r="BL1" t="e">
        <f>AND(icf.183!L8,"AAAAAC77/z8=")</f>
        <v>#VALUE!</v>
      </c>
      <c r="BM1">
        <f>IF(icf.183!9:9,"AAAAAC77/0A=",0)</f>
        <v>0</v>
      </c>
      <c r="BN1" t="e">
        <f>AND(icf.183!A9,"AAAAAC77/0E=")</f>
        <v>#VALUE!</v>
      </c>
      <c r="BO1" t="e">
        <f>AND(icf.183!#REF!,"AAAAAC77/0I=")</f>
        <v>#REF!</v>
      </c>
      <c r="BP1" t="e">
        <f>AND(icf.183!H9,"AAAAAC77/0M=")</f>
        <v>#VALUE!</v>
      </c>
      <c r="BQ1" t="e">
        <f>AND(icf.183!#REF!,"AAAAAC77/0Q=")</f>
        <v>#REF!</v>
      </c>
      <c r="BR1" t="e">
        <f>AND(icf.183!J9,"AAAAAC77/0U=")</f>
        <v>#VALUE!</v>
      </c>
      <c r="BS1" t="e">
        <f>AND(icf.183!K9,"AAAAAC77/0Y=")</f>
        <v>#VALUE!</v>
      </c>
      <c r="BT1" t="e">
        <f>AND(icf.183!L9,"AAAAAC77/0c=")</f>
        <v>#VALUE!</v>
      </c>
      <c r="BU1">
        <f>IF(icf.183!10:10,"AAAAAC77/0g=",0)</f>
        <v>0</v>
      </c>
      <c r="BV1" t="e">
        <f>AND(icf.183!A10,"AAAAAC77/0k=")</f>
        <v>#VALUE!</v>
      </c>
      <c r="BW1" t="e">
        <f>AND(icf.183!#REF!,"AAAAAC77/0o=")</f>
        <v>#REF!</v>
      </c>
      <c r="BX1" t="e">
        <f>AND(icf.183!H10,"AAAAAC77/0s=")</f>
        <v>#VALUE!</v>
      </c>
      <c r="BY1" t="e">
        <f>AND(icf.183!#REF!,"AAAAAC77/0w=")</f>
        <v>#REF!</v>
      </c>
      <c r="BZ1" t="e">
        <f>AND(icf.183!J10,"AAAAAC77/00=")</f>
        <v>#VALUE!</v>
      </c>
      <c r="CA1" t="e">
        <f>AND(icf.183!K10,"AAAAAC77/04=")</f>
        <v>#VALUE!</v>
      </c>
      <c r="CB1" t="e">
        <f>AND(icf.183!L10,"AAAAAC77/08=")</f>
        <v>#VALUE!</v>
      </c>
      <c r="CC1">
        <f>IF(icf.183!11:11,"AAAAAC77/1A=",0)</f>
        <v>0</v>
      </c>
      <c r="CD1" t="e">
        <f>AND(icf.183!A11,"AAAAAC77/1E=")</f>
        <v>#VALUE!</v>
      </c>
      <c r="CE1" t="e">
        <f>AND(icf.183!#REF!,"AAAAAC77/1I=")</f>
        <v>#REF!</v>
      </c>
      <c r="CF1" t="e">
        <f>AND(icf.183!H11,"AAAAAC77/1M=")</f>
        <v>#VALUE!</v>
      </c>
      <c r="CG1" t="e">
        <f>AND(icf.183!#REF!,"AAAAAC77/1Q=")</f>
        <v>#REF!</v>
      </c>
      <c r="CH1" t="e">
        <f>AND(icf.183!J11,"AAAAAC77/1U=")</f>
        <v>#VALUE!</v>
      </c>
      <c r="CI1" t="e">
        <f>AND(icf.183!K11,"AAAAAC77/1Y=")</f>
        <v>#VALUE!</v>
      </c>
      <c r="CJ1" t="e">
        <f>AND(icf.183!L11,"AAAAAC77/1c=")</f>
        <v>#VALUE!</v>
      </c>
      <c r="CK1">
        <f>IF(icf.183!12:12,"AAAAAC77/1g=",0)</f>
        <v>0</v>
      </c>
      <c r="CL1" t="e">
        <f>AND(icf.183!A12,"AAAAAC77/1k=")</f>
        <v>#VALUE!</v>
      </c>
      <c r="CM1" t="e">
        <f>AND(icf.183!#REF!,"AAAAAC77/1o=")</f>
        <v>#REF!</v>
      </c>
      <c r="CN1" t="e">
        <f>AND(icf.183!H12,"AAAAAC77/1s=")</f>
        <v>#VALUE!</v>
      </c>
      <c r="CO1" t="e">
        <f>AND(icf.183!#REF!,"AAAAAC77/1w=")</f>
        <v>#REF!</v>
      </c>
      <c r="CP1" t="e">
        <f>AND(icf.183!J12,"AAAAAC77/10=")</f>
        <v>#VALUE!</v>
      </c>
      <c r="CQ1" t="e">
        <f>AND(icf.183!K12,"AAAAAC77/14=")</f>
        <v>#VALUE!</v>
      </c>
      <c r="CR1" t="e">
        <f>AND(icf.183!L12,"AAAAAC77/18=")</f>
        <v>#VALUE!</v>
      </c>
      <c r="CS1">
        <f>IF(icf.183!13:13,"AAAAAC77/2A=",0)</f>
        <v>0</v>
      </c>
      <c r="CT1" t="e">
        <f>AND(icf.183!A13,"AAAAAC77/2E=")</f>
        <v>#VALUE!</v>
      </c>
      <c r="CU1" t="e">
        <f>AND(icf.183!#REF!,"AAAAAC77/2I=")</f>
        <v>#REF!</v>
      </c>
      <c r="CV1" t="e">
        <f>AND(icf.183!H13,"AAAAAC77/2M=")</f>
        <v>#VALUE!</v>
      </c>
      <c r="CW1" t="e">
        <f>AND(icf.183!#REF!,"AAAAAC77/2Q=")</f>
        <v>#REF!</v>
      </c>
      <c r="CX1" t="e">
        <f>AND(icf.183!J13,"AAAAAC77/2U=")</f>
        <v>#VALUE!</v>
      </c>
      <c r="CY1" t="e">
        <f>AND(icf.183!K13,"AAAAAC77/2Y=")</f>
        <v>#VALUE!</v>
      </c>
      <c r="CZ1" t="e">
        <f>AND(icf.183!L13,"AAAAAC77/2c=")</f>
        <v>#VALUE!</v>
      </c>
      <c r="DA1">
        <f>IF(icf.183!14:14,"AAAAAC77/2g=",0)</f>
        <v>0</v>
      </c>
      <c r="DB1" t="e">
        <f>AND(icf.183!A14,"AAAAAC77/2k=")</f>
        <v>#VALUE!</v>
      </c>
      <c r="DC1" t="e">
        <f>AND(icf.183!#REF!,"AAAAAC77/2o=")</f>
        <v>#REF!</v>
      </c>
      <c r="DD1" t="e">
        <f>AND(icf.183!H14,"AAAAAC77/2s=")</f>
        <v>#VALUE!</v>
      </c>
      <c r="DE1" t="e">
        <f>AND(icf.183!#REF!,"AAAAAC77/2w=")</f>
        <v>#REF!</v>
      </c>
      <c r="DF1" t="e">
        <f>AND(icf.183!J14,"AAAAAC77/20=")</f>
        <v>#VALUE!</v>
      </c>
      <c r="DG1" t="e">
        <f>AND(icf.183!K14,"AAAAAC77/24=")</f>
        <v>#VALUE!</v>
      </c>
      <c r="DH1" t="e">
        <f>AND(icf.183!L14,"AAAAAC77/28=")</f>
        <v>#VALUE!</v>
      </c>
      <c r="DI1">
        <f>IF(icf.183!15:15,"AAAAAC77/3A=",0)</f>
        <v>0</v>
      </c>
      <c r="DJ1" t="e">
        <f>AND(icf.183!A15,"AAAAAC77/3E=")</f>
        <v>#VALUE!</v>
      </c>
      <c r="DK1" t="e">
        <f>AND(icf.183!#REF!,"AAAAAC77/3I=")</f>
        <v>#REF!</v>
      </c>
      <c r="DL1" t="e">
        <f>AND(icf.183!H15,"AAAAAC77/3M=")</f>
        <v>#VALUE!</v>
      </c>
      <c r="DM1" t="e">
        <f>AND(icf.183!#REF!,"AAAAAC77/3Q=")</f>
        <v>#REF!</v>
      </c>
      <c r="DN1" t="e">
        <f>AND(icf.183!J15,"AAAAAC77/3U=")</f>
        <v>#VALUE!</v>
      </c>
      <c r="DO1" t="e">
        <f>AND(icf.183!K15,"AAAAAC77/3Y=")</f>
        <v>#VALUE!</v>
      </c>
      <c r="DP1" t="e">
        <f>AND(icf.183!L15,"AAAAAC77/3c=")</f>
        <v>#VALUE!</v>
      </c>
      <c r="DQ1">
        <f>IF(icf.183!16:16,"AAAAAC77/3g=",0)</f>
        <v>0</v>
      </c>
      <c r="DR1" t="e">
        <f>AND(icf.183!A16,"AAAAAC77/3k=")</f>
        <v>#VALUE!</v>
      </c>
      <c r="DS1" t="e">
        <f>AND(icf.183!#REF!,"AAAAAC77/3o=")</f>
        <v>#REF!</v>
      </c>
      <c r="DT1" t="e">
        <f>AND(icf.183!H16,"AAAAAC77/3s=")</f>
        <v>#VALUE!</v>
      </c>
      <c r="DU1" t="e">
        <f>AND(icf.183!#REF!,"AAAAAC77/3w=")</f>
        <v>#REF!</v>
      </c>
      <c r="DV1" t="e">
        <f>AND(icf.183!J16,"AAAAAC77/30=")</f>
        <v>#VALUE!</v>
      </c>
      <c r="DW1" t="e">
        <f>AND(icf.183!K16,"AAAAAC77/34=")</f>
        <v>#VALUE!</v>
      </c>
      <c r="DX1" t="e">
        <f>AND(icf.183!L16,"AAAAAC77/38=")</f>
        <v>#VALUE!</v>
      </c>
      <c r="DY1">
        <f>IF(icf.183!17:17,"AAAAAC77/4A=",0)</f>
        <v>0</v>
      </c>
      <c r="DZ1" t="e">
        <f>AND(icf.183!A17,"AAAAAC77/4E=")</f>
        <v>#VALUE!</v>
      </c>
      <c r="EA1" t="e">
        <f>AND(icf.183!#REF!,"AAAAAC77/4I=")</f>
        <v>#REF!</v>
      </c>
      <c r="EB1" t="e">
        <f>AND(icf.183!H17,"AAAAAC77/4M=")</f>
        <v>#VALUE!</v>
      </c>
      <c r="EC1" t="e">
        <f>AND(icf.183!#REF!,"AAAAAC77/4Q=")</f>
        <v>#REF!</v>
      </c>
      <c r="ED1" t="e">
        <f>AND(icf.183!J17,"AAAAAC77/4U=")</f>
        <v>#VALUE!</v>
      </c>
      <c r="EE1" t="e">
        <f>AND(icf.183!K17,"AAAAAC77/4Y=")</f>
        <v>#VALUE!</v>
      </c>
      <c r="EF1" t="e">
        <f>AND(icf.183!L17,"AAAAAC77/4c=")</f>
        <v>#VALUE!</v>
      </c>
      <c r="EG1">
        <f>IF(icf.183!18:18,"AAAAAC77/4g=",0)</f>
        <v>0</v>
      </c>
      <c r="EH1" t="e">
        <f>AND(icf.183!A18,"AAAAAC77/4k=")</f>
        <v>#VALUE!</v>
      </c>
      <c r="EI1" t="e">
        <f>AND(icf.183!#REF!,"AAAAAC77/4o=")</f>
        <v>#REF!</v>
      </c>
      <c r="EJ1" t="e">
        <f>AND(icf.183!H18,"AAAAAC77/4s=")</f>
        <v>#VALUE!</v>
      </c>
      <c r="EK1" t="e">
        <f>AND(icf.183!#REF!,"AAAAAC77/4w=")</f>
        <v>#REF!</v>
      </c>
      <c r="EL1" t="e">
        <f>AND(icf.183!J18,"AAAAAC77/40=")</f>
        <v>#VALUE!</v>
      </c>
      <c r="EM1" t="e">
        <f>AND(icf.183!K18,"AAAAAC77/44=")</f>
        <v>#VALUE!</v>
      </c>
      <c r="EN1" t="e">
        <f>AND(icf.183!L18,"AAAAAC77/48=")</f>
        <v>#VALUE!</v>
      </c>
      <c r="EO1">
        <f>IF(icf.183!19:19,"AAAAAC77/5A=",0)</f>
        <v>0</v>
      </c>
      <c r="EP1" t="e">
        <f>AND(icf.183!A19,"AAAAAC77/5E=")</f>
        <v>#VALUE!</v>
      </c>
      <c r="EQ1" t="e">
        <f>AND(icf.183!#REF!,"AAAAAC77/5I=")</f>
        <v>#REF!</v>
      </c>
      <c r="ER1" t="e">
        <f>AND(icf.183!H19,"AAAAAC77/5M=")</f>
        <v>#VALUE!</v>
      </c>
      <c r="ES1" t="e">
        <f>AND(icf.183!#REF!,"AAAAAC77/5Q=")</f>
        <v>#REF!</v>
      </c>
      <c r="ET1" t="e">
        <f>AND(icf.183!J19,"AAAAAC77/5U=")</f>
        <v>#VALUE!</v>
      </c>
      <c r="EU1" t="e">
        <f>AND(icf.183!K19,"AAAAAC77/5Y=")</f>
        <v>#VALUE!</v>
      </c>
      <c r="EV1" t="e">
        <f>AND(icf.183!L19,"AAAAAC77/5c=")</f>
        <v>#VALUE!</v>
      </c>
      <c r="EW1">
        <f>IF(icf.183!20:20,"AAAAAC77/5g=",0)</f>
        <v>0</v>
      </c>
      <c r="EX1" t="e">
        <f>AND(icf.183!A20,"AAAAAC77/5k=")</f>
        <v>#VALUE!</v>
      </c>
      <c r="EY1" t="e">
        <f>AND(icf.183!#REF!,"AAAAAC77/5o=")</f>
        <v>#REF!</v>
      </c>
      <c r="EZ1" t="e">
        <f>AND(icf.183!H20,"AAAAAC77/5s=")</f>
        <v>#VALUE!</v>
      </c>
      <c r="FA1" t="e">
        <f>AND(icf.183!#REF!,"AAAAAC77/5w=")</f>
        <v>#REF!</v>
      </c>
      <c r="FB1" t="e">
        <f>AND(icf.183!J20,"AAAAAC77/50=")</f>
        <v>#VALUE!</v>
      </c>
      <c r="FC1" t="e">
        <f>AND(icf.183!K20,"AAAAAC77/54=")</f>
        <v>#VALUE!</v>
      </c>
      <c r="FD1" t="e">
        <f>AND(icf.183!L20,"AAAAAC77/58=")</f>
        <v>#VALUE!</v>
      </c>
      <c r="FE1">
        <f>IF(icf.183!21:21,"AAAAAC77/6A=",0)</f>
        <v>0</v>
      </c>
      <c r="FF1" t="e">
        <f>AND(icf.183!A21,"AAAAAC77/6E=")</f>
        <v>#VALUE!</v>
      </c>
      <c r="FG1" t="e">
        <f>AND(icf.183!#REF!,"AAAAAC77/6I=")</f>
        <v>#REF!</v>
      </c>
      <c r="FH1" t="e">
        <f>AND(icf.183!H21,"AAAAAC77/6M=")</f>
        <v>#VALUE!</v>
      </c>
      <c r="FI1" t="e">
        <f>AND(icf.183!#REF!,"AAAAAC77/6Q=")</f>
        <v>#REF!</v>
      </c>
      <c r="FJ1" t="e">
        <f>AND(icf.183!J21,"AAAAAC77/6U=")</f>
        <v>#VALUE!</v>
      </c>
      <c r="FK1" t="e">
        <f>AND(icf.183!K21,"AAAAAC77/6Y=")</f>
        <v>#VALUE!</v>
      </c>
      <c r="FL1" t="e">
        <f>AND(icf.183!L21,"AAAAAC77/6c=")</f>
        <v>#VALUE!</v>
      </c>
      <c r="FM1">
        <f>IF(icf.183!22:22,"AAAAAC77/6g=",0)</f>
        <v>0</v>
      </c>
      <c r="FN1" t="e">
        <f>AND(icf.183!A22,"AAAAAC77/6k=")</f>
        <v>#VALUE!</v>
      </c>
      <c r="FO1" t="e">
        <f>AND(icf.183!#REF!,"AAAAAC77/6o=")</f>
        <v>#REF!</v>
      </c>
      <c r="FP1" t="e">
        <f>AND(icf.183!H22,"AAAAAC77/6s=")</f>
        <v>#VALUE!</v>
      </c>
      <c r="FQ1" t="e">
        <f>AND(icf.183!#REF!,"AAAAAC77/6w=")</f>
        <v>#REF!</v>
      </c>
      <c r="FR1" t="e">
        <f>AND(icf.183!J22,"AAAAAC77/60=")</f>
        <v>#VALUE!</v>
      </c>
      <c r="FS1" t="e">
        <f>AND(icf.183!K22,"AAAAAC77/64=")</f>
        <v>#VALUE!</v>
      </c>
      <c r="FT1" t="e">
        <f>AND(icf.183!L22,"AAAAAC77/68=")</f>
        <v>#VALUE!</v>
      </c>
      <c r="FU1">
        <f>IF(icf.183!23:23,"AAAAAC77/7A=",0)</f>
        <v>0</v>
      </c>
      <c r="FV1" t="e">
        <f>AND(icf.183!A23,"AAAAAC77/7E=")</f>
        <v>#VALUE!</v>
      </c>
      <c r="FW1" t="e">
        <f>AND(icf.183!#REF!,"AAAAAC77/7I=")</f>
        <v>#REF!</v>
      </c>
      <c r="FX1" t="e">
        <f>AND(icf.183!H23,"AAAAAC77/7M=")</f>
        <v>#VALUE!</v>
      </c>
      <c r="FY1" t="e">
        <f>AND(icf.183!#REF!,"AAAAAC77/7Q=")</f>
        <v>#REF!</v>
      </c>
      <c r="FZ1" t="e">
        <f>AND(icf.183!J23,"AAAAAC77/7U=")</f>
        <v>#VALUE!</v>
      </c>
      <c r="GA1" t="e">
        <f>AND(icf.183!K23,"AAAAAC77/7Y=")</f>
        <v>#VALUE!</v>
      </c>
      <c r="GB1" t="e">
        <f>AND(icf.183!L23,"AAAAAC77/7c=")</f>
        <v>#VALUE!</v>
      </c>
      <c r="GC1">
        <f>IF(icf.183!24:24,"AAAAAC77/7g=",0)</f>
        <v>0</v>
      </c>
      <c r="GD1" t="e">
        <f>AND(icf.183!A24,"AAAAAC77/7k=")</f>
        <v>#VALUE!</v>
      </c>
      <c r="GE1" t="e">
        <f>AND(icf.183!#REF!,"AAAAAC77/7o=")</f>
        <v>#REF!</v>
      </c>
      <c r="GF1" t="e">
        <f>AND(icf.183!H24,"AAAAAC77/7s=")</f>
        <v>#VALUE!</v>
      </c>
      <c r="GG1" t="e">
        <f>AND(icf.183!#REF!,"AAAAAC77/7w=")</f>
        <v>#REF!</v>
      </c>
      <c r="GH1" t="e">
        <f>AND(icf.183!J24,"AAAAAC77/70=")</f>
        <v>#VALUE!</v>
      </c>
      <c r="GI1" t="e">
        <f>AND(icf.183!K24,"AAAAAC77/74=")</f>
        <v>#VALUE!</v>
      </c>
      <c r="GJ1" t="e">
        <f>AND(icf.183!L24,"AAAAAC77/78=")</f>
        <v>#VALUE!</v>
      </c>
      <c r="GK1">
        <f>IF(icf.183!25:25,"AAAAAC77/8A=",0)</f>
        <v>0</v>
      </c>
      <c r="GL1" t="e">
        <f>AND(icf.183!A25,"AAAAAC77/8E=")</f>
        <v>#VALUE!</v>
      </c>
      <c r="GM1" t="e">
        <f>AND(icf.183!#REF!,"AAAAAC77/8I=")</f>
        <v>#REF!</v>
      </c>
      <c r="GN1" t="e">
        <f>AND(icf.183!H25,"AAAAAC77/8M=")</f>
        <v>#VALUE!</v>
      </c>
      <c r="GO1" t="e">
        <f>AND(icf.183!#REF!,"AAAAAC77/8Q=")</f>
        <v>#REF!</v>
      </c>
      <c r="GP1" t="e">
        <f>AND(icf.183!J25,"AAAAAC77/8U=")</f>
        <v>#VALUE!</v>
      </c>
      <c r="GQ1" t="e">
        <f>AND(icf.183!K25,"AAAAAC77/8Y=")</f>
        <v>#VALUE!</v>
      </c>
      <c r="GR1" t="e">
        <f>AND(icf.183!L25,"AAAAAC77/8c=")</f>
        <v>#VALUE!</v>
      </c>
      <c r="GS1">
        <f>IF(icf.183!26:26,"AAAAAC77/8g=",0)</f>
        <v>0</v>
      </c>
      <c r="GT1" t="e">
        <f>AND(icf.183!A26,"AAAAAC77/8k=")</f>
        <v>#VALUE!</v>
      </c>
      <c r="GU1" t="e">
        <f>AND(icf.183!#REF!,"AAAAAC77/8o=")</f>
        <v>#REF!</v>
      </c>
      <c r="GV1" t="e">
        <f>AND(icf.183!H26,"AAAAAC77/8s=")</f>
        <v>#VALUE!</v>
      </c>
      <c r="GW1" t="e">
        <f>AND(icf.183!#REF!,"AAAAAC77/8w=")</f>
        <v>#REF!</v>
      </c>
      <c r="GX1" t="e">
        <f>AND(icf.183!J26,"AAAAAC77/80=")</f>
        <v>#VALUE!</v>
      </c>
      <c r="GY1" t="e">
        <f>AND(icf.183!K26,"AAAAAC77/84=")</f>
        <v>#VALUE!</v>
      </c>
      <c r="GZ1" t="e">
        <f>AND(icf.183!L26,"AAAAAC77/88=")</f>
        <v>#VALUE!</v>
      </c>
      <c r="HA1">
        <f>IF(icf.183!27:27,"AAAAAC77/9A=",0)</f>
        <v>0</v>
      </c>
      <c r="HB1" t="e">
        <f>AND(icf.183!A27,"AAAAAC77/9E=")</f>
        <v>#VALUE!</v>
      </c>
      <c r="HC1" t="e">
        <f>AND(icf.183!#REF!,"AAAAAC77/9I=")</f>
        <v>#REF!</v>
      </c>
      <c r="HD1" t="e">
        <f>AND(icf.183!H27,"AAAAAC77/9M=")</f>
        <v>#VALUE!</v>
      </c>
      <c r="HE1" t="e">
        <f>AND(icf.183!#REF!,"AAAAAC77/9Q=")</f>
        <v>#REF!</v>
      </c>
      <c r="HF1" t="e">
        <f>AND(icf.183!J27,"AAAAAC77/9U=")</f>
        <v>#VALUE!</v>
      </c>
      <c r="HG1" t="e">
        <f>AND(icf.183!K27,"AAAAAC77/9Y=")</f>
        <v>#VALUE!</v>
      </c>
      <c r="HH1" t="e">
        <f>AND(icf.183!L27,"AAAAAC77/9c=")</f>
        <v>#VALUE!</v>
      </c>
      <c r="HI1">
        <f>IF(icf.183!28:28,"AAAAAC77/9g=",0)</f>
        <v>0</v>
      </c>
      <c r="HJ1" t="e">
        <f>AND(icf.183!A28,"AAAAAC77/9k=")</f>
        <v>#VALUE!</v>
      </c>
      <c r="HK1" t="e">
        <f>AND(icf.183!#REF!,"AAAAAC77/9o=")</f>
        <v>#REF!</v>
      </c>
      <c r="HL1" t="e">
        <f>AND(icf.183!H28,"AAAAAC77/9s=")</f>
        <v>#VALUE!</v>
      </c>
      <c r="HM1" t="e">
        <f>AND(icf.183!#REF!,"AAAAAC77/9w=")</f>
        <v>#REF!</v>
      </c>
      <c r="HN1" t="e">
        <f>AND(icf.183!J28,"AAAAAC77/90=")</f>
        <v>#VALUE!</v>
      </c>
      <c r="HO1" t="e">
        <f>AND(icf.183!K28,"AAAAAC77/94=")</f>
        <v>#VALUE!</v>
      </c>
      <c r="HP1" t="e">
        <f>AND(icf.183!L28,"AAAAAC77/98=")</f>
        <v>#VALUE!</v>
      </c>
      <c r="HQ1">
        <f>IF(icf.183!29:29,"AAAAAC77/+A=",0)</f>
        <v>0</v>
      </c>
      <c r="HR1" t="e">
        <f>AND(icf.183!A29,"AAAAAC77/+E=")</f>
        <v>#VALUE!</v>
      </c>
      <c r="HS1" t="e">
        <f>AND(icf.183!#REF!,"AAAAAC77/+I=")</f>
        <v>#REF!</v>
      </c>
      <c r="HT1" t="e">
        <f>AND(icf.183!H29,"AAAAAC77/+M=")</f>
        <v>#VALUE!</v>
      </c>
      <c r="HU1" t="e">
        <f>AND(icf.183!#REF!,"AAAAAC77/+Q=")</f>
        <v>#REF!</v>
      </c>
      <c r="HV1" t="e">
        <f>AND(icf.183!J29,"AAAAAC77/+U=")</f>
        <v>#VALUE!</v>
      </c>
      <c r="HW1" t="e">
        <f>AND(icf.183!K29,"AAAAAC77/+Y=")</f>
        <v>#VALUE!</v>
      </c>
      <c r="HX1" t="e">
        <f>AND(icf.183!L29,"AAAAAC77/+c=")</f>
        <v>#VALUE!</v>
      </c>
      <c r="HY1">
        <f>IF(icf.183!30:30,"AAAAAC77/+g=",0)</f>
        <v>0</v>
      </c>
      <c r="HZ1" t="e">
        <f>AND(icf.183!A30,"AAAAAC77/+k=")</f>
        <v>#VALUE!</v>
      </c>
      <c r="IA1" t="e">
        <f>AND(icf.183!#REF!,"AAAAAC77/+o=")</f>
        <v>#REF!</v>
      </c>
      <c r="IB1" t="e">
        <f>AND(icf.183!H30,"AAAAAC77/+s=")</f>
        <v>#VALUE!</v>
      </c>
      <c r="IC1" t="e">
        <f>AND(icf.183!#REF!,"AAAAAC77/+w=")</f>
        <v>#REF!</v>
      </c>
      <c r="ID1" t="e">
        <f>AND(icf.183!J30,"AAAAAC77/+0=")</f>
        <v>#VALUE!</v>
      </c>
      <c r="IE1" t="e">
        <f>AND(icf.183!K30,"AAAAAC77/+4=")</f>
        <v>#VALUE!</v>
      </c>
      <c r="IF1" t="e">
        <f>AND(icf.183!L30,"AAAAAC77/+8=")</f>
        <v>#VALUE!</v>
      </c>
      <c r="IG1">
        <f>IF(icf.183!31:31,"AAAAAC77//A=",0)</f>
        <v>0</v>
      </c>
      <c r="IH1" t="e">
        <f>AND(icf.183!A31,"AAAAAC77//E=")</f>
        <v>#VALUE!</v>
      </c>
      <c r="II1" t="e">
        <f>AND(icf.183!#REF!,"AAAAAC77//I=")</f>
        <v>#REF!</v>
      </c>
      <c r="IJ1" t="e">
        <f>AND(icf.183!H31,"AAAAAC77//M=")</f>
        <v>#VALUE!</v>
      </c>
      <c r="IK1" t="e">
        <f>AND(icf.183!#REF!,"AAAAAC77//Q=")</f>
        <v>#REF!</v>
      </c>
      <c r="IL1" t="e">
        <f>AND(icf.183!J31,"AAAAAC77//U=")</f>
        <v>#VALUE!</v>
      </c>
      <c r="IM1" t="e">
        <f>AND(icf.183!K31,"AAAAAC77//Y=")</f>
        <v>#VALUE!</v>
      </c>
      <c r="IN1" t="e">
        <f>AND(icf.183!L31,"AAAAAC77//c=")</f>
        <v>#VALUE!</v>
      </c>
      <c r="IO1">
        <f>IF(icf.183!32:32,"AAAAAC77//g=",0)</f>
        <v>0</v>
      </c>
      <c r="IP1" t="e">
        <f>AND(icf.183!A32,"AAAAAC77//k=")</f>
        <v>#VALUE!</v>
      </c>
      <c r="IQ1" t="e">
        <f>AND(icf.183!#REF!,"AAAAAC77//o=")</f>
        <v>#REF!</v>
      </c>
      <c r="IR1" t="e">
        <f>AND(icf.183!H32,"AAAAAC77//s=")</f>
        <v>#VALUE!</v>
      </c>
      <c r="IS1" t="e">
        <f>AND(icf.183!#REF!,"AAAAAC77//w=")</f>
        <v>#REF!</v>
      </c>
      <c r="IT1" t="e">
        <f>AND(icf.183!J32,"AAAAAC77//0=")</f>
        <v>#VALUE!</v>
      </c>
      <c r="IU1" t="e">
        <f>AND(icf.183!K32,"AAAAAC77//4=")</f>
        <v>#VALUE!</v>
      </c>
      <c r="IV1" t="e">
        <f>AND(icf.183!L32,"AAAAAC77//8=")</f>
        <v>#VALUE!</v>
      </c>
    </row>
    <row r="2" spans="1:256" x14ac:dyDescent="0.2">
      <c r="A2" t="str">
        <f>IF(icf.183!33:33,"AAAAAH/OzAA=",0)</f>
        <v>AAAAAH/OzAA=</v>
      </c>
      <c r="B2" t="e">
        <f>AND(icf.183!A33,"AAAAAH/OzAE=")</f>
        <v>#VALUE!</v>
      </c>
      <c r="C2" t="e">
        <f>AND(icf.183!#REF!,"AAAAAH/OzAI=")</f>
        <v>#REF!</v>
      </c>
      <c r="D2" t="e">
        <f>AND(icf.183!H33,"AAAAAH/OzAM=")</f>
        <v>#VALUE!</v>
      </c>
      <c r="E2" t="e">
        <f>AND(icf.183!#REF!,"AAAAAH/OzAQ=")</f>
        <v>#REF!</v>
      </c>
      <c r="F2" t="e">
        <f>AND(icf.183!J33,"AAAAAH/OzAU=")</f>
        <v>#VALUE!</v>
      </c>
      <c r="G2" t="e">
        <f>AND(icf.183!K33,"AAAAAH/OzAY=")</f>
        <v>#VALUE!</v>
      </c>
      <c r="H2" t="e">
        <f>AND(icf.183!L33,"AAAAAH/OzAc=")</f>
        <v>#VALUE!</v>
      </c>
      <c r="I2">
        <f>IF(icf.183!34:34,"AAAAAH/OzAg=",0)</f>
        <v>0</v>
      </c>
      <c r="J2" t="e">
        <f>AND(icf.183!A34,"AAAAAH/OzAk=")</f>
        <v>#VALUE!</v>
      </c>
      <c r="K2" t="e">
        <f>AND(icf.183!#REF!,"AAAAAH/OzAo=")</f>
        <v>#REF!</v>
      </c>
      <c r="L2" t="e">
        <f>AND(icf.183!H34,"AAAAAH/OzAs=")</f>
        <v>#VALUE!</v>
      </c>
      <c r="M2" t="e">
        <f>AND(icf.183!#REF!,"AAAAAH/OzAw=")</f>
        <v>#REF!</v>
      </c>
      <c r="N2" t="e">
        <f>AND(icf.183!J34,"AAAAAH/OzA0=")</f>
        <v>#VALUE!</v>
      </c>
      <c r="O2" t="e">
        <f>AND(icf.183!K34,"AAAAAH/OzA4=")</f>
        <v>#VALUE!</v>
      </c>
      <c r="P2" t="e">
        <f>AND(icf.183!L34,"AAAAAH/OzA8=")</f>
        <v>#VALUE!</v>
      </c>
      <c r="Q2" t="str">
        <f>IF(icf.183!35:35,"AAAAAH/OzBA=",0)</f>
        <v>AAAAAH/OzBA=</v>
      </c>
      <c r="R2" t="e">
        <f>AND(icf.183!A35,"AAAAAH/OzBE=")</f>
        <v>#VALUE!</v>
      </c>
      <c r="S2" t="e">
        <f>AND(icf.183!#REF!,"AAAAAH/OzBI=")</f>
        <v>#REF!</v>
      </c>
      <c r="T2" t="e">
        <f>AND(icf.183!H35,"AAAAAH/OzBM=")</f>
        <v>#VALUE!</v>
      </c>
      <c r="U2" t="e">
        <f>AND(icf.183!#REF!,"AAAAAH/OzBQ=")</f>
        <v>#REF!</v>
      </c>
      <c r="V2" t="e">
        <f>AND(icf.183!J35,"AAAAAH/OzBU=")</f>
        <v>#VALUE!</v>
      </c>
      <c r="W2" t="e">
        <f>AND(icf.183!K35,"AAAAAH/OzBY=")</f>
        <v>#VALUE!</v>
      </c>
      <c r="X2" t="e">
        <f>AND(icf.183!L35,"AAAAAH/OzBc=")</f>
        <v>#VALUE!</v>
      </c>
      <c r="Y2" t="str">
        <f>IF(icf.183!36:36,"AAAAAH/OzBg=",0)</f>
        <v>AAAAAH/OzBg=</v>
      </c>
      <c r="Z2" t="e">
        <f>AND(icf.183!A36,"AAAAAH/OzBk=")</f>
        <v>#VALUE!</v>
      </c>
      <c r="AA2" t="e">
        <f>AND(icf.183!#REF!,"AAAAAH/OzBo=")</f>
        <v>#REF!</v>
      </c>
      <c r="AB2" t="e">
        <f>AND(icf.183!H36,"AAAAAH/OzBs=")</f>
        <v>#VALUE!</v>
      </c>
      <c r="AC2" t="e">
        <f>AND(icf.183!#REF!,"AAAAAH/OzBw=")</f>
        <v>#REF!</v>
      </c>
      <c r="AD2" t="e">
        <f>AND(icf.183!J36,"AAAAAH/OzB0=")</f>
        <v>#VALUE!</v>
      </c>
      <c r="AE2" t="e">
        <f>AND(icf.183!K36,"AAAAAH/OzB4=")</f>
        <v>#VALUE!</v>
      </c>
      <c r="AF2" t="e">
        <f>AND(icf.183!L36,"AAAAAH/OzB8=")</f>
        <v>#VALUE!</v>
      </c>
      <c r="AG2" t="e">
        <f>IF(icf.183!37:37,"AAAAAH/OzCA=",0)</f>
        <v>#VALUE!</v>
      </c>
      <c r="AH2" t="e">
        <f>AND(icf.183!A37,"AAAAAH/OzCE=")</f>
        <v>#VALUE!</v>
      </c>
      <c r="AI2" t="e">
        <f>AND(icf.183!#REF!,"AAAAAH/OzCI=")</f>
        <v>#REF!</v>
      </c>
      <c r="AJ2" t="e">
        <f>AND(icf.183!H37,"AAAAAH/OzCM=")</f>
        <v>#VALUE!</v>
      </c>
      <c r="AK2" t="e">
        <f>AND(icf.183!#REF!,"AAAAAH/OzCQ=")</f>
        <v>#REF!</v>
      </c>
      <c r="AL2" t="e">
        <f>AND(icf.183!J37,"AAAAAH/OzCU=")</f>
        <v>#VALUE!</v>
      </c>
      <c r="AM2" t="e">
        <f>AND(icf.183!K37,"AAAAAH/OzCY=")</f>
        <v>#VALUE!</v>
      </c>
      <c r="AN2" t="e">
        <f>AND(icf.183!L37,"AAAAAH/OzCc=")</f>
        <v>#VALUE!</v>
      </c>
      <c r="AO2" t="str">
        <f>IF(icf.183!38:38,"AAAAAH/OzCg=",0)</f>
        <v>AAAAAH/OzCg=</v>
      </c>
      <c r="AP2" t="e">
        <f>AND(icf.183!A38,"AAAAAH/OzCk=")</f>
        <v>#VALUE!</v>
      </c>
      <c r="AQ2" t="e">
        <f>AND(icf.183!#REF!,"AAAAAH/OzCo=")</f>
        <v>#REF!</v>
      </c>
      <c r="AR2" t="e">
        <f>AND(icf.183!H38,"AAAAAH/OzCs=")</f>
        <v>#VALUE!</v>
      </c>
      <c r="AS2" t="e">
        <f>AND(icf.183!#REF!,"AAAAAH/OzCw=")</f>
        <v>#REF!</v>
      </c>
      <c r="AT2" t="e">
        <f>AND(icf.183!J38,"AAAAAH/OzC0=")</f>
        <v>#VALUE!</v>
      </c>
      <c r="AU2" t="e">
        <f>AND(icf.183!K38,"AAAAAH/OzC4=")</f>
        <v>#VALUE!</v>
      </c>
      <c r="AV2" t="e">
        <f>AND(icf.183!L38,"AAAAAH/OzC8=")</f>
        <v>#VALUE!</v>
      </c>
      <c r="AW2" t="str">
        <f>IF(icf.183!39:39,"AAAAAH/OzDA=",0)</f>
        <v>AAAAAH/OzDA=</v>
      </c>
      <c r="AX2" t="e">
        <f>AND(icf.183!A39,"AAAAAH/OzDE=")</f>
        <v>#VALUE!</v>
      </c>
      <c r="AY2" t="e">
        <f>AND(icf.183!#REF!,"AAAAAH/OzDI=")</f>
        <v>#REF!</v>
      </c>
      <c r="AZ2" t="e">
        <f>AND(icf.183!H39,"AAAAAH/OzDM=")</f>
        <v>#VALUE!</v>
      </c>
      <c r="BA2" t="e">
        <f>AND(icf.183!#REF!,"AAAAAH/OzDQ=")</f>
        <v>#REF!</v>
      </c>
      <c r="BB2" t="e">
        <f>AND(icf.183!J39,"AAAAAH/OzDU=")</f>
        <v>#VALUE!</v>
      </c>
      <c r="BC2" t="e">
        <f>AND(icf.183!K39,"AAAAAH/OzDY=")</f>
        <v>#VALUE!</v>
      </c>
      <c r="BD2" t="e">
        <f>AND(icf.183!L39,"AAAAAH/OzDc=")</f>
        <v>#VALUE!</v>
      </c>
      <c r="BE2" t="str">
        <f>IF(icf.183!40:40,"AAAAAH/OzDg=",0)</f>
        <v>AAAAAH/OzDg=</v>
      </c>
      <c r="BF2" t="e">
        <f>AND(icf.183!A40,"AAAAAH/OzDk=")</f>
        <v>#VALUE!</v>
      </c>
      <c r="BG2" t="e">
        <f>AND(icf.183!#REF!,"AAAAAH/OzDo=")</f>
        <v>#REF!</v>
      </c>
      <c r="BH2" t="e">
        <f>AND(icf.183!H40,"AAAAAH/OzDs=")</f>
        <v>#VALUE!</v>
      </c>
      <c r="BI2" t="e">
        <f>AND(icf.183!#REF!,"AAAAAH/OzDw=")</f>
        <v>#REF!</v>
      </c>
      <c r="BJ2" t="e">
        <f>AND(icf.183!J40,"AAAAAH/OzD0=")</f>
        <v>#VALUE!</v>
      </c>
      <c r="BK2" t="e">
        <f>AND(icf.183!K40,"AAAAAH/OzD4=")</f>
        <v>#VALUE!</v>
      </c>
      <c r="BL2" t="e">
        <f>AND(icf.183!L40,"AAAAAH/OzD8=")</f>
        <v>#VALUE!</v>
      </c>
      <c r="BM2">
        <f>IF(icf.183!41:41,"AAAAAH/OzEA=",0)</f>
        <v>0</v>
      </c>
      <c r="BN2" t="e">
        <f>AND(icf.183!A41,"AAAAAH/OzEE=")</f>
        <v>#VALUE!</v>
      </c>
      <c r="BO2" t="e">
        <f>AND(icf.183!#REF!,"AAAAAH/OzEI=")</f>
        <v>#REF!</v>
      </c>
      <c r="BP2" t="e">
        <f>AND(icf.183!H41,"AAAAAH/OzEM=")</f>
        <v>#VALUE!</v>
      </c>
      <c r="BQ2" t="e">
        <f>AND(icf.183!#REF!,"AAAAAH/OzEQ=")</f>
        <v>#REF!</v>
      </c>
      <c r="BR2" t="e">
        <f>AND(icf.183!J41,"AAAAAH/OzEU=")</f>
        <v>#VALUE!</v>
      </c>
      <c r="BS2" t="e">
        <f>AND(icf.183!K41,"AAAAAH/OzEY=")</f>
        <v>#VALUE!</v>
      </c>
      <c r="BT2" t="e">
        <f>AND(icf.183!L41,"AAAAAH/OzEc=")</f>
        <v>#VALUE!</v>
      </c>
      <c r="BU2">
        <f>IF(icf.183!42:42,"AAAAAH/OzEg=",0)</f>
        <v>0</v>
      </c>
      <c r="BV2" t="e">
        <f>AND(icf.183!A42,"AAAAAH/OzEk=")</f>
        <v>#VALUE!</v>
      </c>
      <c r="BW2" t="e">
        <f>AND(icf.183!#REF!,"AAAAAH/OzEo=")</f>
        <v>#REF!</v>
      </c>
      <c r="BX2" t="e">
        <f>AND(icf.183!H42,"AAAAAH/OzEs=")</f>
        <v>#VALUE!</v>
      </c>
      <c r="BY2" t="e">
        <f>AND(icf.183!#REF!,"AAAAAH/OzEw=")</f>
        <v>#REF!</v>
      </c>
      <c r="BZ2" t="e">
        <f>AND(icf.183!J42,"AAAAAH/OzE0=")</f>
        <v>#VALUE!</v>
      </c>
      <c r="CA2" t="e">
        <f>AND(icf.183!K42,"AAAAAH/OzE4=")</f>
        <v>#VALUE!</v>
      </c>
      <c r="CB2" t="e">
        <f>AND(icf.183!L42,"AAAAAH/OzE8=")</f>
        <v>#VALUE!</v>
      </c>
      <c r="CC2">
        <f>IF(icf.183!43:43,"AAAAAH/OzFA=",0)</f>
        <v>0</v>
      </c>
      <c r="CD2" t="e">
        <f>AND(icf.183!A43,"AAAAAH/OzFE=")</f>
        <v>#VALUE!</v>
      </c>
      <c r="CE2" t="e">
        <f>AND(icf.183!#REF!,"AAAAAH/OzFI=")</f>
        <v>#REF!</v>
      </c>
      <c r="CF2" t="e">
        <f>AND(icf.183!H43,"AAAAAH/OzFM=")</f>
        <v>#VALUE!</v>
      </c>
      <c r="CG2" t="e">
        <f>AND(icf.183!#REF!,"AAAAAH/OzFQ=")</f>
        <v>#REF!</v>
      </c>
      <c r="CH2" t="e">
        <f>AND(icf.183!J43,"AAAAAH/OzFU=")</f>
        <v>#VALUE!</v>
      </c>
      <c r="CI2" t="e">
        <f>AND(icf.183!K43,"AAAAAH/OzFY=")</f>
        <v>#VALUE!</v>
      </c>
      <c r="CJ2" t="e">
        <f>AND(icf.183!L43,"AAAAAH/OzFc=")</f>
        <v>#VALUE!</v>
      </c>
      <c r="CK2">
        <f>IF(icf.183!44:44,"AAAAAH/OzFg=",0)</f>
        <v>0</v>
      </c>
      <c r="CL2" t="e">
        <f>AND(icf.183!A44,"AAAAAH/OzFk=")</f>
        <v>#VALUE!</v>
      </c>
      <c r="CM2" t="e">
        <f>AND(icf.183!#REF!,"AAAAAH/OzFo=")</f>
        <v>#REF!</v>
      </c>
      <c r="CN2" t="e">
        <f>AND(icf.183!H44,"AAAAAH/OzFs=")</f>
        <v>#VALUE!</v>
      </c>
      <c r="CO2" t="e">
        <f>AND(icf.183!#REF!,"AAAAAH/OzFw=")</f>
        <v>#REF!</v>
      </c>
      <c r="CP2" t="e">
        <f>AND(icf.183!J44,"AAAAAH/OzF0=")</f>
        <v>#VALUE!</v>
      </c>
      <c r="CQ2" t="e">
        <f>AND(icf.183!K44,"AAAAAH/OzF4=")</f>
        <v>#VALUE!</v>
      </c>
      <c r="CR2" t="e">
        <f>AND(icf.183!L44,"AAAAAH/OzF8=")</f>
        <v>#VALUE!</v>
      </c>
      <c r="CS2">
        <f>IF(icf.183!45:45,"AAAAAH/OzGA=",0)</f>
        <v>0</v>
      </c>
      <c r="CT2" t="e">
        <f>AND(icf.183!A45,"AAAAAH/OzGE=")</f>
        <v>#VALUE!</v>
      </c>
      <c r="CU2" t="e">
        <f>AND(icf.183!#REF!,"AAAAAH/OzGI=")</f>
        <v>#REF!</v>
      </c>
      <c r="CV2" t="e">
        <f>AND(icf.183!H45,"AAAAAH/OzGM=")</f>
        <v>#VALUE!</v>
      </c>
      <c r="CW2" t="e">
        <f>AND(icf.183!#REF!,"AAAAAH/OzGQ=")</f>
        <v>#REF!</v>
      </c>
      <c r="CX2" t="e">
        <f>AND(icf.183!J45,"AAAAAH/OzGU=")</f>
        <v>#VALUE!</v>
      </c>
      <c r="CY2" t="e">
        <f>AND(icf.183!K45,"AAAAAH/OzGY=")</f>
        <v>#VALUE!</v>
      </c>
      <c r="CZ2" t="e">
        <f>AND(icf.183!L45,"AAAAAH/OzGc=")</f>
        <v>#VALUE!</v>
      </c>
      <c r="DA2">
        <f>IF(icf.183!46:46,"AAAAAH/OzGg=",0)</f>
        <v>0</v>
      </c>
      <c r="DB2" t="e">
        <f>AND(icf.183!A46,"AAAAAH/OzGk=")</f>
        <v>#VALUE!</v>
      </c>
      <c r="DC2" t="e">
        <f>AND(icf.183!#REF!,"AAAAAH/OzGo=")</f>
        <v>#REF!</v>
      </c>
      <c r="DD2" t="e">
        <f>AND(icf.183!H46,"AAAAAH/OzGs=")</f>
        <v>#VALUE!</v>
      </c>
      <c r="DE2" t="e">
        <f>AND(icf.183!#REF!,"AAAAAH/OzGw=")</f>
        <v>#REF!</v>
      </c>
      <c r="DF2" t="e">
        <f>AND(icf.183!J46,"AAAAAH/OzG0=")</f>
        <v>#VALUE!</v>
      </c>
      <c r="DG2" t="e">
        <f>AND(icf.183!K46,"AAAAAH/OzG4=")</f>
        <v>#VALUE!</v>
      </c>
      <c r="DH2" t="e">
        <f>AND(icf.183!L46,"AAAAAH/OzG8=")</f>
        <v>#VALUE!</v>
      </c>
      <c r="DI2">
        <f>IF(icf.183!47:47,"AAAAAH/OzHA=",0)</f>
        <v>0</v>
      </c>
      <c r="DJ2" t="e">
        <f>AND(icf.183!A47,"AAAAAH/OzHE=")</f>
        <v>#VALUE!</v>
      </c>
      <c r="DK2" t="e">
        <f>AND(icf.183!#REF!,"AAAAAH/OzHI=")</f>
        <v>#REF!</v>
      </c>
      <c r="DL2" t="e">
        <f>AND(icf.183!H47,"AAAAAH/OzHM=")</f>
        <v>#VALUE!</v>
      </c>
      <c r="DM2" t="e">
        <f>AND(icf.183!#REF!,"AAAAAH/OzHQ=")</f>
        <v>#REF!</v>
      </c>
      <c r="DN2" t="e">
        <f>AND(icf.183!J47,"AAAAAH/OzHU=")</f>
        <v>#VALUE!</v>
      </c>
      <c r="DO2" t="e">
        <f>AND(icf.183!K47,"AAAAAH/OzHY=")</f>
        <v>#VALUE!</v>
      </c>
      <c r="DP2" t="e">
        <f>AND(icf.183!L47,"AAAAAH/OzHc=")</f>
        <v>#VALUE!</v>
      </c>
      <c r="DQ2">
        <f>IF(icf.183!48:48,"AAAAAH/OzHg=",0)</f>
        <v>0</v>
      </c>
      <c r="DR2" t="e">
        <f>AND(icf.183!A48,"AAAAAH/OzHk=")</f>
        <v>#VALUE!</v>
      </c>
      <c r="DS2" t="e">
        <f>AND(icf.183!#REF!,"AAAAAH/OzHo=")</f>
        <v>#REF!</v>
      </c>
      <c r="DT2" t="e">
        <f>AND(icf.183!H48,"AAAAAH/OzHs=")</f>
        <v>#VALUE!</v>
      </c>
      <c r="DU2" t="e">
        <f>AND(icf.183!#REF!,"AAAAAH/OzHw=")</f>
        <v>#REF!</v>
      </c>
      <c r="DV2" t="e">
        <f>AND(icf.183!J48,"AAAAAH/OzH0=")</f>
        <v>#VALUE!</v>
      </c>
      <c r="DW2" t="e">
        <f>AND(icf.183!K48,"AAAAAH/OzH4=")</f>
        <v>#VALUE!</v>
      </c>
      <c r="DX2" t="e">
        <f>AND(icf.183!L48,"AAAAAH/OzH8=")</f>
        <v>#VALUE!</v>
      </c>
      <c r="DY2">
        <f>IF(icf.183!49:49,"AAAAAH/OzIA=",0)</f>
        <v>0</v>
      </c>
      <c r="DZ2" t="e">
        <f>AND(icf.183!A49,"AAAAAH/OzIE=")</f>
        <v>#VALUE!</v>
      </c>
      <c r="EA2" t="e">
        <f>AND(icf.183!#REF!,"AAAAAH/OzII=")</f>
        <v>#REF!</v>
      </c>
      <c r="EB2" t="e">
        <f>AND(icf.183!H49,"AAAAAH/OzIM=")</f>
        <v>#VALUE!</v>
      </c>
      <c r="EC2" t="e">
        <f>AND(icf.183!#REF!,"AAAAAH/OzIQ=")</f>
        <v>#REF!</v>
      </c>
      <c r="ED2" t="e">
        <f>AND(icf.183!J49,"AAAAAH/OzIU=")</f>
        <v>#VALUE!</v>
      </c>
      <c r="EE2" t="e">
        <f>AND(icf.183!K49,"AAAAAH/OzIY=")</f>
        <v>#VALUE!</v>
      </c>
      <c r="EF2" t="e">
        <f>AND(icf.183!L49,"AAAAAH/OzIc=")</f>
        <v>#VALUE!</v>
      </c>
      <c r="EG2">
        <f>IF(icf.183!50:50,"AAAAAH/OzIg=",0)</f>
        <v>0</v>
      </c>
      <c r="EH2" t="e">
        <f>AND(icf.183!A50,"AAAAAH/OzIk=")</f>
        <v>#VALUE!</v>
      </c>
      <c r="EI2" t="e">
        <f>AND(icf.183!#REF!,"AAAAAH/OzIo=")</f>
        <v>#REF!</v>
      </c>
      <c r="EJ2" t="e">
        <f>AND(icf.183!H50,"AAAAAH/OzIs=")</f>
        <v>#VALUE!</v>
      </c>
      <c r="EK2" t="e">
        <f>AND(icf.183!#REF!,"AAAAAH/OzIw=")</f>
        <v>#REF!</v>
      </c>
      <c r="EL2" t="e">
        <f>AND(icf.183!J50,"AAAAAH/OzI0=")</f>
        <v>#VALUE!</v>
      </c>
      <c r="EM2" t="e">
        <f>AND(icf.183!K50,"AAAAAH/OzI4=")</f>
        <v>#VALUE!</v>
      </c>
      <c r="EN2" t="e">
        <f>AND(icf.183!L50,"AAAAAH/OzI8=")</f>
        <v>#VALUE!</v>
      </c>
      <c r="EO2">
        <f>IF(icf.183!51:51,"AAAAAH/OzJA=",0)</f>
        <v>0</v>
      </c>
      <c r="EP2" t="e">
        <f>AND(icf.183!A51,"AAAAAH/OzJE=")</f>
        <v>#VALUE!</v>
      </c>
      <c r="EQ2" t="e">
        <f>AND(icf.183!#REF!,"AAAAAH/OzJI=")</f>
        <v>#REF!</v>
      </c>
      <c r="ER2" t="e">
        <f>AND(icf.183!H51,"AAAAAH/OzJM=")</f>
        <v>#VALUE!</v>
      </c>
      <c r="ES2" t="e">
        <f>AND(icf.183!#REF!,"AAAAAH/OzJQ=")</f>
        <v>#REF!</v>
      </c>
      <c r="ET2" t="e">
        <f>AND(icf.183!J51,"AAAAAH/OzJU=")</f>
        <v>#VALUE!</v>
      </c>
      <c r="EU2" t="e">
        <f>AND(icf.183!K51,"AAAAAH/OzJY=")</f>
        <v>#VALUE!</v>
      </c>
      <c r="EV2" t="e">
        <f>AND(icf.183!L51,"AAAAAH/OzJc=")</f>
        <v>#VALUE!</v>
      </c>
      <c r="EW2">
        <f>IF(icf.183!52:52,"AAAAAH/OzJg=",0)</f>
        <v>0</v>
      </c>
      <c r="EX2" t="e">
        <f>AND(icf.183!A52,"AAAAAH/OzJk=")</f>
        <v>#VALUE!</v>
      </c>
      <c r="EY2" t="e">
        <f>AND(icf.183!#REF!,"AAAAAH/OzJo=")</f>
        <v>#REF!</v>
      </c>
      <c r="EZ2" t="e">
        <f>AND(icf.183!H52,"AAAAAH/OzJs=")</f>
        <v>#VALUE!</v>
      </c>
      <c r="FA2" t="e">
        <f>AND(icf.183!#REF!,"AAAAAH/OzJw=")</f>
        <v>#REF!</v>
      </c>
      <c r="FB2" t="e">
        <f>AND(icf.183!J52,"AAAAAH/OzJ0=")</f>
        <v>#VALUE!</v>
      </c>
      <c r="FC2" t="e">
        <f>AND(icf.183!K52,"AAAAAH/OzJ4=")</f>
        <v>#VALUE!</v>
      </c>
      <c r="FD2" t="e">
        <f>AND(icf.183!L52,"AAAAAH/OzJ8=")</f>
        <v>#VALUE!</v>
      </c>
      <c r="FE2">
        <f>IF(icf.183!53:53,"AAAAAH/OzKA=",0)</f>
        <v>0</v>
      </c>
      <c r="FF2" t="e">
        <f>AND(icf.183!A53,"AAAAAH/OzKE=")</f>
        <v>#VALUE!</v>
      </c>
      <c r="FG2" t="e">
        <f>AND(icf.183!#REF!,"AAAAAH/OzKI=")</f>
        <v>#REF!</v>
      </c>
      <c r="FH2" t="e">
        <f>AND(icf.183!H53,"AAAAAH/OzKM=")</f>
        <v>#VALUE!</v>
      </c>
      <c r="FI2" t="e">
        <f>AND(icf.183!#REF!,"AAAAAH/OzKQ=")</f>
        <v>#REF!</v>
      </c>
      <c r="FJ2" t="e">
        <f>AND(icf.183!J53,"AAAAAH/OzKU=")</f>
        <v>#VALUE!</v>
      </c>
      <c r="FK2" t="e">
        <f>AND(icf.183!K53,"AAAAAH/OzKY=")</f>
        <v>#VALUE!</v>
      </c>
      <c r="FL2" t="e">
        <f>AND(icf.183!L53,"AAAAAH/OzKc=")</f>
        <v>#VALUE!</v>
      </c>
      <c r="FM2">
        <f>IF(icf.183!54:54,"AAAAAH/OzKg=",0)</f>
        <v>0</v>
      </c>
      <c r="FN2" t="e">
        <f>AND(icf.183!A54,"AAAAAH/OzKk=")</f>
        <v>#VALUE!</v>
      </c>
      <c r="FO2" t="e">
        <f>AND(icf.183!#REF!,"AAAAAH/OzKo=")</f>
        <v>#REF!</v>
      </c>
      <c r="FP2" t="e">
        <f>AND(icf.183!H54,"AAAAAH/OzKs=")</f>
        <v>#VALUE!</v>
      </c>
      <c r="FQ2" t="e">
        <f>AND(icf.183!#REF!,"AAAAAH/OzKw=")</f>
        <v>#REF!</v>
      </c>
      <c r="FR2" t="e">
        <f>AND(icf.183!J54,"AAAAAH/OzK0=")</f>
        <v>#VALUE!</v>
      </c>
      <c r="FS2" t="e">
        <f>AND(icf.183!K54,"AAAAAH/OzK4=")</f>
        <v>#VALUE!</v>
      </c>
      <c r="FT2" t="e">
        <f>AND(icf.183!L54,"AAAAAH/OzK8=")</f>
        <v>#VALUE!</v>
      </c>
      <c r="FU2" t="e">
        <f>IF(icf.183!A:A,"AAAAAH/OzLA=",0)</f>
        <v>#VALUE!</v>
      </c>
      <c r="FV2" t="e">
        <f>IF(icf.183!#REF!,"AAAAAH/OzLE=",0)</f>
        <v>#REF!</v>
      </c>
      <c r="FW2" t="str">
        <f>IF(icf.183!H:H,"AAAAAH/OzLI=",0)</f>
        <v>AAAAAH/OzLI=</v>
      </c>
      <c r="FX2" t="e">
        <f>IF(icf.183!#REF!,"AAAAAH/OzLM=",0)</f>
        <v>#REF!</v>
      </c>
      <c r="FY2" t="str">
        <f>IF(icf.183!J:J,"AAAAAH/OzLQ=",0)</f>
        <v>AAAAAH/OzLQ=</v>
      </c>
      <c r="FZ2" t="str">
        <f>IF(icf.183!K:K,"AAAAAH/OzLU=",0)</f>
        <v>AAAAAH/OzLU=</v>
      </c>
      <c r="GA2" t="str">
        <f>IF(icf.183!L:L,"AAAAAH/OzLY=",0)</f>
        <v>AAAAAH/OzLY=</v>
      </c>
      <c r="GB2" t="str">
        <f>IF(icf.183!M:M,"AAAAAH/OzLc=",0)</f>
        <v>AAAAAH/OzLc=</v>
      </c>
      <c r="GC2" t="str">
        <f>IF(icf.183!N:N,"AAAAAH/OzLg=",0)</f>
        <v>AAAAAH/OzLg=</v>
      </c>
      <c r="GD2" t="str">
        <f>IF(icf.183!O:O,"AAAAAH/OzLk=",0)</f>
        <v>AAAAAH/OzLk=</v>
      </c>
      <c r="GE2" t="str">
        <f>IF(icf.183!P:P,"AAAAAH/OzLo=",0)</f>
        <v>AAAAAH/OzLo=</v>
      </c>
      <c r="GF2" t="str">
        <f>IF(icf.183!Q:Q,"AAAAAH/OzLs=",0)</f>
        <v>AAAAAH/OzLs=</v>
      </c>
      <c r="GG2" t="str">
        <f>IF(icf.183!R:R,"AAAAAH/OzLw=",0)</f>
        <v>AAAAAH/OzLw=</v>
      </c>
      <c r="GH2" t="str">
        <f>IF(icf.183!T:T,"AAAAAH/OzL0=",0)</f>
        <v>AAAAAH/OzL0=</v>
      </c>
      <c r="GI2" t="str">
        <f>IF(icf.183!U:U,"AAAAAH/OzL4=",0)</f>
        <v>AAAAAH/OzL4=</v>
      </c>
      <c r="GJ2" t="str">
        <f>IF(icf.183!V:V,"AAAAAH/OzL8=",0)</f>
        <v>AAAAAH/OzL8=</v>
      </c>
      <c r="GK2" t="str">
        <f>IF(icf.183!W:W,"AAAAAH/OzMA=",0)</f>
        <v>AAAAAH/OzMA=</v>
      </c>
      <c r="GL2" t="str">
        <f>IF(icf.183!X:X,"AAAAAH/OzME=",0)</f>
        <v>AAAAAH/OzME=</v>
      </c>
      <c r="GM2" t="str">
        <f>IF(icf.183!Y:Y,"AAAAAH/OzMI=",0)</f>
        <v>AAAAAH/OzMI=</v>
      </c>
      <c r="GN2" t="str">
        <f>IF(icf.183!Z:Z,"AAAAAH/OzMM=",0)</f>
        <v>AAAAAH/OzMM=</v>
      </c>
      <c r="GO2" t="str">
        <f>IF(icf.183!AA:AA,"AAAAAH/OzMQ=",0)</f>
        <v>AAAAAH/OzMQ=</v>
      </c>
      <c r="GP2" t="str">
        <f>IF(icf.183!AB:AB,"AAAAAH/OzMU=",0)</f>
        <v>AAAAAH/OzMU=</v>
      </c>
      <c r="GQ2" t="str">
        <f>IF(icf.183!AC:AC,"AAAAAH/OzMY=",0)</f>
        <v>AAAAAH/OzMY=</v>
      </c>
      <c r="GR2" t="e">
        <f>IF(Eventos.183!#REF!,"AAAAAH/OzMc=",0)</f>
        <v>#REF!</v>
      </c>
      <c r="GS2" t="e">
        <f>AND(Eventos.183!#REF!,"AAAAAH/OzMg=")</f>
        <v>#REF!</v>
      </c>
      <c r="GT2" t="e">
        <f>AND(Eventos.183!#REF!,"AAAAAH/OzMk=")</f>
        <v>#REF!</v>
      </c>
      <c r="GU2" t="e">
        <f>AND(Eventos.183!#REF!,"AAAAAH/OzMo=")</f>
        <v>#REF!</v>
      </c>
      <c r="GV2" t="e">
        <f>AND(Eventos.183!#REF!,"AAAAAH/OzMs=")</f>
        <v>#REF!</v>
      </c>
      <c r="GW2" t="e">
        <f>AND(Eventos.183!#REF!,"AAAAAH/OzMw=")</f>
        <v>#REF!</v>
      </c>
      <c r="GX2">
        <f>IF(Eventos.183!6:6,"AAAAAH/OzM0=",0)</f>
        <v>0</v>
      </c>
      <c r="GY2" t="e">
        <f>AND(Eventos.183!A6,"AAAAAH/OzM4=")</f>
        <v>#VALUE!</v>
      </c>
      <c r="GZ2" t="e">
        <f>AND(Eventos.183!B6,"AAAAAH/OzM8=")</f>
        <v>#VALUE!</v>
      </c>
      <c r="HA2" t="e">
        <f>AND(Eventos.183!C6,"AAAAAH/OzNA=")</f>
        <v>#VALUE!</v>
      </c>
      <c r="HB2" t="e">
        <f>AND(Eventos.183!D6,"AAAAAH/OzNE=")</f>
        <v>#VALUE!</v>
      </c>
      <c r="HC2" t="e">
        <f>AND(Eventos.183!E6,"AAAAAH/OzNI=")</f>
        <v>#VALUE!</v>
      </c>
      <c r="HD2" t="e">
        <f>IF(Eventos.183!#REF!,"AAAAAH/OzNM=",0)</f>
        <v>#REF!</v>
      </c>
      <c r="HE2" t="e">
        <f>AND(Eventos.183!#REF!,"AAAAAH/OzNQ=")</f>
        <v>#REF!</v>
      </c>
      <c r="HF2" t="e">
        <f>AND(Eventos.183!#REF!,"AAAAAH/OzNU=")</f>
        <v>#REF!</v>
      </c>
      <c r="HG2" t="e">
        <f>AND(Eventos.183!#REF!,"AAAAAH/OzNY=")</f>
        <v>#REF!</v>
      </c>
      <c r="HH2" t="e">
        <f>AND(Eventos.183!#REF!,"AAAAAH/OzNc=")</f>
        <v>#REF!</v>
      </c>
      <c r="HI2" t="e">
        <f>AND(Eventos.183!#REF!,"AAAAAH/OzNg=")</f>
        <v>#REF!</v>
      </c>
      <c r="HJ2">
        <f>IF(Eventos.183!8:8,"AAAAAH/OzNk=",0)</f>
        <v>0</v>
      </c>
      <c r="HK2" t="e">
        <f>AND(Eventos.183!A8,"AAAAAH/OzNo=")</f>
        <v>#VALUE!</v>
      </c>
      <c r="HL2" t="e">
        <f>AND(Eventos.183!B8,"AAAAAH/OzNs=")</f>
        <v>#VALUE!</v>
      </c>
      <c r="HM2" t="e">
        <f>AND(Eventos.183!C8,"AAAAAH/OzNw=")</f>
        <v>#VALUE!</v>
      </c>
      <c r="HN2" t="e">
        <f>AND(Eventos.183!D8,"AAAAAH/OzN0=")</f>
        <v>#VALUE!</v>
      </c>
      <c r="HO2" t="e">
        <f>AND(Eventos.183!E8,"AAAAAH/OzN4=")</f>
        <v>#VALUE!</v>
      </c>
      <c r="HP2">
        <f>IF(Eventos.183!9:9,"AAAAAH/OzN8=",0)</f>
        <v>0</v>
      </c>
      <c r="HQ2" t="e">
        <f>AND(Eventos.183!A9,"AAAAAH/OzOA=")</f>
        <v>#VALUE!</v>
      </c>
      <c r="HR2" t="e">
        <f>AND(Eventos.183!B9,"AAAAAH/OzOE=")</f>
        <v>#VALUE!</v>
      </c>
      <c r="HS2" t="e">
        <f>AND(Eventos.183!C9,"AAAAAH/OzOI=")</f>
        <v>#VALUE!</v>
      </c>
      <c r="HT2" t="e">
        <f>AND(Eventos.183!D9,"AAAAAH/OzOM=")</f>
        <v>#VALUE!</v>
      </c>
      <c r="HU2" t="e">
        <f>AND(Eventos.183!E9,"AAAAAH/OzOQ=")</f>
        <v>#VALUE!</v>
      </c>
      <c r="HV2">
        <f>IF(Eventos.183!10:10,"AAAAAH/OzOU=",0)</f>
        <v>0</v>
      </c>
      <c r="HW2" t="e">
        <f>AND(Eventos.183!A10,"AAAAAH/OzOY=")</f>
        <v>#VALUE!</v>
      </c>
      <c r="HX2" t="e">
        <f>AND(Eventos.183!B10,"AAAAAH/OzOc=")</f>
        <v>#VALUE!</v>
      </c>
      <c r="HY2" t="e">
        <f>AND(Eventos.183!C10,"AAAAAH/OzOg=")</f>
        <v>#VALUE!</v>
      </c>
      <c r="HZ2" t="e">
        <f>AND(Eventos.183!D10,"AAAAAH/OzOk=")</f>
        <v>#VALUE!</v>
      </c>
      <c r="IA2" t="e">
        <f>AND(Eventos.183!E10,"AAAAAH/OzOo=")</f>
        <v>#VALUE!</v>
      </c>
      <c r="IB2" t="str">
        <f>IF(Eventos.183!A:A,"AAAAAH/OzOs=",0)</f>
        <v>AAAAAH/OzOs=</v>
      </c>
      <c r="IC2" t="str">
        <f>IF(Eventos.183!B:B,"AAAAAH/OzOw=",0)</f>
        <v>AAAAAH/OzOw=</v>
      </c>
      <c r="ID2" t="e">
        <f>IF(Eventos.183!C:C,"AAAAAH/OzO0=",0)</f>
        <v>#VALUE!</v>
      </c>
      <c r="IE2">
        <f>IF(Eventos.183!D:D,"AAAAAH/OzO4=",0)</f>
        <v>0</v>
      </c>
      <c r="IF2" t="str">
        <f>IF(Eventos.183!E:E,"AAAAAH/OzO8=",0)</f>
        <v>AAAAAH/OzO8=</v>
      </c>
      <c r="IG2">
        <f>IF(Incidencias.183!4:4,"AAAAAH/OzPA=",0)</f>
        <v>0</v>
      </c>
      <c r="IH2" t="e">
        <f>AND(Incidencias.183!A4,"AAAAAH/OzPE=")</f>
        <v>#VALUE!</v>
      </c>
      <c r="II2" t="str">
        <f>IF(Incidencias.183!A:A,"AAAAAH/OzPI=",0)</f>
        <v>AAAAAH/OzPI=</v>
      </c>
      <c r="IJ2" t="s">
        <v>332</v>
      </c>
    </row>
    <row r="3" spans="1:256" x14ac:dyDescent="0.2">
      <c r="A3" t="e">
        <f>AND(icf.183!E1,"AAAAAF//7wA=")</f>
        <v>#VALUE!</v>
      </c>
      <c r="B3" t="e">
        <f>AND(icf.183!F1,"AAAAAF//7wE=")</f>
        <v>#VALUE!</v>
      </c>
      <c r="C3" t="e">
        <f>AND(icf.183!G1,"AAAAAF//7wI=")</f>
        <v>#VALUE!</v>
      </c>
      <c r="D3" t="e">
        <f>AND(icf.183!E2,"AAAAAF//7wM=")</f>
        <v>#VALUE!</v>
      </c>
      <c r="E3" t="e">
        <f>AND(icf.183!F2,"AAAAAF//7wQ=")</f>
        <v>#VALUE!</v>
      </c>
      <c r="F3" t="e">
        <f>AND(icf.183!G2,"AAAAAF//7wU=")</f>
        <v>#VALUE!</v>
      </c>
      <c r="G3" t="e">
        <f>AND(icf.183!E3,"AAAAAF//7wY=")</f>
        <v>#VALUE!</v>
      </c>
      <c r="H3" t="e">
        <f>AND(icf.183!F3,"AAAAAF//7wc=")</f>
        <v>#VALUE!</v>
      </c>
      <c r="I3" t="e">
        <f>AND(icf.183!G3,"AAAAAF//7wg=")</f>
        <v>#VALUE!</v>
      </c>
      <c r="J3" t="e">
        <f>AND(icf.183!E4,"AAAAAF//7wk=")</f>
        <v>#VALUE!</v>
      </c>
      <c r="K3" t="e">
        <f>AND(icf.183!F4,"AAAAAF//7wo=")</f>
        <v>#VALUE!</v>
      </c>
      <c r="L3" t="e">
        <f>AND(icf.183!G4,"AAAAAF//7ws=")</f>
        <v>#VALUE!</v>
      </c>
      <c r="M3" t="e">
        <f>AND(icf.183!E5,"AAAAAF//7ww=")</f>
        <v>#VALUE!</v>
      </c>
      <c r="N3" t="e">
        <f>AND(icf.183!F5,"AAAAAF//7w0=")</f>
        <v>#VALUE!</v>
      </c>
      <c r="O3" t="e">
        <f>AND(icf.183!G5,"AAAAAF//7w4=")</f>
        <v>#VALUE!</v>
      </c>
      <c r="P3" t="e">
        <f>AND(icf.183!E6,"AAAAAF//7w8=")</f>
        <v>#VALUE!</v>
      </c>
      <c r="Q3" t="e">
        <f>AND(icf.183!F6,"AAAAAF//7xA=")</f>
        <v>#VALUE!</v>
      </c>
      <c r="R3" t="e">
        <f>AND(icf.183!G6,"AAAAAF//7xE=")</f>
        <v>#VALUE!</v>
      </c>
      <c r="S3" t="e">
        <f>AND(icf.183!E7,"AAAAAF//7xI=")</f>
        <v>#VALUE!</v>
      </c>
      <c r="T3" t="e">
        <f>AND(icf.183!F7,"AAAAAF//7xM=")</f>
        <v>#VALUE!</v>
      </c>
      <c r="U3" t="e">
        <f>AND(icf.183!G7,"AAAAAF//7xQ=")</f>
        <v>#VALUE!</v>
      </c>
      <c r="V3" t="e">
        <f>AND(icf.183!E8,"AAAAAF//7xU=")</f>
        <v>#VALUE!</v>
      </c>
      <c r="W3" t="e">
        <f>AND(icf.183!F8,"AAAAAF//7xY=")</f>
        <v>#VALUE!</v>
      </c>
      <c r="X3" t="e">
        <f>AND(icf.183!G8,"AAAAAF//7xc=")</f>
        <v>#VALUE!</v>
      </c>
      <c r="Y3" t="e">
        <f>AND(icf.183!E9,"AAAAAF//7xg=")</f>
        <v>#VALUE!</v>
      </c>
      <c r="Z3" t="e">
        <f>AND(icf.183!F9,"AAAAAF//7xk=")</f>
        <v>#VALUE!</v>
      </c>
      <c r="AA3" t="e">
        <f>AND(icf.183!G9,"AAAAAF//7xo=")</f>
        <v>#VALUE!</v>
      </c>
      <c r="AB3" t="e">
        <f>AND(icf.183!E10,"AAAAAF//7xs=")</f>
        <v>#VALUE!</v>
      </c>
      <c r="AC3" t="e">
        <f>AND(icf.183!F10,"AAAAAF//7xw=")</f>
        <v>#VALUE!</v>
      </c>
      <c r="AD3" t="e">
        <f>AND(icf.183!G10,"AAAAAF//7x0=")</f>
        <v>#VALUE!</v>
      </c>
      <c r="AE3" t="e">
        <f>AND(icf.183!E11,"AAAAAF//7x4=")</f>
        <v>#VALUE!</v>
      </c>
      <c r="AF3" t="e">
        <f>AND(icf.183!F11,"AAAAAF//7x8=")</f>
        <v>#VALUE!</v>
      </c>
      <c r="AG3" t="e">
        <f>AND(icf.183!G11,"AAAAAF//7yA=")</f>
        <v>#VALUE!</v>
      </c>
      <c r="AH3" t="e">
        <f>AND(icf.183!E12,"AAAAAF//7yE=")</f>
        <v>#VALUE!</v>
      </c>
      <c r="AI3" t="e">
        <f>AND(icf.183!F12,"AAAAAF//7yI=")</f>
        <v>#VALUE!</v>
      </c>
      <c r="AJ3" t="e">
        <f>AND(icf.183!G12,"AAAAAF//7yM=")</f>
        <v>#VALUE!</v>
      </c>
      <c r="AK3" t="e">
        <f>AND(icf.183!E13,"AAAAAF//7yQ=")</f>
        <v>#VALUE!</v>
      </c>
      <c r="AL3" t="e">
        <f>AND(icf.183!F13,"AAAAAF//7yU=")</f>
        <v>#VALUE!</v>
      </c>
      <c r="AM3" t="e">
        <f>AND(icf.183!G13,"AAAAAF//7yY=")</f>
        <v>#VALUE!</v>
      </c>
      <c r="AN3" t="e">
        <f>AND(icf.183!E14,"AAAAAF//7yc=")</f>
        <v>#VALUE!</v>
      </c>
      <c r="AO3" t="e">
        <f>AND(icf.183!F14,"AAAAAF//7yg=")</f>
        <v>#VALUE!</v>
      </c>
      <c r="AP3" t="e">
        <f>AND(icf.183!G14,"AAAAAF//7yk=")</f>
        <v>#VALUE!</v>
      </c>
      <c r="AQ3" t="e">
        <f>AND(icf.183!E15,"AAAAAF//7yo=")</f>
        <v>#VALUE!</v>
      </c>
      <c r="AR3" t="e">
        <f>AND(icf.183!F15,"AAAAAF//7ys=")</f>
        <v>#VALUE!</v>
      </c>
      <c r="AS3" t="e">
        <f>AND(icf.183!G15,"AAAAAF//7yw=")</f>
        <v>#VALUE!</v>
      </c>
      <c r="AT3" t="e">
        <f>AND(icf.183!E16,"AAAAAF//7y0=")</f>
        <v>#VALUE!</v>
      </c>
      <c r="AU3" t="e">
        <f>AND(icf.183!F16,"AAAAAF//7y4=")</f>
        <v>#VALUE!</v>
      </c>
      <c r="AV3" t="e">
        <f>AND(icf.183!G16,"AAAAAF//7y8=")</f>
        <v>#VALUE!</v>
      </c>
      <c r="AW3" t="e">
        <f>AND(icf.183!E17,"AAAAAF//7zA=")</f>
        <v>#VALUE!</v>
      </c>
      <c r="AX3" t="e">
        <f>AND(icf.183!F17,"AAAAAF//7zE=")</f>
        <v>#VALUE!</v>
      </c>
      <c r="AY3" t="e">
        <f>AND(icf.183!G17,"AAAAAF//7zI=")</f>
        <v>#VALUE!</v>
      </c>
      <c r="AZ3" t="e">
        <f>AND(icf.183!E18,"AAAAAF//7zM=")</f>
        <v>#VALUE!</v>
      </c>
      <c r="BA3" t="e">
        <f>AND(icf.183!F18,"AAAAAF//7zQ=")</f>
        <v>#VALUE!</v>
      </c>
      <c r="BB3" t="e">
        <f>AND(icf.183!G18,"AAAAAF//7zU=")</f>
        <v>#VALUE!</v>
      </c>
      <c r="BC3" t="e">
        <f>AND(icf.183!E19,"AAAAAF//7zY=")</f>
        <v>#VALUE!</v>
      </c>
      <c r="BD3" t="e">
        <f>AND(icf.183!F19,"AAAAAF//7zc=")</f>
        <v>#VALUE!</v>
      </c>
      <c r="BE3" t="e">
        <f>AND(icf.183!G19,"AAAAAF//7zg=")</f>
        <v>#VALUE!</v>
      </c>
      <c r="BF3" t="e">
        <f>AND(icf.183!E20,"AAAAAF//7zk=")</f>
        <v>#VALUE!</v>
      </c>
      <c r="BG3" t="e">
        <f>AND(icf.183!F20,"AAAAAF//7zo=")</f>
        <v>#VALUE!</v>
      </c>
      <c r="BH3" t="e">
        <f>AND(icf.183!G20,"AAAAAF//7zs=")</f>
        <v>#VALUE!</v>
      </c>
      <c r="BI3" t="e">
        <f>AND(icf.183!E21,"AAAAAF//7zw=")</f>
        <v>#VALUE!</v>
      </c>
      <c r="BJ3" t="e">
        <f>AND(icf.183!F21,"AAAAAF//7z0=")</f>
        <v>#VALUE!</v>
      </c>
      <c r="BK3" t="e">
        <f>AND(icf.183!G21,"AAAAAF//7z4=")</f>
        <v>#VALUE!</v>
      </c>
      <c r="BL3" t="e">
        <f>AND(icf.183!E22,"AAAAAF//7z8=")</f>
        <v>#VALUE!</v>
      </c>
      <c r="BM3" t="e">
        <f>AND(icf.183!F22,"AAAAAF//70A=")</f>
        <v>#VALUE!</v>
      </c>
      <c r="BN3" t="e">
        <f>AND(icf.183!G22,"AAAAAF//70E=")</f>
        <v>#VALUE!</v>
      </c>
      <c r="BO3" t="e">
        <f>AND(icf.183!E23,"AAAAAF//70I=")</f>
        <v>#VALUE!</v>
      </c>
      <c r="BP3" t="e">
        <f>AND(icf.183!F23,"AAAAAF//70M=")</f>
        <v>#VALUE!</v>
      </c>
      <c r="BQ3" t="e">
        <f>AND(icf.183!G23,"AAAAAF//70Q=")</f>
        <v>#VALUE!</v>
      </c>
      <c r="BR3" t="e">
        <f>AND(icf.183!E24,"AAAAAF//70U=")</f>
        <v>#VALUE!</v>
      </c>
      <c r="BS3" t="e">
        <f>AND(icf.183!F24,"AAAAAF//70Y=")</f>
        <v>#VALUE!</v>
      </c>
      <c r="BT3" t="e">
        <f>AND(icf.183!G24,"AAAAAF//70c=")</f>
        <v>#VALUE!</v>
      </c>
      <c r="BU3" t="e">
        <f>AND(icf.183!E25,"AAAAAF//70g=")</f>
        <v>#VALUE!</v>
      </c>
      <c r="BV3" t="e">
        <f>AND(icf.183!F25,"AAAAAF//70k=")</f>
        <v>#VALUE!</v>
      </c>
      <c r="BW3" t="e">
        <f>AND(icf.183!G25,"AAAAAF//70o=")</f>
        <v>#VALUE!</v>
      </c>
      <c r="BX3" t="e">
        <f>AND(icf.183!E26,"AAAAAF//70s=")</f>
        <v>#VALUE!</v>
      </c>
      <c r="BY3" t="e">
        <f>AND(icf.183!F26,"AAAAAF//70w=")</f>
        <v>#VALUE!</v>
      </c>
      <c r="BZ3" t="e">
        <f>AND(icf.183!G26,"AAAAAF//700=")</f>
        <v>#VALUE!</v>
      </c>
      <c r="CA3" t="e">
        <f>AND(icf.183!E27,"AAAAAF//704=")</f>
        <v>#VALUE!</v>
      </c>
      <c r="CB3" t="e">
        <f>AND(icf.183!F27,"AAAAAF//708=")</f>
        <v>#VALUE!</v>
      </c>
      <c r="CC3" t="e">
        <f>AND(icf.183!G27,"AAAAAF//71A=")</f>
        <v>#VALUE!</v>
      </c>
      <c r="CD3" t="e">
        <f>AND(icf.183!E28,"AAAAAF//71E=")</f>
        <v>#VALUE!</v>
      </c>
      <c r="CE3" t="e">
        <f>AND(icf.183!F28,"AAAAAF//71I=")</f>
        <v>#VALUE!</v>
      </c>
      <c r="CF3" t="e">
        <f>AND(icf.183!G28,"AAAAAF//71M=")</f>
        <v>#VALUE!</v>
      </c>
      <c r="CG3" t="e">
        <f>AND(icf.183!E29,"AAAAAF//71Q=")</f>
        <v>#VALUE!</v>
      </c>
      <c r="CH3" t="e">
        <f>AND(icf.183!F29,"AAAAAF//71U=")</f>
        <v>#VALUE!</v>
      </c>
      <c r="CI3" t="e">
        <f>AND(icf.183!G29,"AAAAAF//71Y=")</f>
        <v>#VALUE!</v>
      </c>
      <c r="CJ3" t="e">
        <f>AND(icf.183!E30,"AAAAAF//71c=")</f>
        <v>#VALUE!</v>
      </c>
      <c r="CK3" t="e">
        <f>AND(icf.183!F30,"AAAAAF//71g=")</f>
        <v>#VALUE!</v>
      </c>
      <c r="CL3" t="e">
        <f>AND(icf.183!G30,"AAAAAF//71k=")</f>
        <v>#VALUE!</v>
      </c>
      <c r="CM3" t="e">
        <f>AND(icf.183!E31,"AAAAAF//71o=")</f>
        <v>#VALUE!</v>
      </c>
      <c r="CN3" t="e">
        <f>AND(icf.183!F31,"AAAAAF//71s=")</f>
        <v>#VALUE!</v>
      </c>
      <c r="CO3" t="e">
        <f>AND(icf.183!G31,"AAAAAF//71w=")</f>
        <v>#VALUE!</v>
      </c>
      <c r="CP3" t="e">
        <f>AND(icf.183!E32,"AAAAAF//710=")</f>
        <v>#VALUE!</v>
      </c>
      <c r="CQ3" t="e">
        <f>AND(icf.183!F32,"AAAAAF//714=")</f>
        <v>#VALUE!</v>
      </c>
      <c r="CR3" t="e">
        <f>AND(icf.183!G32,"AAAAAF//718=")</f>
        <v>#VALUE!</v>
      </c>
      <c r="CS3" t="e">
        <f>AND(icf.183!E33,"AAAAAF//72A=")</f>
        <v>#VALUE!</v>
      </c>
      <c r="CT3" t="e">
        <f>AND(icf.183!F33,"AAAAAF//72E=")</f>
        <v>#VALUE!</v>
      </c>
      <c r="CU3" t="e">
        <f>AND(icf.183!G33,"AAAAAF//72I=")</f>
        <v>#VALUE!</v>
      </c>
      <c r="CV3" t="e">
        <f>AND(icf.183!E34,"AAAAAF//72M=")</f>
        <v>#VALUE!</v>
      </c>
      <c r="CW3" t="e">
        <f>AND(icf.183!F34,"AAAAAF//72Q=")</f>
        <v>#VALUE!</v>
      </c>
      <c r="CX3" t="e">
        <f>AND(icf.183!G34,"AAAAAF//72U=")</f>
        <v>#VALUE!</v>
      </c>
      <c r="CY3" t="e">
        <f>AND(icf.183!E35,"AAAAAF//72Y=")</f>
        <v>#VALUE!</v>
      </c>
      <c r="CZ3" t="e">
        <f>AND(icf.183!F35,"AAAAAF//72c=")</f>
        <v>#VALUE!</v>
      </c>
      <c r="DA3" t="e">
        <f>AND(icf.183!G35,"AAAAAF//72g=")</f>
        <v>#VALUE!</v>
      </c>
      <c r="DB3" t="e">
        <f>AND(icf.183!E36,"AAAAAF//72k=")</f>
        <v>#VALUE!</v>
      </c>
      <c r="DC3" t="e">
        <f>AND(icf.183!F36,"AAAAAF//72o=")</f>
        <v>#VALUE!</v>
      </c>
      <c r="DD3" t="e">
        <f>AND(icf.183!G36,"AAAAAF//72s=")</f>
        <v>#VALUE!</v>
      </c>
      <c r="DE3" t="e">
        <f>AND(icf.183!E37,"AAAAAF//72w=")</f>
        <v>#VALUE!</v>
      </c>
      <c r="DF3" t="e">
        <f>AND(icf.183!F37,"AAAAAF//720=")</f>
        <v>#VALUE!</v>
      </c>
      <c r="DG3" t="e">
        <f>AND(icf.183!G37,"AAAAAF//724=")</f>
        <v>#VALUE!</v>
      </c>
      <c r="DH3" t="e">
        <f>AND(icf.183!E38,"AAAAAF//728=")</f>
        <v>#VALUE!</v>
      </c>
      <c r="DI3" t="e">
        <f>AND(icf.183!F38,"AAAAAF//73A=")</f>
        <v>#VALUE!</v>
      </c>
      <c r="DJ3" t="e">
        <f>AND(icf.183!G38,"AAAAAF//73E=")</f>
        <v>#VALUE!</v>
      </c>
      <c r="DK3" t="e">
        <f>AND(icf.183!E39,"AAAAAF//73I=")</f>
        <v>#VALUE!</v>
      </c>
      <c r="DL3" t="e">
        <f>AND(icf.183!F39,"AAAAAF//73M=")</f>
        <v>#VALUE!</v>
      </c>
      <c r="DM3" t="e">
        <f>AND(icf.183!G39,"AAAAAF//73Q=")</f>
        <v>#VALUE!</v>
      </c>
      <c r="DN3" t="e">
        <f>AND(icf.183!E40,"AAAAAF//73U=")</f>
        <v>#VALUE!</v>
      </c>
      <c r="DO3" t="e">
        <f>AND(icf.183!F40,"AAAAAF//73Y=")</f>
        <v>#VALUE!</v>
      </c>
      <c r="DP3" t="e">
        <f>AND(icf.183!G40,"AAAAAF//73c=")</f>
        <v>#VALUE!</v>
      </c>
      <c r="DQ3" t="e">
        <f>AND(icf.183!E41,"AAAAAF//73g=")</f>
        <v>#VALUE!</v>
      </c>
      <c r="DR3" t="e">
        <f>AND(icf.183!F41,"AAAAAF//73k=")</f>
        <v>#VALUE!</v>
      </c>
      <c r="DS3" t="e">
        <f>AND(icf.183!G41,"AAAAAF//73o=")</f>
        <v>#VALUE!</v>
      </c>
      <c r="DT3" t="e">
        <f>AND(icf.183!E42,"AAAAAF//73s=")</f>
        <v>#VALUE!</v>
      </c>
      <c r="DU3" t="e">
        <f>AND(icf.183!F42,"AAAAAF//73w=")</f>
        <v>#VALUE!</v>
      </c>
      <c r="DV3" t="e">
        <f>AND(icf.183!G42,"AAAAAF//730=")</f>
        <v>#VALUE!</v>
      </c>
      <c r="DW3" t="e">
        <f>AND(icf.183!E43,"AAAAAF//734=")</f>
        <v>#VALUE!</v>
      </c>
      <c r="DX3" t="e">
        <f>AND(icf.183!F43,"AAAAAF//738=")</f>
        <v>#VALUE!</v>
      </c>
      <c r="DY3" t="e">
        <f>AND(icf.183!G43,"AAAAAF//74A=")</f>
        <v>#VALUE!</v>
      </c>
      <c r="DZ3" t="e">
        <f>AND(icf.183!E44,"AAAAAF//74E=")</f>
        <v>#VALUE!</v>
      </c>
      <c r="EA3" t="e">
        <f>AND(icf.183!F44,"AAAAAF//74I=")</f>
        <v>#VALUE!</v>
      </c>
      <c r="EB3" t="e">
        <f>AND(icf.183!G44,"AAAAAF//74M=")</f>
        <v>#VALUE!</v>
      </c>
      <c r="EC3" t="e">
        <f>AND(icf.183!E45,"AAAAAF//74Q=")</f>
        <v>#VALUE!</v>
      </c>
      <c r="ED3" t="e">
        <f>AND(icf.183!F45,"AAAAAF//74U=")</f>
        <v>#VALUE!</v>
      </c>
      <c r="EE3" t="e">
        <f>AND(icf.183!G45,"AAAAAF//74Y=")</f>
        <v>#VALUE!</v>
      </c>
      <c r="EF3" t="e">
        <f>AND(icf.183!E46,"AAAAAF//74c=")</f>
        <v>#VALUE!</v>
      </c>
      <c r="EG3" t="e">
        <f>AND(icf.183!F46,"AAAAAF//74g=")</f>
        <v>#VALUE!</v>
      </c>
      <c r="EH3" t="e">
        <f>AND(icf.183!G46,"AAAAAF//74k=")</f>
        <v>#VALUE!</v>
      </c>
      <c r="EI3" t="e">
        <f>AND(icf.183!E47,"AAAAAF//74o=")</f>
        <v>#VALUE!</v>
      </c>
      <c r="EJ3" t="e">
        <f>AND(icf.183!F47,"AAAAAF//74s=")</f>
        <v>#VALUE!</v>
      </c>
      <c r="EK3" t="e">
        <f>AND(icf.183!G47,"AAAAAF//74w=")</f>
        <v>#VALUE!</v>
      </c>
      <c r="EL3" t="e">
        <f>AND(icf.183!E48,"AAAAAF//740=")</f>
        <v>#VALUE!</v>
      </c>
      <c r="EM3" t="e">
        <f>AND(icf.183!F48,"AAAAAF//744=")</f>
        <v>#VALUE!</v>
      </c>
      <c r="EN3" t="e">
        <f>AND(icf.183!G48,"AAAAAF//748=")</f>
        <v>#VALUE!</v>
      </c>
      <c r="EO3" t="e">
        <f>AND(icf.183!E49,"AAAAAF//75A=")</f>
        <v>#VALUE!</v>
      </c>
      <c r="EP3" t="e">
        <f>AND(icf.183!F49,"AAAAAF//75E=")</f>
        <v>#VALUE!</v>
      </c>
      <c r="EQ3" t="e">
        <f>AND(icf.183!G49,"AAAAAF//75I=")</f>
        <v>#VALUE!</v>
      </c>
      <c r="ER3" t="e">
        <f>AND(icf.183!E50,"AAAAAF//75M=")</f>
        <v>#VALUE!</v>
      </c>
      <c r="ES3" t="e">
        <f>AND(icf.183!F50,"AAAAAF//75Q=")</f>
        <v>#VALUE!</v>
      </c>
      <c r="ET3" t="e">
        <f>AND(icf.183!G50,"AAAAAF//75U=")</f>
        <v>#VALUE!</v>
      </c>
      <c r="EU3" t="e">
        <f>AND(icf.183!E51,"AAAAAF//75Y=")</f>
        <v>#VALUE!</v>
      </c>
      <c r="EV3" t="e">
        <f>AND(icf.183!F51,"AAAAAF//75c=")</f>
        <v>#VALUE!</v>
      </c>
      <c r="EW3" t="e">
        <f>AND(icf.183!G51,"AAAAAF//75g=")</f>
        <v>#VALUE!</v>
      </c>
      <c r="EX3" t="e">
        <f>AND(icf.183!E52,"AAAAAF//75k=")</f>
        <v>#VALUE!</v>
      </c>
      <c r="EY3" t="e">
        <f>AND(icf.183!F52,"AAAAAF//75o=")</f>
        <v>#VALUE!</v>
      </c>
      <c r="EZ3" t="e">
        <f>AND(icf.183!G52,"AAAAAF//75s=")</f>
        <v>#VALUE!</v>
      </c>
      <c r="FA3" t="e">
        <f>AND(icf.183!E53,"AAAAAF//75w=")</f>
        <v>#VALUE!</v>
      </c>
      <c r="FB3" t="e">
        <f>AND(icf.183!F53,"AAAAAF//750=")</f>
        <v>#VALUE!</v>
      </c>
      <c r="FC3" t="e">
        <f>AND(icf.183!G53,"AAAAAF//754=")</f>
        <v>#VALUE!</v>
      </c>
      <c r="FD3" t="e">
        <f>AND(icf.183!E54,"AAAAAF//758=")</f>
        <v>#VALUE!</v>
      </c>
      <c r="FE3" t="e">
        <f>AND(icf.183!F54,"AAAAAF//76A=")</f>
        <v>#VALUE!</v>
      </c>
      <c r="FF3" t="e">
        <f>AND(icf.183!G54,"AAAAAF//76E=")</f>
        <v>#VALUE!</v>
      </c>
      <c r="FG3">
        <f>IF(icf.183!E:E,"AAAAAF//76I=",0)</f>
        <v>0</v>
      </c>
      <c r="FH3">
        <f>IF(icf.183!F:F,"AAAAAF//76M=",0)</f>
        <v>0</v>
      </c>
      <c r="FI3">
        <f>IF(icf.183!G:G,"AAAAAF//76Q=",0)</f>
        <v>0</v>
      </c>
      <c r="FJ3">
        <f>IF(Eventos.183!3:3,"AAAAAF//76U=",0)</f>
        <v>0</v>
      </c>
      <c r="FK3" t="e">
        <f>AND(Eventos.183!A3,"AAAAAF//76Y=")</f>
        <v>#VALUE!</v>
      </c>
      <c r="FL3" t="e">
        <f>AND(Eventos.183!B3,"AAAAAF//76c=")</f>
        <v>#VALUE!</v>
      </c>
      <c r="FM3" t="e">
        <f>AND(Eventos.183!C3,"AAAAAF//76g=")</f>
        <v>#VALUE!</v>
      </c>
      <c r="FN3" t="e">
        <f>AND(Eventos.183!D3,"AAAAAF//76k=")</f>
        <v>#VALUE!</v>
      </c>
      <c r="FO3" t="e">
        <f>AND(Eventos.183!E3,"AAAAAF//76o=")</f>
        <v>#VALUE!</v>
      </c>
      <c r="FP3">
        <f>IF(Eventos.183!4:4,"AAAAAF//76s=",0)</f>
        <v>0</v>
      </c>
      <c r="FQ3" t="e">
        <f>AND(Eventos.183!A4,"AAAAAF//76w=")</f>
        <v>#VALUE!</v>
      </c>
      <c r="FR3" t="e">
        <f>AND(Eventos.183!B4,"AAAAAF//760=")</f>
        <v>#VALUE!</v>
      </c>
      <c r="FS3" t="e">
        <f>AND(Eventos.183!C4,"AAAAAF//764=")</f>
        <v>#VALUE!</v>
      </c>
      <c r="FT3" t="e">
        <f>AND(Eventos.183!D4,"AAAAAF//768=")</f>
        <v>#VALUE!</v>
      </c>
      <c r="FU3" t="e">
        <f>AND(Eventos.183!E4,"AAAAAF//77A=")</f>
        <v>#VALUE!</v>
      </c>
      <c r="FV3">
        <f>IF(Eventos.183!5:5,"AAAAAF//77E=",0)</f>
        <v>0</v>
      </c>
      <c r="FW3" t="e">
        <f>AND(Eventos.183!A5,"AAAAAF//77I=")</f>
        <v>#VALUE!</v>
      </c>
      <c r="FX3" t="e">
        <f>AND(Eventos.183!B5,"AAAAAF//77M=")</f>
        <v>#VALUE!</v>
      </c>
      <c r="FY3" t="e">
        <f>AND(Eventos.183!C5,"AAAAAF//77Q=")</f>
        <v>#VALUE!</v>
      </c>
      <c r="FZ3" t="e">
        <f>AND(Eventos.183!D5,"AAAAAF//77U=")</f>
        <v>#VALUE!</v>
      </c>
      <c r="GA3" t="e">
        <f>AND(Eventos.183!E5,"AAAAAF//77Y=")</f>
        <v>#VALUE!</v>
      </c>
      <c r="GB3">
        <f>IF(Incidencias.183!3:3,"AAAAAF//77c=",0)</f>
        <v>0</v>
      </c>
      <c r="GC3" t="e">
        <f>AND(Incidencias.183!A3,"AAAAAF//77g=")</f>
        <v>#VALUE!</v>
      </c>
      <c r="GD3" t="e">
        <f>AND(Incidencias.183!B3,"AAAAAF//77k=")</f>
        <v>#VALUE!</v>
      </c>
      <c r="GE3" t="e">
        <f>AND(Incidencias.183!B4,"AAAAAF//77o=")</f>
        <v>#VALUE!</v>
      </c>
      <c r="GF3">
        <f>IF(Incidencias.183!5:5,"AAAAAF//77s=",0)</f>
        <v>0</v>
      </c>
      <c r="GG3" t="e">
        <f>AND(Incidencias.183!A5,"AAAAAF//77w=")</f>
        <v>#VALUE!</v>
      </c>
      <c r="GH3" t="e">
        <f>AND(Incidencias.183!B5,"AAAAAF//770=")</f>
        <v>#VALUE!</v>
      </c>
      <c r="GI3">
        <f>IF(Incidencias.183!6:6,"AAAAAF//774=",0)</f>
        <v>0</v>
      </c>
      <c r="GJ3" t="e">
        <f>AND(Incidencias.183!A6,"AAAAAF//778=")</f>
        <v>#VALUE!</v>
      </c>
      <c r="GK3" t="e">
        <f>AND(Incidencias.183!B6,"AAAAAF//78A=")</f>
        <v>#VALUE!</v>
      </c>
      <c r="GL3">
        <f>IF(Incidencias.183!7:7,"AAAAAF//78E=",0)</f>
        <v>0</v>
      </c>
      <c r="GM3" t="e">
        <f>AND(Incidencias.183!A7,"AAAAAF//78I=")</f>
        <v>#VALUE!</v>
      </c>
      <c r="GN3" t="e">
        <f>AND(Incidencias.183!B7,"AAAAAF//78M=")</f>
        <v>#VALUE!</v>
      </c>
      <c r="GO3" t="e">
        <f>IF(Incidencias.183!B:B,"AAAAAF//78Q=",0)</f>
        <v>#VALUE!</v>
      </c>
    </row>
  </sheetData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icf.183</vt:lpstr>
      <vt:lpstr>icf_a.183</vt:lpstr>
      <vt:lpstr>Eventos.183</vt:lpstr>
      <vt:lpstr>Incidencias.183</vt:lpstr>
      <vt:lpstr>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topo_z</dc:creator>
  <cp:lastModifiedBy>Alberto</cp:lastModifiedBy>
  <dcterms:created xsi:type="dcterms:W3CDTF">2010-12-23T01:20:18Z</dcterms:created>
  <dcterms:modified xsi:type="dcterms:W3CDTF">2016-09-22T11:19:51Z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false</vt:lpwstr>
  </property>
  <property fmtid="{D5CDD505-2E9C-101B-9397-08002B2CF9AE}" pid="3" name="Google.Documents.DocumentId">
    <vt:lpwstr>1QiuVXCYH-sDfgO15w5rLdGtFNOsfqTg5UDymQ0Q8hmI</vt:lpwstr>
  </property>
  <property fmtid="{D5CDD505-2E9C-101B-9397-08002B2CF9AE}" pid="4" name="Google.Documents.RevisionId">
    <vt:lpwstr>01296154537540343294</vt:lpwstr>
  </property>
  <property fmtid="{D5CDD505-2E9C-101B-9397-08002B2CF9AE}" pid="5" name="Google.Documents.PreviousRevisionId">
    <vt:lpwstr>08036707113885643100</vt:lpwstr>
  </property>
  <property fmtid="{D5CDD505-2E9C-101B-9397-08002B2CF9AE}" pid="6" name="Google.Documents.PluginVersion">
    <vt:lpwstr>2.0.2026.3768</vt:lpwstr>
  </property>
  <property fmtid="{D5CDD505-2E9C-101B-9397-08002B2CF9AE}" pid="7" name="Google.Documents.MergeIncapabilityFlags">
    <vt:i4>0</vt:i4>
  </property>
</Properties>
</file>