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customProperty"/>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124"/>
  <workbookPr showInkAnnotation="0" codeName="ThisWorkbook"/>
  <mc:AlternateContent xmlns:mc="http://schemas.openxmlformats.org/markup-compatibility/2006">
    <mc:Choice Requires="x15">
      <x15ac:absPath xmlns:x15ac="http://schemas.microsoft.com/office/spreadsheetml/2010/11/ac" url="/Users/aredondas/CODE/iberonesia/RBCC_E/configs/"/>
    </mc:Choice>
  </mc:AlternateContent>
  <bookViews>
    <workbookView xWindow="3200" yWindow="700" windowWidth="25600" windowHeight="11880" activeTab="1"/>
  </bookViews>
  <sheets>
    <sheet name="icf.157" sheetId="1" r:id="rId1"/>
    <sheet name="icf_a.157" sheetId="10" r:id="rId2"/>
    <sheet name="Eventos.157" sheetId="2" r:id="rId3"/>
    <sheet name="Incidencias.157" sheetId="3" r:id="rId4"/>
    <sheet name="DV-IDENTITY-0" sheetId="4" state="veryHidden" r:id="rId5"/>
    <sheet name="Cfg_reduced" sheetId="11" r:id="rId6"/>
    <sheet name="blacklist.157" sheetId="12" r:id="rId7"/>
  </sheets>
  <definedNames>
    <definedName name="cfg_s157" localSheetId="5">Cfg_reduced!$C$1:$X$54</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47" i="2" l="1"/>
  <c r="A48" i="2"/>
  <c r="A49" i="2"/>
  <c r="A50" i="2"/>
  <c r="A51" i="2"/>
  <c r="A52" i="2"/>
  <c r="A53" i="2"/>
  <c r="A54" i="2"/>
  <c r="AY1" i="10"/>
  <c r="AY1" i="1"/>
  <c r="AS1" i="10"/>
  <c r="AX1" i="10"/>
  <c r="AW1" i="10"/>
  <c r="AV1" i="10"/>
  <c r="AU1" i="10"/>
  <c r="AT1" i="10"/>
  <c r="AW1" i="1"/>
  <c r="AX1" i="1"/>
  <c r="AV1" i="1"/>
  <c r="A46" i="2"/>
  <c r="AU1" i="1"/>
  <c r="A45" i="2"/>
  <c r="AT1" i="1"/>
  <c r="A44" i="2"/>
  <c r="A29" i="2"/>
  <c r="A43" i="2"/>
  <c r="AS1" i="1"/>
  <c r="A9" i="2"/>
  <c r="K1" i="10"/>
  <c r="K1" i="1"/>
  <c r="AR1" i="10"/>
  <c r="AR1" i="1"/>
  <c r="A42" i="2"/>
  <c r="AQ1" i="10"/>
  <c r="AP1" i="10"/>
  <c r="AO1" i="10"/>
  <c r="AN1" i="10"/>
  <c r="AM1" i="10"/>
  <c r="AL1" i="10"/>
  <c r="AQ1" i="1"/>
  <c r="AP1" i="1"/>
  <c r="AO1" i="1"/>
  <c r="AN1" i="1"/>
  <c r="AM1" i="1"/>
  <c r="AL1" i="1"/>
  <c r="A41" i="2"/>
  <c r="A38" i="2"/>
  <c r="A39" i="2"/>
  <c r="A37" i="2"/>
  <c r="A36" i="2"/>
  <c r="AF1" i="10"/>
  <c r="AF1" i="1"/>
  <c r="A30" i="2"/>
  <c r="AK1" i="10"/>
  <c r="AK1" i="1"/>
  <c r="A35" i="2"/>
  <c r="AJ1" i="10"/>
  <c r="AI1" i="10"/>
  <c r="AH1" i="10"/>
  <c r="AG1" i="10"/>
  <c r="AE1" i="10"/>
  <c r="AD1" i="10"/>
  <c r="AC1" i="10"/>
  <c r="AB1" i="10"/>
  <c r="AA1" i="10"/>
  <c r="Z1" i="10"/>
  <c r="Y1" i="10"/>
  <c r="X1" i="10"/>
  <c r="W1" i="10"/>
  <c r="V1" i="10"/>
  <c r="U1" i="10"/>
  <c r="T1" i="10"/>
  <c r="S1" i="10"/>
  <c r="R1" i="10"/>
  <c r="Q1" i="10"/>
  <c r="P1" i="10"/>
  <c r="O1" i="10"/>
  <c r="N1" i="10"/>
  <c r="M1" i="10"/>
  <c r="L1" i="10"/>
  <c r="J1" i="10"/>
  <c r="I1" i="10"/>
  <c r="H1" i="10"/>
  <c r="G1" i="10"/>
  <c r="F1" i="10"/>
  <c r="E1" i="10"/>
  <c r="D1" i="10"/>
  <c r="C1" i="10"/>
  <c r="AJ1" i="1"/>
  <c r="A34" i="2"/>
  <c r="AI1" i="1"/>
  <c r="A33" i="2"/>
  <c r="A23" i="2"/>
  <c r="A22" i="2"/>
  <c r="A21" i="2"/>
  <c r="X1" i="1"/>
  <c r="A1" i="2"/>
  <c r="A2" i="2"/>
  <c r="A3" i="2"/>
  <c r="A4" i="2"/>
  <c r="A5" i="2"/>
  <c r="A6" i="2"/>
  <c r="A7" i="2"/>
  <c r="H7" i="4"/>
  <c r="A8" i="2"/>
  <c r="A10" i="2"/>
  <c r="A11" i="2"/>
  <c r="A12" i="2"/>
  <c r="A13" i="2"/>
  <c r="A14" i="2"/>
  <c r="A15" i="2"/>
  <c r="A16" i="2"/>
  <c r="A17" i="2"/>
  <c r="A18" i="2"/>
  <c r="A19" i="2"/>
  <c r="A20" i="2"/>
  <c r="A24" i="2"/>
  <c r="A25" i="2"/>
  <c r="A26" i="2"/>
  <c r="A27" i="2"/>
  <c r="A28" i="2"/>
  <c r="A31" i="2"/>
  <c r="A32" i="2"/>
  <c r="AH1" i="1"/>
  <c r="AG1" i="1"/>
  <c r="AE1" i="1"/>
  <c r="AD1" i="1"/>
  <c r="L1" i="1"/>
  <c r="M1" i="1"/>
  <c r="J1" i="1"/>
  <c r="S1" i="1"/>
  <c r="AC1" i="1"/>
  <c r="AB1" i="1"/>
  <c r="AA1" i="1"/>
  <c r="Z1" i="1"/>
  <c r="Y1" i="1"/>
  <c r="W1" i="1"/>
  <c r="V1" i="1"/>
  <c r="T1" i="1"/>
  <c r="R1" i="1"/>
  <c r="Q1" i="1"/>
  <c r="O1" i="1"/>
  <c r="N1" i="1"/>
  <c r="U1" i="1"/>
  <c r="A9" i="4"/>
  <c r="B9" i="4"/>
  <c r="C9" i="4"/>
  <c r="D9" i="4"/>
  <c r="E9" i="4"/>
  <c r="F9" i="4"/>
  <c r="G9" i="4"/>
  <c r="H9" i="4"/>
  <c r="I9" i="4"/>
  <c r="J9" i="4"/>
  <c r="K9" i="4"/>
  <c r="L9" i="4"/>
  <c r="M9" i="4"/>
  <c r="N9" i="4"/>
  <c r="O9" i="4"/>
  <c r="P9" i="4"/>
  <c r="Q9" i="4"/>
  <c r="R9" i="4"/>
  <c r="S9" i="4"/>
  <c r="T9" i="4"/>
  <c r="U9" i="4"/>
  <c r="V9" i="4"/>
  <c r="W9" i="4"/>
  <c r="X9" i="4"/>
  <c r="Y9" i="4"/>
  <c r="Z9" i="4"/>
  <c r="AA9" i="4"/>
  <c r="AB9" i="4"/>
  <c r="AC9" i="4"/>
  <c r="AD9" i="4"/>
  <c r="AE9" i="4"/>
  <c r="AF9" i="4"/>
  <c r="AG9" i="4"/>
  <c r="AH9" i="4"/>
  <c r="AI9" i="4"/>
  <c r="AJ9" i="4"/>
  <c r="AK9" i="4"/>
  <c r="AL9" i="4"/>
  <c r="AM9" i="4"/>
  <c r="AN9" i="4"/>
  <c r="AO9" i="4"/>
  <c r="AP9" i="4"/>
  <c r="AQ9" i="4"/>
  <c r="AR9" i="4"/>
  <c r="AS9" i="4"/>
  <c r="AT9" i="4"/>
  <c r="AU9" i="4"/>
  <c r="AV9" i="4"/>
  <c r="AW9" i="4"/>
  <c r="AX9" i="4"/>
  <c r="AY9" i="4"/>
  <c r="AZ9" i="4"/>
  <c r="BA9" i="4"/>
  <c r="BB9" i="4"/>
  <c r="A8" i="4"/>
  <c r="B8" i="4"/>
  <c r="C8" i="4"/>
  <c r="A7" i="4"/>
  <c r="C7" i="4"/>
  <c r="D7" i="4"/>
  <c r="E7" i="4"/>
  <c r="F7" i="4"/>
  <c r="G7" i="4"/>
  <c r="I7" i="4"/>
  <c r="J7" i="4"/>
  <c r="K7" i="4"/>
  <c r="L7" i="4"/>
  <c r="M7" i="4"/>
  <c r="N7" i="4"/>
  <c r="O7" i="4"/>
  <c r="P7" i="4"/>
  <c r="Q7" i="4"/>
  <c r="R7" i="4"/>
  <c r="S7" i="4"/>
  <c r="T7" i="4"/>
  <c r="U7" i="4"/>
  <c r="V7" i="4"/>
  <c r="W7" i="4"/>
  <c r="X7" i="4"/>
  <c r="Y7" i="4"/>
  <c r="Z7" i="4"/>
  <c r="AA7" i="4"/>
  <c r="AB7" i="4"/>
  <c r="AC7" i="4"/>
  <c r="AD7" i="4"/>
  <c r="AE7" i="4"/>
  <c r="AF7" i="4"/>
  <c r="AG7" i="4"/>
  <c r="AH7" i="4"/>
  <c r="AI7" i="4"/>
  <c r="AJ7" i="4"/>
  <c r="AK7" i="4"/>
  <c r="AL7" i="4"/>
  <c r="AM7" i="4"/>
  <c r="AN7" i="4"/>
  <c r="AO7" i="4"/>
  <c r="AP7" i="4"/>
  <c r="AQ7" i="4"/>
  <c r="AR7" i="4"/>
  <c r="AS7" i="4"/>
  <c r="AT7" i="4"/>
  <c r="AU7" i="4"/>
  <c r="AV7" i="4"/>
  <c r="AW7" i="4"/>
  <c r="AX7" i="4"/>
  <c r="AY7" i="4"/>
  <c r="AZ7" i="4"/>
  <c r="BA7" i="4"/>
  <c r="BB7" i="4"/>
  <c r="BC7" i="4"/>
  <c r="BD7" i="4"/>
  <c r="BE7" i="4"/>
  <c r="BF7" i="4"/>
  <c r="BG7" i="4"/>
  <c r="BH7" i="4"/>
  <c r="BI7" i="4"/>
  <c r="BJ7" i="4"/>
  <c r="BK7" i="4"/>
  <c r="BL7" i="4"/>
  <c r="BM7" i="4"/>
  <c r="BN7" i="4"/>
  <c r="BO7" i="4"/>
  <c r="BP7" i="4"/>
  <c r="BQ7" i="4"/>
  <c r="BR7" i="4"/>
  <c r="BS7" i="4"/>
  <c r="BT7" i="4"/>
  <c r="BU7" i="4"/>
  <c r="A6" i="4"/>
  <c r="B6" i="4"/>
  <c r="C6" i="4"/>
  <c r="D6" i="4"/>
  <c r="E6" i="4"/>
  <c r="F6" i="4"/>
  <c r="G6" i="4"/>
  <c r="H6" i="4"/>
  <c r="I6" i="4"/>
  <c r="J6" i="4"/>
  <c r="K6" i="4"/>
  <c r="L6" i="4"/>
  <c r="M6" i="4"/>
  <c r="N6" i="4"/>
  <c r="O6" i="4"/>
  <c r="P6" i="4"/>
  <c r="Q6" i="4"/>
  <c r="R6" i="4"/>
  <c r="S6" i="4"/>
  <c r="T6" i="4"/>
  <c r="U6" i="4"/>
  <c r="V6" i="4"/>
  <c r="W6" i="4"/>
  <c r="X6" i="4"/>
  <c r="Y6" i="4"/>
  <c r="Z6" i="4"/>
  <c r="AA6" i="4"/>
  <c r="AB6" i="4"/>
  <c r="AC6" i="4"/>
  <c r="AD6" i="4"/>
  <c r="AE6" i="4"/>
  <c r="AF6" i="4"/>
  <c r="AG6" i="4"/>
  <c r="AH6" i="4"/>
  <c r="AI6" i="4"/>
  <c r="AJ6" i="4"/>
  <c r="AK6" i="4"/>
  <c r="AL6" i="4"/>
  <c r="AM6" i="4"/>
  <c r="AN6" i="4"/>
  <c r="AO6" i="4"/>
  <c r="AP6" i="4"/>
  <c r="AQ6" i="4"/>
  <c r="AR6" i="4"/>
  <c r="AS6" i="4"/>
  <c r="AT6" i="4"/>
  <c r="AU6" i="4"/>
  <c r="AV6" i="4"/>
  <c r="AW6" i="4"/>
  <c r="AX6" i="4"/>
  <c r="AY6" i="4"/>
  <c r="AZ6" i="4"/>
  <c r="BA6" i="4"/>
  <c r="BB6" i="4"/>
  <c r="BC6" i="4"/>
  <c r="BD6" i="4"/>
  <c r="BE6" i="4"/>
  <c r="BF6" i="4"/>
  <c r="BG6" i="4"/>
  <c r="BH6" i="4"/>
  <c r="BI6" i="4"/>
  <c r="BJ6" i="4"/>
  <c r="BK6" i="4"/>
  <c r="BL6" i="4"/>
  <c r="BM6" i="4"/>
  <c r="BN6" i="4"/>
  <c r="BO6" i="4"/>
  <c r="BP6" i="4"/>
  <c r="BQ6" i="4"/>
  <c r="BR6" i="4"/>
  <c r="BS6" i="4"/>
  <c r="BT6" i="4"/>
  <c r="BU6" i="4"/>
  <c r="BV6" i="4"/>
  <c r="BW6" i="4"/>
  <c r="BX6" i="4"/>
  <c r="BY6" i="4"/>
  <c r="BZ6" i="4"/>
  <c r="CA6" i="4"/>
  <c r="CB6" i="4"/>
  <c r="CC6" i="4"/>
  <c r="CD6" i="4"/>
  <c r="CE6" i="4"/>
  <c r="CF6" i="4"/>
  <c r="CG6" i="4"/>
  <c r="CH6" i="4"/>
  <c r="CI6" i="4"/>
  <c r="CJ6" i="4"/>
  <c r="CK6" i="4"/>
  <c r="CL6" i="4"/>
  <c r="CM6" i="4"/>
  <c r="CN6" i="4"/>
  <c r="CO6" i="4"/>
  <c r="CP6" i="4"/>
  <c r="CQ6" i="4"/>
  <c r="CR6" i="4"/>
  <c r="CS6" i="4"/>
  <c r="CT6" i="4"/>
  <c r="CU6" i="4"/>
  <c r="CV6" i="4"/>
  <c r="CW6" i="4"/>
  <c r="CX6" i="4"/>
  <c r="CY6" i="4"/>
  <c r="CZ6" i="4"/>
  <c r="DA6" i="4"/>
  <c r="DB6" i="4"/>
  <c r="DC6" i="4"/>
  <c r="DD6" i="4"/>
  <c r="DE6" i="4"/>
  <c r="DF6" i="4"/>
  <c r="DG6" i="4"/>
  <c r="DH6" i="4"/>
  <c r="DI6" i="4"/>
  <c r="DJ6" i="4"/>
  <c r="DK6" i="4"/>
  <c r="DL6" i="4"/>
  <c r="DM6" i="4"/>
  <c r="DN6" i="4"/>
  <c r="DO6" i="4"/>
  <c r="DP6" i="4"/>
  <c r="DQ6" i="4"/>
  <c r="DR6" i="4"/>
  <c r="DS6" i="4"/>
  <c r="DT6" i="4"/>
  <c r="DU6" i="4"/>
  <c r="DV6" i="4"/>
  <c r="DW6" i="4"/>
  <c r="DX6" i="4"/>
  <c r="DY6" i="4"/>
  <c r="DZ6" i="4"/>
  <c r="EA6" i="4"/>
  <c r="EB6" i="4"/>
  <c r="EC6" i="4"/>
  <c r="ED6" i="4"/>
  <c r="EE6" i="4"/>
  <c r="EF6" i="4"/>
  <c r="EG6" i="4"/>
  <c r="EH6" i="4"/>
  <c r="EI6" i="4"/>
  <c r="EJ6" i="4"/>
  <c r="EK6" i="4"/>
  <c r="EL6" i="4"/>
  <c r="EM6" i="4"/>
  <c r="EN6" i="4"/>
  <c r="EO6" i="4"/>
  <c r="EP6" i="4"/>
  <c r="EQ6" i="4"/>
  <c r="ER6" i="4"/>
  <c r="ES6" i="4"/>
  <c r="ET6" i="4"/>
  <c r="EU6" i="4"/>
  <c r="EV6" i="4"/>
  <c r="EW6" i="4"/>
  <c r="EX6" i="4"/>
  <c r="EY6" i="4"/>
  <c r="EZ6" i="4"/>
  <c r="FA6" i="4"/>
  <c r="FB6" i="4"/>
  <c r="FC6" i="4"/>
  <c r="FD6" i="4"/>
  <c r="FE6" i="4"/>
  <c r="FF6" i="4"/>
  <c r="FG6" i="4"/>
  <c r="FH6" i="4"/>
  <c r="FI6" i="4"/>
  <c r="FJ6" i="4"/>
  <c r="FK6" i="4"/>
  <c r="FL6" i="4"/>
  <c r="FM6" i="4"/>
  <c r="FN6" i="4"/>
  <c r="FO6" i="4"/>
  <c r="FP6" i="4"/>
  <c r="FQ6" i="4"/>
  <c r="FR6" i="4"/>
  <c r="FS6" i="4"/>
  <c r="FT6" i="4"/>
  <c r="FU6" i="4"/>
  <c r="FV6" i="4"/>
  <c r="FW6" i="4"/>
  <c r="FX6" i="4"/>
  <c r="FY6" i="4"/>
  <c r="FZ6" i="4"/>
  <c r="GA6" i="4"/>
  <c r="GB6" i="4"/>
  <c r="GC6" i="4"/>
  <c r="GD6" i="4"/>
  <c r="GE6" i="4"/>
  <c r="GF6" i="4"/>
  <c r="GG6" i="4"/>
  <c r="GH6" i="4"/>
  <c r="GI6" i="4"/>
  <c r="GJ6" i="4"/>
  <c r="GK6" i="4"/>
  <c r="GL6" i="4"/>
  <c r="GM6" i="4"/>
  <c r="GN6" i="4"/>
  <c r="GO6" i="4"/>
  <c r="GP6" i="4"/>
  <c r="GQ6" i="4"/>
  <c r="GR6" i="4"/>
  <c r="GS6" i="4"/>
  <c r="GT6" i="4"/>
  <c r="GU6" i="4"/>
  <c r="GV6" i="4"/>
  <c r="GW6" i="4"/>
  <c r="GX6" i="4"/>
  <c r="GY6" i="4"/>
  <c r="GZ6" i="4"/>
  <c r="HA6" i="4"/>
  <c r="HB6" i="4"/>
  <c r="HC6" i="4"/>
  <c r="HD6" i="4"/>
  <c r="HE6" i="4"/>
  <c r="HF6" i="4"/>
  <c r="HG6" i="4"/>
  <c r="HH6" i="4"/>
  <c r="HI6" i="4"/>
  <c r="HJ6" i="4"/>
  <c r="HK6" i="4"/>
  <c r="HL6" i="4"/>
  <c r="HM6" i="4"/>
  <c r="HN6" i="4"/>
  <c r="HO6" i="4"/>
  <c r="HP6" i="4"/>
  <c r="HQ6" i="4"/>
  <c r="HR6" i="4"/>
  <c r="HS6" i="4"/>
  <c r="HT6" i="4"/>
  <c r="HU6" i="4"/>
  <c r="HV6" i="4"/>
  <c r="HW6" i="4"/>
  <c r="HX6" i="4"/>
  <c r="HY6" i="4"/>
  <c r="HZ6" i="4"/>
  <c r="IA6" i="4"/>
  <c r="IB6" i="4"/>
  <c r="IC6" i="4"/>
  <c r="ID6" i="4"/>
  <c r="IE6" i="4"/>
  <c r="IF6" i="4"/>
  <c r="IG6" i="4"/>
  <c r="IH6" i="4"/>
  <c r="II6" i="4"/>
  <c r="IJ6" i="4"/>
  <c r="IK6" i="4"/>
  <c r="IL6" i="4"/>
  <c r="IM6" i="4"/>
  <c r="IN6" i="4"/>
  <c r="IO6" i="4"/>
  <c r="IP6" i="4"/>
  <c r="IQ6" i="4"/>
  <c r="IR6" i="4"/>
  <c r="IS6" i="4"/>
  <c r="IT6" i="4"/>
  <c r="IU6" i="4"/>
  <c r="IV6" i="4"/>
  <c r="A5" i="4"/>
  <c r="B5" i="4"/>
  <c r="C5" i="4"/>
  <c r="D5" i="4"/>
  <c r="E5" i="4"/>
  <c r="F5" i="4"/>
  <c r="G5" i="4"/>
  <c r="H5" i="4"/>
  <c r="I5" i="4"/>
  <c r="J5" i="4"/>
  <c r="K5" i="4"/>
  <c r="L5" i="4"/>
  <c r="M5" i="4"/>
  <c r="N5" i="4"/>
  <c r="O5" i="4"/>
  <c r="P5" i="4"/>
  <c r="Q5" i="4"/>
  <c r="R5" i="4"/>
  <c r="S5" i="4"/>
  <c r="T5" i="4"/>
  <c r="U5" i="4"/>
  <c r="V5" i="4"/>
  <c r="W5" i="4"/>
  <c r="X5" i="4"/>
  <c r="Y5" i="4"/>
  <c r="Z5" i="4"/>
  <c r="AA5" i="4"/>
  <c r="AB5" i="4"/>
  <c r="AC5" i="4"/>
  <c r="AD5" i="4"/>
  <c r="AE5" i="4"/>
  <c r="AF5" i="4"/>
  <c r="AG5" i="4"/>
  <c r="AH5" i="4"/>
  <c r="AI5" i="4"/>
  <c r="AJ5" i="4"/>
  <c r="AK5" i="4"/>
  <c r="AL5" i="4"/>
  <c r="AM5" i="4"/>
  <c r="AN5" i="4"/>
  <c r="AO5" i="4"/>
  <c r="AP5" i="4"/>
  <c r="AQ5" i="4"/>
  <c r="AR5" i="4"/>
  <c r="AS5" i="4"/>
  <c r="AT5" i="4"/>
  <c r="AU5" i="4"/>
  <c r="AV5" i="4"/>
  <c r="AW5" i="4"/>
  <c r="AX5" i="4"/>
  <c r="AY5" i="4"/>
  <c r="AZ5" i="4"/>
  <c r="BA5" i="4"/>
  <c r="BB5" i="4"/>
  <c r="BC5" i="4"/>
  <c r="BD5" i="4"/>
  <c r="BE5" i="4"/>
  <c r="BF5" i="4"/>
  <c r="BG5" i="4"/>
  <c r="BH5" i="4"/>
  <c r="BI5" i="4"/>
  <c r="BJ5" i="4"/>
  <c r="BK5" i="4"/>
  <c r="BL5" i="4"/>
  <c r="BM5" i="4"/>
  <c r="BN5" i="4"/>
  <c r="BO5" i="4"/>
  <c r="BP5" i="4"/>
  <c r="BQ5" i="4"/>
  <c r="BR5" i="4"/>
  <c r="BS5" i="4"/>
  <c r="BT5" i="4"/>
  <c r="BU5" i="4"/>
  <c r="BV5" i="4"/>
  <c r="BW5" i="4"/>
  <c r="BX5" i="4"/>
  <c r="BY5" i="4"/>
  <c r="BZ5" i="4"/>
  <c r="CA5" i="4"/>
  <c r="CB5" i="4"/>
  <c r="CC5" i="4"/>
  <c r="CD5" i="4"/>
  <c r="CE5" i="4"/>
  <c r="CF5" i="4"/>
  <c r="CG5" i="4"/>
  <c r="CH5" i="4"/>
  <c r="CI5" i="4"/>
  <c r="CJ5" i="4"/>
  <c r="CK5" i="4"/>
  <c r="CL5" i="4"/>
  <c r="CM5" i="4"/>
  <c r="CN5" i="4"/>
  <c r="CO5" i="4"/>
  <c r="CP5" i="4"/>
  <c r="CQ5" i="4"/>
  <c r="CR5" i="4"/>
  <c r="CS5" i="4"/>
  <c r="CT5" i="4"/>
  <c r="CU5" i="4"/>
  <c r="CV5" i="4"/>
  <c r="CW5" i="4"/>
  <c r="CX5" i="4"/>
  <c r="CY5" i="4"/>
  <c r="CZ5" i="4"/>
  <c r="DA5" i="4"/>
  <c r="DB5" i="4"/>
  <c r="DC5" i="4"/>
  <c r="DD5" i="4"/>
  <c r="DE5" i="4"/>
  <c r="DF5" i="4"/>
  <c r="DG5" i="4"/>
  <c r="DH5" i="4"/>
  <c r="DI5" i="4"/>
  <c r="DJ5" i="4"/>
  <c r="DK5" i="4"/>
  <c r="DL5" i="4"/>
  <c r="DM5" i="4"/>
  <c r="DN5" i="4"/>
  <c r="DO5" i="4"/>
  <c r="DP5" i="4"/>
  <c r="DQ5" i="4"/>
  <c r="DR5" i="4"/>
  <c r="DS5" i="4"/>
  <c r="DT5" i="4"/>
  <c r="DU5" i="4"/>
  <c r="DV5" i="4"/>
  <c r="DW5" i="4"/>
  <c r="DX5" i="4"/>
  <c r="DY5" i="4"/>
  <c r="DZ5" i="4"/>
  <c r="EA5" i="4"/>
  <c r="EB5" i="4"/>
  <c r="EC5" i="4"/>
  <c r="ED5" i="4"/>
  <c r="EE5" i="4"/>
  <c r="EF5" i="4"/>
  <c r="EG5" i="4"/>
  <c r="EH5" i="4"/>
  <c r="EI5" i="4"/>
  <c r="EJ5" i="4"/>
  <c r="EK5" i="4"/>
  <c r="EL5" i="4"/>
  <c r="EM5" i="4"/>
  <c r="EN5" i="4"/>
  <c r="EO5" i="4"/>
  <c r="EP5" i="4"/>
  <c r="EQ5" i="4"/>
  <c r="ER5" i="4"/>
  <c r="ES5" i="4"/>
  <c r="ET5" i="4"/>
  <c r="EU5" i="4"/>
  <c r="EV5" i="4"/>
  <c r="EW5" i="4"/>
  <c r="EX5" i="4"/>
  <c r="EY5" i="4"/>
  <c r="EZ5" i="4"/>
  <c r="FA5" i="4"/>
  <c r="FB5" i="4"/>
  <c r="FC5" i="4"/>
  <c r="FD5" i="4"/>
  <c r="FE5" i="4"/>
  <c r="FF5" i="4"/>
  <c r="FG5" i="4"/>
  <c r="FH5" i="4"/>
  <c r="FI5" i="4"/>
  <c r="FJ5" i="4"/>
  <c r="FK5" i="4"/>
  <c r="FL5" i="4"/>
  <c r="FM5" i="4"/>
  <c r="FN5" i="4"/>
  <c r="FO5" i="4"/>
  <c r="FP5" i="4"/>
  <c r="FQ5" i="4"/>
  <c r="FR5" i="4"/>
  <c r="FS5" i="4"/>
  <c r="FT5" i="4"/>
  <c r="FU5" i="4"/>
  <c r="FV5" i="4"/>
  <c r="FW5" i="4"/>
  <c r="FX5" i="4"/>
  <c r="FY5" i="4"/>
  <c r="FZ5" i="4"/>
  <c r="GA5" i="4"/>
  <c r="GB5" i="4"/>
  <c r="GC5" i="4"/>
  <c r="GD5" i="4"/>
  <c r="GE5" i="4"/>
  <c r="GF5" i="4"/>
  <c r="GG5" i="4"/>
  <c r="GH5" i="4"/>
  <c r="GI5" i="4"/>
  <c r="GJ5" i="4"/>
  <c r="GK5" i="4"/>
  <c r="GL5" i="4"/>
  <c r="GM5" i="4"/>
  <c r="GN5" i="4"/>
  <c r="GO5" i="4"/>
  <c r="GP5" i="4"/>
  <c r="GQ5" i="4"/>
  <c r="GR5" i="4"/>
  <c r="GS5" i="4"/>
  <c r="GT5" i="4"/>
  <c r="GU5" i="4"/>
  <c r="GV5" i="4"/>
  <c r="GW5" i="4"/>
  <c r="GX5" i="4"/>
  <c r="GY5" i="4"/>
  <c r="GZ5" i="4"/>
  <c r="HA5" i="4"/>
  <c r="HB5" i="4"/>
  <c r="HC5" i="4"/>
  <c r="HD5" i="4"/>
  <c r="HE5" i="4"/>
  <c r="HF5" i="4"/>
  <c r="HG5" i="4"/>
  <c r="HH5" i="4"/>
  <c r="HI5" i="4"/>
  <c r="HJ5" i="4"/>
  <c r="HK5" i="4"/>
  <c r="HL5" i="4"/>
  <c r="HM5" i="4"/>
  <c r="HN5" i="4"/>
  <c r="HO5" i="4"/>
  <c r="HP5" i="4"/>
  <c r="HQ5" i="4"/>
  <c r="HR5" i="4"/>
  <c r="HS5" i="4"/>
  <c r="HT5" i="4"/>
  <c r="HU5" i="4"/>
  <c r="HV5" i="4"/>
  <c r="HW5" i="4"/>
  <c r="HX5" i="4"/>
  <c r="HY5" i="4"/>
  <c r="HZ5" i="4"/>
  <c r="IA5" i="4"/>
  <c r="IB5" i="4"/>
  <c r="IC5" i="4"/>
  <c r="ID5" i="4"/>
  <c r="IE5" i="4"/>
  <c r="IF5" i="4"/>
  <c r="IG5" i="4"/>
  <c r="IH5" i="4"/>
  <c r="II5" i="4"/>
  <c r="IJ5" i="4"/>
  <c r="IK5" i="4"/>
  <c r="IL5" i="4"/>
  <c r="IM5" i="4"/>
  <c r="IN5" i="4"/>
  <c r="IO5" i="4"/>
  <c r="IP5" i="4"/>
  <c r="IQ5" i="4"/>
  <c r="IR5" i="4"/>
  <c r="IS5" i="4"/>
  <c r="IT5" i="4"/>
  <c r="IU5" i="4"/>
  <c r="IV5" i="4"/>
  <c r="A4" i="4"/>
  <c r="B4" i="4"/>
  <c r="C4" i="4"/>
  <c r="D4" i="4"/>
  <c r="E4" i="4"/>
  <c r="F4" i="4"/>
  <c r="G4" i="4"/>
  <c r="H4" i="4"/>
  <c r="I4" i="4"/>
  <c r="J4" i="4"/>
  <c r="K4" i="4"/>
  <c r="L4" i="4"/>
  <c r="M4" i="4"/>
  <c r="N4" i="4"/>
  <c r="O4" i="4"/>
  <c r="P4" i="4"/>
  <c r="Q4" i="4"/>
  <c r="R4" i="4"/>
  <c r="S4" i="4"/>
  <c r="T4" i="4"/>
  <c r="U4" i="4"/>
  <c r="V4" i="4"/>
  <c r="W4" i="4"/>
  <c r="X4" i="4"/>
  <c r="Y4" i="4"/>
  <c r="Z4" i="4"/>
  <c r="AA4" i="4"/>
  <c r="AB4" i="4"/>
  <c r="AC4" i="4"/>
  <c r="AD4" i="4"/>
  <c r="AE4" i="4"/>
  <c r="AF4" i="4"/>
  <c r="AG4" i="4"/>
  <c r="AH4" i="4"/>
  <c r="AI4" i="4"/>
  <c r="AJ4" i="4"/>
  <c r="AK4" i="4"/>
  <c r="AL4" i="4"/>
  <c r="AM4" i="4"/>
  <c r="AN4" i="4"/>
  <c r="AO4" i="4"/>
  <c r="AP4" i="4"/>
  <c r="AQ4" i="4"/>
  <c r="AR4" i="4"/>
  <c r="AS4" i="4"/>
  <c r="AT4" i="4"/>
  <c r="AU4" i="4"/>
  <c r="AV4" i="4"/>
  <c r="AW4" i="4"/>
  <c r="AX4" i="4"/>
  <c r="AY4" i="4"/>
  <c r="AZ4" i="4"/>
  <c r="BA4" i="4"/>
  <c r="BB4" i="4"/>
  <c r="BC4" i="4"/>
  <c r="BD4" i="4"/>
  <c r="BE4" i="4"/>
  <c r="BF4" i="4"/>
  <c r="BG4" i="4"/>
  <c r="BH4" i="4"/>
  <c r="BI4" i="4"/>
  <c r="BJ4" i="4"/>
  <c r="BK4" i="4"/>
  <c r="BL4" i="4"/>
  <c r="BM4" i="4"/>
  <c r="BN4" i="4"/>
  <c r="BO4" i="4"/>
  <c r="BP4" i="4"/>
  <c r="BQ4" i="4"/>
  <c r="BR4" i="4"/>
  <c r="BS4" i="4"/>
  <c r="BT4" i="4"/>
  <c r="BU4" i="4"/>
  <c r="BV4" i="4"/>
  <c r="BW4" i="4"/>
  <c r="BX4" i="4"/>
  <c r="BY4" i="4"/>
  <c r="BZ4" i="4"/>
  <c r="CA4" i="4"/>
  <c r="CB4" i="4"/>
  <c r="CC4" i="4"/>
  <c r="CD4" i="4"/>
  <c r="CE4" i="4"/>
  <c r="CF4" i="4"/>
  <c r="CG4" i="4"/>
  <c r="CH4" i="4"/>
  <c r="CI4" i="4"/>
  <c r="CJ4" i="4"/>
  <c r="CK4" i="4"/>
  <c r="CL4" i="4"/>
  <c r="CM4" i="4"/>
  <c r="CN4" i="4"/>
  <c r="CO4" i="4"/>
  <c r="CP4" i="4"/>
  <c r="CQ4" i="4"/>
  <c r="CR4" i="4"/>
  <c r="CS4" i="4"/>
  <c r="CT4" i="4"/>
  <c r="CU4" i="4"/>
  <c r="CV4" i="4"/>
  <c r="CW4" i="4"/>
  <c r="CX4" i="4"/>
  <c r="CY4" i="4"/>
  <c r="CZ4" i="4"/>
  <c r="DA4" i="4"/>
  <c r="DB4" i="4"/>
  <c r="DC4" i="4"/>
  <c r="DD4" i="4"/>
  <c r="DE4" i="4"/>
  <c r="DF4" i="4"/>
  <c r="DG4" i="4"/>
  <c r="DH4" i="4"/>
  <c r="DI4" i="4"/>
  <c r="DJ4" i="4"/>
  <c r="DK4" i="4"/>
  <c r="DL4" i="4"/>
  <c r="DM4" i="4"/>
  <c r="DN4" i="4"/>
  <c r="DO4" i="4"/>
  <c r="DP4" i="4"/>
  <c r="DQ4" i="4"/>
  <c r="DR4" i="4"/>
  <c r="DS4" i="4"/>
  <c r="DT4" i="4"/>
  <c r="DU4" i="4"/>
  <c r="DV4" i="4"/>
  <c r="DW4" i="4"/>
  <c r="DX4" i="4"/>
  <c r="DY4" i="4"/>
  <c r="DZ4" i="4"/>
  <c r="EA4" i="4"/>
  <c r="EB4" i="4"/>
  <c r="EC4" i="4"/>
  <c r="ED4" i="4"/>
  <c r="EE4" i="4"/>
  <c r="EF4" i="4"/>
  <c r="EG4" i="4"/>
  <c r="EH4" i="4"/>
  <c r="EI4" i="4"/>
  <c r="EJ4" i="4"/>
  <c r="EK4" i="4"/>
  <c r="EL4" i="4"/>
  <c r="EM4" i="4"/>
  <c r="EN4" i="4"/>
  <c r="EO4" i="4"/>
  <c r="EP4" i="4"/>
  <c r="EQ4" i="4"/>
  <c r="ER4" i="4"/>
  <c r="ES4" i="4"/>
  <c r="ET4" i="4"/>
  <c r="EU4" i="4"/>
  <c r="EV4" i="4"/>
  <c r="EW4" i="4"/>
  <c r="EX4" i="4"/>
  <c r="EY4" i="4"/>
  <c r="EZ4" i="4"/>
  <c r="FA4" i="4"/>
  <c r="FB4" i="4"/>
  <c r="FC4" i="4"/>
  <c r="FD4" i="4"/>
  <c r="FE4" i="4"/>
  <c r="FF4" i="4"/>
  <c r="FG4" i="4"/>
  <c r="FH4" i="4"/>
  <c r="FI4" i="4"/>
  <c r="FJ4" i="4"/>
  <c r="FK4" i="4"/>
  <c r="FL4" i="4"/>
  <c r="FM4" i="4"/>
  <c r="FN4" i="4"/>
  <c r="FO4" i="4"/>
  <c r="FP4" i="4"/>
  <c r="FQ4" i="4"/>
  <c r="FR4" i="4"/>
  <c r="FS4" i="4"/>
  <c r="FT4" i="4"/>
  <c r="FU4" i="4"/>
  <c r="FV4" i="4"/>
  <c r="FW4" i="4"/>
  <c r="FX4" i="4"/>
  <c r="FY4" i="4"/>
  <c r="FZ4" i="4"/>
  <c r="GA4" i="4"/>
  <c r="GB4" i="4"/>
  <c r="GC4" i="4"/>
  <c r="GD4" i="4"/>
  <c r="GE4" i="4"/>
  <c r="GF4" i="4"/>
  <c r="GG4" i="4"/>
  <c r="GH4" i="4"/>
  <c r="GI4" i="4"/>
  <c r="GJ4" i="4"/>
  <c r="GK4" i="4"/>
  <c r="GL4" i="4"/>
  <c r="GM4" i="4"/>
  <c r="GN4" i="4"/>
  <c r="GO4" i="4"/>
  <c r="GP4" i="4"/>
  <c r="GQ4" i="4"/>
  <c r="GR4" i="4"/>
  <c r="GS4" i="4"/>
  <c r="GT4" i="4"/>
  <c r="GU4" i="4"/>
  <c r="GV4" i="4"/>
  <c r="GW4" i="4"/>
  <c r="GX4" i="4"/>
  <c r="GY4" i="4"/>
  <c r="GZ4" i="4"/>
  <c r="HA4" i="4"/>
  <c r="HB4" i="4"/>
  <c r="HC4" i="4"/>
  <c r="HD4" i="4"/>
  <c r="HE4" i="4"/>
  <c r="HF4" i="4"/>
  <c r="HG4" i="4"/>
  <c r="HH4" i="4"/>
  <c r="HI4" i="4"/>
  <c r="HJ4" i="4"/>
  <c r="HK4" i="4"/>
  <c r="HL4" i="4"/>
  <c r="HM4" i="4"/>
  <c r="HN4" i="4"/>
  <c r="HO4" i="4"/>
  <c r="HP4" i="4"/>
  <c r="HQ4" i="4"/>
  <c r="HR4" i="4"/>
  <c r="HS4" i="4"/>
  <c r="HT4" i="4"/>
  <c r="HU4" i="4"/>
  <c r="HV4" i="4"/>
  <c r="HW4" i="4"/>
  <c r="HX4" i="4"/>
  <c r="HY4" i="4"/>
  <c r="HZ4" i="4"/>
  <c r="IA4" i="4"/>
  <c r="IB4" i="4"/>
  <c r="IC4" i="4"/>
  <c r="ID4" i="4"/>
  <c r="IE4" i="4"/>
  <c r="IF4" i="4"/>
  <c r="IG4" i="4"/>
  <c r="IH4" i="4"/>
  <c r="II4" i="4"/>
  <c r="IJ4" i="4"/>
  <c r="IK4" i="4"/>
  <c r="IL4" i="4"/>
  <c r="IM4" i="4"/>
  <c r="IN4" i="4"/>
  <c r="IO4" i="4"/>
  <c r="IP4" i="4"/>
  <c r="IQ4" i="4"/>
  <c r="IR4" i="4"/>
  <c r="IS4" i="4"/>
  <c r="IT4" i="4"/>
  <c r="IU4" i="4"/>
  <c r="IV4" i="4"/>
  <c r="A3" i="4"/>
  <c r="B3" i="4"/>
  <c r="C3" i="4"/>
  <c r="D3" i="4"/>
  <c r="E3" i="4"/>
  <c r="F3" i="4"/>
  <c r="G3" i="4"/>
  <c r="H3" i="4"/>
  <c r="I3" i="4"/>
  <c r="J3" i="4"/>
  <c r="K3" i="4"/>
  <c r="L3" i="4"/>
  <c r="M3" i="4"/>
  <c r="N3" i="4"/>
  <c r="O3" i="4"/>
  <c r="P3" i="4"/>
  <c r="Q3" i="4"/>
  <c r="R3" i="4"/>
  <c r="S3" i="4"/>
  <c r="T3" i="4"/>
  <c r="U3" i="4"/>
  <c r="V3" i="4"/>
  <c r="W3" i="4"/>
  <c r="X3" i="4"/>
  <c r="Y3" i="4"/>
  <c r="Z3" i="4"/>
  <c r="AA3" i="4"/>
  <c r="AB3" i="4"/>
  <c r="AC3" i="4"/>
  <c r="AD3" i="4"/>
  <c r="AE3" i="4"/>
  <c r="AF3" i="4"/>
  <c r="AG3" i="4"/>
  <c r="AH3" i="4"/>
  <c r="AI3" i="4"/>
  <c r="AJ3" i="4"/>
  <c r="AK3" i="4"/>
  <c r="AL3" i="4"/>
  <c r="AM3" i="4"/>
  <c r="AN3" i="4"/>
  <c r="AO3" i="4"/>
  <c r="AP3" i="4"/>
  <c r="AQ3" i="4"/>
  <c r="AR3" i="4"/>
  <c r="AS3" i="4"/>
  <c r="AT3" i="4"/>
  <c r="AU3" i="4"/>
  <c r="AV3" i="4"/>
  <c r="AW3" i="4"/>
  <c r="AX3" i="4"/>
  <c r="AY3" i="4"/>
  <c r="AZ3" i="4"/>
  <c r="BA3" i="4"/>
  <c r="BB3" i="4"/>
  <c r="BC3" i="4"/>
  <c r="BD3" i="4"/>
  <c r="BE3" i="4"/>
  <c r="BF3" i="4"/>
  <c r="BG3" i="4"/>
  <c r="BH3" i="4"/>
  <c r="BI3" i="4"/>
  <c r="BJ3" i="4"/>
  <c r="BK3" i="4"/>
  <c r="BL3" i="4"/>
  <c r="BM3" i="4"/>
  <c r="BN3" i="4"/>
  <c r="BO3" i="4"/>
  <c r="BP3" i="4"/>
  <c r="BQ3" i="4"/>
  <c r="BR3" i="4"/>
  <c r="BS3" i="4"/>
  <c r="BT3" i="4"/>
  <c r="BU3" i="4"/>
  <c r="BV3" i="4"/>
  <c r="BW3" i="4"/>
  <c r="BX3" i="4"/>
  <c r="BY3" i="4"/>
  <c r="BZ3" i="4"/>
  <c r="CA3" i="4"/>
  <c r="CB3" i="4"/>
  <c r="CC3" i="4"/>
  <c r="CD3" i="4"/>
  <c r="CE3" i="4"/>
  <c r="CF3" i="4"/>
  <c r="CG3" i="4"/>
  <c r="CH3" i="4"/>
  <c r="CI3" i="4"/>
  <c r="CJ3" i="4"/>
  <c r="CK3" i="4"/>
  <c r="CL3" i="4"/>
  <c r="CM3" i="4"/>
  <c r="CN3" i="4"/>
  <c r="CO3" i="4"/>
  <c r="CP3" i="4"/>
  <c r="CQ3" i="4"/>
  <c r="CR3" i="4"/>
  <c r="CS3" i="4"/>
  <c r="CT3" i="4"/>
  <c r="CU3" i="4"/>
  <c r="CV3" i="4"/>
  <c r="CW3" i="4"/>
  <c r="CX3" i="4"/>
  <c r="CY3" i="4"/>
  <c r="CZ3" i="4"/>
  <c r="DA3" i="4"/>
  <c r="DB3" i="4"/>
  <c r="DC3" i="4"/>
  <c r="DD3" i="4"/>
  <c r="DE3" i="4"/>
  <c r="DF3" i="4"/>
  <c r="DG3" i="4"/>
  <c r="DH3" i="4"/>
  <c r="DI3" i="4"/>
  <c r="DJ3" i="4"/>
  <c r="DK3" i="4"/>
  <c r="DL3" i="4"/>
  <c r="DM3" i="4"/>
  <c r="DN3" i="4"/>
  <c r="DO3" i="4"/>
  <c r="DP3" i="4"/>
  <c r="DQ3" i="4"/>
  <c r="DR3" i="4"/>
  <c r="DS3" i="4"/>
  <c r="DT3" i="4"/>
  <c r="DU3" i="4"/>
  <c r="DV3" i="4"/>
  <c r="DW3" i="4"/>
  <c r="DX3" i="4"/>
  <c r="DY3" i="4"/>
  <c r="DZ3" i="4"/>
  <c r="EA3" i="4"/>
  <c r="EB3" i="4"/>
  <c r="EC3" i="4"/>
  <c r="ED3" i="4"/>
  <c r="EE3" i="4"/>
  <c r="EF3" i="4"/>
  <c r="EG3" i="4"/>
  <c r="EH3" i="4"/>
  <c r="EI3" i="4"/>
  <c r="EJ3" i="4"/>
  <c r="EK3" i="4"/>
  <c r="EL3" i="4"/>
  <c r="EM3" i="4"/>
  <c r="EN3" i="4"/>
  <c r="EO3" i="4"/>
  <c r="EP3" i="4"/>
  <c r="EQ3" i="4"/>
  <c r="ER3" i="4"/>
  <c r="ES3" i="4"/>
  <c r="ET3" i="4"/>
  <c r="EU3" i="4"/>
  <c r="EV3" i="4"/>
  <c r="EW3" i="4"/>
  <c r="EX3" i="4"/>
  <c r="EY3" i="4"/>
  <c r="EZ3" i="4"/>
  <c r="FA3" i="4"/>
  <c r="FB3" i="4"/>
  <c r="FC3" i="4"/>
  <c r="FD3" i="4"/>
  <c r="FE3" i="4"/>
  <c r="FF3" i="4"/>
  <c r="FG3" i="4"/>
  <c r="FH3" i="4"/>
  <c r="FI3" i="4"/>
  <c r="FJ3" i="4"/>
  <c r="FK3" i="4"/>
  <c r="FL3" i="4"/>
  <c r="FM3" i="4"/>
  <c r="FN3" i="4"/>
  <c r="FO3" i="4"/>
  <c r="FP3" i="4"/>
  <c r="FQ3" i="4"/>
  <c r="FR3" i="4"/>
  <c r="FS3" i="4"/>
  <c r="FT3" i="4"/>
  <c r="FU3" i="4"/>
  <c r="FV3" i="4"/>
  <c r="FW3" i="4"/>
  <c r="FX3" i="4"/>
  <c r="FY3" i="4"/>
  <c r="FZ3" i="4"/>
  <c r="GA3" i="4"/>
  <c r="GB3" i="4"/>
  <c r="GC3" i="4"/>
  <c r="GD3" i="4"/>
  <c r="GE3" i="4"/>
  <c r="GF3" i="4"/>
  <c r="GG3" i="4"/>
  <c r="GH3" i="4"/>
  <c r="GI3" i="4"/>
  <c r="GJ3" i="4"/>
  <c r="GK3" i="4"/>
  <c r="GL3" i="4"/>
  <c r="GM3" i="4"/>
  <c r="GN3" i="4"/>
  <c r="GO3" i="4"/>
  <c r="GP3" i="4"/>
  <c r="GQ3" i="4"/>
  <c r="GR3" i="4"/>
  <c r="GS3" i="4"/>
  <c r="GT3" i="4"/>
  <c r="GU3" i="4"/>
  <c r="GV3" i="4"/>
  <c r="GW3" i="4"/>
  <c r="GX3" i="4"/>
  <c r="GY3" i="4"/>
  <c r="GZ3" i="4"/>
  <c r="HA3" i="4"/>
  <c r="HB3" i="4"/>
  <c r="HC3" i="4"/>
  <c r="HD3" i="4"/>
  <c r="HE3" i="4"/>
  <c r="HF3" i="4"/>
  <c r="HG3" i="4"/>
  <c r="HH3" i="4"/>
  <c r="HI3" i="4"/>
  <c r="HJ3" i="4"/>
  <c r="HK3" i="4"/>
  <c r="HL3" i="4"/>
  <c r="HM3" i="4"/>
  <c r="HN3" i="4"/>
  <c r="HO3" i="4"/>
  <c r="HP3" i="4"/>
  <c r="HQ3" i="4"/>
  <c r="HR3" i="4"/>
  <c r="HS3" i="4"/>
  <c r="HT3" i="4"/>
  <c r="HU3" i="4"/>
  <c r="HV3" i="4"/>
  <c r="HW3" i="4"/>
  <c r="HX3" i="4"/>
  <c r="HY3" i="4"/>
  <c r="HZ3" i="4"/>
  <c r="IA3" i="4"/>
  <c r="IB3" i="4"/>
  <c r="IC3" i="4"/>
  <c r="ID3" i="4"/>
  <c r="IE3" i="4"/>
  <c r="IF3" i="4"/>
  <c r="IG3" i="4"/>
  <c r="IH3" i="4"/>
  <c r="II3" i="4"/>
  <c r="IJ3" i="4"/>
  <c r="IK3" i="4"/>
  <c r="IL3" i="4"/>
  <c r="IM3" i="4"/>
  <c r="IN3" i="4"/>
  <c r="IO3" i="4"/>
  <c r="IP3" i="4"/>
  <c r="IQ3" i="4"/>
  <c r="IR3" i="4"/>
  <c r="IS3" i="4"/>
  <c r="IT3" i="4"/>
  <c r="IU3" i="4"/>
  <c r="IV3" i="4"/>
  <c r="A2" i="4"/>
  <c r="B2" i="4"/>
  <c r="C2" i="4"/>
  <c r="D2" i="4"/>
  <c r="E2" i="4"/>
  <c r="F2" i="4"/>
  <c r="G2" i="4"/>
  <c r="H2" i="4"/>
  <c r="I2" i="4"/>
  <c r="J2" i="4"/>
  <c r="K2" i="4"/>
  <c r="L2" i="4"/>
  <c r="M2" i="4"/>
  <c r="N2" i="4"/>
  <c r="O2" i="4"/>
  <c r="P2" i="4"/>
  <c r="Q2" i="4"/>
  <c r="R2" i="4"/>
  <c r="S2" i="4"/>
  <c r="T2" i="4"/>
  <c r="U2" i="4"/>
  <c r="V2" i="4"/>
  <c r="W2" i="4"/>
  <c r="X2" i="4"/>
  <c r="Y2" i="4"/>
  <c r="Z2" i="4"/>
  <c r="AA2" i="4"/>
  <c r="AB2" i="4"/>
  <c r="AC2" i="4"/>
  <c r="AD2" i="4"/>
  <c r="AE2" i="4"/>
  <c r="AF2" i="4"/>
  <c r="AG2" i="4"/>
  <c r="AH2" i="4"/>
  <c r="AI2" i="4"/>
  <c r="AJ2" i="4"/>
  <c r="AK2" i="4"/>
  <c r="AL2" i="4"/>
  <c r="AM2" i="4"/>
  <c r="AN2" i="4"/>
  <c r="AO2" i="4"/>
  <c r="AP2" i="4"/>
  <c r="AQ2" i="4"/>
  <c r="AR2" i="4"/>
  <c r="AS2" i="4"/>
  <c r="AT2" i="4"/>
  <c r="AU2" i="4"/>
  <c r="AV2" i="4"/>
  <c r="AW2" i="4"/>
  <c r="AX2" i="4"/>
  <c r="AY2" i="4"/>
  <c r="AZ2" i="4"/>
  <c r="BA2" i="4"/>
  <c r="BB2" i="4"/>
  <c r="BC2" i="4"/>
  <c r="BD2" i="4"/>
  <c r="BE2" i="4"/>
  <c r="BF2" i="4"/>
  <c r="BG2" i="4"/>
  <c r="BH2" i="4"/>
  <c r="BI2" i="4"/>
  <c r="BJ2" i="4"/>
  <c r="BK2" i="4"/>
  <c r="BL2" i="4"/>
  <c r="BM2" i="4"/>
  <c r="BN2" i="4"/>
  <c r="BO2" i="4"/>
  <c r="BP2" i="4"/>
  <c r="BQ2" i="4"/>
  <c r="BR2" i="4"/>
  <c r="BS2" i="4"/>
  <c r="BT2" i="4"/>
  <c r="BU2" i="4"/>
  <c r="BV2" i="4"/>
  <c r="BW2" i="4"/>
  <c r="BX2" i="4"/>
  <c r="BY2" i="4"/>
  <c r="BZ2" i="4"/>
  <c r="CA2" i="4"/>
  <c r="CB2" i="4"/>
  <c r="CC2" i="4"/>
  <c r="CD2" i="4"/>
  <c r="CE2" i="4"/>
  <c r="CF2" i="4"/>
  <c r="CG2" i="4"/>
  <c r="CH2" i="4"/>
  <c r="CI2" i="4"/>
  <c r="CJ2" i="4"/>
  <c r="CK2" i="4"/>
  <c r="CL2" i="4"/>
  <c r="CM2" i="4"/>
  <c r="CN2" i="4"/>
  <c r="CO2" i="4"/>
  <c r="CP2" i="4"/>
  <c r="CQ2" i="4"/>
  <c r="CR2" i="4"/>
  <c r="CS2" i="4"/>
  <c r="CT2" i="4"/>
  <c r="CU2" i="4"/>
  <c r="CV2" i="4"/>
  <c r="CW2" i="4"/>
  <c r="CX2" i="4"/>
  <c r="CY2" i="4"/>
  <c r="CZ2" i="4"/>
  <c r="DA2" i="4"/>
  <c r="DB2" i="4"/>
  <c r="DC2" i="4"/>
  <c r="DD2" i="4"/>
  <c r="DE2" i="4"/>
  <c r="DF2" i="4"/>
  <c r="DG2" i="4"/>
  <c r="DH2" i="4"/>
  <c r="DI2" i="4"/>
  <c r="DJ2" i="4"/>
  <c r="DK2" i="4"/>
  <c r="DL2" i="4"/>
  <c r="DM2" i="4"/>
  <c r="DN2" i="4"/>
  <c r="DO2" i="4"/>
  <c r="DP2" i="4"/>
  <c r="DQ2" i="4"/>
  <c r="DR2" i="4"/>
  <c r="DS2" i="4"/>
  <c r="DT2" i="4"/>
  <c r="DU2" i="4"/>
  <c r="DV2" i="4"/>
  <c r="DW2" i="4"/>
  <c r="DX2" i="4"/>
  <c r="DY2" i="4"/>
  <c r="DZ2" i="4"/>
  <c r="EA2" i="4"/>
  <c r="EB2" i="4"/>
  <c r="EC2" i="4"/>
  <c r="ED2" i="4"/>
  <c r="EE2" i="4"/>
  <c r="EF2" i="4"/>
  <c r="EG2" i="4"/>
  <c r="EH2" i="4"/>
  <c r="EI2" i="4"/>
  <c r="EJ2" i="4"/>
  <c r="EK2" i="4"/>
  <c r="EL2" i="4"/>
  <c r="EM2" i="4"/>
  <c r="EN2" i="4"/>
  <c r="EO2" i="4"/>
  <c r="EP2" i="4"/>
  <c r="EQ2" i="4"/>
  <c r="ER2" i="4"/>
  <c r="ES2" i="4"/>
  <c r="ET2" i="4"/>
  <c r="EU2" i="4"/>
  <c r="EV2" i="4"/>
  <c r="EW2" i="4"/>
  <c r="EX2" i="4"/>
  <c r="EY2" i="4"/>
  <c r="EZ2" i="4"/>
  <c r="FA2" i="4"/>
  <c r="FB2" i="4"/>
  <c r="FC2" i="4"/>
  <c r="FD2" i="4"/>
  <c r="FE2" i="4"/>
  <c r="FF2" i="4"/>
  <c r="FG2" i="4"/>
  <c r="FH2" i="4"/>
  <c r="FI2" i="4"/>
  <c r="FJ2" i="4"/>
  <c r="FK2" i="4"/>
  <c r="FL2" i="4"/>
  <c r="FM2" i="4"/>
  <c r="FN2" i="4"/>
  <c r="FO2" i="4"/>
  <c r="FP2" i="4"/>
  <c r="FQ2" i="4"/>
  <c r="FR2" i="4"/>
  <c r="FS2" i="4"/>
  <c r="FT2" i="4"/>
  <c r="FU2" i="4"/>
  <c r="FV2" i="4"/>
  <c r="FW2" i="4"/>
  <c r="FX2" i="4"/>
  <c r="FY2" i="4"/>
  <c r="FZ2" i="4"/>
  <c r="GA2" i="4"/>
  <c r="GB2" i="4"/>
  <c r="GC2" i="4"/>
  <c r="GD2" i="4"/>
  <c r="GE2" i="4"/>
  <c r="GF2" i="4"/>
  <c r="GG2" i="4"/>
  <c r="GH2" i="4"/>
  <c r="GI2" i="4"/>
  <c r="GJ2" i="4"/>
  <c r="GK2" i="4"/>
  <c r="GL2" i="4"/>
  <c r="GM2" i="4"/>
  <c r="GN2" i="4"/>
  <c r="GO2" i="4"/>
  <c r="GP2" i="4"/>
  <c r="GQ2" i="4"/>
  <c r="GR2" i="4"/>
  <c r="GS2" i="4"/>
  <c r="GT2" i="4"/>
  <c r="GU2" i="4"/>
  <c r="GV2" i="4"/>
  <c r="GW2" i="4"/>
  <c r="GX2" i="4"/>
  <c r="GY2" i="4"/>
  <c r="GZ2" i="4"/>
  <c r="HA2" i="4"/>
  <c r="HB2" i="4"/>
  <c r="HC2" i="4"/>
  <c r="HD2" i="4"/>
  <c r="HE2" i="4"/>
  <c r="HF2" i="4"/>
  <c r="HG2" i="4"/>
  <c r="HH2" i="4"/>
  <c r="HI2" i="4"/>
  <c r="HJ2" i="4"/>
  <c r="HK2" i="4"/>
  <c r="HL2" i="4"/>
  <c r="HM2" i="4"/>
  <c r="HN2" i="4"/>
  <c r="HO2" i="4"/>
  <c r="HP2" i="4"/>
  <c r="HQ2" i="4"/>
  <c r="HR2" i="4"/>
  <c r="HS2" i="4"/>
  <c r="HT2" i="4"/>
  <c r="HU2" i="4"/>
  <c r="HV2" i="4"/>
  <c r="HW2" i="4"/>
  <c r="HX2" i="4"/>
  <c r="HY2" i="4"/>
  <c r="HZ2" i="4"/>
  <c r="IA2" i="4"/>
  <c r="IB2" i="4"/>
  <c r="IC2" i="4"/>
  <c r="ID2" i="4"/>
  <c r="IE2" i="4"/>
  <c r="IF2" i="4"/>
  <c r="IG2" i="4"/>
  <c r="IH2" i="4"/>
  <c r="II2" i="4"/>
  <c r="IJ2" i="4"/>
  <c r="IK2" i="4"/>
  <c r="IL2" i="4"/>
  <c r="IM2" i="4"/>
  <c r="IN2" i="4"/>
  <c r="IO2" i="4"/>
  <c r="IP2" i="4"/>
  <c r="IQ2" i="4"/>
  <c r="IR2" i="4"/>
  <c r="IS2" i="4"/>
  <c r="IT2" i="4"/>
  <c r="IU2" i="4"/>
  <c r="IV2" i="4"/>
  <c r="A1" i="4"/>
  <c r="B1" i="4"/>
  <c r="C1" i="4"/>
  <c r="D1" i="4"/>
  <c r="E1" i="4"/>
  <c r="F1" i="4"/>
  <c r="G1" i="4"/>
  <c r="H1" i="4"/>
  <c r="I1" i="4"/>
  <c r="J1" i="4"/>
  <c r="K1" i="4"/>
  <c r="L1" i="4"/>
  <c r="M1" i="4"/>
  <c r="N1" i="4"/>
  <c r="O1" i="4"/>
  <c r="P1" i="4"/>
  <c r="Q1" i="4"/>
  <c r="R1" i="4"/>
  <c r="S1" i="4"/>
  <c r="T1" i="4"/>
  <c r="U1" i="4"/>
  <c r="V1" i="4"/>
  <c r="W1" i="4"/>
  <c r="X1" i="4"/>
  <c r="Y1" i="4"/>
  <c r="Z1" i="4"/>
  <c r="AA1" i="4"/>
  <c r="AB1" i="4"/>
  <c r="AC1" i="4"/>
  <c r="AD1" i="4"/>
  <c r="AE1" i="4"/>
  <c r="AF1" i="4"/>
  <c r="AG1" i="4"/>
  <c r="AH1" i="4"/>
  <c r="AI1" i="4"/>
  <c r="AJ1" i="4"/>
  <c r="AK1" i="4"/>
  <c r="AL1" i="4"/>
  <c r="AM1" i="4"/>
  <c r="AN1" i="4"/>
  <c r="AO1" i="4"/>
  <c r="AP1" i="4"/>
  <c r="AQ1" i="4"/>
  <c r="AR1" i="4"/>
  <c r="AS1" i="4"/>
  <c r="AT1" i="4"/>
  <c r="AU1" i="4"/>
  <c r="AV1" i="4"/>
  <c r="AW1" i="4"/>
  <c r="AX1" i="4"/>
  <c r="AY1" i="4"/>
  <c r="AZ1" i="4"/>
  <c r="BA1" i="4"/>
  <c r="BB1" i="4"/>
  <c r="BC1" i="4"/>
  <c r="BD1" i="4"/>
  <c r="BE1" i="4"/>
  <c r="BF1" i="4"/>
  <c r="BG1" i="4"/>
  <c r="BH1" i="4"/>
  <c r="BI1" i="4"/>
  <c r="BJ1" i="4"/>
  <c r="BK1" i="4"/>
  <c r="BL1" i="4"/>
  <c r="BM1" i="4"/>
  <c r="BN1" i="4"/>
  <c r="BO1" i="4"/>
  <c r="BP1" i="4"/>
  <c r="BQ1" i="4"/>
  <c r="BR1" i="4"/>
  <c r="BS1" i="4"/>
  <c r="BT1" i="4"/>
  <c r="BU1" i="4"/>
  <c r="BV1" i="4"/>
  <c r="BW1" i="4"/>
  <c r="BX1" i="4"/>
  <c r="BY1" i="4"/>
  <c r="BZ1" i="4"/>
  <c r="CA1" i="4"/>
  <c r="CB1" i="4"/>
  <c r="CC1" i="4"/>
  <c r="CD1" i="4"/>
  <c r="CE1" i="4"/>
  <c r="CF1" i="4"/>
  <c r="CG1" i="4"/>
  <c r="CH1" i="4"/>
  <c r="CI1" i="4"/>
  <c r="CJ1" i="4"/>
  <c r="CK1" i="4"/>
  <c r="CL1" i="4"/>
  <c r="CM1" i="4"/>
  <c r="CN1" i="4"/>
  <c r="CO1" i="4"/>
  <c r="CP1" i="4"/>
  <c r="CQ1" i="4"/>
  <c r="CR1" i="4"/>
  <c r="CS1" i="4"/>
  <c r="CT1" i="4"/>
  <c r="CU1" i="4"/>
  <c r="CV1" i="4"/>
  <c r="CW1" i="4"/>
  <c r="CX1" i="4"/>
  <c r="CY1" i="4"/>
  <c r="CZ1" i="4"/>
  <c r="DA1" i="4"/>
  <c r="DB1" i="4"/>
  <c r="DC1" i="4"/>
  <c r="DD1" i="4"/>
  <c r="DE1" i="4"/>
  <c r="DF1" i="4"/>
  <c r="DG1" i="4"/>
  <c r="DH1" i="4"/>
  <c r="DI1" i="4"/>
  <c r="DJ1" i="4"/>
  <c r="DK1" i="4"/>
  <c r="DL1" i="4"/>
  <c r="DM1" i="4"/>
  <c r="DN1" i="4"/>
  <c r="DO1" i="4"/>
  <c r="DP1" i="4"/>
  <c r="DQ1" i="4"/>
  <c r="DR1" i="4"/>
  <c r="DS1" i="4"/>
  <c r="DT1" i="4"/>
  <c r="DU1" i="4"/>
  <c r="DV1" i="4"/>
  <c r="DW1" i="4"/>
  <c r="DX1" i="4"/>
  <c r="DY1" i="4"/>
  <c r="DZ1" i="4"/>
  <c r="EA1" i="4"/>
  <c r="EB1" i="4"/>
  <c r="EC1" i="4"/>
  <c r="ED1" i="4"/>
  <c r="EE1" i="4"/>
  <c r="EF1" i="4"/>
  <c r="EG1" i="4"/>
  <c r="EH1" i="4"/>
  <c r="EI1" i="4"/>
  <c r="EJ1" i="4"/>
  <c r="EK1" i="4"/>
  <c r="EL1" i="4"/>
  <c r="EM1" i="4"/>
  <c r="EN1" i="4"/>
  <c r="EO1" i="4"/>
  <c r="EP1" i="4"/>
  <c r="EQ1" i="4"/>
  <c r="ER1" i="4"/>
  <c r="ES1" i="4"/>
  <c r="ET1" i="4"/>
  <c r="EU1" i="4"/>
  <c r="EV1" i="4"/>
  <c r="EW1" i="4"/>
  <c r="EX1" i="4"/>
  <c r="EY1" i="4"/>
  <c r="EZ1" i="4"/>
  <c r="FA1" i="4"/>
  <c r="FB1" i="4"/>
  <c r="FC1" i="4"/>
  <c r="FD1" i="4"/>
  <c r="FE1" i="4"/>
  <c r="FF1" i="4"/>
  <c r="FG1" i="4"/>
  <c r="FH1" i="4"/>
  <c r="FI1" i="4"/>
  <c r="FJ1" i="4"/>
  <c r="FK1" i="4"/>
  <c r="FL1" i="4"/>
  <c r="FM1" i="4"/>
  <c r="FN1" i="4"/>
  <c r="FO1" i="4"/>
  <c r="FP1" i="4"/>
  <c r="FQ1" i="4"/>
  <c r="FR1" i="4"/>
  <c r="FS1" i="4"/>
  <c r="FT1" i="4"/>
  <c r="FU1" i="4"/>
  <c r="FV1" i="4"/>
  <c r="FW1" i="4"/>
  <c r="FX1" i="4"/>
  <c r="FY1" i="4"/>
  <c r="FZ1" i="4"/>
  <c r="GA1" i="4"/>
  <c r="GB1" i="4"/>
  <c r="GC1" i="4"/>
  <c r="GD1" i="4"/>
  <c r="GE1" i="4"/>
  <c r="GF1" i="4"/>
  <c r="GG1" i="4"/>
  <c r="GH1" i="4"/>
  <c r="GI1" i="4"/>
  <c r="GJ1" i="4"/>
  <c r="GK1" i="4"/>
  <c r="GL1" i="4"/>
  <c r="GM1" i="4"/>
  <c r="GN1" i="4"/>
  <c r="GO1" i="4"/>
  <c r="GP1" i="4"/>
  <c r="GQ1" i="4"/>
  <c r="GR1" i="4"/>
  <c r="GS1" i="4"/>
  <c r="GT1" i="4"/>
  <c r="GU1" i="4"/>
  <c r="GV1" i="4"/>
  <c r="GW1" i="4"/>
  <c r="GX1" i="4"/>
  <c r="GY1" i="4"/>
  <c r="GZ1" i="4"/>
  <c r="HA1" i="4"/>
  <c r="HB1" i="4"/>
  <c r="HC1" i="4"/>
  <c r="HD1" i="4"/>
  <c r="HE1" i="4"/>
  <c r="HF1" i="4"/>
  <c r="HG1" i="4"/>
  <c r="HH1" i="4"/>
  <c r="HI1" i="4"/>
  <c r="HJ1" i="4"/>
  <c r="HK1" i="4"/>
  <c r="HL1" i="4"/>
  <c r="HM1" i="4"/>
  <c r="HN1" i="4"/>
  <c r="HO1" i="4"/>
  <c r="HP1" i="4"/>
  <c r="HQ1" i="4"/>
  <c r="HR1" i="4"/>
  <c r="HS1" i="4"/>
  <c r="HT1" i="4"/>
  <c r="HU1" i="4"/>
  <c r="HV1" i="4"/>
  <c r="HW1" i="4"/>
  <c r="HX1" i="4"/>
  <c r="HY1" i="4"/>
  <c r="HZ1" i="4"/>
  <c r="IA1" i="4"/>
  <c r="IB1" i="4"/>
  <c r="IC1" i="4"/>
  <c r="ID1" i="4"/>
  <c r="IE1" i="4"/>
  <c r="IF1" i="4"/>
  <c r="IG1" i="4"/>
  <c r="IH1" i="4"/>
  <c r="II1" i="4"/>
  <c r="IJ1" i="4"/>
  <c r="IK1" i="4"/>
  <c r="IL1" i="4"/>
  <c r="IM1" i="4"/>
  <c r="IN1" i="4"/>
  <c r="IO1" i="4"/>
  <c r="IP1" i="4"/>
  <c r="IQ1" i="4"/>
  <c r="IR1" i="4"/>
  <c r="IS1" i="4"/>
  <c r="IT1" i="4"/>
  <c r="IU1" i="4"/>
  <c r="IV1" i="4"/>
  <c r="I1" i="1"/>
  <c r="H1" i="1"/>
  <c r="G1" i="1"/>
  <c r="F1" i="1"/>
  <c r="E1" i="1"/>
  <c r="D1" i="1"/>
  <c r="C1" i="1"/>
  <c r="P1" i="1"/>
  <c r="B7" i="4"/>
</calcChain>
</file>

<file path=xl/connections.xml><?xml version="1.0" encoding="utf-8"?>
<connections xmlns="http://schemas.openxmlformats.org/spreadsheetml/2006/main">
  <connection id="1" name="cfg_s157" type="6" refreshedVersion="0" background="1" saveData="1">
    <textPr fileType="mac" sourceFile="Macintosh HD:Users:aredondas:CODE:iberonesia:RBCC_E:configs:cfg_s157" space="1" consecutive="1">
      <textFields count="23">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<sst xmlns="http://schemas.openxmlformats.org/spreadsheetml/2006/main" count="554" uniqueCount="220">
  <si>
    <t>#</t>
  </si>
  <si>
    <t>Fecha</t>
  </si>
  <si>
    <t>ETC_COR_F2</t>
  </si>
  <si>
    <t>ETC_COR_F3</t>
  </si>
  <si>
    <t>ETC_COR_F4</t>
  </si>
  <si>
    <t>ETC_COR_F5</t>
  </si>
  <si>
    <t>icf????.157</t>
  </si>
  <si>
    <t>icf26610.157</t>
  </si>
  <si>
    <t>Se cambia la lámpara interna de Mercurio, después de alcanzar intensidades en torno a 20000. Ocurre algo similar al año pasado (17310): cambia la respuesta del equipo, cambio hacia 0.3415 antes de sustituir HG, hacia 0.3490 despues del cambio</t>
  </si>
  <si>
    <t>En previsión de mal tiempo, se baja a la quinta desde el 33710 hasta el 34410</t>
  </si>
  <si>
    <t>Salto en la intensidad de la lámpara estándar, sin que se conozcan por ahora los motivos. DT se vuelve ruidoso (mas que con el primer cambio). Cambia la forma espectral de la lámpara standard</t>
  </si>
  <si>
    <t>Salto en la intensidad de la lámpara estándar, sin que se conozcan por ahora los motivos. Not affecting SL ratios</t>
  </si>
  <si>
    <t>B12411.157</t>
  </si>
  <si>
    <t>Despues de trasladar brewer a terraza resulta micrómetro#2 bloqueado, a partir de la 17:30. Depuro ficheros B12411 y CI12511. Elimino CI12411</t>
  </si>
  <si>
    <t>Se baja el brewer al laboratorio (Ramón/Virgilio) para calibración con lámparas de 100W</t>
  </si>
  <si>
    <t>Micrómetro bloqueado</t>
  </si>
  <si>
    <t>Cambio de lampara SL</t>
  </si>
  <si>
    <t>AAAAAD/WcUk=</t>
  </si>
  <si>
    <t>Fallo en el motor del zenith tras laboratorio.</t>
  </si>
  <si>
    <t>Sin Hg hasta las 09:00. SL too low. Discarded 2 sl´s</t>
  </si>
  <si>
    <t>B15311.157</t>
  </si>
  <si>
    <t>o3 Temp coef 1</t>
  </si>
  <si>
    <t>o3 Temp coef 2</t>
  </si>
  <si>
    <t>o3 Temp coef 3</t>
  </si>
  <si>
    <t>o3 Temp coef 4</t>
  </si>
  <si>
    <t>o3 Temp coef 5</t>
  </si>
  <si>
    <t>Micrometer steps/deg</t>
  </si>
  <si>
    <t>O3 on O3 Ratio</t>
  </si>
  <si>
    <t>SO2 on SO2 Ratio</t>
  </si>
  <si>
    <t>O3 on SO2 Ratio</t>
  </si>
  <si>
    <t>ETC on O3 Ratio</t>
  </si>
  <si>
    <t>ETC on SO2 Ratio</t>
  </si>
  <si>
    <t>Dead time (sec)</t>
  </si>
  <si>
    <t>WL cal step number</t>
  </si>
  <si>
    <t>Slitmask motor delay</t>
  </si>
  <si>
    <t>Umkehr Offset</t>
  </si>
  <si>
    <t>ND filter 0</t>
  </si>
  <si>
    <t>ND filter 1</t>
  </si>
  <si>
    <t>ND filter 2</t>
  </si>
  <si>
    <t>ND filter 3</t>
  </si>
  <si>
    <t>ND filter 4</t>
  </si>
  <si>
    <t>ND filter 5</t>
  </si>
  <si>
    <t>Zenith steps/rev</t>
  </si>
  <si>
    <t>Brewer Type</t>
  </si>
  <si>
    <t>o3 Temp coef hg</t>
  </si>
  <si>
    <t>R6 Reference</t>
  </si>
  <si>
    <t>R5 Reference</t>
  </si>
  <si>
    <t>O3 Mic #1 Offset</t>
  </si>
  <si>
    <t>Mic #2 Offset</t>
  </si>
  <si>
    <t>O3 FW #3 Offset</t>
  </si>
  <si>
    <t>ETC_0</t>
  </si>
  <si>
    <t>ETC_2</t>
  </si>
  <si>
    <t>ETC_3</t>
  </si>
  <si>
    <t>ETC_4</t>
  </si>
  <si>
    <t>ETC_5</t>
  </si>
  <si>
    <t>ETC_6</t>
  </si>
  <si>
    <t>Grating Slope</t>
  </si>
  <si>
    <t>Grating Intercept</t>
  </si>
  <si>
    <t>Micrometer Zero</t>
  </si>
  <si>
    <t>Iris Open Steps</t>
  </si>
  <si>
    <t>Buffer Delay (s)</t>
  </si>
  <si>
    <t>NO2 FW#1 Pos</t>
  </si>
  <si>
    <t>O3 FW#1 Pos</t>
  </si>
  <si>
    <t>FW#2 Pos</t>
  </si>
  <si>
    <t>uv FW#2 Pos</t>
  </si>
  <si>
    <t>Zenith Offset</t>
  </si>
  <si>
    <t>Zenith UVB Position</t>
  </si>
  <si>
    <t>AFC maintenance</t>
  </si>
  <si>
    <t>Nivelación y limpieza de disco. Sitting mal en días previos</t>
  </si>
  <si>
    <t>"Alberto"</t>
  </si>
  <si>
    <t>"Chg Hg, tracker"</t>
  </si>
  <si>
    <t>"Lab, zth troub."</t>
  </si>
  <si>
    <t>"Lab"</t>
  </si>
  <si>
    <t>"IOS09"</t>
  </si>
  <si>
    <t>"Setup, 5a"</t>
  </si>
  <si>
    <t>"Chg Hg"</t>
  </si>
  <si>
    <t>"IOS10"</t>
  </si>
  <si>
    <t>"2 SL drop"</t>
  </si>
  <si>
    <t>"AFC maintenance"</t>
  </si>
  <si>
    <t>"IOS06"</t>
  </si>
  <si>
    <t>"IOS07"</t>
  </si>
  <si>
    <t>icf26305.157</t>
  </si>
  <si>
    <t>"IOS05"</t>
  </si>
  <si>
    <t>icf25603.157</t>
  </si>
  <si>
    <t>"IOS04"</t>
  </si>
  <si>
    <t>(from IOS2003)... it was determined that when the SL R6 change of +9 (late
2001) was applied to the ETC, the ozone and SO2 agreement to #017 improved. So it is recommended that the ETC constants for #157 be changed to 1584/210 from 1575/210 and be applied back to when the ratio R6 changed.....</t>
  </si>
  <si>
    <t>"Chg. SL"</t>
  </si>
  <si>
    <t>"Chg. Hg"</t>
  </si>
  <si>
    <t>Problemas de enfoque. Depuro B</t>
  </si>
  <si>
    <t>B17011.157</t>
  </si>
  <si>
    <t>B16911.157</t>
  </si>
  <si>
    <t>B15511.157</t>
  </si>
  <si>
    <t>B15611.157</t>
  </si>
  <si>
    <t>B15711.157</t>
  </si>
  <si>
    <t>B15811.157</t>
  </si>
  <si>
    <t>"Ken visit"</t>
  </si>
  <si>
    <t>"SL replacement"</t>
  </si>
  <si>
    <t xml:space="preserve"> </t>
  </si>
  <si>
    <t>"Hg replacement"</t>
  </si>
  <si>
    <t>Laboratorio (Nordic Camp.)</t>
  </si>
  <si>
    <t>Brewer instalado en la azotea</t>
  </si>
  <si>
    <t>"IOS11"</t>
  </si>
  <si>
    <t>"Hg rplc"</t>
  </si>
  <si>
    <t>Cambio de lampara Hg</t>
  </si>
  <si>
    <t>Cambio en intensidad de la lámpara standard. Sin causa conocida.</t>
  </si>
  <si>
    <t>"Brewer Down"</t>
  </si>
  <si>
    <t>Nivelación , limpieza de tracker</t>
  </si>
  <si>
    <t>Cambio gel de sílice</t>
  </si>
  <si>
    <t>Disk Turn Off</t>
  </si>
  <si>
    <t>Hg replacement</t>
  </si>
  <si>
    <t>Computer change</t>
  </si>
  <si>
    <t>New computer</t>
  </si>
  <si>
    <t>R6 anómala, ~375</t>
  </si>
  <si>
    <t>B12712.157</t>
  </si>
  <si>
    <t>B28912.157</t>
  </si>
  <si>
    <t>"K&amp;Z maintenance"</t>
  </si>
  <si>
    <t>K&amp;Z maintenance</t>
  </si>
  <si>
    <t>Brewer en la quinta en prevision de mal tiempo</t>
  </si>
  <si>
    <t>Calibración de 1000W en el lab. Operativo en la azotea</t>
  </si>
  <si>
    <t>B20110.157</t>
  </si>
  <si>
    <t>Depuro primeras medidas de la mañana. ¿Problemas de enfoque?</t>
  </si>
  <si>
    <t>B20210.157</t>
  </si>
  <si>
    <t>Depuro primeras medidas de la mañana y últimas de la tarde. ¿Problemas de enfoque?</t>
  </si>
  <si>
    <t>B20310.157</t>
  </si>
  <si>
    <t>B20510.157</t>
  </si>
  <si>
    <t>Depuro últimas medidas de la tarde. ¿Problemas de enfoque?</t>
  </si>
  <si>
    <t>B20710.157</t>
  </si>
  <si>
    <t>B20910.157</t>
  </si>
  <si>
    <t>B21010.157</t>
  </si>
  <si>
    <t>Fichero B no leído. Nada apuntado en log</t>
  </si>
  <si>
    <t>B34712.157</t>
  </si>
  <si>
    <t>Se baja a Lab. Para mantenimiento</t>
  </si>
  <si>
    <t>Problemas electricos. Varistor quemado</t>
  </si>
  <si>
    <t>Se baja a la 5º en previsión de fuertes vientos</t>
  </si>
  <si>
    <t>Calibración en Laboratorio. Cambio gel de silice. Operativo en azotea</t>
  </si>
  <si>
    <t>Out of focus due to strong wind</t>
  </si>
  <si>
    <t>Azimut track sytem cleaning and voltage adjustment</t>
  </si>
  <si>
    <t>Tracker cleaning</t>
  </si>
  <si>
    <t>Hg internal lamp replacement</t>
  </si>
  <si>
    <t>B13413.157</t>
  </si>
  <si>
    <t>B file depured (SC interrupted but not "Home key pressed" -&gt; soft. version)</t>
  </si>
  <si>
    <t>"X"</t>
  </si>
  <si>
    <t>Depuro ficheros CI23213, CI23513 y CI23913.157</t>
  </si>
  <si>
    <t>Laboratorio</t>
  </si>
  <si>
    <t>SL replacement</t>
  </si>
  <si>
    <t>Se baja a la 5. Tormenta</t>
  </si>
  <si>
    <t>Instalado en la azotea nuevamente.</t>
  </si>
  <si>
    <t>icf04314.157</t>
  </si>
  <si>
    <t>K&amp;Z maintenance. Hg replacement. Constants updated</t>
  </si>
  <si>
    <t>Se baja a la 5º en previsión de mal tiempo</t>
  </si>
  <si>
    <t>Laboratory. SL ratios change</t>
  </si>
  <si>
    <t>"annomalous SL"</t>
  </si>
  <si>
    <t>Anomalous SL</t>
  </si>
  <si>
    <t>Silica Gel replacement</t>
  </si>
  <si>
    <t>"Temperature controller off"</t>
  </si>
  <si>
    <t>"Chg Dsp ?"</t>
  </si>
  <si>
    <t>icf16014.157</t>
  </si>
  <si>
    <t>"Stable"</t>
  </si>
  <si>
    <t>Temperature controller off</t>
  </si>
  <si>
    <t>Stable</t>
  </si>
  <si>
    <t>DZ CY=40</t>
  </si>
  <si>
    <t>"SL Change Storm"</t>
  </si>
  <si>
    <t>Change due Storm 10 ETC units</t>
  </si>
  <si>
    <t>"Change SL lamp"</t>
  </si>
  <si>
    <t>IOS2004</t>
  </si>
  <si>
    <t>Change SL lamp</t>
  </si>
  <si>
    <t>Indoor due to bad weather</t>
  </si>
  <si>
    <t>Reinstalled outdoors</t>
  </si>
  <si>
    <t>Reinstalled outdoors. SlitMask and Tracker troubles</t>
  </si>
  <si>
    <t>Lab. 1000W. Reinstalled outdoors</t>
  </si>
  <si>
    <t>Power cable changed</t>
  </si>
  <si>
    <t>SL correction flag</t>
  </si>
  <si>
    <t>Filtering data</t>
  </si>
  <si>
    <t>2012,09,15,7,0,0</t>
  </si>
  <si>
    <t>2012,09,15,19,0,0</t>
  </si>
  <si>
    <t>2012,09,16,7,0,0</t>
  </si>
  <si>
    <t>2012,09,16,19,0,0</t>
  </si>
  <si>
    <t>Depuro primeras medidas ¿Problemas de enfoque?</t>
  </si>
  <si>
    <t>B17110.157</t>
  </si>
  <si>
    <t>2010,6,20,7,0,0</t>
  </si>
  <si>
    <t>2010,6,20,19,0,0</t>
  </si>
  <si>
    <t>Depuro primeras medidas</t>
  </si>
  <si>
    <t>B19910.157</t>
  </si>
  <si>
    <t>2010,7,18,7,0,0</t>
  </si>
  <si>
    <t>2010,7,18,10,0,0</t>
  </si>
  <si>
    <t>Some data removed</t>
  </si>
  <si>
    <t>B22613.157</t>
  </si>
  <si>
    <t>2013,08,14,19,0,0</t>
  </si>
  <si>
    <t>2013,08,14,19,30,0</t>
  </si>
  <si>
    <t>Bad focus. Depured</t>
  </si>
  <si>
    <t>B02415.157</t>
  </si>
  <si>
    <t>2015,01,24,7,0,0</t>
  </si>
  <si>
    <t>2015,01,24,14,30,0</t>
  </si>
  <si>
    <t>NaN</t>
  </si>
  <si>
    <t>"Pol. Curve, Own QW"</t>
  </si>
  <si>
    <t>Pol. Curve, Own QW</t>
  </si>
  <si>
    <t>Hg lamp changed (date chg. to 18)</t>
  </si>
  <si>
    <t>Izana Maint. Calefactor</t>
  </si>
  <si>
    <t>Comprobacion de calefactor</t>
  </si>
  <si>
    <t>"Maint. Calefactor OFF"</t>
  </si>
  <si>
    <t>"Maint. Calefactor ON"</t>
  </si>
  <si>
    <t>Calefactor Funcionamiento correcto</t>
  </si>
  <si>
    <t>"H.V. voltage updated"</t>
  </si>
  <si>
    <t>H.V. voltage updated ~1450V</t>
  </si>
  <si>
    <t>"IOS15"</t>
  </si>
  <si>
    <t>icf16014.158</t>
  </si>
  <si>
    <t>icf16014.159</t>
  </si>
  <si>
    <t>icf16014.160</t>
  </si>
  <si>
    <t>icf16014.162</t>
  </si>
  <si>
    <t>"Cal. 1000W"</t>
  </si>
  <si>
    <t>"Brewer bad weather"</t>
  </si>
  <si>
    <t>" Kipp&amp;Zonen"</t>
  </si>
  <si>
    <t>"Cal 1000W"</t>
  </si>
  <si>
    <t>IOS15</t>
  </si>
  <si>
    <t>Calib.1000W</t>
  </si>
  <si>
    <t>Brewer bad weather</t>
  </si>
  <si>
    <t>Kipp&amp;Zonen</t>
  </si>
  <si>
    <t>Cal. 1000W</t>
  </si>
  <si>
    <t>Change electric system</t>
  </si>
  <si>
    <t>"Wrong data for lower sza, sighting"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</si>
</sst>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2" formatCode="0.00000"/>
  </numFmts>
  <fonts count="8" x14ac:knownFonts="1">
    <font>
      <sz val="11"/>
      <color theme="1"/>
      <name val="Calibri"/>
      <family val="2"/>
      <scheme val="minor"/>
    </font>
    <font>
      <sz val="10"/>
      <name val="Courier"/>
      <family val="3"/>
    </font>
    <font>
      <sz val="10"/>
      <color indexed="8"/>
      <name val="Calibri"/>
      <family val="2"/>
    </font>
    <font>
      <sz val="8"/>
      <name val="Calibri"/>
      <family val="2"/>
    </font>
    <font>
      <sz val="11"/>
      <color rgb="FF9C6500"/>
      <name val="Calibri"/>
      <family val="2"/>
      <scheme val="minor"/>
    </font>
    <font>
      <b/>
      <sz val="11"/>
      <color theme="1"/>
      <name val="Calibri"/>
      <family val="2"/>
      <scheme val="minor"/>
    </font>
    <font>
      <sz val="10"/>
      <color rgb="FF000000"/>
      <name val="Calibri"/>
      <family val="2"/>
      <scheme val="minor"/>
    </font>
    <font>
      <sz val="15"/>
      <color rgb="FF000000"/>
      <name val="Calibri"/>
      <scheme val="minor"/>
    </font>
  </fonts>
  <fills count="4">
    <fill>
      <patternFill patternType="none"/>
    </fill>
    <fill>
      <patternFill patternType="gray125"/>
    </fill>
    <fill>
      <patternFill patternType="solid">
        <fgColor rgb="FFFFEB9C"/>
      </patternFill>
    </fill>
    <fill>
      <patternFill patternType="solid">
        <fgColor rgb="FFFFFF00"/>
        <bgColor indexed="64"/>
      </patternFill>
    </fill>
  </fills>
  <borders count="2">
    <border>
      <left/>
      <right/>
      <top/>
      <bottom/>
      <diagonal/>
    </border>
    <border>
      <left/>
      <right/>
      <top style="thin">
        <color theme="4"/>
      </top>
      <bottom style="double">
        <color theme="4"/>
      </bottom>
      <diagonal/>
    </border>
  </borders>
  <cellStyleXfs count="3">
    <xf numFmtId="0" fontId="0" fillId="0" borderId="0"/>
    <xf numFmtId="0" fontId="4" fillId="2" borderId="0" applyNumberFormat="0" applyBorder="0" applyAlignment="0" applyProtection="0"/>
    <xf numFmtId="0" fontId="5" fillId="0" borderId="1" applyNumberFormat="0" applyFill="0" applyAlignment="0" applyProtection="0"/>
  </cellStyleXfs>
  <cellXfs count="40">
    <xf numFmtId="0" fontId="0" fillId="0" borderId="0" xfId="0"/>
    <xf numFmtId="14" fontId="2" fillId="0" borderId="0" xfId="0" applyNumberFormat="1" applyFont="1" applyBorder="1"/>
    <xf numFmtId="1" fontId="1" fillId="0" borderId="0" xfId="0" applyNumberFormat="1" applyFont="1" applyBorder="1"/>
    <xf numFmtId="1" fontId="2" fillId="0" borderId="0" xfId="0" applyNumberFormat="1" applyFont="1" applyBorder="1"/>
    <xf numFmtId="1" fontId="0" fillId="0" borderId="0" xfId="0" applyNumberFormat="1"/>
    <xf numFmtId="14" fontId="0" fillId="0" borderId="0" xfId="0" applyNumberFormat="1"/>
    <xf numFmtId="1" fontId="1" fillId="0" borderId="0" xfId="0" applyNumberFormat="1" applyFont="1" applyFill="1" applyBorder="1" applyAlignment="1">
      <alignment horizontal="center"/>
    </xf>
    <xf numFmtId="0" fontId="0" fillId="0" borderId="0" xfId="0" applyFill="1"/>
    <xf numFmtId="14" fontId="2" fillId="0" borderId="0" xfId="0" applyNumberFormat="1" applyFont="1" applyFill="1" applyBorder="1"/>
    <xf numFmtId="1" fontId="1" fillId="0" borderId="0" xfId="0" applyNumberFormat="1" applyFont="1" applyFill="1" applyBorder="1"/>
    <xf numFmtId="1" fontId="2" fillId="0" borderId="0" xfId="0" applyNumberFormat="1" applyFont="1" applyFill="1" applyBorder="1"/>
    <xf numFmtId="1" fontId="0" fillId="0" borderId="0" xfId="0" applyNumberFormat="1" applyFill="1"/>
    <xf numFmtId="0" fontId="1" fillId="0" borderId="0" xfId="0" applyFont="1" applyFill="1" applyBorder="1"/>
    <xf numFmtId="0" fontId="2" fillId="0" borderId="0" xfId="0" applyFont="1" applyFill="1" applyBorder="1"/>
    <xf numFmtId="172" fontId="2" fillId="0" borderId="0" xfId="0" applyNumberFormat="1" applyFont="1" applyFill="1" applyBorder="1"/>
    <xf numFmtId="3" fontId="1" fillId="0" borderId="0" xfId="0" applyNumberFormat="1" applyFont="1" applyFill="1" applyBorder="1"/>
    <xf numFmtId="11" fontId="1" fillId="0" borderId="0" xfId="0" applyNumberFormat="1" applyFont="1" applyFill="1" applyBorder="1"/>
    <xf numFmtId="11" fontId="2" fillId="0" borderId="0" xfId="0" applyNumberFormat="1" applyFont="1" applyFill="1" applyBorder="1"/>
    <xf numFmtId="0" fontId="2" fillId="0" borderId="0" xfId="0" applyNumberFormat="1" applyFont="1" applyBorder="1"/>
    <xf numFmtId="0" fontId="2" fillId="0" borderId="0" xfId="0" applyNumberFormat="1" applyFont="1" applyFill="1" applyBorder="1"/>
    <xf numFmtId="14" fontId="6" fillId="0" borderId="0" xfId="0" applyNumberFormat="1" applyFont="1"/>
    <xf numFmtId="14" fontId="0" fillId="0" borderId="0" xfId="0" applyNumberFormat="1" applyFill="1" applyAlignment="1">
      <alignment horizontal="left" vertical="center"/>
    </xf>
    <xf numFmtId="0" fontId="0" fillId="0" borderId="0" xfId="0" applyFill="1" applyAlignment="1">
      <alignment horizontal="left" vertical="top" wrapText="1"/>
    </xf>
    <xf numFmtId="0" fontId="0" fillId="0" borderId="0" xfId="0" applyFill="1" applyAlignment="1">
      <alignment horizontal="center" vertical="top" wrapText="1"/>
    </xf>
    <xf numFmtId="14" fontId="2" fillId="0" borderId="0" xfId="0" applyNumberFormat="1" applyFont="1" applyFill="1" applyBorder="1" applyAlignment="1">
      <alignment horizontal="left" vertical="center"/>
    </xf>
    <xf numFmtId="0" fontId="0" fillId="0" borderId="0" xfId="0" applyFill="1" applyAlignment="1">
      <alignment horizontal="center"/>
    </xf>
    <xf numFmtId="14" fontId="0" fillId="0" borderId="0" xfId="0" applyNumberFormat="1" applyFill="1" applyAlignment="1">
      <alignment horizontal="left" vertical="center" wrapText="1"/>
    </xf>
    <xf numFmtId="14" fontId="6" fillId="0" borderId="0" xfId="0" applyNumberFormat="1" applyFont="1" applyFill="1" applyAlignment="1">
      <alignment horizontal="left" vertical="center"/>
    </xf>
    <xf numFmtId="14" fontId="0" fillId="0" borderId="0" xfId="0" applyNumberFormat="1" applyAlignment="1">
      <alignment horizontal="left" wrapText="1"/>
    </xf>
    <xf numFmtId="1" fontId="0" fillId="0" borderId="0" xfId="0" applyNumberFormat="1" applyFill="1" applyAlignment="1">
      <alignment wrapText="1"/>
    </xf>
    <xf numFmtId="0" fontId="0" fillId="0" borderId="0" xfId="0" applyFill="1" applyAlignment="1">
      <alignment horizontal="left" wrapText="1"/>
    </xf>
    <xf numFmtId="0" fontId="0" fillId="0" borderId="0" xfId="0" applyFill="1" applyAlignment="1">
      <alignment wrapText="1"/>
    </xf>
    <xf numFmtId="0" fontId="0" fillId="0" borderId="0" xfId="0" applyAlignment="1">
      <alignment horizontal="left" vertical="top" wrapText="1"/>
    </xf>
    <xf numFmtId="0" fontId="0" fillId="0" borderId="0" xfId="0" applyBorder="1" applyAlignment="1">
      <alignment horizontal="center" wrapText="1"/>
    </xf>
    <xf numFmtId="11" fontId="0" fillId="0" borderId="0" xfId="0" applyNumberFormat="1"/>
    <xf numFmtId="14" fontId="1" fillId="0" borderId="0" xfId="0" applyNumberFormat="1" applyFont="1" applyFill="1" applyBorder="1" applyAlignment="1">
      <alignment horizontal="center"/>
    </xf>
    <xf numFmtId="14" fontId="0" fillId="0" borderId="0" xfId="0" applyNumberFormat="1" applyFill="1"/>
    <xf numFmtId="11" fontId="0" fillId="3" borderId="0" xfId="0" applyNumberFormat="1" applyFill="1"/>
    <xf numFmtId="14" fontId="0" fillId="0" borderId="0" xfId="0" applyNumberFormat="1" applyAlignment="1">
      <alignment horizontal="left" vertical="center"/>
    </xf>
    <xf numFmtId="0" fontId="7" fillId="0" borderId="0" xfId="0" applyFont="1"/>
  </cellXfs>
  <cellStyles count="3">
    <cellStyle name="Neutral" xfId="1" builtinId="28" customBuiltin="1"/>
    <cellStyle name="Normal" xfId="0" builtinId="0"/>
    <cellStyle name="Total" xfId="2" builtinId="25" customBuiltin="1"/>
  </cellStyles>
  <dxfs count="0"/>
  <tableStyles count="0" defaultTableStyle="TableStyleMedium9"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connections" Target="connections.xml"/><Relationship Id="rId10" Type="http://schemas.openxmlformats.org/officeDocument/2006/relationships/styles" Target="styles.xml"/></Relationships>
</file>

<file path=xl/queryTables/queryTable1.xml><?xml version="1.0" encoding="utf-8"?>
<queryTable xmlns="http://schemas.openxmlformats.org/spreadsheetml/2006/main" name="cfg_s157" connectionId="1" autoFormatId="0" applyNumberFormats="0" applyBorderFormats="0" applyFontFormats="1" applyPatternFormats="1" applyAlignmentFormats="0" applyWidthHeightFormats="0"/>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2.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BD54"/>
  <sheetViews>
    <sheetView topLeftCell="AP1" workbookViewId="0">
      <selection activeCell="AX26" sqref="AX26"/>
    </sheetView>
  </sheetViews>
  <sheetFormatPr baseColWidth="10" defaultColWidth="11.3984375" defaultRowHeight="15" x14ac:dyDescent="0.2"/>
  <cols>
    <col min="1" max="1" width="11.3984375" style="10"/>
    <col min="2" max="2" width="29.19921875" style="7" customWidth="1"/>
    <col min="3" max="16384" width="11.3984375" style="13"/>
  </cols>
  <sheetData>
    <row r="1" spans="1:56" s="8" customFormat="1" x14ac:dyDescent="0.2">
      <c r="A1" s="6"/>
      <c r="B1" s="7"/>
      <c r="C1" s="8">
        <f t="shared" ref="C1:I1" si="0">+C2-693960</f>
        <v>35431</v>
      </c>
      <c r="D1" s="8">
        <f t="shared" si="0"/>
        <v>35945</v>
      </c>
      <c r="E1" s="8">
        <f t="shared" si="0"/>
        <v>36409</v>
      </c>
      <c r="F1" s="8">
        <f t="shared" si="0"/>
        <v>36682</v>
      </c>
      <c r="G1" s="8">
        <f t="shared" si="0"/>
        <v>37149</v>
      </c>
      <c r="H1" s="8">
        <f t="shared" si="0"/>
        <v>37507</v>
      </c>
      <c r="I1" s="8">
        <f t="shared" si="0"/>
        <v>37877</v>
      </c>
      <c r="J1" s="8">
        <f>+J2-693960</f>
        <v>38245</v>
      </c>
      <c r="K1" s="8">
        <f>+K2-693960</f>
        <v>38503</v>
      </c>
      <c r="L1" s="8">
        <f>+L2-693960</f>
        <v>38615</v>
      </c>
      <c r="M1" s="8">
        <f>+M2-693960</f>
        <v>39000</v>
      </c>
      <c r="N1" s="8">
        <f t="shared" ref="N1:U1" si="1">+N2-693960</f>
        <v>39320</v>
      </c>
      <c r="O1" s="8">
        <f t="shared" si="1"/>
        <v>39981</v>
      </c>
      <c r="P1" s="8">
        <f t="shared" si="1"/>
        <v>40017</v>
      </c>
      <c r="Q1" s="8">
        <f t="shared" si="1"/>
        <v>40024</v>
      </c>
      <c r="R1" s="8">
        <f t="shared" si="1"/>
        <v>40060</v>
      </c>
      <c r="S1" s="8">
        <f>+S2-693960</f>
        <v>40176</v>
      </c>
      <c r="T1" s="8">
        <f t="shared" si="1"/>
        <v>40238</v>
      </c>
      <c r="U1" s="8">
        <f t="shared" si="1"/>
        <v>40267</v>
      </c>
      <c r="V1" s="8">
        <f t="shared" ref="V1:AD1" si="2">+V2-693960</f>
        <v>40351</v>
      </c>
      <c r="W1" s="8">
        <f t="shared" si="2"/>
        <v>40445</v>
      </c>
      <c r="X1" s="8">
        <f t="shared" si="2"/>
        <v>40512</v>
      </c>
      <c r="Y1" s="8">
        <f t="shared" si="2"/>
        <v>40571</v>
      </c>
      <c r="Z1" s="8">
        <f t="shared" si="2"/>
        <v>40602</v>
      </c>
      <c r="AA1" s="8">
        <f t="shared" si="2"/>
        <v>40646</v>
      </c>
      <c r="AB1" s="8">
        <f t="shared" si="2"/>
        <v>40681</v>
      </c>
      <c r="AC1" s="8">
        <f t="shared" si="2"/>
        <v>40703</v>
      </c>
      <c r="AD1" s="8">
        <f t="shared" si="2"/>
        <v>40742</v>
      </c>
      <c r="AE1" s="8">
        <f t="shared" ref="AE1:AP1" si="3">+AE2-693960</f>
        <v>40777</v>
      </c>
      <c r="AF1" s="8">
        <f t="shared" si="3"/>
        <v>40780</v>
      </c>
      <c r="AG1" s="8">
        <f t="shared" si="3"/>
        <v>40855</v>
      </c>
      <c r="AH1" s="8">
        <f t="shared" si="3"/>
        <v>40919</v>
      </c>
      <c r="AI1" s="8">
        <f t="shared" si="3"/>
        <v>41157</v>
      </c>
      <c r="AJ1" s="8">
        <f t="shared" si="3"/>
        <v>41206</v>
      </c>
      <c r="AK1" s="8">
        <f t="shared" si="3"/>
        <v>41394</v>
      </c>
      <c r="AL1" s="8">
        <f t="shared" si="3"/>
        <v>41682</v>
      </c>
      <c r="AM1" s="8">
        <f t="shared" si="3"/>
        <v>41715</v>
      </c>
      <c r="AN1" s="8">
        <f t="shared" si="3"/>
        <v>41758</v>
      </c>
      <c r="AO1" s="8">
        <f t="shared" si="3"/>
        <v>41773</v>
      </c>
      <c r="AP1" s="8">
        <f t="shared" si="3"/>
        <v>41782</v>
      </c>
      <c r="AQ1" s="8">
        <f t="shared" ref="AQ1:AY1" si="4">+AQ2-693960</f>
        <v>41800</v>
      </c>
      <c r="AR1" s="8">
        <f t="shared" si="4"/>
        <v>41897</v>
      </c>
      <c r="AS1" s="8">
        <f t="shared" si="4"/>
        <v>41991</v>
      </c>
      <c r="AT1" s="8">
        <f t="shared" si="4"/>
        <v>42027</v>
      </c>
      <c r="AU1" s="8">
        <f t="shared" si="4"/>
        <v>42080</v>
      </c>
      <c r="AV1" s="8">
        <f t="shared" si="4"/>
        <v>42104</v>
      </c>
      <c r="AW1" s="8">
        <f t="shared" si="4"/>
        <v>42109</v>
      </c>
      <c r="AX1" s="8">
        <f t="shared" si="4"/>
        <v>42122</v>
      </c>
      <c r="AY1" s="8">
        <f t="shared" si="4"/>
        <v>42161</v>
      </c>
      <c r="AZ1" s="5">
        <v>42276</v>
      </c>
      <c r="BA1" s="5">
        <v>42388</v>
      </c>
      <c r="BB1" s="5">
        <v>42417</v>
      </c>
      <c r="BC1" s="5">
        <v>42438</v>
      </c>
      <c r="BD1" s="5">
        <v>42446</v>
      </c>
    </row>
    <row r="2" spans="1:56" s="10" customFormat="1" x14ac:dyDescent="0.2">
      <c r="A2" s="6" t="s">
        <v>0</v>
      </c>
      <c r="B2" s="7" t="s">
        <v>1</v>
      </c>
      <c r="C2" s="9">
        <v>729391</v>
      </c>
      <c r="D2" s="9">
        <v>729905</v>
      </c>
      <c r="E2" s="9">
        <v>730369</v>
      </c>
      <c r="F2" s="9">
        <v>730642</v>
      </c>
      <c r="G2" s="9">
        <v>731109</v>
      </c>
      <c r="H2" s="9">
        <v>731467</v>
      </c>
      <c r="I2" s="10">
        <v>731837</v>
      </c>
      <c r="J2" s="10">
        <v>732205</v>
      </c>
      <c r="K2" s="10">
        <v>732463</v>
      </c>
      <c r="L2" s="10">
        <v>732575</v>
      </c>
      <c r="M2" s="10">
        <v>732960</v>
      </c>
      <c r="N2" s="10">
        <v>733280</v>
      </c>
      <c r="O2" s="10">
        <v>733941</v>
      </c>
      <c r="P2" s="10">
        <v>733977</v>
      </c>
      <c r="Q2" s="10">
        <v>733984</v>
      </c>
      <c r="R2" s="10">
        <v>734020</v>
      </c>
      <c r="S2" s="10">
        <v>734136</v>
      </c>
      <c r="T2" s="10">
        <v>734198</v>
      </c>
      <c r="U2" s="10">
        <v>734227</v>
      </c>
      <c r="V2" s="10">
        <v>734311</v>
      </c>
      <c r="W2" s="7">
        <v>734405</v>
      </c>
      <c r="X2" s="7">
        <v>734472</v>
      </c>
      <c r="Y2" s="7">
        <v>734531</v>
      </c>
      <c r="Z2" s="7">
        <v>734562</v>
      </c>
      <c r="AA2" s="7">
        <v>734606</v>
      </c>
      <c r="AB2" s="7">
        <v>734641</v>
      </c>
      <c r="AC2" s="11">
        <v>734663</v>
      </c>
      <c r="AD2" s="11">
        <v>734702</v>
      </c>
      <c r="AE2" s="11">
        <v>734737</v>
      </c>
      <c r="AF2" s="11">
        <v>734740</v>
      </c>
      <c r="AG2" s="11">
        <v>734815</v>
      </c>
      <c r="AH2" s="11">
        <v>734879</v>
      </c>
      <c r="AI2" s="11">
        <v>735117</v>
      </c>
      <c r="AJ2" s="11">
        <v>735166</v>
      </c>
      <c r="AK2" s="19">
        <v>735354</v>
      </c>
      <c r="AL2" s="19">
        <v>735642</v>
      </c>
      <c r="AM2" s="19">
        <v>735675</v>
      </c>
      <c r="AN2" s="19">
        <v>735718</v>
      </c>
      <c r="AO2" s="19">
        <v>735733</v>
      </c>
      <c r="AP2" s="11">
        <v>735742</v>
      </c>
      <c r="AQ2" s="11">
        <v>735760</v>
      </c>
      <c r="AR2" s="11">
        <v>735857</v>
      </c>
      <c r="AS2" s="11">
        <v>735951</v>
      </c>
      <c r="AT2" s="11">
        <v>735987</v>
      </c>
      <c r="AU2" s="11">
        <v>736040</v>
      </c>
      <c r="AV2" s="11">
        <v>736064</v>
      </c>
      <c r="AW2" s="10">
        <v>736069</v>
      </c>
      <c r="AX2" s="4">
        <v>736082</v>
      </c>
      <c r="AY2" s="4">
        <v>736121</v>
      </c>
      <c r="AZ2" s="4">
        <v>736236</v>
      </c>
      <c r="BA2" s="4">
        <v>736348</v>
      </c>
      <c r="BB2" s="4">
        <v>736377</v>
      </c>
      <c r="BC2" s="4">
        <v>736398</v>
      </c>
      <c r="BD2" s="4">
        <v>736406</v>
      </c>
    </row>
    <row r="3" spans="1:56" ht="18" customHeight="1" x14ac:dyDescent="0.2">
      <c r="A3" s="6">
        <v>1</v>
      </c>
      <c r="B3" s="7" t="s">
        <v>21</v>
      </c>
      <c r="C3" s="12">
        <v>0</v>
      </c>
      <c r="D3" s="12">
        <v>0</v>
      </c>
      <c r="E3" s="12">
        <v>0</v>
      </c>
      <c r="F3" s="12">
        <v>0</v>
      </c>
      <c r="G3" s="12">
        <v>0</v>
      </c>
      <c r="H3" s="12">
        <v>0</v>
      </c>
      <c r="I3" s="13">
        <v>0</v>
      </c>
      <c r="J3" s="13">
        <v>0</v>
      </c>
      <c r="K3" s="13">
        <v>0</v>
      </c>
      <c r="L3" s="13">
        <v>0</v>
      </c>
      <c r="M3" s="13">
        <v>0</v>
      </c>
      <c r="N3" s="13">
        <v>0</v>
      </c>
      <c r="O3" s="14">
        <v>0</v>
      </c>
      <c r="P3" s="14">
        <v>0</v>
      </c>
      <c r="Q3" s="14">
        <v>0</v>
      </c>
      <c r="R3" s="14">
        <v>0</v>
      </c>
      <c r="S3" s="14">
        <v>0</v>
      </c>
      <c r="T3" s="14">
        <v>0</v>
      </c>
      <c r="U3" s="14">
        <v>0</v>
      </c>
      <c r="V3" s="14">
        <v>0</v>
      </c>
      <c r="W3" s="14">
        <v>0</v>
      </c>
      <c r="X3" s="14">
        <v>0</v>
      </c>
      <c r="Y3" s="14">
        <v>0</v>
      </c>
      <c r="Z3" s="14">
        <v>0</v>
      </c>
      <c r="AA3" s="14">
        <v>0</v>
      </c>
      <c r="AB3" s="14">
        <v>0</v>
      </c>
      <c r="AC3" s="14">
        <v>0</v>
      </c>
      <c r="AD3" s="14">
        <v>0</v>
      </c>
      <c r="AE3" s="14">
        <v>0</v>
      </c>
      <c r="AF3" s="14">
        <v>0</v>
      </c>
      <c r="AG3" s="14">
        <v>0</v>
      </c>
      <c r="AH3" s="14">
        <v>0</v>
      </c>
      <c r="AI3" s="14">
        <v>0</v>
      </c>
      <c r="AJ3" s="14">
        <v>0</v>
      </c>
      <c r="AK3" s="14">
        <v>0</v>
      </c>
      <c r="AL3" s="14">
        <v>0</v>
      </c>
      <c r="AM3" s="14">
        <v>0</v>
      </c>
      <c r="AN3" s="14">
        <v>0</v>
      </c>
      <c r="AO3" s="14">
        <v>0</v>
      </c>
      <c r="AP3" s="14">
        <v>0</v>
      </c>
      <c r="AQ3" s="14">
        <v>0</v>
      </c>
      <c r="AR3" s="14">
        <v>0</v>
      </c>
      <c r="AS3" s="14">
        <v>0</v>
      </c>
      <c r="AT3" s="14">
        <v>0</v>
      </c>
      <c r="AU3" s="14">
        <v>0</v>
      </c>
      <c r="AV3" s="14">
        <v>0</v>
      </c>
      <c r="AW3" s="14">
        <v>0</v>
      </c>
      <c r="AX3" s="14">
        <v>0</v>
      </c>
      <c r="AY3" s="14">
        <v>0</v>
      </c>
      <c r="AZ3" s="14">
        <v>0</v>
      </c>
      <c r="BA3" s="14">
        <v>0</v>
      </c>
      <c r="BB3" s="14">
        <v>0</v>
      </c>
      <c r="BC3" s="14">
        <v>0</v>
      </c>
      <c r="BD3" s="14">
        <v>0</v>
      </c>
    </row>
    <row r="4" spans="1:56" x14ac:dyDescent="0.2">
      <c r="A4" s="6">
        <v>2</v>
      </c>
      <c r="B4" s="7" t="s">
        <v>22</v>
      </c>
      <c r="C4" s="12">
        <v>-0.17899999999999999</v>
      </c>
      <c r="D4" s="12">
        <v>-0.17899999999999999</v>
      </c>
      <c r="E4" s="12">
        <v>-0.17899999999999999</v>
      </c>
      <c r="F4" s="12">
        <v>-0.17899999999999999</v>
      </c>
      <c r="G4" s="12">
        <v>-0.17899999999999999</v>
      </c>
      <c r="H4" s="12">
        <v>-0.17899999999999999</v>
      </c>
      <c r="I4" s="13">
        <v>-0.17899999999999999</v>
      </c>
      <c r="J4" s="13">
        <v>-0.17899999999999999</v>
      </c>
      <c r="K4" s="13">
        <v>-0.17899999999999999</v>
      </c>
      <c r="L4" s="13">
        <v>-0.17899999999999999</v>
      </c>
      <c r="M4" s="13">
        <v>-0.17899999999999999</v>
      </c>
      <c r="N4" s="13">
        <v>-0.17899999999999999</v>
      </c>
      <c r="O4" s="14">
        <v>-0.17899999999999999</v>
      </c>
      <c r="P4" s="14">
        <v>-0.17899999999999999</v>
      </c>
      <c r="Q4" s="14">
        <v>-0.17899999999999999</v>
      </c>
      <c r="R4" s="14">
        <v>-0.17899999999999999</v>
      </c>
      <c r="S4" s="14">
        <v>-0.17899999999999999</v>
      </c>
      <c r="T4" s="14">
        <v>-0.17899999999999999</v>
      </c>
      <c r="U4" s="14">
        <v>-0.17899999999999999</v>
      </c>
      <c r="V4" s="14">
        <v>-0.17899999999999999</v>
      </c>
      <c r="W4" s="14">
        <v>-0.17899999999999999</v>
      </c>
      <c r="X4" s="14">
        <v>-0.17899999999999999</v>
      </c>
      <c r="Y4" s="14">
        <v>-0.17899999999999999</v>
      </c>
      <c r="Z4" s="14">
        <v>-0.17899999999999999</v>
      </c>
      <c r="AA4" s="14">
        <v>-0.17899999999999999</v>
      </c>
      <c r="AB4" s="14">
        <v>-0.17899999999999999</v>
      </c>
      <c r="AC4" s="14">
        <v>-0.17899999999999999</v>
      </c>
      <c r="AD4" s="14">
        <v>-0.17899999999999999</v>
      </c>
      <c r="AE4" s="14">
        <v>-0.17899999999999999</v>
      </c>
      <c r="AF4" s="14">
        <v>-0.17899999999999999</v>
      </c>
      <c r="AG4" s="14">
        <v>-0.17899999999999999</v>
      </c>
      <c r="AH4" s="14">
        <v>-0.17899999999999999</v>
      </c>
      <c r="AI4" s="14">
        <v>-0.17899999999999999</v>
      </c>
      <c r="AJ4" s="14">
        <v>-0.17899999999999999</v>
      </c>
      <c r="AK4" s="14">
        <v>-0.17899999999999999</v>
      </c>
      <c r="AL4" s="14">
        <v>-0.17899999999999999</v>
      </c>
      <c r="AM4" s="14">
        <v>-0.17899999999999999</v>
      </c>
      <c r="AN4" s="14">
        <v>-0.17899999999999999</v>
      </c>
      <c r="AO4" s="14">
        <v>-0.17899999999999999</v>
      </c>
      <c r="AP4" s="14">
        <v>-0.17899999999999999</v>
      </c>
      <c r="AQ4" s="14">
        <v>-0.17899999999999999</v>
      </c>
      <c r="AR4" s="14">
        <v>-0.17899999999999999</v>
      </c>
      <c r="AS4" s="14">
        <v>-0.17899999999999999</v>
      </c>
      <c r="AT4" s="14">
        <v>-0.17899999999999999</v>
      </c>
      <c r="AU4" s="14">
        <v>-0.17899999999999999</v>
      </c>
      <c r="AV4" s="14">
        <v>-0.17899999999999999</v>
      </c>
      <c r="AW4" s="14">
        <v>-0.17899999999999999</v>
      </c>
      <c r="AX4" s="14">
        <v>-0.17899999999999999</v>
      </c>
      <c r="AY4" s="14">
        <v>-0.17899999999999999</v>
      </c>
      <c r="AZ4" s="14">
        <v>-0.17899999999999999</v>
      </c>
      <c r="BA4" s="14">
        <v>-0.17899999999999999</v>
      </c>
      <c r="BB4" s="14">
        <v>-0.17899999999999999</v>
      </c>
      <c r="BC4" s="14">
        <v>-0.17899999999999999</v>
      </c>
      <c r="BD4" s="14">
        <v>-0.17899999999999999</v>
      </c>
    </row>
    <row r="5" spans="1:56" x14ac:dyDescent="0.2">
      <c r="A5" s="6">
        <v>3</v>
      </c>
      <c r="B5" s="7" t="s">
        <v>23</v>
      </c>
      <c r="C5" s="12">
        <v>-0.33350000000000002</v>
      </c>
      <c r="D5" s="12">
        <v>-0.33350000000000002</v>
      </c>
      <c r="E5" s="12">
        <v>-0.33350000000000002</v>
      </c>
      <c r="F5" s="12">
        <v>-0.33350000000000002</v>
      </c>
      <c r="G5" s="12">
        <v>-0.33350000000000002</v>
      </c>
      <c r="H5" s="12">
        <v>-0.33350000000000002</v>
      </c>
      <c r="I5" s="13">
        <v>-0.33350000000000002</v>
      </c>
      <c r="J5" s="13">
        <v>-0.33350000000000002</v>
      </c>
      <c r="K5" s="13">
        <v>-0.33350000000000002</v>
      </c>
      <c r="L5" s="13">
        <v>-0.33350000000000002</v>
      </c>
      <c r="M5" s="13">
        <v>-0.33350000000000002</v>
      </c>
      <c r="N5" s="13">
        <v>-0.33350000000000002</v>
      </c>
      <c r="O5" s="14">
        <v>-0.33350000000000002</v>
      </c>
      <c r="P5" s="14">
        <v>-0.33350000000000002</v>
      </c>
      <c r="Q5" s="14">
        <v>-0.33350000000000002</v>
      </c>
      <c r="R5" s="14">
        <v>-0.33350000000000002</v>
      </c>
      <c r="S5" s="14">
        <v>-0.33350000000000002</v>
      </c>
      <c r="T5" s="14">
        <v>-0.33350000000000002</v>
      </c>
      <c r="U5" s="14">
        <v>-0.33350000000000002</v>
      </c>
      <c r="V5" s="14">
        <v>-0.33350000000000002</v>
      </c>
      <c r="W5" s="14">
        <v>-0.33350000000000002</v>
      </c>
      <c r="X5" s="14">
        <v>-0.33350000000000002</v>
      </c>
      <c r="Y5" s="14">
        <v>-0.33350000000000002</v>
      </c>
      <c r="Z5" s="14">
        <v>-0.33350000000000002</v>
      </c>
      <c r="AA5" s="14">
        <v>-0.33350000000000002</v>
      </c>
      <c r="AB5" s="14">
        <v>-0.33350000000000002</v>
      </c>
      <c r="AC5" s="14">
        <v>-0.33350000000000002</v>
      </c>
      <c r="AD5" s="14">
        <v>-0.33350000000000002</v>
      </c>
      <c r="AE5" s="14">
        <v>-0.33350000000000002</v>
      </c>
      <c r="AF5" s="14">
        <v>-0.33350000000000002</v>
      </c>
      <c r="AG5" s="14">
        <v>-0.33350000000000002</v>
      </c>
      <c r="AH5" s="14">
        <v>-0.33350000000000002</v>
      </c>
      <c r="AI5" s="14">
        <v>-0.33350000000000002</v>
      </c>
      <c r="AJ5" s="14">
        <v>-0.33350000000000002</v>
      </c>
      <c r="AK5" s="14">
        <v>-0.33350000000000002</v>
      </c>
      <c r="AL5" s="14">
        <v>-0.33350000000000002</v>
      </c>
      <c r="AM5" s="14">
        <v>-0.33350000000000002</v>
      </c>
      <c r="AN5" s="14">
        <v>-0.33350000000000002</v>
      </c>
      <c r="AO5" s="14">
        <v>-0.33350000000000002</v>
      </c>
      <c r="AP5" s="14">
        <v>-0.33350000000000002</v>
      </c>
      <c r="AQ5" s="14">
        <v>-0.33350000000000002</v>
      </c>
      <c r="AR5" s="14">
        <v>-0.33350000000000002</v>
      </c>
      <c r="AS5" s="14">
        <v>-0.33350000000000002</v>
      </c>
      <c r="AT5" s="14">
        <v>-0.33350000000000002</v>
      </c>
      <c r="AU5" s="14">
        <v>-0.33350000000000002</v>
      </c>
      <c r="AV5" s="14">
        <v>-0.33350000000000002</v>
      </c>
      <c r="AW5" s="14">
        <v>-0.33350000000000002</v>
      </c>
      <c r="AX5" s="14">
        <v>-0.33350000000000002</v>
      </c>
      <c r="AY5" s="14">
        <v>-0.33350000000000002</v>
      </c>
      <c r="AZ5" s="14">
        <v>-0.33350000000000002</v>
      </c>
      <c r="BA5" s="14">
        <v>-0.33350000000000002</v>
      </c>
      <c r="BB5" s="14">
        <v>-0.33350000000000002</v>
      </c>
      <c r="BC5" s="14">
        <v>-0.33350000000000002</v>
      </c>
      <c r="BD5" s="14">
        <v>-0.33350000000000002</v>
      </c>
    </row>
    <row r="6" spans="1:56" x14ac:dyDescent="0.2">
      <c r="A6" s="6">
        <v>4</v>
      </c>
      <c r="B6" s="7" t="s">
        <v>24</v>
      </c>
      <c r="C6" s="12">
        <v>-0.21299999999999999</v>
      </c>
      <c r="D6" s="12">
        <v>-0.21299999999999999</v>
      </c>
      <c r="E6" s="12">
        <v>-0.21299999999999999</v>
      </c>
      <c r="F6" s="12">
        <v>-0.21299999999999999</v>
      </c>
      <c r="G6" s="12">
        <v>-0.21299999999999999</v>
      </c>
      <c r="H6" s="12">
        <v>-0.21299999999999999</v>
      </c>
      <c r="I6" s="13">
        <v>-0.21299999999999999</v>
      </c>
      <c r="J6" s="13">
        <v>-0.21299999999999999</v>
      </c>
      <c r="K6" s="13">
        <v>-0.21299999999999999</v>
      </c>
      <c r="L6" s="13">
        <v>-0.21299999999999999</v>
      </c>
      <c r="M6" s="13">
        <v>-0.21299999999999999</v>
      </c>
      <c r="N6" s="13">
        <v>-0.21299999999999999</v>
      </c>
      <c r="O6" s="14">
        <v>-0.21299999999999999</v>
      </c>
      <c r="P6" s="14">
        <v>-0.21299999999999999</v>
      </c>
      <c r="Q6" s="14">
        <v>-0.21299999999999999</v>
      </c>
      <c r="R6" s="14">
        <v>-0.21299999999999999</v>
      </c>
      <c r="S6" s="14">
        <v>-0.21299999999999999</v>
      </c>
      <c r="T6" s="14">
        <v>-0.21299999999999999</v>
      </c>
      <c r="U6" s="14">
        <v>-0.21299999999999999</v>
      </c>
      <c r="V6" s="14">
        <v>-0.21299999999999999</v>
      </c>
      <c r="W6" s="14">
        <v>-0.21299999999999999</v>
      </c>
      <c r="X6" s="14">
        <v>-0.21299999999999999</v>
      </c>
      <c r="Y6" s="14">
        <v>-0.21299999999999999</v>
      </c>
      <c r="Z6" s="14">
        <v>-0.21299999999999999</v>
      </c>
      <c r="AA6" s="14">
        <v>-0.21299999999999999</v>
      </c>
      <c r="AB6" s="14">
        <v>-0.21299999999999999</v>
      </c>
      <c r="AC6" s="14">
        <v>-0.21299999999999999</v>
      </c>
      <c r="AD6" s="14">
        <v>-0.21299999999999999</v>
      </c>
      <c r="AE6" s="14">
        <v>-0.21299999999999999</v>
      </c>
      <c r="AF6" s="14">
        <v>-0.21299999999999999</v>
      </c>
      <c r="AG6" s="14">
        <v>-0.21299999999999999</v>
      </c>
      <c r="AH6" s="14">
        <v>-0.21299999999999999</v>
      </c>
      <c r="AI6" s="14">
        <v>-0.21299999999999999</v>
      </c>
      <c r="AJ6" s="14">
        <v>-0.21299999999999999</v>
      </c>
      <c r="AK6" s="14">
        <v>-0.21299999999999999</v>
      </c>
      <c r="AL6" s="14">
        <v>-0.21299999999999999</v>
      </c>
      <c r="AM6" s="14">
        <v>-0.21299999999999999</v>
      </c>
      <c r="AN6" s="14">
        <v>-0.21299999999999999</v>
      </c>
      <c r="AO6" s="14">
        <v>-0.21299999999999999</v>
      </c>
      <c r="AP6" s="14">
        <v>-0.21299999999999999</v>
      </c>
      <c r="AQ6" s="14">
        <v>-0.21299999999999999</v>
      </c>
      <c r="AR6" s="14">
        <v>-0.21299999999999999</v>
      </c>
      <c r="AS6" s="14">
        <v>-0.21299999999999999</v>
      </c>
      <c r="AT6" s="14">
        <v>-0.21299999999999999</v>
      </c>
      <c r="AU6" s="14">
        <v>-0.21299999999999999</v>
      </c>
      <c r="AV6" s="14">
        <v>-0.21299999999999999</v>
      </c>
      <c r="AW6" s="14">
        <v>-0.21299999999999999</v>
      </c>
      <c r="AX6" s="14">
        <v>-0.21299999999999999</v>
      </c>
      <c r="AY6" s="14">
        <v>-0.21299999999999999</v>
      </c>
      <c r="AZ6" s="14">
        <v>-0.21299999999999999</v>
      </c>
      <c r="BA6" s="14">
        <v>-0.21299999999999999</v>
      </c>
      <c r="BB6" s="14">
        <v>-0.21299999999999999</v>
      </c>
      <c r="BC6" s="14">
        <v>-0.21299999999999999</v>
      </c>
      <c r="BD6" s="14">
        <v>-0.21299999999999999</v>
      </c>
    </row>
    <row r="7" spans="1:56" x14ac:dyDescent="0.2">
      <c r="A7" s="6">
        <v>5</v>
      </c>
      <c r="B7" s="7" t="s">
        <v>25</v>
      </c>
      <c r="C7" s="12">
        <v>-0.5645</v>
      </c>
      <c r="D7" s="12">
        <v>-0.5645</v>
      </c>
      <c r="E7" s="12">
        <v>-0.5645</v>
      </c>
      <c r="F7" s="12">
        <v>-0.5645</v>
      </c>
      <c r="G7" s="12">
        <v>-0.5645</v>
      </c>
      <c r="H7" s="12">
        <v>-0.5645</v>
      </c>
      <c r="I7" s="13">
        <v>-0.5645</v>
      </c>
      <c r="J7" s="13">
        <v>-0.5645</v>
      </c>
      <c r="K7" s="13">
        <v>-0.5645</v>
      </c>
      <c r="L7" s="13">
        <v>-0.5645</v>
      </c>
      <c r="M7" s="13">
        <v>-0.5645</v>
      </c>
      <c r="N7" s="13">
        <v>-0.5645</v>
      </c>
      <c r="O7" s="14">
        <v>-0.5645</v>
      </c>
      <c r="P7" s="14">
        <v>-0.5645</v>
      </c>
      <c r="Q7" s="14">
        <v>-0.5645</v>
      </c>
      <c r="R7" s="14">
        <v>-0.5645</v>
      </c>
      <c r="S7" s="14">
        <v>-0.5645</v>
      </c>
      <c r="T7" s="14">
        <v>-0.5645</v>
      </c>
      <c r="U7" s="14">
        <v>-0.5645</v>
      </c>
      <c r="V7" s="14">
        <v>-0.5645</v>
      </c>
      <c r="W7" s="14">
        <v>-0.5645</v>
      </c>
      <c r="X7" s="14">
        <v>-0.5645</v>
      </c>
      <c r="Y7" s="14">
        <v>-0.5645</v>
      </c>
      <c r="Z7" s="14">
        <v>-0.5645</v>
      </c>
      <c r="AA7" s="14">
        <v>-0.5645</v>
      </c>
      <c r="AB7" s="14">
        <v>-0.5645</v>
      </c>
      <c r="AC7" s="14">
        <v>-0.5645</v>
      </c>
      <c r="AD7" s="14">
        <v>-0.5645</v>
      </c>
      <c r="AE7" s="14">
        <v>-0.5645</v>
      </c>
      <c r="AF7" s="14">
        <v>-0.5645</v>
      </c>
      <c r="AG7" s="14">
        <v>-0.5645</v>
      </c>
      <c r="AH7" s="14">
        <v>-0.5645</v>
      </c>
      <c r="AI7" s="14">
        <v>-0.5645</v>
      </c>
      <c r="AJ7" s="14">
        <v>-0.5645</v>
      </c>
      <c r="AK7" s="14">
        <v>-0.5645</v>
      </c>
      <c r="AL7" s="14">
        <v>-0.5645</v>
      </c>
      <c r="AM7" s="14">
        <v>-0.5645</v>
      </c>
      <c r="AN7" s="14">
        <v>-0.5645</v>
      </c>
      <c r="AO7" s="14">
        <v>-0.5645</v>
      </c>
      <c r="AP7" s="14">
        <v>-0.5645</v>
      </c>
      <c r="AQ7" s="14">
        <v>-0.5645</v>
      </c>
      <c r="AR7" s="14">
        <v>-0.5645</v>
      </c>
      <c r="AS7" s="14">
        <v>-0.5645</v>
      </c>
      <c r="AT7" s="14">
        <v>-0.5645</v>
      </c>
      <c r="AU7" s="14">
        <v>-0.5645</v>
      </c>
      <c r="AV7" s="14">
        <v>-0.5645</v>
      </c>
      <c r="AW7" s="14">
        <v>-0.5645</v>
      </c>
      <c r="AX7" s="14">
        <v>-0.5645</v>
      </c>
      <c r="AY7" s="14">
        <v>-0.5645</v>
      </c>
      <c r="AZ7" s="14">
        <v>-0.5645</v>
      </c>
      <c r="BA7" s="14">
        <v>-0.5645</v>
      </c>
      <c r="BB7" s="14">
        <v>-0.5645</v>
      </c>
      <c r="BC7" s="14">
        <v>-0.5645</v>
      </c>
      <c r="BD7" s="14">
        <v>-0.5645</v>
      </c>
    </row>
    <row r="8" spans="1:56" x14ac:dyDescent="0.2">
      <c r="A8" s="6">
        <v>6</v>
      </c>
      <c r="B8" s="7" t="s">
        <v>26</v>
      </c>
      <c r="C8" s="12">
        <v>0</v>
      </c>
      <c r="D8" s="12">
        <v>0</v>
      </c>
      <c r="E8" s="12">
        <v>0</v>
      </c>
      <c r="F8" s="12">
        <v>0</v>
      </c>
      <c r="G8" s="12">
        <v>0</v>
      </c>
      <c r="H8" s="12">
        <v>0</v>
      </c>
      <c r="I8" s="13">
        <v>0</v>
      </c>
      <c r="J8" s="13">
        <v>0</v>
      </c>
      <c r="K8" s="13">
        <v>0</v>
      </c>
      <c r="L8" s="13">
        <v>0</v>
      </c>
      <c r="M8" s="13">
        <v>0</v>
      </c>
      <c r="N8" s="13">
        <v>0</v>
      </c>
      <c r="O8" s="14">
        <v>0</v>
      </c>
      <c r="P8" s="14">
        <v>0</v>
      </c>
      <c r="Q8" s="14">
        <v>0</v>
      </c>
      <c r="R8" s="14">
        <v>0</v>
      </c>
      <c r="S8" s="14">
        <v>0</v>
      </c>
      <c r="T8" s="14">
        <v>0</v>
      </c>
      <c r="U8" s="14">
        <v>0</v>
      </c>
      <c r="V8" s="14">
        <v>0</v>
      </c>
      <c r="W8" s="7">
        <v>0</v>
      </c>
      <c r="X8" s="7">
        <v>0</v>
      </c>
      <c r="Y8" s="7">
        <v>0</v>
      </c>
      <c r="Z8" s="7">
        <v>0</v>
      </c>
      <c r="AA8" s="7">
        <v>0</v>
      </c>
      <c r="AB8" s="7">
        <v>0</v>
      </c>
      <c r="AC8" s="7">
        <v>0</v>
      </c>
      <c r="AD8" s="7">
        <v>0</v>
      </c>
      <c r="AE8" s="7">
        <v>0</v>
      </c>
      <c r="AF8" s="7">
        <v>0</v>
      </c>
      <c r="AG8" s="7">
        <v>0</v>
      </c>
      <c r="AH8" s="7">
        <v>0</v>
      </c>
      <c r="AI8" s="7">
        <v>0</v>
      </c>
      <c r="AJ8" s="7">
        <v>0</v>
      </c>
      <c r="AK8" s="7">
        <v>0</v>
      </c>
      <c r="AL8" s="7">
        <v>0</v>
      </c>
      <c r="AM8" s="7">
        <v>0</v>
      </c>
      <c r="AN8" s="7">
        <v>0</v>
      </c>
      <c r="AO8" s="7">
        <v>0</v>
      </c>
      <c r="AP8" s="7">
        <v>0</v>
      </c>
      <c r="AQ8" s="7">
        <v>0</v>
      </c>
      <c r="AR8" s="7">
        <v>0</v>
      </c>
      <c r="AS8" s="7">
        <v>0</v>
      </c>
      <c r="AT8" s="7">
        <v>0</v>
      </c>
      <c r="AU8" s="7">
        <v>0</v>
      </c>
      <c r="AV8" s="7">
        <v>0</v>
      </c>
      <c r="AW8" s="7">
        <v>0</v>
      </c>
      <c r="AX8" s="7">
        <v>0</v>
      </c>
      <c r="AY8" s="7">
        <v>0</v>
      </c>
      <c r="AZ8" s="7">
        <v>0</v>
      </c>
      <c r="BA8" s="7">
        <v>0</v>
      </c>
      <c r="BB8" s="7">
        <v>0</v>
      </c>
      <c r="BC8" s="7">
        <v>0</v>
      </c>
      <c r="BD8" s="7">
        <v>0</v>
      </c>
    </row>
    <row r="9" spans="1:56" x14ac:dyDescent="0.2">
      <c r="A9" s="6">
        <v>7</v>
      </c>
      <c r="B9" s="7" t="s">
        <v>27</v>
      </c>
      <c r="C9" s="12">
        <v>0.34129999999999999</v>
      </c>
      <c r="D9" s="12">
        <v>0.34200000000000003</v>
      </c>
      <c r="E9" s="12">
        <v>0.34200000000000003</v>
      </c>
      <c r="F9" s="12">
        <v>0.34200000000000003</v>
      </c>
      <c r="G9" s="12">
        <v>0.3397</v>
      </c>
      <c r="H9" s="12">
        <v>0.3397</v>
      </c>
      <c r="I9" s="13">
        <v>0.3397</v>
      </c>
      <c r="J9" s="13">
        <v>0.3397</v>
      </c>
      <c r="K9" s="13">
        <v>0.3397</v>
      </c>
      <c r="L9" s="13">
        <v>0.3397</v>
      </c>
      <c r="M9" s="13">
        <v>0.3397</v>
      </c>
      <c r="N9" s="13">
        <v>0.3397</v>
      </c>
      <c r="O9" s="14">
        <v>0.3397</v>
      </c>
      <c r="P9" s="14">
        <v>0.3397</v>
      </c>
      <c r="Q9" s="14">
        <v>0.3397</v>
      </c>
      <c r="R9" s="14">
        <v>0.3397</v>
      </c>
      <c r="S9" s="14">
        <v>0.3397</v>
      </c>
      <c r="T9" s="14">
        <v>0.3397</v>
      </c>
      <c r="U9" s="14">
        <v>0.3397</v>
      </c>
      <c r="V9" s="14">
        <v>0.3397</v>
      </c>
      <c r="W9" s="7">
        <v>0.3397</v>
      </c>
      <c r="X9" s="7">
        <v>0.3397</v>
      </c>
      <c r="Y9" s="7">
        <v>0.3397</v>
      </c>
      <c r="Z9" s="7">
        <v>0.3397</v>
      </c>
      <c r="AA9" s="7">
        <v>0.3397</v>
      </c>
      <c r="AB9" s="7">
        <v>0.3397</v>
      </c>
      <c r="AC9" s="7">
        <v>0.3397</v>
      </c>
      <c r="AD9" s="7">
        <v>0.3397</v>
      </c>
      <c r="AE9" s="7">
        <v>0.3397</v>
      </c>
      <c r="AF9" s="7">
        <v>0.3397</v>
      </c>
      <c r="AG9" s="7">
        <v>0.3397</v>
      </c>
      <c r="AH9" s="7">
        <v>0.3397</v>
      </c>
      <c r="AI9" s="7">
        <v>0.33800000000000002</v>
      </c>
      <c r="AJ9" s="7">
        <v>0.3397</v>
      </c>
      <c r="AK9" s="7">
        <v>0.3397</v>
      </c>
      <c r="AL9" s="7">
        <v>0.33750000000000002</v>
      </c>
      <c r="AM9" s="7">
        <v>0.33950000000000002</v>
      </c>
      <c r="AN9" s="7">
        <v>0.33950000000000002</v>
      </c>
      <c r="AO9" s="7">
        <v>0.33950000000000002</v>
      </c>
      <c r="AP9" s="7">
        <v>0.33950000000000002</v>
      </c>
      <c r="AQ9" s="7">
        <v>0.34150000000000003</v>
      </c>
      <c r="AR9" s="7">
        <v>0.34150000000000003</v>
      </c>
      <c r="AS9" s="7">
        <v>0.33950000000000002</v>
      </c>
      <c r="AT9" s="7">
        <v>0.33950000000000002</v>
      </c>
      <c r="AU9" s="7">
        <v>0.33950000000000002</v>
      </c>
      <c r="AV9" s="7">
        <v>0.33950000000000002</v>
      </c>
      <c r="AW9" s="7">
        <v>0.33950000000000002</v>
      </c>
      <c r="AX9" s="7">
        <v>0.33950000000000002</v>
      </c>
      <c r="AY9" s="7">
        <v>0.33950000000000002</v>
      </c>
      <c r="AZ9" s="7">
        <v>0.33950000000000002</v>
      </c>
      <c r="BA9" s="7">
        <v>0.33950000000000002</v>
      </c>
      <c r="BB9" s="7">
        <v>0.33950000000000002</v>
      </c>
      <c r="BC9" s="7">
        <v>0.33950000000000002</v>
      </c>
      <c r="BD9" s="7">
        <v>0.33950000000000002</v>
      </c>
    </row>
    <row r="10" spans="1:56" x14ac:dyDescent="0.2">
      <c r="A10" s="6">
        <v>8</v>
      </c>
      <c r="B10" s="7" t="s">
        <v>28</v>
      </c>
      <c r="C10" s="12">
        <v>2.35</v>
      </c>
      <c r="D10" s="12">
        <v>2.35</v>
      </c>
      <c r="E10" s="12">
        <v>2.35</v>
      </c>
      <c r="F10" s="12">
        <v>2.35</v>
      </c>
      <c r="G10" s="12">
        <v>2.35</v>
      </c>
      <c r="H10" s="12">
        <v>2.35</v>
      </c>
      <c r="I10" s="13">
        <v>2.35</v>
      </c>
      <c r="J10" s="13">
        <v>2.35</v>
      </c>
      <c r="K10" s="13">
        <v>2.35</v>
      </c>
      <c r="L10" s="13">
        <v>2.35</v>
      </c>
      <c r="M10" s="13">
        <v>2.35</v>
      </c>
      <c r="N10" s="13">
        <v>2.35</v>
      </c>
      <c r="O10" s="14">
        <v>2.35</v>
      </c>
      <c r="P10" s="14">
        <v>2.35</v>
      </c>
      <c r="Q10" s="14">
        <v>2.35</v>
      </c>
      <c r="R10" s="14">
        <v>2.35</v>
      </c>
      <c r="S10" s="14">
        <v>2.35</v>
      </c>
      <c r="T10" s="14">
        <v>2.35</v>
      </c>
      <c r="U10" s="14">
        <v>2.35</v>
      </c>
      <c r="V10" s="14">
        <v>2.35</v>
      </c>
      <c r="W10" s="7">
        <v>2.35</v>
      </c>
      <c r="X10" s="7">
        <v>2.35</v>
      </c>
      <c r="Y10" s="7">
        <v>2.35</v>
      </c>
      <c r="Z10" s="7">
        <v>2.35</v>
      </c>
      <c r="AA10" s="7">
        <v>2.35</v>
      </c>
      <c r="AB10" s="7">
        <v>2.35</v>
      </c>
      <c r="AC10" s="7">
        <v>2.35</v>
      </c>
      <c r="AD10" s="7">
        <v>2.35</v>
      </c>
      <c r="AE10" s="7">
        <v>2.35</v>
      </c>
      <c r="AF10" s="7">
        <v>2.35</v>
      </c>
      <c r="AG10" s="7">
        <v>2.35</v>
      </c>
      <c r="AH10" s="7">
        <v>2.35</v>
      </c>
      <c r="AI10" s="7">
        <v>2.35</v>
      </c>
      <c r="AJ10" s="7">
        <v>2.35</v>
      </c>
      <c r="AK10" s="7">
        <v>2.35</v>
      </c>
      <c r="AL10" s="7">
        <v>2.35</v>
      </c>
      <c r="AM10" s="7">
        <v>2.35</v>
      </c>
      <c r="AN10" s="7">
        <v>2.35</v>
      </c>
      <c r="AO10" s="7">
        <v>2.35</v>
      </c>
      <c r="AP10" s="7">
        <v>2.35</v>
      </c>
      <c r="AQ10" s="7">
        <v>2.35</v>
      </c>
      <c r="AR10" s="7">
        <v>2.35</v>
      </c>
      <c r="AS10" s="7">
        <v>2.35</v>
      </c>
      <c r="AT10" s="7">
        <v>2.35</v>
      </c>
      <c r="AU10" s="7">
        <v>2.35</v>
      </c>
      <c r="AV10" s="7">
        <v>2.35</v>
      </c>
      <c r="AW10" s="7">
        <v>2.35</v>
      </c>
      <c r="AX10" s="7">
        <v>2.35</v>
      </c>
      <c r="AY10" s="7">
        <v>2.35</v>
      </c>
      <c r="AZ10" s="7">
        <v>2.35</v>
      </c>
      <c r="BA10" s="7">
        <v>2.35</v>
      </c>
      <c r="BB10" s="7">
        <v>2.35</v>
      </c>
      <c r="BC10" s="7">
        <v>2.35</v>
      </c>
      <c r="BD10" s="7">
        <v>2.35</v>
      </c>
    </row>
    <row r="11" spans="1:56" x14ac:dyDescent="0.2">
      <c r="A11" s="6">
        <v>9</v>
      </c>
      <c r="B11" s="7" t="s">
        <v>29</v>
      </c>
      <c r="C11" s="15">
        <v>1.1499999999999999</v>
      </c>
      <c r="D11" s="12">
        <v>1.1499999999999999</v>
      </c>
      <c r="E11" s="12">
        <v>1.1499999999999999</v>
      </c>
      <c r="F11" s="12">
        <v>1.1499999999999999</v>
      </c>
      <c r="G11" s="12">
        <v>1.1499999999999999</v>
      </c>
      <c r="H11" s="12">
        <v>1.1499999999999999</v>
      </c>
      <c r="I11" s="13">
        <v>1.1499999999999999</v>
      </c>
      <c r="J11" s="13">
        <v>1.1499999999999999</v>
      </c>
      <c r="K11" s="13">
        <v>1.1499999999999999</v>
      </c>
      <c r="L11" s="13">
        <v>1.1499999999999999</v>
      </c>
      <c r="M11" s="13">
        <v>1.1499999999999999</v>
      </c>
      <c r="N11" s="13">
        <v>1.1499999999999999</v>
      </c>
      <c r="O11" s="14">
        <v>1.1499999999999999</v>
      </c>
      <c r="P11" s="14">
        <v>1.1499999999999999</v>
      </c>
      <c r="Q11" s="14">
        <v>1.1499999999999999</v>
      </c>
      <c r="R11" s="14">
        <v>1.1499999999999999</v>
      </c>
      <c r="S11" s="14">
        <v>1.1499999999999999</v>
      </c>
      <c r="T11" s="14">
        <v>1.1499999999999999</v>
      </c>
      <c r="U11" s="14">
        <v>1.1499999999999999</v>
      </c>
      <c r="V11" s="14">
        <v>1.1499999999999999</v>
      </c>
      <c r="W11" s="7">
        <v>1.1499999999999999</v>
      </c>
      <c r="X11" s="7">
        <v>1.1499999999999999</v>
      </c>
      <c r="Y11" s="7">
        <v>1.1499999999999999</v>
      </c>
      <c r="Z11" s="7">
        <v>1.1499999999999999</v>
      </c>
      <c r="AA11" s="7">
        <v>1.1499999999999999</v>
      </c>
      <c r="AB11" s="7">
        <v>1.1499999999999999</v>
      </c>
      <c r="AC11" s="7">
        <v>1.1499999999999999</v>
      </c>
      <c r="AD11" s="7">
        <v>1.1499999999999999</v>
      </c>
      <c r="AE11" s="7">
        <v>1.1499999999999999</v>
      </c>
      <c r="AF11" s="7">
        <v>1.1499999999999999</v>
      </c>
      <c r="AG11" s="7">
        <v>1.1499999999999999</v>
      </c>
      <c r="AH11" s="7">
        <v>1.1499999999999999</v>
      </c>
      <c r="AI11" s="7">
        <v>1.1499999999999999</v>
      </c>
      <c r="AJ11" s="7">
        <v>1.1499999999999999</v>
      </c>
      <c r="AK11" s="7">
        <v>1.1499999999999999</v>
      </c>
      <c r="AL11" s="7">
        <v>1.1499999999999999</v>
      </c>
      <c r="AM11" s="7">
        <v>1.1499999999999999</v>
      </c>
      <c r="AN11" s="7">
        <v>1.1499999999999999</v>
      </c>
      <c r="AO11" s="7">
        <v>1.1499999999999999</v>
      </c>
      <c r="AP11" s="7">
        <v>1.1499999999999999</v>
      </c>
      <c r="AQ11" s="7">
        <v>1.1499999999999999</v>
      </c>
      <c r="AR11" s="7">
        <v>1.1499999999999999</v>
      </c>
      <c r="AS11" s="7">
        <v>1.1499999999999999</v>
      </c>
      <c r="AT11" s="7">
        <v>1.1499999999999999</v>
      </c>
      <c r="AU11" s="7">
        <v>1.1499999999999999</v>
      </c>
      <c r="AV11" s="7">
        <v>1.1499999999999999</v>
      </c>
      <c r="AW11" s="7">
        <v>1.1499999999999999</v>
      </c>
      <c r="AX11" s="7">
        <v>1.1499999999999999</v>
      </c>
      <c r="AY11" s="7">
        <v>1.1499999999999999</v>
      </c>
      <c r="AZ11" s="7">
        <v>1.1499999999999999</v>
      </c>
      <c r="BA11" s="7">
        <v>1.1499999999999999</v>
      </c>
      <c r="BB11" s="7">
        <v>1.1499999999999999</v>
      </c>
      <c r="BC11" s="7">
        <v>1.1499999999999999</v>
      </c>
      <c r="BD11" s="7">
        <v>1.1499999999999999</v>
      </c>
    </row>
    <row r="12" spans="1:56" s="10" customFormat="1" ht="17.25" customHeight="1" x14ac:dyDescent="0.2">
      <c r="A12" s="6">
        <v>10</v>
      </c>
      <c r="B12" s="7" t="s">
        <v>30</v>
      </c>
      <c r="C12" s="9">
        <v>1583</v>
      </c>
      <c r="D12" s="9">
        <v>1551</v>
      </c>
      <c r="E12" s="9">
        <v>1565</v>
      </c>
      <c r="F12" s="9">
        <v>1565</v>
      </c>
      <c r="G12" s="9">
        <v>1575</v>
      </c>
      <c r="H12" s="9">
        <v>1575</v>
      </c>
      <c r="I12" s="10">
        <v>1584</v>
      </c>
      <c r="J12" s="10">
        <v>1584</v>
      </c>
      <c r="K12" s="10">
        <v>1605</v>
      </c>
      <c r="L12" s="10">
        <v>1605</v>
      </c>
      <c r="M12" s="10">
        <v>1605</v>
      </c>
      <c r="N12" s="10">
        <v>1605</v>
      </c>
      <c r="O12" s="10">
        <v>1605</v>
      </c>
      <c r="P12" s="10">
        <v>1605</v>
      </c>
      <c r="Q12" s="10">
        <v>1605</v>
      </c>
      <c r="R12" s="10">
        <v>1605</v>
      </c>
      <c r="S12" s="10">
        <v>1605</v>
      </c>
      <c r="T12" s="10">
        <v>1600</v>
      </c>
      <c r="U12" s="10">
        <v>1600</v>
      </c>
      <c r="V12" s="10">
        <v>1600</v>
      </c>
      <c r="W12" s="7">
        <v>1605</v>
      </c>
      <c r="X12" s="7">
        <v>1605</v>
      </c>
      <c r="Y12" s="7">
        <v>1605</v>
      </c>
      <c r="Z12" s="7">
        <v>1605</v>
      </c>
      <c r="AA12" s="7">
        <v>1605</v>
      </c>
      <c r="AB12" s="7">
        <v>1605</v>
      </c>
      <c r="AC12" s="7">
        <v>1605</v>
      </c>
      <c r="AD12" s="7">
        <v>1605</v>
      </c>
      <c r="AE12" s="7">
        <v>1605</v>
      </c>
      <c r="AF12" s="7">
        <v>1605</v>
      </c>
      <c r="AG12" s="7">
        <v>1605</v>
      </c>
      <c r="AH12" s="7">
        <v>1605</v>
      </c>
      <c r="AI12" s="7">
        <v>1615</v>
      </c>
      <c r="AJ12" s="7">
        <v>1605</v>
      </c>
      <c r="AK12" s="7">
        <v>1600</v>
      </c>
      <c r="AL12" s="7">
        <v>1590</v>
      </c>
      <c r="AM12" s="7">
        <v>1580</v>
      </c>
      <c r="AN12" s="7">
        <v>1580</v>
      </c>
      <c r="AO12" s="7">
        <v>1580</v>
      </c>
      <c r="AP12" s="7">
        <v>1580</v>
      </c>
      <c r="AQ12" s="7">
        <v>1575</v>
      </c>
      <c r="AR12" s="7">
        <v>1585</v>
      </c>
      <c r="AS12" s="7">
        <v>1600</v>
      </c>
      <c r="AT12" s="7">
        <v>1600</v>
      </c>
      <c r="AU12" s="7">
        <v>1600</v>
      </c>
      <c r="AV12" s="7">
        <v>1600</v>
      </c>
      <c r="AW12" s="7">
        <v>1580</v>
      </c>
      <c r="AX12" s="7">
        <v>1580</v>
      </c>
      <c r="AY12" s="7">
        <v>1590</v>
      </c>
      <c r="AZ12" s="7">
        <v>1590</v>
      </c>
      <c r="BA12" s="7">
        <v>1590</v>
      </c>
      <c r="BB12" s="7">
        <v>1590</v>
      </c>
      <c r="BC12" s="7">
        <v>1590</v>
      </c>
      <c r="BD12" s="7">
        <v>1590</v>
      </c>
    </row>
    <row r="13" spans="1:56" s="10" customFormat="1" x14ac:dyDescent="0.2">
      <c r="A13" s="6">
        <v>11</v>
      </c>
      <c r="B13" s="7" t="s">
        <v>31</v>
      </c>
      <c r="C13" s="9">
        <v>447</v>
      </c>
      <c r="D13" s="9">
        <v>185</v>
      </c>
      <c r="E13" s="9">
        <v>210</v>
      </c>
      <c r="F13" s="9">
        <v>210</v>
      </c>
      <c r="G13" s="9">
        <v>210</v>
      </c>
      <c r="H13" s="9">
        <v>210</v>
      </c>
      <c r="I13" s="10">
        <v>210</v>
      </c>
      <c r="J13" s="10">
        <v>210</v>
      </c>
      <c r="K13" s="10">
        <v>210</v>
      </c>
      <c r="L13" s="10">
        <v>243</v>
      </c>
      <c r="M13" s="10">
        <v>243</v>
      </c>
      <c r="N13" s="10">
        <v>243</v>
      </c>
      <c r="O13" s="10">
        <v>243</v>
      </c>
      <c r="P13" s="10">
        <v>243</v>
      </c>
      <c r="Q13" s="10">
        <v>243</v>
      </c>
      <c r="R13" s="10">
        <v>243</v>
      </c>
      <c r="S13" s="10">
        <v>243</v>
      </c>
      <c r="T13" s="10">
        <v>243</v>
      </c>
      <c r="U13" s="10">
        <v>243</v>
      </c>
      <c r="V13" s="10">
        <v>243</v>
      </c>
      <c r="W13" s="7">
        <v>180</v>
      </c>
      <c r="X13" s="7">
        <v>180</v>
      </c>
      <c r="Y13" s="7">
        <v>180</v>
      </c>
      <c r="Z13" s="7">
        <v>180</v>
      </c>
      <c r="AA13" s="7">
        <v>180</v>
      </c>
      <c r="AB13" s="7">
        <v>180</v>
      </c>
      <c r="AC13" s="7">
        <v>180</v>
      </c>
      <c r="AD13" s="7">
        <v>225</v>
      </c>
      <c r="AE13" s="7">
        <v>225</v>
      </c>
      <c r="AF13" s="7">
        <v>225</v>
      </c>
      <c r="AG13" s="7">
        <v>225</v>
      </c>
      <c r="AH13" s="7">
        <v>225</v>
      </c>
      <c r="AI13" s="7">
        <v>225</v>
      </c>
      <c r="AJ13" s="7">
        <v>225</v>
      </c>
      <c r="AK13" s="7">
        <v>225</v>
      </c>
      <c r="AL13" s="7">
        <v>225</v>
      </c>
      <c r="AM13" s="7">
        <v>225</v>
      </c>
      <c r="AN13" s="7">
        <v>225</v>
      </c>
      <c r="AO13" s="7">
        <v>225</v>
      </c>
      <c r="AP13" s="7">
        <v>225</v>
      </c>
      <c r="AQ13" s="7">
        <v>225</v>
      </c>
      <c r="AR13" s="7">
        <v>225</v>
      </c>
      <c r="AS13" s="7">
        <v>225</v>
      </c>
      <c r="AT13" s="7">
        <v>225</v>
      </c>
      <c r="AU13" s="7">
        <v>225</v>
      </c>
      <c r="AV13" s="7">
        <v>225</v>
      </c>
      <c r="AW13" s="7">
        <v>225</v>
      </c>
      <c r="AX13" s="7">
        <v>225</v>
      </c>
      <c r="AY13" s="7">
        <v>225</v>
      </c>
      <c r="AZ13" s="7">
        <v>225</v>
      </c>
      <c r="BA13" s="7">
        <v>225</v>
      </c>
      <c r="BB13" s="7">
        <v>225</v>
      </c>
      <c r="BC13" s="7">
        <v>225</v>
      </c>
      <c r="BD13" s="7">
        <v>225</v>
      </c>
    </row>
    <row r="14" spans="1:56" s="17" customFormat="1" ht="17.25" customHeight="1" x14ac:dyDescent="0.2">
      <c r="A14" s="6">
        <v>12</v>
      </c>
      <c r="B14" s="7" t="s">
        <v>32</v>
      </c>
      <c r="C14" s="16">
        <v>3.2000000000000002E-8</v>
      </c>
      <c r="D14" s="16">
        <v>3.2000000000000002E-8</v>
      </c>
      <c r="E14" s="16">
        <v>3.2000000000000002E-8</v>
      </c>
      <c r="F14" s="16">
        <v>3.2000000000000002E-8</v>
      </c>
      <c r="G14" s="16">
        <v>3.2000000000000002E-8</v>
      </c>
      <c r="H14" s="16">
        <v>3.2000000000000002E-8</v>
      </c>
      <c r="I14" s="17">
        <v>3.2000000000000002E-8</v>
      </c>
      <c r="J14" s="17">
        <v>3.2000000000000002E-8</v>
      </c>
      <c r="K14" s="17">
        <v>3.2000000000000002E-8</v>
      </c>
      <c r="L14" s="17">
        <v>3.2000000000000002E-8</v>
      </c>
      <c r="M14" s="17">
        <v>3.2000000000000002E-8</v>
      </c>
      <c r="N14" s="17">
        <v>3.2000000000000002E-8</v>
      </c>
      <c r="O14" s="17">
        <v>3.2000000000000002E-8</v>
      </c>
      <c r="P14" s="17">
        <v>3.2000000000000002E-8</v>
      </c>
      <c r="Q14" s="17">
        <v>3.2000000000000002E-8</v>
      </c>
      <c r="R14" s="17">
        <v>3.2000000000000002E-8</v>
      </c>
      <c r="S14" s="17">
        <v>3.2000000000000002E-8</v>
      </c>
      <c r="T14" s="17">
        <v>3.2000000000000002E-8</v>
      </c>
      <c r="U14" s="17">
        <v>3.2000000000000002E-8</v>
      </c>
      <c r="V14" s="17">
        <v>3.2000000000000002E-8</v>
      </c>
      <c r="W14" s="17">
        <v>3.2000000000000002E-8</v>
      </c>
      <c r="X14" s="17">
        <v>3.2000000000000002E-8</v>
      </c>
      <c r="Y14" s="17">
        <v>3.2000000000000002E-8</v>
      </c>
      <c r="Z14" s="17">
        <v>3.2000000000000002E-8</v>
      </c>
      <c r="AA14" s="17">
        <v>3.2000000000000002E-8</v>
      </c>
      <c r="AB14" s="17">
        <v>3.2000000000000002E-8</v>
      </c>
      <c r="AC14" s="17">
        <v>3.2000000000000002E-8</v>
      </c>
      <c r="AD14" s="17">
        <v>3.2000000000000002E-8</v>
      </c>
      <c r="AE14" s="17">
        <v>3.2000000000000002E-8</v>
      </c>
      <c r="AF14" s="17">
        <v>3.2000000000000002E-8</v>
      </c>
      <c r="AG14" s="17">
        <v>3.2000000000000002E-8</v>
      </c>
      <c r="AH14" s="17">
        <v>3.2000000000000002E-8</v>
      </c>
      <c r="AI14" s="17">
        <v>3.2000000000000002E-8</v>
      </c>
      <c r="AJ14" s="17">
        <v>3.2000000000000002E-8</v>
      </c>
      <c r="AK14" s="17">
        <v>3.2000000000000002E-8</v>
      </c>
      <c r="AL14" s="17">
        <v>2.7999999999999999E-8</v>
      </c>
      <c r="AM14" s="17">
        <v>2.7999999999999999E-8</v>
      </c>
      <c r="AN14" s="17">
        <v>2.7999999999999999E-8</v>
      </c>
      <c r="AO14" s="17">
        <v>2.7999999999999999E-8</v>
      </c>
      <c r="AP14" s="17">
        <v>2.7999999999999999E-8</v>
      </c>
      <c r="AQ14" s="17">
        <v>2.7999999999999999E-8</v>
      </c>
      <c r="AR14" s="17">
        <v>2.7999999999999999E-8</v>
      </c>
      <c r="AS14" s="17">
        <v>2.7999999999999999E-8</v>
      </c>
      <c r="AT14" s="17">
        <v>2.7999999999999999E-8</v>
      </c>
      <c r="AU14" s="17">
        <v>2.7999999999999999E-8</v>
      </c>
      <c r="AV14" s="17">
        <v>2.7999999999999999E-8</v>
      </c>
      <c r="AW14" s="17">
        <v>2.7999999999999999E-8</v>
      </c>
      <c r="AX14" s="17">
        <v>2.7999999999999999E-8</v>
      </c>
      <c r="AY14" s="17">
        <v>2.7999999999999999E-8</v>
      </c>
      <c r="AZ14" s="17">
        <v>2.7999999999999999E-8</v>
      </c>
      <c r="BA14" s="17">
        <v>2.7999999999999999E-8</v>
      </c>
      <c r="BB14" s="17">
        <v>2.7999999999999999E-8</v>
      </c>
      <c r="BC14" s="17">
        <v>2.7999999999999999E-8</v>
      </c>
      <c r="BD14" s="17">
        <v>2.7999999999999999E-8</v>
      </c>
    </row>
    <row r="15" spans="1:56" s="10" customFormat="1" ht="16.5" customHeight="1" x14ac:dyDescent="0.2">
      <c r="A15" s="6">
        <v>13</v>
      </c>
      <c r="B15" s="7" t="s">
        <v>33</v>
      </c>
      <c r="C15" s="9">
        <v>285</v>
      </c>
      <c r="D15" s="9">
        <v>285</v>
      </c>
      <c r="E15" s="9">
        <v>285</v>
      </c>
      <c r="F15" s="9">
        <v>285</v>
      </c>
      <c r="G15" s="9">
        <v>1027</v>
      </c>
      <c r="H15" s="9">
        <v>1027</v>
      </c>
      <c r="I15" s="10">
        <v>1027</v>
      </c>
      <c r="J15" s="10">
        <v>1027</v>
      </c>
      <c r="K15" s="10">
        <v>1027</v>
      </c>
      <c r="L15" s="10">
        <v>1026</v>
      </c>
      <c r="M15" s="10">
        <v>1026</v>
      </c>
      <c r="N15" s="10">
        <v>1026</v>
      </c>
      <c r="O15" s="10">
        <v>1026</v>
      </c>
      <c r="P15" s="10">
        <v>1026</v>
      </c>
      <c r="Q15" s="10">
        <v>1026</v>
      </c>
      <c r="R15" s="10">
        <v>1026</v>
      </c>
      <c r="S15" s="10">
        <v>1026</v>
      </c>
      <c r="T15" s="10">
        <v>1026</v>
      </c>
      <c r="U15" s="10">
        <v>1026</v>
      </c>
      <c r="V15" s="10">
        <v>1026</v>
      </c>
      <c r="W15" s="7">
        <v>1026</v>
      </c>
      <c r="X15" s="7">
        <v>1026</v>
      </c>
      <c r="Y15" s="7">
        <v>1026</v>
      </c>
      <c r="Z15" s="7">
        <v>1026</v>
      </c>
      <c r="AA15" s="7">
        <v>1026</v>
      </c>
      <c r="AB15" s="7">
        <v>1026</v>
      </c>
      <c r="AC15" s="7">
        <v>1026</v>
      </c>
      <c r="AD15" s="7">
        <v>1026</v>
      </c>
      <c r="AE15" s="7">
        <v>1026</v>
      </c>
      <c r="AF15" s="7">
        <v>1026</v>
      </c>
      <c r="AG15" s="7">
        <v>1026</v>
      </c>
      <c r="AH15" s="7">
        <v>1026</v>
      </c>
      <c r="AI15" s="7">
        <v>1026</v>
      </c>
      <c r="AJ15" s="7">
        <v>1026</v>
      </c>
      <c r="AK15" s="7">
        <v>1026</v>
      </c>
      <c r="AL15" s="7">
        <v>1026</v>
      </c>
      <c r="AM15" s="7">
        <v>1026</v>
      </c>
      <c r="AN15" s="7">
        <v>1026</v>
      </c>
      <c r="AO15" s="7">
        <v>1026</v>
      </c>
      <c r="AP15" s="7">
        <v>1026</v>
      </c>
      <c r="AQ15" s="7">
        <v>1026</v>
      </c>
      <c r="AR15" s="7">
        <v>1026</v>
      </c>
      <c r="AS15" s="7">
        <v>1026</v>
      </c>
      <c r="AT15" s="7">
        <v>1026</v>
      </c>
      <c r="AU15" s="7">
        <v>1026</v>
      </c>
      <c r="AV15" s="7">
        <v>1026</v>
      </c>
      <c r="AW15" s="7">
        <v>1026</v>
      </c>
      <c r="AX15" s="7">
        <v>1026</v>
      </c>
      <c r="AY15" s="7">
        <v>1026</v>
      </c>
      <c r="AZ15" s="7">
        <v>1026</v>
      </c>
      <c r="BA15" s="7">
        <v>1026</v>
      </c>
      <c r="BB15" s="7">
        <v>1026</v>
      </c>
      <c r="BC15" s="7">
        <v>1026</v>
      </c>
      <c r="BD15" s="7">
        <v>1026</v>
      </c>
    </row>
    <row r="16" spans="1:56" s="10" customFormat="1" ht="16.5" customHeight="1" x14ac:dyDescent="0.2">
      <c r="A16" s="6">
        <v>14</v>
      </c>
      <c r="B16" s="7" t="s">
        <v>34</v>
      </c>
      <c r="C16" s="9">
        <v>96</v>
      </c>
      <c r="D16" s="9">
        <v>96</v>
      </c>
      <c r="E16" s="9">
        <v>96</v>
      </c>
      <c r="F16" s="9">
        <v>96</v>
      </c>
      <c r="G16" s="9">
        <v>96</v>
      </c>
      <c r="H16" s="9">
        <v>96</v>
      </c>
      <c r="I16" s="10">
        <v>96</v>
      </c>
      <c r="J16" s="10">
        <v>96</v>
      </c>
      <c r="K16" s="10">
        <v>96</v>
      </c>
      <c r="L16" s="10">
        <v>96</v>
      </c>
      <c r="M16" s="10">
        <v>96</v>
      </c>
      <c r="N16" s="10">
        <v>96</v>
      </c>
      <c r="O16" s="10">
        <v>96</v>
      </c>
      <c r="P16" s="10">
        <v>96</v>
      </c>
      <c r="Q16" s="10">
        <v>96</v>
      </c>
      <c r="R16" s="10">
        <v>96</v>
      </c>
      <c r="S16" s="10">
        <v>96</v>
      </c>
      <c r="T16" s="10">
        <v>96</v>
      </c>
      <c r="U16" s="10">
        <v>96</v>
      </c>
      <c r="V16" s="10">
        <v>96</v>
      </c>
      <c r="W16" s="7">
        <v>96</v>
      </c>
      <c r="X16" s="7">
        <v>96</v>
      </c>
      <c r="Y16" s="7">
        <v>96</v>
      </c>
      <c r="Z16" s="7">
        <v>96</v>
      </c>
      <c r="AA16" s="7">
        <v>96</v>
      </c>
      <c r="AB16" s="7">
        <v>96</v>
      </c>
      <c r="AC16" s="7">
        <v>96</v>
      </c>
      <c r="AD16" s="7">
        <v>96</v>
      </c>
      <c r="AE16" s="7">
        <v>96</v>
      </c>
      <c r="AF16" s="7">
        <v>96</v>
      </c>
      <c r="AG16" s="7">
        <v>96</v>
      </c>
      <c r="AH16" s="7">
        <v>96</v>
      </c>
      <c r="AI16" s="7">
        <v>96</v>
      </c>
      <c r="AJ16" s="7">
        <v>96</v>
      </c>
      <c r="AK16" s="7">
        <v>96</v>
      </c>
      <c r="AL16" s="7">
        <v>96</v>
      </c>
      <c r="AM16" s="7">
        <v>96</v>
      </c>
      <c r="AN16" s="7">
        <v>96</v>
      </c>
      <c r="AO16" s="7">
        <v>96</v>
      </c>
      <c r="AP16" s="7">
        <v>96</v>
      </c>
      <c r="AQ16" s="7">
        <v>96</v>
      </c>
      <c r="AR16" s="7">
        <v>96</v>
      </c>
      <c r="AS16" s="7">
        <v>96</v>
      </c>
      <c r="AT16" s="7">
        <v>96</v>
      </c>
      <c r="AU16" s="7">
        <v>96</v>
      </c>
      <c r="AV16" s="7">
        <v>96</v>
      </c>
      <c r="AW16" s="7">
        <v>96</v>
      </c>
      <c r="AX16" s="7">
        <v>96</v>
      </c>
      <c r="AY16" s="7">
        <v>96</v>
      </c>
      <c r="AZ16" s="7">
        <v>96</v>
      </c>
      <c r="BA16" s="7">
        <v>96</v>
      </c>
      <c r="BB16" s="7">
        <v>96</v>
      </c>
      <c r="BC16" s="7">
        <v>96</v>
      </c>
      <c r="BD16" s="7">
        <v>96</v>
      </c>
    </row>
    <row r="17" spans="1:56" s="10" customFormat="1" ht="16.5" customHeight="1" x14ac:dyDescent="0.2">
      <c r="A17" s="6">
        <v>15</v>
      </c>
      <c r="B17" s="7" t="s">
        <v>35</v>
      </c>
      <c r="C17" s="9">
        <v>1693</v>
      </c>
      <c r="D17" s="9">
        <v>1693</v>
      </c>
      <c r="E17" s="9">
        <v>1693</v>
      </c>
      <c r="F17" s="9">
        <v>1693</v>
      </c>
      <c r="G17" s="9">
        <v>2439</v>
      </c>
      <c r="H17" s="9">
        <v>2439</v>
      </c>
      <c r="I17" s="10">
        <v>2439</v>
      </c>
      <c r="J17" s="10">
        <v>2439</v>
      </c>
      <c r="K17" s="10">
        <v>2439</v>
      </c>
      <c r="L17" s="10">
        <v>2439</v>
      </c>
      <c r="M17" s="10">
        <v>2439</v>
      </c>
      <c r="N17" s="10">
        <v>2439</v>
      </c>
      <c r="O17" s="10">
        <v>2439</v>
      </c>
      <c r="P17" s="10">
        <v>2439</v>
      </c>
      <c r="Q17" s="10">
        <v>2439</v>
      </c>
      <c r="R17" s="10">
        <v>2439</v>
      </c>
      <c r="S17" s="10">
        <v>2439</v>
      </c>
      <c r="T17" s="10">
        <v>2439</v>
      </c>
      <c r="U17" s="10">
        <v>2439</v>
      </c>
      <c r="V17" s="10">
        <v>2439</v>
      </c>
      <c r="W17" s="7">
        <v>2439</v>
      </c>
      <c r="X17" s="7">
        <v>2439</v>
      </c>
      <c r="Y17" s="7">
        <v>2439</v>
      </c>
      <c r="Z17" s="7">
        <v>2439</v>
      </c>
      <c r="AA17" s="7">
        <v>2439</v>
      </c>
      <c r="AB17" s="7">
        <v>2439</v>
      </c>
      <c r="AC17" s="7">
        <v>2439</v>
      </c>
      <c r="AD17" s="7">
        <v>2439</v>
      </c>
      <c r="AE17" s="7">
        <v>2439</v>
      </c>
      <c r="AF17" s="7">
        <v>2439</v>
      </c>
      <c r="AG17" s="7">
        <v>2439</v>
      </c>
      <c r="AH17" s="7">
        <v>2439</v>
      </c>
      <c r="AI17" s="7">
        <v>2439</v>
      </c>
      <c r="AJ17" s="7">
        <v>2439</v>
      </c>
      <c r="AK17" s="7">
        <v>2439</v>
      </c>
      <c r="AL17" s="7">
        <v>2439</v>
      </c>
      <c r="AM17" s="7">
        <v>2439</v>
      </c>
      <c r="AN17" s="7">
        <v>2439</v>
      </c>
      <c r="AO17" s="7">
        <v>2439</v>
      </c>
      <c r="AP17" s="7">
        <v>2439</v>
      </c>
      <c r="AQ17" s="7">
        <v>2439</v>
      </c>
      <c r="AR17" s="7">
        <v>2439</v>
      </c>
      <c r="AS17" s="7">
        <v>2439</v>
      </c>
      <c r="AT17" s="7">
        <v>2439</v>
      </c>
      <c r="AU17" s="7">
        <v>2439</v>
      </c>
      <c r="AV17" s="7">
        <v>2439</v>
      </c>
      <c r="AW17" s="7">
        <v>2439</v>
      </c>
      <c r="AX17" s="7">
        <v>2439</v>
      </c>
      <c r="AY17" s="7">
        <v>2439</v>
      </c>
      <c r="AZ17" s="7">
        <v>2439</v>
      </c>
      <c r="BA17" s="7">
        <v>2439</v>
      </c>
      <c r="BB17" s="7">
        <v>2439</v>
      </c>
      <c r="BC17" s="7">
        <v>2439</v>
      </c>
      <c r="BD17" s="7">
        <v>2439</v>
      </c>
    </row>
    <row r="18" spans="1:56" s="10" customFormat="1" ht="15" customHeight="1" x14ac:dyDescent="0.2">
      <c r="A18" s="6">
        <v>16</v>
      </c>
      <c r="B18" s="7" t="s">
        <v>36</v>
      </c>
      <c r="C18" s="9">
        <v>0</v>
      </c>
      <c r="D18" s="9">
        <v>0</v>
      </c>
      <c r="E18" s="9">
        <v>0</v>
      </c>
      <c r="F18" s="9">
        <v>0</v>
      </c>
      <c r="G18" s="9">
        <v>0</v>
      </c>
      <c r="H18" s="9">
        <v>0</v>
      </c>
      <c r="I18" s="10">
        <v>0</v>
      </c>
      <c r="J18" s="10">
        <v>0</v>
      </c>
      <c r="K18" s="10">
        <v>0</v>
      </c>
      <c r="L18" s="10">
        <v>0</v>
      </c>
      <c r="M18" s="10">
        <v>0</v>
      </c>
      <c r="N18" s="10">
        <v>0</v>
      </c>
      <c r="O18" s="10">
        <v>0</v>
      </c>
      <c r="P18" s="10">
        <v>0</v>
      </c>
      <c r="Q18" s="10">
        <v>0</v>
      </c>
      <c r="R18" s="10">
        <v>0</v>
      </c>
      <c r="S18" s="10">
        <v>0</v>
      </c>
      <c r="T18" s="10">
        <v>0</v>
      </c>
      <c r="U18" s="10">
        <v>0</v>
      </c>
      <c r="V18" s="10">
        <v>0</v>
      </c>
      <c r="W18" s="7">
        <v>0</v>
      </c>
      <c r="X18" s="7">
        <v>0</v>
      </c>
      <c r="Y18" s="7">
        <v>0</v>
      </c>
      <c r="Z18" s="7">
        <v>0</v>
      </c>
      <c r="AA18" s="7">
        <v>0</v>
      </c>
      <c r="AB18" s="7">
        <v>0</v>
      </c>
      <c r="AC18" s="7">
        <v>0</v>
      </c>
      <c r="AD18" s="7">
        <v>0</v>
      </c>
      <c r="AE18" s="7">
        <v>0</v>
      </c>
      <c r="AF18" s="7">
        <v>0</v>
      </c>
      <c r="AG18" s="7">
        <v>0</v>
      </c>
      <c r="AH18" s="7">
        <v>0</v>
      </c>
      <c r="AI18" s="7">
        <v>0</v>
      </c>
      <c r="AJ18" s="7">
        <v>0</v>
      </c>
      <c r="AK18" s="7">
        <v>0</v>
      </c>
      <c r="AL18" s="7">
        <v>0</v>
      </c>
      <c r="AM18" s="7">
        <v>0</v>
      </c>
      <c r="AN18" s="7">
        <v>0</v>
      </c>
      <c r="AO18" s="7">
        <v>0</v>
      </c>
      <c r="AP18" s="7">
        <v>0</v>
      </c>
      <c r="AQ18" s="7">
        <v>0</v>
      </c>
      <c r="AR18" s="7">
        <v>0</v>
      </c>
      <c r="AS18" s="7">
        <v>0</v>
      </c>
      <c r="AT18" s="7">
        <v>0</v>
      </c>
      <c r="AU18" s="7">
        <v>0</v>
      </c>
      <c r="AV18" s="7">
        <v>0</v>
      </c>
      <c r="AW18" s="7">
        <v>0</v>
      </c>
      <c r="AX18" s="7">
        <v>0</v>
      </c>
      <c r="AY18" s="7">
        <v>0</v>
      </c>
      <c r="AZ18" s="7">
        <v>0</v>
      </c>
      <c r="BA18" s="7">
        <v>0</v>
      </c>
      <c r="BB18" s="7">
        <v>0</v>
      </c>
      <c r="BC18" s="7">
        <v>0</v>
      </c>
      <c r="BD18" s="7">
        <v>0</v>
      </c>
    </row>
    <row r="19" spans="1:56" s="10" customFormat="1" ht="15" customHeight="1" x14ac:dyDescent="0.2">
      <c r="A19" s="6">
        <v>17</v>
      </c>
      <c r="B19" s="7" t="s">
        <v>37</v>
      </c>
      <c r="C19" s="9">
        <v>5000</v>
      </c>
      <c r="D19" s="9">
        <v>4200</v>
      </c>
      <c r="E19" s="9">
        <v>4200</v>
      </c>
      <c r="F19" s="9">
        <v>4200</v>
      </c>
      <c r="G19" s="9">
        <v>4200</v>
      </c>
      <c r="H19" s="9">
        <v>4200</v>
      </c>
      <c r="I19" s="10">
        <v>4288</v>
      </c>
      <c r="J19" s="10">
        <v>4288</v>
      </c>
      <c r="K19" s="10">
        <v>4288</v>
      </c>
      <c r="L19" s="10">
        <v>4288</v>
      </c>
      <c r="M19" s="10">
        <v>4288</v>
      </c>
      <c r="N19" s="10">
        <v>4288</v>
      </c>
      <c r="O19" s="10">
        <v>4288</v>
      </c>
      <c r="P19" s="10">
        <v>4288</v>
      </c>
      <c r="Q19" s="10">
        <v>4288</v>
      </c>
      <c r="R19" s="10">
        <v>4288</v>
      </c>
      <c r="S19" s="10">
        <v>4288</v>
      </c>
      <c r="T19" s="10">
        <v>4288</v>
      </c>
      <c r="U19" s="10">
        <v>4288</v>
      </c>
      <c r="V19" s="10">
        <v>4288</v>
      </c>
      <c r="W19" s="10">
        <v>4288</v>
      </c>
      <c r="X19" s="10">
        <v>4288</v>
      </c>
      <c r="Y19" s="10">
        <v>4288</v>
      </c>
      <c r="Z19" s="10">
        <v>4288</v>
      </c>
      <c r="AA19" s="10">
        <v>4288</v>
      </c>
      <c r="AB19" s="10">
        <v>4288</v>
      </c>
      <c r="AC19" s="10">
        <v>4288</v>
      </c>
      <c r="AD19" s="10">
        <v>4300</v>
      </c>
      <c r="AE19" s="10">
        <v>4300</v>
      </c>
      <c r="AF19" s="10">
        <v>4300</v>
      </c>
      <c r="AG19" s="10">
        <v>4300</v>
      </c>
      <c r="AH19" s="10">
        <v>4300</v>
      </c>
      <c r="AI19" s="10">
        <v>4300</v>
      </c>
      <c r="AJ19" s="10">
        <v>4300</v>
      </c>
      <c r="AK19" s="10">
        <v>4300</v>
      </c>
      <c r="AL19" s="10">
        <v>4300</v>
      </c>
      <c r="AM19" s="10">
        <v>4300</v>
      </c>
      <c r="AN19" s="10">
        <v>4300</v>
      </c>
      <c r="AO19" s="10">
        <v>4300</v>
      </c>
      <c r="AP19" s="10">
        <v>4300</v>
      </c>
      <c r="AQ19" s="10">
        <v>4300</v>
      </c>
      <c r="AR19" s="10">
        <v>4300</v>
      </c>
      <c r="AS19" s="10">
        <v>4300</v>
      </c>
      <c r="AT19" s="10">
        <v>4300</v>
      </c>
      <c r="AU19" s="10">
        <v>4300</v>
      </c>
      <c r="AV19" s="10">
        <v>4300</v>
      </c>
      <c r="AW19" s="10">
        <v>4300</v>
      </c>
      <c r="AX19" s="10">
        <v>4300</v>
      </c>
      <c r="AY19" s="10">
        <v>4300</v>
      </c>
      <c r="AZ19" s="10">
        <v>4300</v>
      </c>
      <c r="BA19" s="10">
        <v>4300</v>
      </c>
      <c r="BB19" s="10">
        <v>4300</v>
      </c>
      <c r="BC19" s="10">
        <v>4300</v>
      </c>
      <c r="BD19" s="10">
        <v>4300</v>
      </c>
    </row>
    <row r="20" spans="1:56" s="10" customFormat="1" ht="15" customHeight="1" x14ac:dyDescent="0.2">
      <c r="A20" s="6">
        <v>18</v>
      </c>
      <c r="B20" s="7" t="s">
        <v>38</v>
      </c>
      <c r="C20" s="9">
        <v>10000</v>
      </c>
      <c r="D20" s="9">
        <v>9300</v>
      </c>
      <c r="E20" s="9">
        <v>9300</v>
      </c>
      <c r="F20" s="9">
        <v>9300</v>
      </c>
      <c r="G20" s="9">
        <v>9300</v>
      </c>
      <c r="H20" s="9">
        <v>9300</v>
      </c>
      <c r="I20" s="10">
        <v>9303</v>
      </c>
      <c r="J20" s="10">
        <v>9303</v>
      </c>
      <c r="K20" s="10">
        <v>9303</v>
      </c>
      <c r="L20" s="10">
        <v>9303</v>
      </c>
      <c r="M20" s="10">
        <v>9303</v>
      </c>
      <c r="N20" s="10">
        <v>9303</v>
      </c>
      <c r="O20" s="10">
        <v>9303</v>
      </c>
      <c r="P20" s="10">
        <v>9303</v>
      </c>
      <c r="Q20" s="10">
        <v>9303</v>
      </c>
      <c r="R20" s="10">
        <v>9303</v>
      </c>
      <c r="S20" s="10">
        <v>9303</v>
      </c>
      <c r="T20" s="10">
        <v>9303</v>
      </c>
      <c r="U20" s="10">
        <v>9303</v>
      </c>
      <c r="V20" s="10">
        <v>9303</v>
      </c>
      <c r="W20" s="10">
        <v>9303</v>
      </c>
      <c r="X20" s="10">
        <v>9303</v>
      </c>
      <c r="Y20" s="10">
        <v>9303</v>
      </c>
      <c r="Z20" s="10">
        <v>9303</v>
      </c>
      <c r="AA20" s="10">
        <v>9303</v>
      </c>
      <c r="AB20" s="10">
        <v>9303</v>
      </c>
      <c r="AC20" s="10">
        <v>9303</v>
      </c>
      <c r="AD20" s="10">
        <v>9320</v>
      </c>
      <c r="AE20" s="10">
        <v>9320</v>
      </c>
      <c r="AF20" s="10">
        <v>9320</v>
      </c>
      <c r="AG20" s="10">
        <v>9320</v>
      </c>
      <c r="AH20" s="10">
        <v>9320</v>
      </c>
      <c r="AI20" s="10">
        <v>9320</v>
      </c>
      <c r="AJ20" s="10">
        <v>9320</v>
      </c>
      <c r="AK20" s="10">
        <v>9320</v>
      </c>
      <c r="AL20" s="10">
        <v>9320</v>
      </c>
      <c r="AM20" s="10">
        <v>9320</v>
      </c>
      <c r="AN20" s="10">
        <v>9320</v>
      </c>
      <c r="AO20" s="10">
        <v>9320</v>
      </c>
      <c r="AP20" s="10">
        <v>9320</v>
      </c>
      <c r="AQ20" s="10">
        <v>9320</v>
      </c>
      <c r="AR20" s="10">
        <v>9320</v>
      </c>
      <c r="AS20" s="10">
        <v>9320</v>
      </c>
      <c r="AT20" s="10">
        <v>9320</v>
      </c>
      <c r="AU20" s="10">
        <v>9320</v>
      </c>
      <c r="AV20" s="10">
        <v>9320</v>
      </c>
      <c r="AW20" s="10">
        <v>9320</v>
      </c>
      <c r="AX20" s="10">
        <v>9320</v>
      </c>
      <c r="AY20" s="10">
        <v>9320</v>
      </c>
      <c r="AZ20" s="10">
        <v>9320</v>
      </c>
      <c r="BA20" s="10">
        <v>9320</v>
      </c>
      <c r="BB20" s="10">
        <v>9320</v>
      </c>
      <c r="BC20" s="10">
        <v>9320</v>
      </c>
      <c r="BD20" s="10">
        <v>9320</v>
      </c>
    </row>
    <row r="21" spans="1:56" s="10" customFormat="1" ht="15" customHeight="1" x14ac:dyDescent="0.2">
      <c r="A21" s="6">
        <v>19</v>
      </c>
      <c r="B21" s="7" t="s">
        <v>39</v>
      </c>
      <c r="C21" s="9">
        <v>15000</v>
      </c>
      <c r="D21" s="9">
        <v>13800</v>
      </c>
      <c r="E21" s="9">
        <v>13800</v>
      </c>
      <c r="F21" s="9">
        <v>13800</v>
      </c>
      <c r="G21" s="9">
        <v>13800</v>
      </c>
      <c r="H21" s="9">
        <v>13800</v>
      </c>
      <c r="I21" s="10">
        <v>13904</v>
      </c>
      <c r="J21" s="10">
        <v>13904</v>
      </c>
      <c r="K21" s="10">
        <v>13904</v>
      </c>
      <c r="L21" s="10">
        <v>13904</v>
      </c>
      <c r="M21" s="10">
        <v>13904</v>
      </c>
      <c r="N21" s="10">
        <v>13904</v>
      </c>
      <c r="O21" s="10">
        <v>13904</v>
      </c>
      <c r="P21" s="10">
        <v>13904</v>
      </c>
      <c r="Q21" s="10">
        <v>13904</v>
      </c>
      <c r="R21" s="10">
        <v>13904</v>
      </c>
      <c r="S21" s="10">
        <v>13904</v>
      </c>
      <c r="T21" s="10">
        <v>13904</v>
      </c>
      <c r="U21" s="10">
        <v>13904</v>
      </c>
      <c r="V21" s="10">
        <v>13904</v>
      </c>
      <c r="W21" s="10">
        <v>13904</v>
      </c>
      <c r="X21" s="10">
        <v>13904</v>
      </c>
      <c r="Y21" s="10">
        <v>13904</v>
      </c>
      <c r="Z21" s="10">
        <v>13904</v>
      </c>
      <c r="AA21" s="10">
        <v>13904</v>
      </c>
      <c r="AB21" s="10">
        <v>13904</v>
      </c>
      <c r="AC21" s="10">
        <v>13904</v>
      </c>
      <c r="AD21" s="10">
        <v>13860</v>
      </c>
      <c r="AE21" s="10">
        <v>13860</v>
      </c>
      <c r="AF21" s="10">
        <v>13860</v>
      </c>
      <c r="AG21" s="10">
        <v>13860</v>
      </c>
      <c r="AH21" s="10">
        <v>13860</v>
      </c>
      <c r="AI21" s="10">
        <v>13860</v>
      </c>
      <c r="AJ21" s="10">
        <v>13860</v>
      </c>
      <c r="AK21" s="10">
        <v>13860</v>
      </c>
      <c r="AL21" s="10">
        <v>13860</v>
      </c>
      <c r="AM21" s="10">
        <v>13860</v>
      </c>
      <c r="AN21" s="10">
        <v>13860</v>
      </c>
      <c r="AO21" s="10">
        <v>13860</v>
      </c>
      <c r="AP21" s="10">
        <v>13860</v>
      </c>
      <c r="AQ21" s="10">
        <v>13860</v>
      </c>
      <c r="AR21" s="10">
        <v>13860</v>
      </c>
      <c r="AS21" s="10">
        <v>13860</v>
      </c>
      <c r="AT21" s="10">
        <v>13860</v>
      </c>
      <c r="AU21" s="10">
        <v>13860</v>
      </c>
      <c r="AV21" s="10">
        <v>13860</v>
      </c>
      <c r="AW21" s="10">
        <v>13860</v>
      </c>
      <c r="AX21" s="10">
        <v>13860</v>
      </c>
      <c r="AY21" s="10">
        <v>13860</v>
      </c>
      <c r="AZ21" s="10">
        <v>13860</v>
      </c>
      <c r="BA21" s="10">
        <v>13860</v>
      </c>
      <c r="BB21" s="10">
        <v>13860</v>
      </c>
      <c r="BC21" s="10">
        <v>13860</v>
      </c>
      <c r="BD21" s="10">
        <v>13860</v>
      </c>
    </row>
    <row r="22" spans="1:56" s="10" customFormat="1" ht="15" customHeight="1" x14ac:dyDescent="0.2">
      <c r="A22" s="6">
        <v>20</v>
      </c>
      <c r="B22" s="7" t="s">
        <v>40</v>
      </c>
      <c r="C22" s="9">
        <v>20000</v>
      </c>
      <c r="D22" s="9">
        <v>20000</v>
      </c>
      <c r="E22" s="9">
        <v>20000</v>
      </c>
      <c r="F22" s="9">
        <v>20000</v>
      </c>
      <c r="G22" s="9">
        <v>20000</v>
      </c>
      <c r="H22" s="9">
        <v>20000</v>
      </c>
      <c r="I22" s="10">
        <v>21687</v>
      </c>
      <c r="J22" s="10">
        <v>21687</v>
      </c>
      <c r="K22" s="10">
        <v>21687</v>
      </c>
      <c r="L22" s="10">
        <v>21687</v>
      </c>
      <c r="M22" s="10">
        <v>21687</v>
      </c>
      <c r="N22" s="10">
        <v>21687</v>
      </c>
      <c r="O22" s="10">
        <v>21687</v>
      </c>
      <c r="P22" s="10">
        <v>21687</v>
      </c>
      <c r="Q22" s="10">
        <v>21687</v>
      </c>
      <c r="R22" s="10">
        <v>21687</v>
      </c>
      <c r="S22" s="10">
        <v>21687</v>
      </c>
      <c r="T22" s="10">
        <v>21687</v>
      </c>
      <c r="U22" s="10">
        <v>21687</v>
      </c>
      <c r="V22" s="10">
        <v>21687</v>
      </c>
      <c r="W22" s="10">
        <v>21687</v>
      </c>
      <c r="X22" s="10">
        <v>21687</v>
      </c>
      <c r="Y22" s="10">
        <v>21687</v>
      </c>
      <c r="Z22" s="10">
        <v>21687</v>
      </c>
      <c r="AA22" s="10">
        <v>21687</v>
      </c>
      <c r="AB22" s="10">
        <v>21687</v>
      </c>
      <c r="AC22" s="10">
        <v>21687</v>
      </c>
      <c r="AD22" s="10">
        <v>21660</v>
      </c>
      <c r="AE22" s="10">
        <v>21660</v>
      </c>
      <c r="AF22" s="10">
        <v>21660</v>
      </c>
      <c r="AG22" s="10">
        <v>21660</v>
      </c>
      <c r="AH22" s="10">
        <v>21660</v>
      </c>
      <c r="AI22" s="10">
        <v>21660</v>
      </c>
      <c r="AJ22" s="10">
        <v>21660</v>
      </c>
      <c r="AK22" s="10">
        <v>21660</v>
      </c>
      <c r="AL22" s="10">
        <v>21660</v>
      </c>
      <c r="AM22" s="10">
        <v>21660</v>
      </c>
      <c r="AN22" s="10">
        <v>21660</v>
      </c>
      <c r="AO22" s="10">
        <v>21660</v>
      </c>
      <c r="AP22" s="10">
        <v>21660</v>
      </c>
      <c r="AQ22" s="10">
        <v>21660</v>
      </c>
      <c r="AR22" s="10">
        <v>21660</v>
      </c>
      <c r="AS22" s="10">
        <v>21660</v>
      </c>
      <c r="AT22" s="10">
        <v>21660</v>
      </c>
      <c r="AU22" s="10">
        <v>21660</v>
      </c>
      <c r="AV22" s="10">
        <v>21660</v>
      </c>
      <c r="AW22" s="10">
        <v>21660</v>
      </c>
      <c r="AX22" s="10">
        <v>21660</v>
      </c>
      <c r="AY22" s="10">
        <v>21660</v>
      </c>
      <c r="AZ22" s="10">
        <v>21660</v>
      </c>
      <c r="BA22" s="10">
        <v>21660</v>
      </c>
      <c r="BB22" s="10">
        <v>21660</v>
      </c>
      <c r="BC22" s="10">
        <v>21660</v>
      </c>
      <c r="BD22" s="10">
        <v>21660</v>
      </c>
    </row>
    <row r="23" spans="1:56" s="10" customFormat="1" ht="15" customHeight="1" x14ac:dyDescent="0.2">
      <c r="A23" s="6">
        <v>21</v>
      </c>
      <c r="B23" s="7" t="s">
        <v>41</v>
      </c>
      <c r="C23" s="9">
        <v>25000</v>
      </c>
      <c r="D23" s="9">
        <v>25000</v>
      </c>
      <c r="E23" s="9">
        <v>25000</v>
      </c>
      <c r="F23" s="9">
        <v>25000</v>
      </c>
      <c r="G23" s="9">
        <v>25000</v>
      </c>
      <c r="H23" s="9">
        <v>25000</v>
      </c>
      <c r="I23" s="10">
        <v>25061</v>
      </c>
      <c r="J23" s="10">
        <v>25061</v>
      </c>
      <c r="K23" s="10">
        <v>25061</v>
      </c>
      <c r="L23" s="10">
        <v>25061</v>
      </c>
      <c r="M23" s="10">
        <v>25061</v>
      </c>
      <c r="N23" s="10">
        <v>25061</v>
      </c>
      <c r="O23" s="10">
        <v>25061</v>
      </c>
      <c r="P23" s="10">
        <v>25061</v>
      </c>
      <c r="Q23" s="10">
        <v>25061</v>
      </c>
      <c r="R23" s="10">
        <v>25061</v>
      </c>
      <c r="S23" s="10">
        <v>25061</v>
      </c>
      <c r="T23" s="10">
        <v>25061</v>
      </c>
      <c r="U23" s="10">
        <v>25061</v>
      </c>
      <c r="V23" s="10">
        <v>25061</v>
      </c>
      <c r="W23" s="10">
        <v>25061</v>
      </c>
      <c r="X23" s="10">
        <v>25061</v>
      </c>
      <c r="Y23" s="10">
        <v>25061</v>
      </c>
      <c r="Z23" s="10">
        <v>25061</v>
      </c>
      <c r="AA23" s="10">
        <v>25061</v>
      </c>
      <c r="AB23" s="10">
        <v>25061</v>
      </c>
      <c r="AC23" s="10">
        <v>25061</v>
      </c>
      <c r="AD23" s="10">
        <v>25000</v>
      </c>
      <c r="AE23" s="10">
        <v>25000</v>
      </c>
      <c r="AF23" s="10">
        <v>25000</v>
      </c>
      <c r="AG23" s="10">
        <v>25000</v>
      </c>
      <c r="AH23" s="10">
        <v>25000</v>
      </c>
      <c r="AI23" s="10">
        <v>25000</v>
      </c>
      <c r="AJ23" s="10">
        <v>25000</v>
      </c>
      <c r="AK23" s="10">
        <v>25000</v>
      </c>
      <c r="AL23" s="10">
        <v>25000</v>
      </c>
      <c r="AM23" s="10">
        <v>25000</v>
      </c>
      <c r="AN23" s="10">
        <v>25000</v>
      </c>
      <c r="AO23" s="10">
        <v>25000</v>
      </c>
      <c r="AP23" s="10">
        <v>25000</v>
      </c>
      <c r="AQ23" s="10">
        <v>25000</v>
      </c>
      <c r="AR23" s="10">
        <v>25000</v>
      </c>
      <c r="AS23" s="10">
        <v>25000</v>
      </c>
      <c r="AT23" s="10">
        <v>25000</v>
      </c>
      <c r="AU23" s="10">
        <v>25000</v>
      </c>
      <c r="AV23" s="10">
        <v>25000</v>
      </c>
      <c r="AW23" s="10">
        <v>25000</v>
      </c>
      <c r="AX23" s="10">
        <v>25000</v>
      </c>
      <c r="AY23" s="10">
        <v>25000</v>
      </c>
      <c r="AZ23" s="10">
        <v>25000</v>
      </c>
      <c r="BA23" s="10">
        <v>25000</v>
      </c>
      <c r="BB23" s="10">
        <v>25000</v>
      </c>
      <c r="BC23" s="10">
        <v>25000</v>
      </c>
      <c r="BD23" s="10">
        <v>25000</v>
      </c>
    </row>
    <row r="24" spans="1:56" s="10" customFormat="1" x14ac:dyDescent="0.2">
      <c r="A24" s="6">
        <v>22</v>
      </c>
      <c r="B24" s="7" t="s">
        <v>42</v>
      </c>
      <c r="C24" s="9">
        <v>2972</v>
      </c>
      <c r="D24" s="9">
        <v>2972</v>
      </c>
      <c r="E24" s="9">
        <v>2972</v>
      </c>
      <c r="F24" s="9">
        <v>2972</v>
      </c>
      <c r="G24" s="9">
        <v>2972</v>
      </c>
      <c r="H24" s="9">
        <v>2972</v>
      </c>
      <c r="I24" s="10">
        <v>2972</v>
      </c>
      <c r="J24" s="10">
        <v>2972</v>
      </c>
      <c r="K24" s="10">
        <v>2972</v>
      </c>
      <c r="L24" s="10">
        <v>2972</v>
      </c>
      <c r="M24" s="10">
        <v>2972</v>
      </c>
      <c r="N24" s="10">
        <v>2972</v>
      </c>
      <c r="O24" s="10">
        <v>2972</v>
      </c>
      <c r="P24" s="10">
        <v>2972</v>
      </c>
      <c r="Q24" s="10">
        <v>2972</v>
      </c>
      <c r="R24" s="10">
        <v>2972</v>
      </c>
      <c r="S24" s="10">
        <v>2972</v>
      </c>
      <c r="T24" s="10">
        <v>2972</v>
      </c>
      <c r="U24" s="10">
        <v>2972</v>
      </c>
      <c r="V24" s="10">
        <v>2972</v>
      </c>
      <c r="W24" s="7">
        <v>2972</v>
      </c>
      <c r="X24" s="7">
        <v>2972</v>
      </c>
      <c r="Y24" s="7">
        <v>2972</v>
      </c>
      <c r="Z24" s="7">
        <v>2972</v>
      </c>
      <c r="AA24" s="7">
        <v>2972</v>
      </c>
      <c r="AB24" s="7">
        <v>2972</v>
      </c>
      <c r="AC24" s="7">
        <v>2972</v>
      </c>
      <c r="AD24" s="7">
        <v>2972</v>
      </c>
      <c r="AE24" s="7">
        <v>2972</v>
      </c>
      <c r="AF24" s="7">
        <v>2972</v>
      </c>
      <c r="AG24" s="7">
        <v>2972</v>
      </c>
      <c r="AH24" s="7">
        <v>2972</v>
      </c>
      <c r="AI24" s="7">
        <v>2972</v>
      </c>
      <c r="AJ24" s="7">
        <v>2972</v>
      </c>
      <c r="AK24" s="7">
        <v>2972</v>
      </c>
      <c r="AL24" s="7">
        <v>2972</v>
      </c>
      <c r="AM24" s="7">
        <v>2972</v>
      </c>
      <c r="AN24" s="7">
        <v>2972</v>
      </c>
      <c r="AO24" s="7">
        <v>2972</v>
      </c>
      <c r="AP24" s="7">
        <v>2972</v>
      </c>
      <c r="AQ24" s="7">
        <v>2972</v>
      </c>
      <c r="AR24" s="7">
        <v>2972</v>
      </c>
      <c r="AS24" s="7">
        <v>2972</v>
      </c>
      <c r="AT24" s="7">
        <v>2972</v>
      </c>
      <c r="AU24" s="7">
        <v>2972</v>
      </c>
      <c r="AV24" s="7">
        <v>2972</v>
      </c>
      <c r="AW24" s="7">
        <v>2972</v>
      </c>
      <c r="AX24" s="7">
        <v>2972</v>
      </c>
      <c r="AY24" s="7">
        <v>2972</v>
      </c>
      <c r="AZ24" s="7">
        <v>2972</v>
      </c>
      <c r="BA24" s="7">
        <v>2972</v>
      </c>
      <c r="BB24" s="7">
        <v>2972</v>
      </c>
      <c r="BC24" s="7">
        <v>2972</v>
      </c>
      <c r="BD24" s="7">
        <v>2972</v>
      </c>
    </row>
    <row r="25" spans="1:56" s="10" customFormat="1" x14ac:dyDescent="0.2">
      <c r="A25" s="6">
        <v>23</v>
      </c>
      <c r="B25" s="7" t="s">
        <v>43</v>
      </c>
      <c r="C25" s="9">
        <v>3</v>
      </c>
      <c r="D25" s="9">
        <v>3</v>
      </c>
      <c r="E25" s="9">
        <v>3</v>
      </c>
      <c r="F25" s="9">
        <v>3</v>
      </c>
      <c r="G25" s="9">
        <v>3</v>
      </c>
      <c r="H25" s="9">
        <v>3</v>
      </c>
      <c r="I25" s="10">
        <v>3</v>
      </c>
      <c r="J25" s="10">
        <v>3</v>
      </c>
      <c r="K25" s="10">
        <v>3</v>
      </c>
      <c r="L25" s="10">
        <v>3</v>
      </c>
      <c r="M25" s="10">
        <v>3</v>
      </c>
      <c r="N25" s="10">
        <v>3</v>
      </c>
      <c r="O25" s="10">
        <v>3</v>
      </c>
      <c r="P25" s="10">
        <v>3</v>
      </c>
      <c r="Q25" s="10">
        <v>3</v>
      </c>
      <c r="R25" s="10">
        <v>3</v>
      </c>
      <c r="S25" s="10">
        <v>3</v>
      </c>
      <c r="T25" s="10">
        <v>3</v>
      </c>
      <c r="U25" s="10">
        <v>3</v>
      </c>
      <c r="V25" s="10">
        <v>3</v>
      </c>
      <c r="W25" s="7">
        <v>3</v>
      </c>
      <c r="X25" s="7">
        <v>3</v>
      </c>
      <c r="Y25" s="7">
        <v>3</v>
      </c>
      <c r="Z25" s="7">
        <v>3</v>
      </c>
      <c r="AA25" s="7">
        <v>3</v>
      </c>
      <c r="AB25" s="7">
        <v>3</v>
      </c>
      <c r="AC25" s="7">
        <v>3</v>
      </c>
      <c r="AD25" s="7">
        <v>3</v>
      </c>
      <c r="AE25" s="7">
        <v>3</v>
      </c>
      <c r="AF25" s="7">
        <v>3</v>
      </c>
      <c r="AG25" s="7">
        <v>3</v>
      </c>
      <c r="AH25" s="7">
        <v>3</v>
      </c>
      <c r="AI25" s="7">
        <v>3</v>
      </c>
      <c r="AJ25" s="7">
        <v>3</v>
      </c>
      <c r="AK25" s="7">
        <v>3</v>
      </c>
      <c r="AL25" s="7">
        <v>3</v>
      </c>
      <c r="AM25" s="7">
        <v>3</v>
      </c>
      <c r="AN25" s="7">
        <v>3</v>
      </c>
      <c r="AO25" s="7">
        <v>3</v>
      </c>
      <c r="AP25" s="7">
        <v>3</v>
      </c>
      <c r="AQ25" s="7">
        <v>3</v>
      </c>
      <c r="AR25" s="7">
        <v>3</v>
      </c>
      <c r="AS25" s="7">
        <v>3</v>
      </c>
      <c r="AT25" s="7">
        <v>3</v>
      </c>
      <c r="AU25" s="7">
        <v>3</v>
      </c>
      <c r="AV25" s="7">
        <v>3</v>
      </c>
      <c r="AW25" s="7">
        <v>3</v>
      </c>
      <c r="AX25" s="7">
        <v>3</v>
      </c>
      <c r="AY25" s="7">
        <v>3</v>
      </c>
      <c r="AZ25" s="7">
        <v>3</v>
      </c>
      <c r="BA25" s="7">
        <v>3</v>
      </c>
      <c r="BB25" s="7">
        <v>3</v>
      </c>
      <c r="BC25" s="7">
        <v>3</v>
      </c>
      <c r="BD25" s="7">
        <v>3</v>
      </c>
    </row>
    <row r="26" spans="1:56" s="10" customFormat="1" x14ac:dyDescent="0.2">
      <c r="A26" s="6">
        <v>24</v>
      </c>
      <c r="B26" s="7" t="s">
        <v>171</v>
      </c>
      <c r="C26" s="9">
        <v>0</v>
      </c>
      <c r="D26" s="9">
        <v>0</v>
      </c>
      <c r="E26" s="9">
        <v>0</v>
      </c>
      <c r="F26" s="9">
        <v>0</v>
      </c>
      <c r="G26" s="9">
        <v>0</v>
      </c>
      <c r="H26" s="9">
        <v>0</v>
      </c>
      <c r="I26" s="9">
        <v>0</v>
      </c>
      <c r="J26" s="9">
        <v>0</v>
      </c>
      <c r="K26" s="9">
        <v>0</v>
      </c>
      <c r="L26" s="9">
        <v>0</v>
      </c>
      <c r="M26" s="9">
        <v>0</v>
      </c>
      <c r="N26" s="9">
        <v>0</v>
      </c>
      <c r="O26" s="9">
        <v>0</v>
      </c>
      <c r="P26" s="9">
        <v>0</v>
      </c>
      <c r="Q26" s="9">
        <v>0</v>
      </c>
      <c r="R26" s="9">
        <v>0</v>
      </c>
      <c r="S26" s="9">
        <v>0</v>
      </c>
      <c r="T26" s="9">
        <v>0</v>
      </c>
      <c r="U26" s="9">
        <v>0</v>
      </c>
      <c r="V26" s="9">
        <v>0</v>
      </c>
      <c r="W26" s="9">
        <v>0</v>
      </c>
      <c r="X26" s="9">
        <v>0</v>
      </c>
      <c r="Y26" s="9">
        <v>0</v>
      </c>
      <c r="Z26" s="9">
        <v>0</v>
      </c>
      <c r="AA26" s="9">
        <v>0</v>
      </c>
      <c r="AB26" s="9">
        <v>0</v>
      </c>
      <c r="AC26" s="9">
        <v>0</v>
      </c>
      <c r="AD26" s="9">
        <v>0</v>
      </c>
      <c r="AE26" s="9">
        <v>0</v>
      </c>
      <c r="AF26" s="9">
        <v>0</v>
      </c>
      <c r="AG26" s="9">
        <v>0</v>
      </c>
      <c r="AH26" s="9">
        <v>0</v>
      </c>
      <c r="AI26" s="9">
        <v>0</v>
      </c>
      <c r="AJ26" s="7">
        <v>0</v>
      </c>
      <c r="AK26" s="7">
        <v>0</v>
      </c>
      <c r="AL26" s="7">
        <v>0</v>
      </c>
      <c r="AM26" s="7">
        <v>0</v>
      </c>
      <c r="AN26" s="7">
        <v>0</v>
      </c>
      <c r="AO26" s="7">
        <v>1</v>
      </c>
      <c r="AP26" s="7">
        <v>1</v>
      </c>
      <c r="AQ26" s="7">
        <v>0</v>
      </c>
      <c r="AR26" s="7">
        <v>1</v>
      </c>
      <c r="AS26" s="7">
        <v>1</v>
      </c>
      <c r="AT26" s="7">
        <v>1</v>
      </c>
      <c r="AU26" s="7">
        <v>1</v>
      </c>
      <c r="AV26" s="7">
        <v>1</v>
      </c>
      <c r="AW26" s="7">
        <v>0</v>
      </c>
      <c r="AX26" s="7">
        <v>0</v>
      </c>
      <c r="AY26" s="7">
        <v>0</v>
      </c>
      <c r="AZ26" s="7">
        <v>0</v>
      </c>
      <c r="BA26" s="7">
        <v>0</v>
      </c>
      <c r="BB26" s="7">
        <v>0</v>
      </c>
      <c r="BC26" s="7">
        <v>0</v>
      </c>
      <c r="BD26" s="7">
        <v>0</v>
      </c>
    </row>
    <row r="27" spans="1:56" x14ac:dyDescent="0.2">
      <c r="A27" s="6">
        <v>25</v>
      </c>
      <c r="B27" s="7" t="s">
        <v>44</v>
      </c>
      <c r="C27" s="12">
        <v>0</v>
      </c>
      <c r="D27" s="12">
        <v>0</v>
      </c>
      <c r="E27" s="12">
        <v>0</v>
      </c>
      <c r="F27" s="12">
        <v>0</v>
      </c>
      <c r="G27" s="12">
        <v>0</v>
      </c>
      <c r="H27" s="12">
        <v>0</v>
      </c>
      <c r="I27" s="13">
        <v>0</v>
      </c>
      <c r="J27" s="13">
        <v>0</v>
      </c>
      <c r="K27" s="13">
        <v>0</v>
      </c>
      <c r="L27" s="13">
        <v>0</v>
      </c>
      <c r="M27" s="13">
        <v>0</v>
      </c>
      <c r="N27" s="13">
        <v>0</v>
      </c>
      <c r="O27" s="14">
        <v>0</v>
      </c>
      <c r="P27" s="14">
        <v>0</v>
      </c>
      <c r="Q27" s="14">
        <v>0</v>
      </c>
      <c r="R27" s="14">
        <v>0</v>
      </c>
      <c r="S27" s="14">
        <v>0</v>
      </c>
      <c r="T27" s="14">
        <v>0</v>
      </c>
      <c r="U27" s="14">
        <v>0</v>
      </c>
      <c r="V27" s="14">
        <v>0</v>
      </c>
      <c r="W27" s="14">
        <v>0</v>
      </c>
      <c r="X27" s="14">
        <v>0</v>
      </c>
      <c r="Y27" s="14">
        <v>0</v>
      </c>
      <c r="Z27" s="14">
        <v>0</v>
      </c>
      <c r="AA27" s="14">
        <v>0</v>
      </c>
      <c r="AB27" s="14">
        <v>0</v>
      </c>
      <c r="AC27" s="14">
        <v>0</v>
      </c>
      <c r="AD27" s="14">
        <v>0</v>
      </c>
      <c r="AE27" s="14">
        <v>0</v>
      </c>
      <c r="AF27" s="14">
        <v>0</v>
      </c>
      <c r="AG27" s="14">
        <v>0</v>
      </c>
      <c r="AH27" s="14">
        <v>0</v>
      </c>
      <c r="AI27" s="14">
        <v>0</v>
      </c>
      <c r="AJ27" s="14">
        <v>0</v>
      </c>
      <c r="AK27" s="14">
        <v>0</v>
      </c>
      <c r="AL27" s="14">
        <v>0</v>
      </c>
      <c r="AM27" s="14">
        <v>0</v>
      </c>
      <c r="AN27" s="14">
        <v>0</v>
      </c>
      <c r="AO27" s="14">
        <v>0</v>
      </c>
      <c r="AP27" s="14">
        <v>0</v>
      </c>
      <c r="AQ27" s="14">
        <v>0</v>
      </c>
      <c r="AR27" s="14">
        <v>0</v>
      </c>
      <c r="AS27" s="14">
        <v>0</v>
      </c>
      <c r="AT27" s="14">
        <v>0</v>
      </c>
      <c r="AU27" s="14">
        <v>0</v>
      </c>
      <c r="AV27" s="14">
        <v>0</v>
      </c>
      <c r="AW27" s="14">
        <v>0</v>
      </c>
      <c r="AX27" s="14">
        <v>0</v>
      </c>
      <c r="AY27" s="14">
        <v>0</v>
      </c>
      <c r="AZ27" s="14">
        <v>0</v>
      </c>
      <c r="BA27" s="14">
        <v>0</v>
      </c>
      <c r="BB27" s="14">
        <v>0</v>
      </c>
      <c r="BC27" s="14">
        <v>0</v>
      </c>
      <c r="BD27" s="14">
        <v>0</v>
      </c>
    </row>
    <row r="28" spans="1:56" x14ac:dyDescent="0.2">
      <c r="A28" s="6">
        <v>26</v>
      </c>
      <c r="B28" s="7" t="s">
        <v>45</v>
      </c>
      <c r="C28" s="12">
        <v>300</v>
      </c>
      <c r="D28" s="12">
        <v>305</v>
      </c>
      <c r="E28" s="12">
        <v>325</v>
      </c>
      <c r="F28" s="12">
        <v>325</v>
      </c>
      <c r="G28" s="12">
        <v>330</v>
      </c>
      <c r="H28" s="12">
        <v>340</v>
      </c>
      <c r="I28" s="13">
        <v>339</v>
      </c>
      <c r="J28" s="13">
        <v>339</v>
      </c>
      <c r="K28" s="13">
        <v>339</v>
      </c>
      <c r="L28" s="13">
        <v>338</v>
      </c>
      <c r="M28" s="13">
        <v>338</v>
      </c>
      <c r="N28" s="13">
        <v>338</v>
      </c>
      <c r="O28" s="13">
        <v>338</v>
      </c>
      <c r="P28" s="13">
        <v>338</v>
      </c>
      <c r="Q28" s="13">
        <v>338</v>
      </c>
      <c r="R28" s="7">
        <v>345</v>
      </c>
      <c r="S28" s="7">
        <v>345</v>
      </c>
      <c r="T28" s="7">
        <v>345</v>
      </c>
      <c r="U28" s="7">
        <v>345</v>
      </c>
      <c r="V28" s="7">
        <v>345</v>
      </c>
      <c r="W28" s="7">
        <v>350</v>
      </c>
      <c r="X28" s="7">
        <v>350</v>
      </c>
      <c r="Y28" s="7">
        <v>350</v>
      </c>
      <c r="Z28" s="7">
        <v>350</v>
      </c>
      <c r="AA28" s="7">
        <v>350</v>
      </c>
      <c r="AB28" s="7">
        <v>350</v>
      </c>
      <c r="AC28" s="7">
        <v>350</v>
      </c>
      <c r="AD28" s="7">
        <v>350</v>
      </c>
      <c r="AE28" s="7">
        <v>350</v>
      </c>
      <c r="AF28" s="7">
        <v>350</v>
      </c>
      <c r="AG28" s="7">
        <v>350</v>
      </c>
      <c r="AH28" s="7">
        <v>350</v>
      </c>
      <c r="AI28" s="7">
        <v>350</v>
      </c>
      <c r="AJ28" s="7">
        <v>350</v>
      </c>
      <c r="AK28" s="7">
        <v>350</v>
      </c>
      <c r="AL28" s="7">
        <v>335</v>
      </c>
      <c r="AM28" s="7">
        <v>335</v>
      </c>
      <c r="AN28" s="7">
        <v>343</v>
      </c>
      <c r="AO28" s="7">
        <v>343</v>
      </c>
      <c r="AP28" s="7">
        <v>350</v>
      </c>
      <c r="AQ28" s="7">
        <v>350</v>
      </c>
      <c r="AR28" s="7">
        <v>355</v>
      </c>
      <c r="AS28" s="7">
        <v>355</v>
      </c>
      <c r="AT28" s="7">
        <v>360</v>
      </c>
      <c r="AU28" s="7">
        <v>360</v>
      </c>
      <c r="AV28" s="7">
        <v>360</v>
      </c>
      <c r="AW28" s="7">
        <v>342</v>
      </c>
      <c r="AX28" s="7">
        <v>342</v>
      </c>
      <c r="AY28" s="7">
        <v>342</v>
      </c>
      <c r="AZ28" s="7">
        <v>342</v>
      </c>
      <c r="BA28" s="7">
        <v>342</v>
      </c>
      <c r="BB28" s="7">
        <v>342</v>
      </c>
      <c r="BC28" s="7">
        <v>342</v>
      </c>
      <c r="BD28" s="7">
        <v>342</v>
      </c>
    </row>
    <row r="29" spans="1:56" x14ac:dyDescent="0.2">
      <c r="A29" s="6">
        <v>27</v>
      </c>
      <c r="B29" s="7" t="s">
        <v>46</v>
      </c>
      <c r="C29" s="12">
        <v>0</v>
      </c>
      <c r="D29" s="12">
        <v>0</v>
      </c>
      <c r="E29" s="12">
        <v>0</v>
      </c>
      <c r="F29" s="12">
        <v>0</v>
      </c>
      <c r="G29" s="12">
        <v>0</v>
      </c>
      <c r="H29" s="12">
        <v>0</v>
      </c>
      <c r="I29" s="13">
        <v>580</v>
      </c>
      <c r="J29" s="13">
        <v>575</v>
      </c>
      <c r="K29" s="13">
        <v>575</v>
      </c>
      <c r="L29" s="13">
        <v>580</v>
      </c>
      <c r="M29" s="13">
        <v>580</v>
      </c>
      <c r="N29" s="13">
        <v>580</v>
      </c>
      <c r="O29" s="13">
        <v>580</v>
      </c>
      <c r="P29" s="13">
        <v>580</v>
      </c>
      <c r="Q29" s="13">
        <v>580</v>
      </c>
      <c r="R29" s="14">
        <v>580</v>
      </c>
      <c r="S29" s="14">
        <v>580</v>
      </c>
      <c r="T29" s="14">
        <v>580</v>
      </c>
      <c r="U29" s="14">
        <v>580</v>
      </c>
      <c r="V29" s="14">
        <v>580</v>
      </c>
      <c r="W29" s="14">
        <v>590</v>
      </c>
      <c r="X29" s="14">
        <v>590</v>
      </c>
      <c r="Y29" s="14">
        <v>590</v>
      </c>
      <c r="Z29" s="14">
        <v>590</v>
      </c>
      <c r="AA29" s="14">
        <v>590</v>
      </c>
      <c r="AB29" s="14">
        <v>590</v>
      </c>
      <c r="AC29" s="14">
        <v>590</v>
      </c>
      <c r="AD29" s="14">
        <v>590</v>
      </c>
      <c r="AE29" s="14">
        <v>590</v>
      </c>
      <c r="AF29" s="14">
        <v>590</v>
      </c>
      <c r="AG29" s="14">
        <v>590</v>
      </c>
      <c r="AH29" s="14">
        <v>590</v>
      </c>
      <c r="AI29" s="14">
        <v>590</v>
      </c>
      <c r="AJ29" s="14">
        <v>590</v>
      </c>
      <c r="AK29" s="14">
        <v>590</v>
      </c>
      <c r="AL29" s="14">
        <v>580</v>
      </c>
      <c r="AM29" s="14">
        <v>580</v>
      </c>
      <c r="AN29" s="14">
        <v>580</v>
      </c>
      <c r="AO29" s="14">
        <v>580</v>
      </c>
      <c r="AP29" s="14">
        <v>580</v>
      </c>
      <c r="AQ29" s="14">
        <v>580</v>
      </c>
      <c r="AR29" s="14">
        <v>580</v>
      </c>
      <c r="AS29" s="14">
        <v>580</v>
      </c>
      <c r="AT29" s="14">
        <v>580</v>
      </c>
      <c r="AU29" s="14">
        <v>580</v>
      </c>
      <c r="AV29" s="14">
        <v>580</v>
      </c>
      <c r="AW29" s="14">
        <v>580</v>
      </c>
      <c r="AX29" s="14">
        <v>580</v>
      </c>
      <c r="AY29" s="14">
        <v>580</v>
      </c>
      <c r="AZ29" s="14">
        <v>580</v>
      </c>
      <c r="BA29" s="14">
        <v>580</v>
      </c>
      <c r="BB29" s="14">
        <v>580</v>
      </c>
      <c r="BC29" s="14">
        <v>580</v>
      </c>
      <c r="BD29" s="14">
        <v>580</v>
      </c>
    </row>
    <row r="30" spans="1:56" x14ac:dyDescent="0.2">
      <c r="A30" s="6">
        <v>28</v>
      </c>
      <c r="B30" s="7" t="s">
        <v>2</v>
      </c>
      <c r="C30" s="12">
        <v>0</v>
      </c>
      <c r="D30" s="12">
        <v>0</v>
      </c>
      <c r="E30" s="12">
        <v>0</v>
      </c>
      <c r="F30" s="12">
        <v>0</v>
      </c>
      <c r="G30" s="12">
        <v>0</v>
      </c>
      <c r="H30" s="12">
        <v>0</v>
      </c>
      <c r="I30" s="13">
        <v>0</v>
      </c>
      <c r="J30" s="13">
        <v>0</v>
      </c>
      <c r="K30" s="13">
        <v>0</v>
      </c>
      <c r="L30" s="13">
        <v>0</v>
      </c>
      <c r="M30" s="13">
        <v>0</v>
      </c>
      <c r="N30" s="13">
        <v>0</v>
      </c>
      <c r="O30" s="14">
        <v>0</v>
      </c>
      <c r="P30" s="14">
        <v>0</v>
      </c>
      <c r="Q30" s="14">
        <v>0</v>
      </c>
      <c r="R30" s="14">
        <v>0</v>
      </c>
      <c r="S30" s="14">
        <v>0</v>
      </c>
      <c r="T30" s="14">
        <v>0</v>
      </c>
      <c r="U30" s="14">
        <v>0</v>
      </c>
      <c r="V30" s="14">
        <v>0</v>
      </c>
      <c r="W30" s="14">
        <v>0</v>
      </c>
      <c r="X30" s="14">
        <v>0</v>
      </c>
      <c r="Y30" s="14">
        <v>0</v>
      </c>
      <c r="Z30" s="14">
        <v>0</v>
      </c>
      <c r="AA30" s="14">
        <v>0</v>
      </c>
      <c r="AB30" s="14">
        <v>0</v>
      </c>
      <c r="AC30" s="14">
        <v>0</v>
      </c>
      <c r="AD30" s="14">
        <v>0</v>
      </c>
      <c r="AE30" s="14">
        <v>0</v>
      </c>
      <c r="AF30" s="14">
        <v>0</v>
      </c>
      <c r="AG30" s="14">
        <v>0</v>
      </c>
      <c r="AH30" s="14">
        <v>0</v>
      </c>
      <c r="AI30" s="14">
        <v>0</v>
      </c>
      <c r="AJ30" s="14">
        <v>0</v>
      </c>
      <c r="AK30" s="14">
        <v>0</v>
      </c>
      <c r="AL30" s="14">
        <v>0</v>
      </c>
      <c r="AM30" s="14">
        <v>0</v>
      </c>
      <c r="AN30" s="14">
        <v>0</v>
      </c>
      <c r="AO30" s="14">
        <v>0</v>
      </c>
      <c r="AP30" s="14">
        <v>0</v>
      </c>
      <c r="AQ30" s="14">
        <v>0</v>
      </c>
      <c r="AR30" s="14">
        <v>0</v>
      </c>
      <c r="AS30" s="14">
        <v>0</v>
      </c>
      <c r="AT30" s="14">
        <v>0</v>
      </c>
      <c r="AU30" s="14">
        <v>0</v>
      </c>
      <c r="AV30" s="14">
        <v>0</v>
      </c>
      <c r="AW30" s="14">
        <v>0</v>
      </c>
      <c r="AX30" s="14">
        <v>0</v>
      </c>
      <c r="AY30" s="14">
        <v>0</v>
      </c>
      <c r="AZ30" s="14">
        <v>0</v>
      </c>
      <c r="BA30" s="14">
        <v>0</v>
      </c>
      <c r="BB30" s="14">
        <v>0</v>
      </c>
      <c r="BC30" s="14">
        <v>0</v>
      </c>
      <c r="BD30" s="14">
        <v>0</v>
      </c>
    </row>
    <row r="31" spans="1:56" x14ac:dyDescent="0.2">
      <c r="A31" s="6">
        <v>29</v>
      </c>
      <c r="B31" s="7" t="s">
        <v>3</v>
      </c>
      <c r="C31" s="12">
        <v>0</v>
      </c>
      <c r="D31" s="12">
        <v>0</v>
      </c>
      <c r="E31" s="12">
        <v>0</v>
      </c>
      <c r="F31" s="12">
        <v>0</v>
      </c>
      <c r="G31" s="12">
        <v>0</v>
      </c>
      <c r="H31" s="12">
        <v>0</v>
      </c>
      <c r="I31" s="13">
        <v>0</v>
      </c>
      <c r="J31" s="13">
        <v>0</v>
      </c>
      <c r="K31" s="13">
        <v>0</v>
      </c>
      <c r="L31" s="13">
        <v>0</v>
      </c>
      <c r="M31" s="13">
        <v>0</v>
      </c>
      <c r="N31" s="13">
        <v>0</v>
      </c>
      <c r="O31" s="14">
        <v>0</v>
      </c>
      <c r="P31" s="14">
        <v>0</v>
      </c>
      <c r="Q31" s="14">
        <v>0</v>
      </c>
      <c r="R31" s="14">
        <v>0</v>
      </c>
      <c r="S31" s="14">
        <v>0</v>
      </c>
      <c r="T31" s="14">
        <v>0</v>
      </c>
      <c r="U31" s="14">
        <v>0</v>
      </c>
      <c r="V31" s="14">
        <v>0</v>
      </c>
      <c r="W31" s="14">
        <v>0</v>
      </c>
      <c r="X31" s="14">
        <v>0</v>
      </c>
      <c r="Y31" s="14">
        <v>0</v>
      </c>
      <c r="Z31" s="14">
        <v>0</v>
      </c>
      <c r="AA31" s="14">
        <v>0</v>
      </c>
      <c r="AB31" s="14">
        <v>0</v>
      </c>
      <c r="AC31" s="14">
        <v>0</v>
      </c>
      <c r="AD31" s="14">
        <v>0</v>
      </c>
      <c r="AE31" s="14">
        <v>0</v>
      </c>
      <c r="AF31" s="14">
        <v>0</v>
      </c>
      <c r="AG31" s="14">
        <v>0</v>
      </c>
      <c r="AH31" s="14">
        <v>0</v>
      </c>
      <c r="AI31" s="14">
        <v>0</v>
      </c>
      <c r="AJ31" s="14">
        <v>0</v>
      </c>
      <c r="AK31" s="14">
        <v>0</v>
      </c>
      <c r="AL31" s="14">
        <v>0</v>
      </c>
      <c r="AM31" s="14">
        <v>0</v>
      </c>
      <c r="AN31" s="14">
        <v>0</v>
      </c>
      <c r="AO31" s="14">
        <v>0</v>
      </c>
      <c r="AP31" s="14">
        <v>0</v>
      </c>
      <c r="AQ31" s="14">
        <v>0</v>
      </c>
      <c r="AR31" s="14">
        <v>0</v>
      </c>
      <c r="AS31" s="14">
        <v>0</v>
      </c>
      <c r="AT31" s="14">
        <v>0</v>
      </c>
      <c r="AU31" s="14">
        <v>0</v>
      </c>
      <c r="AV31" s="14">
        <v>0</v>
      </c>
      <c r="AW31" s="14">
        <v>0</v>
      </c>
      <c r="AX31" s="14">
        <v>0</v>
      </c>
      <c r="AY31" s="14">
        <v>0</v>
      </c>
      <c r="AZ31" s="14">
        <v>0</v>
      </c>
      <c r="BA31" s="14">
        <v>0</v>
      </c>
      <c r="BB31" s="14">
        <v>0</v>
      </c>
      <c r="BC31" s="14">
        <v>0</v>
      </c>
      <c r="BD31" s="14">
        <v>0</v>
      </c>
    </row>
    <row r="32" spans="1:56" x14ac:dyDescent="0.2">
      <c r="A32" s="6">
        <v>30</v>
      </c>
      <c r="B32" s="7" t="s">
        <v>4</v>
      </c>
      <c r="C32" s="12">
        <v>0</v>
      </c>
      <c r="D32" s="12">
        <v>0</v>
      </c>
      <c r="E32" s="12">
        <v>0</v>
      </c>
      <c r="F32" s="12">
        <v>0</v>
      </c>
      <c r="G32" s="12">
        <v>0</v>
      </c>
      <c r="H32" s="12">
        <v>0</v>
      </c>
      <c r="I32" s="13">
        <v>0</v>
      </c>
      <c r="J32" s="13">
        <v>0</v>
      </c>
      <c r="K32" s="13">
        <v>0</v>
      </c>
      <c r="L32" s="13">
        <v>0</v>
      </c>
      <c r="M32" s="13">
        <v>0</v>
      </c>
      <c r="N32" s="13">
        <v>0</v>
      </c>
      <c r="O32" s="14">
        <v>0</v>
      </c>
      <c r="P32" s="14">
        <v>0</v>
      </c>
      <c r="Q32" s="14">
        <v>0</v>
      </c>
      <c r="R32" s="14">
        <v>0</v>
      </c>
      <c r="S32" s="14">
        <v>0</v>
      </c>
      <c r="T32" s="14">
        <v>0</v>
      </c>
      <c r="U32" s="14">
        <v>0</v>
      </c>
      <c r="V32" s="14">
        <v>0</v>
      </c>
      <c r="W32" s="14">
        <v>0</v>
      </c>
      <c r="X32" s="14">
        <v>0</v>
      </c>
      <c r="Y32" s="14">
        <v>0</v>
      </c>
      <c r="Z32" s="14">
        <v>0</v>
      </c>
      <c r="AA32" s="14">
        <v>0</v>
      </c>
      <c r="AB32" s="14">
        <v>0</v>
      </c>
      <c r="AC32" s="14">
        <v>0</v>
      </c>
      <c r="AD32" s="14">
        <v>0</v>
      </c>
      <c r="AE32" s="14">
        <v>0</v>
      </c>
      <c r="AF32" s="14">
        <v>0</v>
      </c>
      <c r="AG32" s="14">
        <v>0</v>
      </c>
      <c r="AH32" s="14">
        <v>0</v>
      </c>
      <c r="AI32" s="14">
        <v>0</v>
      </c>
      <c r="AJ32" s="14">
        <v>0</v>
      </c>
      <c r="AK32" s="14">
        <v>0</v>
      </c>
      <c r="AL32" s="14">
        <v>0</v>
      </c>
      <c r="AM32" s="14">
        <v>0</v>
      </c>
      <c r="AN32" s="14">
        <v>0</v>
      </c>
      <c r="AO32" s="14">
        <v>0</v>
      </c>
      <c r="AP32" s="14">
        <v>0</v>
      </c>
      <c r="AQ32" s="14">
        <v>0</v>
      </c>
      <c r="AR32" s="14">
        <v>0</v>
      </c>
      <c r="AS32" s="14">
        <v>0</v>
      </c>
      <c r="AT32" s="14">
        <v>0</v>
      </c>
      <c r="AU32" s="14">
        <v>0</v>
      </c>
      <c r="AV32" s="14">
        <v>0</v>
      </c>
      <c r="AW32" s="14">
        <v>0</v>
      </c>
      <c r="AX32" s="14">
        <v>0</v>
      </c>
      <c r="AY32" s="14">
        <v>0</v>
      </c>
      <c r="AZ32" s="14">
        <v>0</v>
      </c>
      <c r="BA32" s="14">
        <v>0</v>
      </c>
      <c r="BB32" s="14">
        <v>0</v>
      </c>
      <c r="BC32" s="14">
        <v>0</v>
      </c>
      <c r="BD32" s="14">
        <v>0</v>
      </c>
    </row>
    <row r="33" spans="1:56" x14ac:dyDescent="0.2">
      <c r="A33" s="6">
        <v>31</v>
      </c>
      <c r="B33" s="7" t="s">
        <v>5</v>
      </c>
      <c r="C33" s="12">
        <v>0</v>
      </c>
      <c r="D33" s="12">
        <v>0</v>
      </c>
      <c r="E33" s="12">
        <v>0</v>
      </c>
      <c r="F33" s="12">
        <v>0</v>
      </c>
      <c r="G33" s="12">
        <v>0</v>
      </c>
      <c r="H33" s="12">
        <v>0</v>
      </c>
      <c r="I33" s="13">
        <v>0</v>
      </c>
      <c r="J33" s="13">
        <v>0</v>
      </c>
      <c r="K33" s="13">
        <v>0</v>
      </c>
      <c r="L33" s="13">
        <v>0</v>
      </c>
      <c r="M33" s="13">
        <v>0</v>
      </c>
      <c r="N33" s="13">
        <v>0</v>
      </c>
      <c r="O33" s="14">
        <v>0</v>
      </c>
      <c r="P33" s="14">
        <v>0</v>
      </c>
      <c r="Q33" s="14">
        <v>0</v>
      </c>
      <c r="R33" s="14">
        <v>0</v>
      </c>
      <c r="S33" s="14">
        <v>0</v>
      </c>
      <c r="T33" s="14">
        <v>0</v>
      </c>
      <c r="U33" s="14">
        <v>0</v>
      </c>
      <c r="V33" s="14">
        <v>0</v>
      </c>
      <c r="W33" s="14">
        <v>0</v>
      </c>
      <c r="X33" s="14">
        <v>0</v>
      </c>
      <c r="Y33" s="14">
        <v>0</v>
      </c>
      <c r="Z33" s="14">
        <v>0</v>
      </c>
      <c r="AA33" s="14">
        <v>0</v>
      </c>
      <c r="AB33" s="14">
        <v>0</v>
      </c>
      <c r="AC33" s="14">
        <v>0</v>
      </c>
      <c r="AD33" s="14">
        <v>0</v>
      </c>
      <c r="AE33" s="14">
        <v>0</v>
      </c>
      <c r="AF33" s="14">
        <v>0</v>
      </c>
      <c r="AG33" s="14">
        <v>0</v>
      </c>
      <c r="AH33" s="14">
        <v>0</v>
      </c>
      <c r="AI33" s="14">
        <v>0</v>
      </c>
      <c r="AJ33" s="14">
        <v>0</v>
      </c>
      <c r="AK33" s="14">
        <v>0</v>
      </c>
      <c r="AL33" s="14">
        <v>0</v>
      </c>
      <c r="AM33" s="14">
        <v>0</v>
      </c>
      <c r="AN33" s="14">
        <v>0</v>
      </c>
      <c r="AO33" s="14">
        <v>0</v>
      </c>
      <c r="AP33" s="14">
        <v>0</v>
      </c>
      <c r="AQ33" s="14">
        <v>0</v>
      </c>
      <c r="AR33" s="14">
        <v>0</v>
      </c>
      <c r="AS33" s="14">
        <v>0</v>
      </c>
      <c r="AT33" s="14">
        <v>0</v>
      </c>
      <c r="AU33" s="14">
        <v>0</v>
      </c>
      <c r="AV33" s="14">
        <v>0</v>
      </c>
      <c r="AW33" s="14">
        <v>0</v>
      </c>
      <c r="AX33" s="14">
        <v>0</v>
      </c>
      <c r="AY33" s="14">
        <v>0</v>
      </c>
      <c r="AZ33" s="14">
        <v>0</v>
      </c>
      <c r="BA33" s="14">
        <v>0</v>
      </c>
      <c r="BB33" s="14">
        <v>0</v>
      </c>
      <c r="BC33" s="14">
        <v>0</v>
      </c>
      <c r="BD33" s="14">
        <v>0</v>
      </c>
    </row>
    <row r="34" spans="1:56" x14ac:dyDescent="0.2">
      <c r="A34" s="6">
        <v>32</v>
      </c>
      <c r="B34" s="7" t="s">
        <v>47</v>
      </c>
      <c r="C34" s="12">
        <v>6680</v>
      </c>
      <c r="D34" s="12">
        <v>6680</v>
      </c>
      <c r="E34" s="12">
        <v>6680</v>
      </c>
      <c r="F34" s="12">
        <v>6680</v>
      </c>
      <c r="G34" s="12">
        <v>7417</v>
      </c>
      <c r="H34" s="12">
        <v>7417</v>
      </c>
      <c r="I34" s="13">
        <v>7417</v>
      </c>
      <c r="J34" s="13">
        <v>7417</v>
      </c>
      <c r="K34" s="13">
        <v>7417</v>
      </c>
      <c r="L34" s="13">
        <v>7417</v>
      </c>
      <c r="M34" s="13">
        <v>7417</v>
      </c>
      <c r="N34" s="13">
        <v>7417</v>
      </c>
      <c r="O34" s="14">
        <v>7420</v>
      </c>
      <c r="P34" s="14">
        <v>7420</v>
      </c>
      <c r="Q34" s="14">
        <v>7420</v>
      </c>
      <c r="R34" s="14">
        <v>7420</v>
      </c>
      <c r="S34" s="14">
        <v>7420</v>
      </c>
      <c r="T34" s="14">
        <v>7420</v>
      </c>
      <c r="U34" s="14">
        <v>7420</v>
      </c>
      <c r="V34" s="14">
        <v>7420</v>
      </c>
      <c r="W34" s="14">
        <v>7420</v>
      </c>
      <c r="X34" s="14">
        <v>7420</v>
      </c>
      <c r="Y34" s="14">
        <v>7420</v>
      </c>
      <c r="Z34" s="14">
        <v>7420</v>
      </c>
      <c r="AA34" s="14">
        <v>7420</v>
      </c>
      <c r="AB34" s="14">
        <v>7420</v>
      </c>
      <c r="AC34" s="14">
        <v>7420</v>
      </c>
      <c r="AD34" s="14">
        <v>7420</v>
      </c>
      <c r="AE34" s="14">
        <v>7420</v>
      </c>
      <c r="AF34" s="14">
        <v>7420</v>
      </c>
      <c r="AG34" s="14">
        <v>7420</v>
      </c>
      <c r="AH34" s="14">
        <v>7420</v>
      </c>
      <c r="AI34" s="14">
        <v>7420</v>
      </c>
      <c r="AJ34" s="14">
        <v>7420</v>
      </c>
      <c r="AK34" s="14">
        <v>7420</v>
      </c>
      <c r="AL34" s="14">
        <v>7420</v>
      </c>
      <c r="AM34" s="14">
        <v>7420</v>
      </c>
      <c r="AN34" s="14">
        <v>7420</v>
      </c>
      <c r="AO34" s="14">
        <v>7420</v>
      </c>
      <c r="AP34" s="14">
        <v>7420</v>
      </c>
      <c r="AQ34" s="14">
        <v>7420</v>
      </c>
      <c r="AR34" s="14">
        <v>7420</v>
      </c>
      <c r="AS34" s="14">
        <v>7420</v>
      </c>
      <c r="AT34" s="14">
        <v>7420</v>
      </c>
      <c r="AU34" s="14">
        <v>7420</v>
      </c>
      <c r="AV34" s="14">
        <v>7420</v>
      </c>
      <c r="AW34" s="14">
        <v>7420</v>
      </c>
      <c r="AX34" s="14">
        <v>7420</v>
      </c>
      <c r="AY34" s="14">
        <v>7420</v>
      </c>
      <c r="AZ34" s="14">
        <v>7420</v>
      </c>
      <c r="BA34" s="14">
        <v>7420</v>
      </c>
      <c r="BB34" s="14">
        <v>7420</v>
      </c>
      <c r="BC34" s="14">
        <v>7420</v>
      </c>
      <c r="BD34" s="14">
        <v>7420</v>
      </c>
    </row>
    <row r="35" spans="1:56" s="10" customFormat="1" x14ac:dyDescent="0.2">
      <c r="A35" s="6">
        <v>33</v>
      </c>
      <c r="B35" s="7" t="s">
        <v>48</v>
      </c>
      <c r="C35" s="9">
        <v>6020</v>
      </c>
      <c r="D35" s="9">
        <v>6020</v>
      </c>
      <c r="E35" s="9">
        <v>6020</v>
      </c>
      <c r="F35" s="9">
        <v>6020</v>
      </c>
      <c r="G35" s="9">
        <v>6020</v>
      </c>
      <c r="H35" s="9">
        <v>6020</v>
      </c>
      <c r="I35" s="10">
        <v>6020</v>
      </c>
      <c r="J35" s="10">
        <v>6020</v>
      </c>
      <c r="K35" s="10">
        <v>6020</v>
      </c>
      <c r="L35" s="10">
        <v>6020</v>
      </c>
      <c r="M35" s="10">
        <v>6020</v>
      </c>
      <c r="N35" s="10">
        <v>6020</v>
      </c>
      <c r="O35" s="10">
        <v>6025</v>
      </c>
      <c r="P35" s="10">
        <v>6025</v>
      </c>
      <c r="Q35" s="10">
        <v>6025</v>
      </c>
      <c r="R35" s="10">
        <v>6025</v>
      </c>
      <c r="S35" s="10">
        <v>6025</v>
      </c>
      <c r="T35" s="10">
        <v>6025</v>
      </c>
      <c r="U35" s="10">
        <v>6025</v>
      </c>
      <c r="V35" s="10">
        <v>6025</v>
      </c>
      <c r="W35" s="7">
        <v>6025</v>
      </c>
      <c r="X35" s="7">
        <v>6025</v>
      </c>
      <c r="Y35" s="7">
        <v>6025</v>
      </c>
      <c r="Z35" s="7">
        <v>6025</v>
      </c>
      <c r="AA35" s="7">
        <v>6025</v>
      </c>
      <c r="AB35" s="7">
        <v>6025</v>
      </c>
      <c r="AC35" s="7">
        <v>6025</v>
      </c>
      <c r="AD35" s="7">
        <v>6025</v>
      </c>
      <c r="AE35" s="7">
        <v>6025</v>
      </c>
      <c r="AF35" s="7">
        <v>6025</v>
      </c>
      <c r="AG35" s="7">
        <v>6025</v>
      </c>
      <c r="AH35" s="7">
        <v>6025</v>
      </c>
      <c r="AI35" s="7">
        <v>6025</v>
      </c>
      <c r="AJ35" s="7">
        <v>6025</v>
      </c>
      <c r="AK35" s="7">
        <v>6025</v>
      </c>
      <c r="AL35" s="7">
        <v>6025</v>
      </c>
      <c r="AM35" s="7">
        <v>6025</v>
      </c>
      <c r="AN35" s="7">
        <v>6025</v>
      </c>
      <c r="AO35" s="7">
        <v>6025</v>
      </c>
      <c r="AP35" s="7">
        <v>6025</v>
      </c>
      <c r="AQ35" s="7">
        <v>6025</v>
      </c>
      <c r="AR35" s="7">
        <v>6025</v>
      </c>
      <c r="AS35" s="7">
        <v>6025</v>
      </c>
      <c r="AT35" s="7">
        <v>6025</v>
      </c>
      <c r="AU35" s="7">
        <v>6025</v>
      </c>
      <c r="AV35" s="7">
        <v>6025</v>
      </c>
      <c r="AW35" s="7">
        <v>6025</v>
      </c>
      <c r="AX35" s="7">
        <v>6025</v>
      </c>
      <c r="AY35" s="7">
        <v>6025</v>
      </c>
      <c r="AZ35" s="7">
        <v>6025</v>
      </c>
      <c r="BA35" s="7">
        <v>6025</v>
      </c>
      <c r="BB35" s="7">
        <v>6025</v>
      </c>
      <c r="BC35" s="7">
        <v>6025</v>
      </c>
      <c r="BD35" s="7">
        <v>6025</v>
      </c>
    </row>
    <row r="36" spans="1:56" s="10" customFormat="1" x14ac:dyDescent="0.2">
      <c r="A36" s="6">
        <v>34</v>
      </c>
      <c r="B36" s="7" t="s">
        <v>49</v>
      </c>
      <c r="C36" s="9">
        <v>178</v>
      </c>
      <c r="D36" s="9">
        <v>178</v>
      </c>
      <c r="E36" s="9">
        <v>178</v>
      </c>
      <c r="F36" s="9">
        <v>178</v>
      </c>
      <c r="G36" s="9">
        <v>178</v>
      </c>
      <c r="H36" s="9">
        <v>178</v>
      </c>
      <c r="I36" s="10">
        <v>178</v>
      </c>
      <c r="J36" s="10">
        <v>178</v>
      </c>
      <c r="K36" s="10">
        <v>178</v>
      </c>
      <c r="L36" s="10">
        <v>178</v>
      </c>
      <c r="M36" s="10">
        <v>178</v>
      </c>
      <c r="N36" s="10">
        <v>178</v>
      </c>
      <c r="O36" s="10">
        <v>178</v>
      </c>
      <c r="P36" s="10">
        <v>178</v>
      </c>
      <c r="Q36" s="10">
        <v>178</v>
      </c>
      <c r="R36" s="10">
        <v>178</v>
      </c>
      <c r="S36" s="10">
        <v>178</v>
      </c>
      <c r="T36" s="10">
        <v>178</v>
      </c>
      <c r="U36" s="10">
        <v>178</v>
      </c>
      <c r="V36" s="10">
        <v>178</v>
      </c>
      <c r="W36" s="7">
        <v>178</v>
      </c>
      <c r="X36" s="7">
        <v>178</v>
      </c>
      <c r="Y36" s="7">
        <v>178</v>
      </c>
      <c r="Z36" s="7">
        <v>178</v>
      </c>
      <c r="AA36" s="7">
        <v>178</v>
      </c>
      <c r="AB36" s="7">
        <v>178</v>
      </c>
      <c r="AC36" s="7">
        <v>178</v>
      </c>
      <c r="AD36" s="7">
        <v>178</v>
      </c>
      <c r="AE36" s="7">
        <v>178</v>
      </c>
      <c r="AF36" s="7">
        <v>178</v>
      </c>
      <c r="AG36" s="7">
        <v>178</v>
      </c>
      <c r="AH36" s="7">
        <v>178</v>
      </c>
      <c r="AI36" s="7">
        <v>178</v>
      </c>
      <c r="AJ36" s="7">
        <v>178</v>
      </c>
      <c r="AK36" s="7">
        <v>178</v>
      </c>
      <c r="AL36" s="7">
        <v>178</v>
      </c>
      <c r="AM36" s="7">
        <v>178</v>
      </c>
      <c r="AN36" s="7">
        <v>178</v>
      </c>
      <c r="AO36" s="7">
        <v>178</v>
      </c>
      <c r="AP36" s="7">
        <v>178</v>
      </c>
      <c r="AQ36" s="7">
        <v>178</v>
      </c>
      <c r="AR36" s="7">
        <v>178</v>
      </c>
      <c r="AS36" s="7">
        <v>178</v>
      </c>
      <c r="AT36" s="7">
        <v>178</v>
      </c>
      <c r="AU36" s="7">
        <v>178</v>
      </c>
      <c r="AV36" s="7">
        <v>178</v>
      </c>
      <c r="AW36" s="7">
        <v>178</v>
      </c>
      <c r="AX36" s="7">
        <v>178</v>
      </c>
      <c r="AY36" s="7">
        <v>178</v>
      </c>
      <c r="AZ36" s="7">
        <v>178</v>
      </c>
      <c r="BA36" s="7">
        <v>178</v>
      </c>
      <c r="BB36" s="7">
        <v>178</v>
      </c>
      <c r="BC36" s="7">
        <v>178</v>
      </c>
      <c r="BD36" s="7">
        <v>178</v>
      </c>
    </row>
    <row r="37" spans="1:56" s="10" customFormat="1" x14ac:dyDescent="0.2">
      <c r="A37" s="6">
        <v>35</v>
      </c>
      <c r="B37" s="7" t="s">
        <v>50</v>
      </c>
      <c r="C37" s="9">
        <v>-3</v>
      </c>
      <c r="D37" s="9">
        <v>-3</v>
      </c>
      <c r="E37" s="9">
        <v>-3</v>
      </c>
      <c r="F37" s="9">
        <v>-3</v>
      </c>
      <c r="G37" s="9">
        <v>-3</v>
      </c>
      <c r="H37" s="9">
        <v>-3</v>
      </c>
      <c r="I37" s="10">
        <v>-3</v>
      </c>
      <c r="J37" s="10">
        <v>-3</v>
      </c>
      <c r="K37" s="10">
        <v>-3</v>
      </c>
      <c r="L37" s="10">
        <v>-3</v>
      </c>
      <c r="M37" s="10">
        <v>-3</v>
      </c>
      <c r="N37" s="10">
        <v>-3</v>
      </c>
      <c r="O37" s="7" t="s">
        <v>193</v>
      </c>
      <c r="P37" s="7" t="s">
        <v>193</v>
      </c>
      <c r="Q37" s="7" t="s">
        <v>193</v>
      </c>
      <c r="R37" s="7" t="s">
        <v>193</v>
      </c>
      <c r="S37" s="7" t="s">
        <v>193</v>
      </c>
      <c r="T37" s="7" t="s">
        <v>193</v>
      </c>
      <c r="U37" s="7" t="s">
        <v>193</v>
      </c>
      <c r="V37" s="7" t="s">
        <v>193</v>
      </c>
      <c r="W37" s="7" t="s">
        <v>193</v>
      </c>
      <c r="X37" s="7" t="s">
        <v>193</v>
      </c>
      <c r="Y37" s="7" t="s">
        <v>193</v>
      </c>
      <c r="Z37" s="7" t="s">
        <v>193</v>
      </c>
      <c r="AA37" s="7" t="s">
        <v>193</v>
      </c>
      <c r="AB37" s="7" t="s">
        <v>193</v>
      </c>
      <c r="AC37" s="7" t="s">
        <v>193</v>
      </c>
      <c r="AD37" s="7" t="s">
        <v>193</v>
      </c>
      <c r="AE37" s="7" t="s">
        <v>193</v>
      </c>
      <c r="AF37" s="7" t="s">
        <v>193</v>
      </c>
      <c r="AG37" s="7" t="s">
        <v>193</v>
      </c>
      <c r="AH37" s="7" t="s">
        <v>193</v>
      </c>
      <c r="AI37" s="7" t="s">
        <v>193</v>
      </c>
      <c r="AJ37" s="7" t="s">
        <v>193</v>
      </c>
      <c r="AK37" s="7" t="s">
        <v>193</v>
      </c>
      <c r="AL37" s="7" t="s">
        <v>193</v>
      </c>
      <c r="AM37" s="7" t="s">
        <v>193</v>
      </c>
      <c r="AN37" s="7" t="s">
        <v>193</v>
      </c>
      <c r="AO37" s="7" t="s">
        <v>193</v>
      </c>
      <c r="AP37" s="7" t="s">
        <v>193</v>
      </c>
      <c r="AQ37" s="7" t="s">
        <v>193</v>
      </c>
      <c r="AR37" s="7" t="s">
        <v>193</v>
      </c>
      <c r="AS37" s="7" t="s">
        <v>193</v>
      </c>
      <c r="AT37" s="7" t="s">
        <v>193</v>
      </c>
      <c r="AU37" s="7" t="s">
        <v>193</v>
      </c>
      <c r="AV37" s="7" t="s">
        <v>193</v>
      </c>
      <c r="AW37" s="7" t="s">
        <v>193</v>
      </c>
      <c r="AX37" s="7" t="s">
        <v>193</v>
      </c>
      <c r="AY37" s="7" t="s">
        <v>193</v>
      </c>
      <c r="AZ37" s="7" t="s">
        <v>193</v>
      </c>
      <c r="BA37" s="7" t="s">
        <v>193</v>
      </c>
      <c r="BB37" s="7" t="s">
        <v>193</v>
      </c>
      <c r="BC37" s="7" t="s">
        <v>193</v>
      </c>
      <c r="BD37" s="7" t="s">
        <v>193</v>
      </c>
    </row>
    <row r="38" spans="1:56" s="10" customFormat="1" x14ac:dyDescent="0.2">
      <c r="A38" s="6">
        <v>36</v>
      </c>
      <c r="B38" s="7" t="s">
        <v>51</v>
      </c>
      <c r="C38" s="9">
        <v>770</v>
      </c>
      <c r="D38" s="9">
        <v>770</v>
      </c>
      <c r="E38" s="9">
        <v>770</v>
      </c>
      <c r="F38" s="9">
        <v>770</v>
      </c>
      <c r="G38" s="9">
        <v>770</v>
      </c>
      <c r="H38" s="9">
        <v>770</v>
      </c>
      <c r="I38" s="10">
        <v>770</v>
      </c>
      <c r="J38" s="10">
        <v>770</v>
      </c>
      <c r="K38" s="10">
        <v>770</v>
      </c>
      <c r="L38" s="10">
        <v>770</v>
      </c>
      <c r="M38" s="10">
        <v>770</v>
      </c>
      <c r="N38" s="10">
        <v>770</v>
      </c>
      <c r="O38" s="7" t="s">
        <v>193</v>
      </c>
      <c r="P38" s="7" t="s">
        <v>193</v>
      </c>
      <c r="Q38" s="7" t="s">
        <v>193</v>
      </c>
      <c r="R38" s="7" t="s">
        <v>193</v>
      </c>
      <c r="S38" s="7" t="s">
        <v>193</v>
      </c>
      <c r="T38" s="7" t="s">
        <v>193</v>
      </c>
      <c r="U38" s="7" t="s">
        <v>193</v>
      </c>
      <c r="V38" s="7" t="s">
        <v>193</v>
      </c>
      <c r="W38" s="7" t="s">
        <v>193</v>
      </c>
      <c r="X38" s="7">
        <v>77900</v>
      </c>
      <c r="Y38" s="7">
        <v>77900</v>
      </c>
      <c r="Z38" s="7">
        <v>77900</v>
      </c>
      <c r="AA38" s="7">
        <v>77900</v>
      </c>
      <c r="AB38" s="7">
        <v>77900</v>
      </c>
      <c r="AC38" s="7">
        <v>77900</v>
      </c>
      <c r="AD38" s="7">
        <v>77900</v>
      </c>
      <c r="AE38" s="7">
        <v>77900</v>
      </c>
      <c r="AF38" s="7">
        <v>77900</v>
      </c>
      <c r="AG38" s="7">
        <v>77900</v>
      </c>
      <c r="AH38" s="7">
        <v>77900</v>
      </c>
      <c r="AI38" s="7">
        <v>77900</v>
      </c>
      <c r="AJ38" s="7">
        <v>77900</v>
      </c>
      <c r="AK38" s="7">
        <v>69645630</v>
      </c>
      <c r="AL38" s="7">
        <v>77900</v>
      </c>
      <c r="AM38" s="33">
        <v>96561090</v>
      </c>
      <c r="AN38" s="33">
        <v>96561090</v>
      </c>
      <c r="AO38" s="33">
        <v>96561090</v>
      </c>
      <c r="AP38" s="33">
        <v>96561090</v>
      </c>
      <c r="AQ38" s="7">
        <v>58140796</v>
      </c>
      <c r="AR38" s="7">
        <v>58140796</v>
      </c>
      <c r="AS38" s="7">
        <v>77900</v>
      </c>
      <c r="AT38" s="7">
        <v>67397790</v>
      </c>
      <c r="AU38" s="7">
        <v>67397790</v>
      </c>
      <c r="AV38" s="7">
        <v>67397790</v>
      </c>
      <c r="AW38" s="7">
        <v>67397790</v>
      </c>
      <c r="AX38" s="7">
        <v>67397790</v>
      </c>
      <c r="AY38" s="7">
        <v>67397790</v>
      </c>
      <c r="AZ38" s="7">
        <v>67397790</v>
      </c>
      <c r="BA38" s="7">
        <v>67397790</v>
      </c>
      <c r="BB38" s="7">
        <v>67397790</v>
      </c>
      <c r="BC38" s="7">
        <v>67397790</v>
      </c>
      <c r="BD38" s="7">
        <v>67397790</v>
      </c>
    </row>
    <row r="39" spans="1:56" s="10" customFormat="1" x14ac:dyDescent="0.2">
      <c r="A39" s="6">
        <v>37</v>
      </c>
      <c r="B39" s="7" t="s">
        <v>52</v>
      </c>
      <c r="C39" s="9">
        <v>740</v>
      </c>
      <c r="D39" s="9">
        <v>740</v>
      </c>
      <c r="E39" s="9">
        <v>740</v>
      </c>
      <c r="F39" s="9">
        <v>740</v>
      </c>
      <c r="G39" s="9">
        <v>740</v>
      </c>
      <c r="H39" s="9">
        <v>740</v>
      </c>
      <c r="I39" s="10">
        <v>740</v>
      </c>
      <c r="J39" s="10">
        <v>740</v>
      </c>
      <c r="K39" s="10">
        <v>740</v>
      </c>
      <c r="L39" s="10">
        <v>740</v>
      </c>
      <c r="M39" s="10">
        <v>740</v>
      </c>
      <c r="N39" s="10">
        <v>740</v>
      </c>
      <c r="O39" s="7" t="s">
        <v>193</v>
      </c>
      <c r="P39" s="7" t="s">
        <v>193</v>
      </c>
      <c r="Q39" s="7" t="s">
        <v>193</v>
      </c>
      <c r="R39" s="7" t="s">
        <v>193</v>
      </c>
      <c r="S39" s="7" t="s">
        <v>193</v>
      </c>
      <c r="T39" s="7" t="s">
        <v>193</v>
      </c>
      <c r="U39" s="7" t="s">
        <v>193</v>
      </c>
      <c r="V39" s="7" t="s">
        <v>193</v>
      </c>
      <c r="W39" s="7" t="s">
        <v>193</v>
      </c>
      <c r="X39" s="7">
        <v>76950</v>
      </c>
      <c r="Y39" s="7">
        <v>76950</v>
      </c>
      <c r="Z39" s="7">
        <v>76950</v>
      </c>
      <c r="AA39" s="7">
        <v>76950</v>
      </c>
      <c r="AB39" s="7">
        <v>76950</v>
      </c>
      <c r="AC39" s="7">
        <v>76950</v>
      </c>
      <c r="AD39" s="7">
        <v>76950</v>
      </c>
      <c r="AE39" s="7">
        <v>76950</v>
      </c>
      <c r="AF39" s="7">
        <v>76950</v>
      </c>
      <c r="AG39" s="7">
        <v>76950</v>
      </c>
      <c r="AH39" s="7">
        <v>76950</v>
      </c>
      <c r="AI39" s="7">
        <v>76950</v>
      </c>
      <c r="AJ39" s="7">
        <v>76950</v>
      </c>
      <c r="AK39" s="7">
        <v>56111327</v>
      </c>
      <c r="AL39" s="7">
        <v>76950</v>
      </c>
      <c r="AM39" s="33">
        <v>79270285</v>
      </c>
      <c r="AN39" s="33">
        <v>79270285</v>
      </c>
      <c r="AO39" s="33">
        <v>79270285</v>
      </c>
      <c r="AP39" s="33">
        <v>79270285</v>
      </c>
      <c r="AQ39" s="7">
        <v>46284770</v>
      </c>
      <c r="AR39" s="7">
        <v>46284770</v>
      </c>
      <c r="AS39" s="7">
        <v>76950</v>
      </c>
      <c r="AT39" s="7">
        <v>54644647</v>
      </c>
      <c r="AU39" s="7">
        <v>54644647</v>
      </c>
      <c r="AV39" s="7">
        <v>54644647</v>
      </c>
      <c r="AW39" s="7">
        <v>54644647</v>
      </c>
      <c r="AX39" s="7">
        <v>54644647</v>
      </c>
      <c r="AY39" s="7">
        <v>54644647</v>
      </c>
      <c r="AZ39" s="7">
        <v>54644647</v>
      </c>
      <c r="BA39" s="7">
        <v>54644647</v>
      </c>
      <c r="BB39" s="7">
        <v>54644647</v>
      </c>
      <c r="BC39" s="7">
        <v>54644647</v>
      </c>
      <c r="BD39" s="7">
        <v>54644647</v>
      </c>
    </row>
    <row r="40" spans="1:56" s="10" customFormat="1" x14ac:dyDescent="0.2">
      <c r="A40" s="6">
        <v>38</v>
      </c>
      <c r="B40" s="7" t="s">
        <v>53</v>
      </c>
      <c r="C40" s="9">
        <v>8028</v>
      </c>
      <c r="D40" s="9">
        <v>8028</v>
      </c>
      <c r="E40" s="9">
        <v>8028</v>
      </c>
      <c r="F40" s="9">
        <v>8028</v>
      </c>
      <c r="G40" s="9">
        <v>8028</v>
      </c>
      <c r="H40" s="9">
        <v>8028</v>
      </c>
      <c r="I40" s="10">
        <v>8028</v>
      </c>
      <c r="J40" s="10">
        <v>8028</v>
      </c>
      <c r="K40" s="10">
        <v>8028</v>
      </c>
      <c r="L40" s="10">
        <v>8028</v>
      </c>
      <c r="M40" s="10">
        <v>8028</v>
      </c>
      <c r="N40" s="10">
        <v>8028</v>
      </c>
      <c r="O40" s="7" t="s">
        <v>193</v>
      </c>
      <c r="P40" s="7" t="s">
        <v>193</v>
      </c>
      <c r="Q40" s="7" t="s">
        <v>193</v>
      </c>
      <c r="R40" s="7" t="s">
        <v>193</v>
      </c>
      <c r="S40" s="7" t="s">
        <v>193</v>
      </c>
      <c r="T40" s="7" t="s">
        <v>193</v>
      </c>
      <c r="U40" s="7" t="s">
        <v>193</v>
      </c>
      <c r="V40" s="7" t="s">
        <v>193</v>
      </c>
      <c r="W40" s="7" t="s">
        <v>193</v>
      </c>
      <c r="X40" s="7">
        <v>79050</v>
      </c>
      <c r="Y40" s="7">
        <v>79050</v>
      </c>
      <c r="Z40" s="7">
        <v>79050</v>
      </c>
      <c r="AA40" s="7">
        <v>79050</v>
      </c>
      <c r="AB40" s="7">
        <v>79050</v>
      </c>
      <c r="AC40" s="7">
        <v>79050</v>
      </c>
      <c r="AD40" s="7">
        <v>79050</v>
      </c>
      <c r="AE40" s="7">
        <v>79050</v>
      </c>
      <c r="AF40" s="7">
        <v>79050</v>
      </c>
      <c r="AG40" s="7">
        <v>79050</v>
      </c>
      <c r="AH40" s="7">
        <v>79050</v>
      </c>
      <c r="AI40" s="7">
        <v>79050</v>
      </c>
      <c r="AJ40" s="7">
        <v>79050</v>
      </c>
      <c r="AK40" s="7">
        <v>91373268</v>
      </c>
      <c r="AL40" s="7">
        <v>79050</v>
      </c>
      <c r="AM40" s="33">
        <v>130698216</v>
      </c>
      <c r="AN40" s="33">
        <v>130698216</v>
      </c>
      <c r="AO40" s="33">
        <v>130698216</v>
      </c>
      <c r="AP40" s="33">
        <v>130698216</v>
      </c>
      <c r="AQ40" s="7">
        <v>75016462</v>
      </c>
      <c r="AR40" s="7">
        <v>75016462</v>
      </c>
      <c r="AS40" s="7">
        <v>79050</v>
      </c>
      <c r="AT40" s="7">
        <v>88722733</v>
      </c>
      <c r="AU40" s="7">
        <v>88722733</v>
      </c>
      <c r="AV40" s="7">
        <v>88722733</v>
      </c>
      <c r="AW40" s="7">
        <v>88722733</v>
      </c>
      <c r="AX40" s="7">
        <v>88722733</v>
      </c>
      <c r="AY40" s="7">
        <v>88722733</v>
      </c>
      <c r="AZ40" s="7">
        <v>88722733</v>
      </c>
      <c r="BA40" s="7">
        <v>88722733</v>
      </c>
      <c r="BB40" s="7">
        <v>88722733</v>
      </c>
      <c r="BC40" s="7">
        <v>88722733</v>
      </c>
      <c r="BD40" s="7">
        <v>88722733</v>
      </c>
    </row>
    <row r="41" spans="1:56" s="10" customFormat="1" x14ac:dyDescent="0.2">
      <c r="A41" s="6">
        <v>39</v>
      </c>
      <c r="B41" s="7" t="s">
        <v>54</v>
      </c>
      <c r="C41" s="9">
        <v>242</v>
      </c>
      <c r="D41" s="9">
        <v>242</v>
      </c>
      <c r="E41" s="9">
        <v>242</v>
      </c>
      <c r="F41" s="9">
        <v>242</v>
      </c>
      <c r="G41" s="9">
        <v>242</v>
      </c>
      <c r="H41" s="9">
        <v>242</v>
      </c>
      <c r="I41" s="10">
        <v>242</v>
      </c>
      <c r="J41" s="10">
        <v>242</v>
      </c>
      <c r="K41" s="10">
        <v>242</v>
      </c>
      <c r="L41" s="10">
        <v>242</v>
      </c>
      <c r="M41" s="10">
        <v>242</v>
      </c>
      <c r="N41" s="10">
        <v>242</v>
      </c>
      <c r="O41" s="7" t="s">
        <v>193</v>
      </c>
      <c r="P41" s="7" t="s">
        <v>193</v>
      </c>
      <c r="Q41" s="7" t="s">
        <v>193</v>
      </c>
      <c r="R41" s="7" t="s">
        <v>193</v>
      </c>
      <c r="S41" s="7" t="s">
        <v>193</v>
      </c>
      <c r="T41" s="7" t="s">
        <v>193</v>
      </c>
      <c r="U41" s="7" t="s">
        <v>193</v>
      </c>
      <c r="V41" s="7" t="s">
        <v>193</v>
      </c>
      <c r="W41" s="7" t="s">
        <v>193</v>
      </c>
      <c r="X41" s="7">
        <v>79200</v>
      </c>
      <c r="Y41" s="7">
        <v>79200</v>
      </c>
      <c r="Z41" s="7">
        <v>79200</v>
      </c>
      <c r="AA41" s="7">
        <v>79200</v>
      </c>
      <c r="AB41" s="7">
        <v>79200</v>
      </c>
      <c r="AC41" s="7">
        <v>79200</v>
      </c>
      <c r="AD41" s="7">
        <v>79200</v>
      </c>
      <c r="AE41" s="7">
        <v>79200</v>
      </c>
      <c r="AF41" s="7">
        <v>79200</v>
      </c>
      <c r="AG41" s="7">
        <v>79200</v>
      </c>
      <c r="AH41" s="7">
        <v>79200</v>
      </c>
      <c r="AI41" s="7">
        <v>79200</v>
      </c>
      <c r="AJ41" s="7">
        <v>79200</v>
      </c>
      <c r="AK41" s="7">
        <v>95080210</v>
      </c>
      <c r="AL41" s="7">
        <v>79200</v>
      </c>
      <c r="AM41" s="33">
        <v>138545584</v>
      </c>
      <c r="AN41" s="33">
        <v>138545584</v>
      </c>
      <c r="AO41" s="33">
        <v>138545584</v>
      </c>
      <c r="AP41" s="33">
        <v>138545584</v>
      </c>
      <c r="AQ41" s="7">
        <v>77963618</v>
      </c>
      <c r="AR41" s="7">
        <v>77963618</v>
      </c>
      <c r="AS41" s="7">
        <v>79200</v>
      </c>
      <c r="AT41" s="7">
        <v>92846918</v>
      </c>
      <c r="AU41" s="7">
        <v>92846918</v>
      </c>
      <c r="AV41" s="7">
        <v>92846918</v>
      </c>
      <c r="AW41" s="7">
        <v>92846918</v>
      </c>
      <c r="AX41" s="7">
        <v>92846918</v>
      </c>
      <c r="AY41" s="7">
        <v>92846918</v>
      </c>
      <c r="AZ41" s="7">
        <v>92846918</v>
      </c>
      <c r="BA41" s="7">
        <v>92846918</v>
      </c>
      <c r="BB41" s="7">
        <v>92846918</v>
      </c>
      <c r="BC41" s="7">
        <v>92846918</v>
      </c>
      <c r="BD41" s="7">
        <v>92846918</v>
      </c>
    </row>
    <row r="42" spans="1:56" s="10" customFormat="1" x14ac:dyDescent="0.2">
      <c r="A42" s="6">
        <v>40</v>
      </c>
      <c r="B42" s="7" t="s">
        <v>55</v>
      </c>
      <c r="C42" s="9">
        <v>2512</v>
      </c>
      <c r="D42" s="9">
        <v>2512</v>
      </c>
      <c r="E42" s="9">
        <v>2512</v>
      </c>
      <c r="F42" s="9">
        <v>2512</v>
      </c>
      <c r="G42" s="9">
        <v>2512</v>
      </c>
      <c r="H42" s="9">
        <v>2512</v>
      </c>
      <c r="I42" s="10">
        <v>2512</v>
      </c>
      <c r="J42" s="10">
        <v>2512</v>
      </c>
      <c r="K42" s="10">
        <v>2512</v>
      </c>
      <c r="L42" s="10">
        <v>2512</v>
      </c>
      <c r="M42" s="10">
        <v>2512</v>
      </c>
      <c r="N42" s="10">
        <v>2512</v>
      </c>
      <c r="O42" s="7" t="s">
        <v>193</v>
      </c>
      <c r="P42" s="7" t="s">
        <v>193</v>
      </c>
      <c r="Q42" s="7" t="s">
        <v>193</v>
      </c>
      <c r="R42" s="7" t="s">
        <v>193</v>
      </c>
      <c r="S42" s="7" t="s">
        <v>193</v>
      </c>
      <c r="T42" s="7" t="s">
        <v>193</v>
      </c>
      <c r="U42" s="7" t="s">
        <v>193</v>
      </c>
      <c r="V42" s="7" t="s">
        <v>193</v>
      </c>
      <c r="W42" s="7" t="s">
        <v>193</v>
      </c>
      <c r="X42" s="7">
        <v>79540</v>
      </c>
      <c r="Y42" s="7">
        <v>79540</v>
      </c>
      <c r="Z42" s="7">
        <v>79540</v>
      </c>
      <c r="AA42" s="7">
        <v>79540</v>
      </c>
      <c r="AB42" s="7">
        <v>79540</v>
      </c>
      <c r="AC42" s="7">
        <v>79540</v>
      </c>
      <c r="AD42" s="7">
        <v>79540</v>
      </c>
      <c r="AE42" s="7">
        <v>79540</v>
      </c>
      <c r="AF42" s="7">
        <v>79540</v>
      </c>
      <c r="AG42" s="7">
        <v>79540</v>
      </c>
      <c r="AH42" s="7">
        <v>79540</v>
      </c>
      <c r="AI42" s="7">
        <v>79540</v>
      </c>
      <c r="AJ42" s="7">
        <v>79540</v>
      </c>
      <c r="AK42" s="7">
        <v>103267618</v>
      </c>
      <c r="AL42" s="7">
        <v>79540</v>
      </c>
      <c r="AM42" s="33">
        <v>152806234</v>
      </c>
      <c r="AN42" s="33">
        <v>152806234</v>
      </c>
      <c r="AO42" s="33">
        <v>152806234</v>
      </c>
      <c r="AP42" s="33">
        <v>152806234</v>
      </c>
      <c r="AQ42" s="7">
        <v>84906500</v>
      </c>
      <c r="AR42" s="7">
        <v>84906500</v>
      </c>
      <c r="AS42" s="7">
        <v>79540</v>
      </c>
      <c r="AT42" s="7">
        <v>100533789</v>
      </c>
      <c r="AU42" s="7">
        <v>100533789</v>
      </c>
      <c r="AV42" s="7">
        <v>100533789</v>
      </c>
      <c r="AW42" s="7">
        <v>100533789</v>
      </c>
      <c r="AX42" s="7">
        <v>100533789</v>
      </c>
      <c r="AY42" s="7">
        <v>100533789</v>
      </c>
      <c r="AZ42" s="7">
        <v>100533789</v>
      </c>
      <c r="BA42" s="7">
        <v>100533789</v>
      </c>
      <c r="BB42" s="7">
        <v>100533789</v>
      </c>
      <c r="BC42" s="7">
        <v>100533789</v>
      </c>
      <c r="BD42" s="7">
        <v>100533789</v>
      </c>
    </row>
    <row r="43" spans="1:56" x14ac:dyDescent="0.2">
      <c r="A43" s="6">
        <v>41</v>
      </c>
      <c r="B43" s="7" t="s">
        <v>56</v>
      </c>
      <c r="C43" s="12">
        <v>0.99760000000000004</v>
      </c>
      <c r="D43" s="12">
        <v>0.99760000000000004</v>
      </c>
      <c r="E43" s="12">
        <v>0.99760000000000004</v>
      </c>
      <c r="F43" s="12">
        <v>0.99760000000000004</v>
      </c>
      <c r="G43" s="12">
        <v>0.99760000000000004</v>
      </c>
      <c r="H43" s="12">
        <v>0.998</v>
      </c>
      <c r="I43" s="13">
        <v>0.998</v>
      </c>
      <c r="J43" s="13">
        <v>0.998</v>
      </c>
      <c r="K43" s="13">
        <v>0.998</v>
      </c>
      <c r="L43" s="13">
        <v>0.998</v>
      </c>
      <c r="M43" s="13">
        <v>0.998</v>
      </c>
      <c r="N43" s="13">
        <v>0.998</v>
      </c>
      <c r="O43" s="14">
        <v>0.998</v>
      </c>
      <c r="P43" s="14">
        <v>0.998</v>
      </c>
      <c r="Q43" s="14">
        <v>0.998</v>
      </c>
      <c r="R43" s="14">
        <v>0.998</v>
      </c>
      <c r="S43" s="14">
        <v>0.998</v>
      </c>
      <c r="T43" s="14">
        <v>0.998</v>
      </c>
      <c r="U43" s="14">
        <v>0.998</v>
      </c>
      <c r="V43" s="14">
        <v>0.998</v>
      </c>
      <c r="W43" s="14">
        <v>0.998</v>
      </c>
      <c r="X43" s="14">
        <v>0.998</v>
      </c>
      <c r="Y43" s="14">
        <v>0.998</v>
      </c>
      <c r="Z43" s="14">
        <v>0.998</v>
      </c>
      <c r="AA43" s="14">
        <v>0.998</v>
      </c>
      <c r="AB43" s="14">
        <v>0.998</v>
      </c>
      <c r="AC43" s="14">
        <v>0.998</v>
      </c>
      <c r="AD43" s="14">
        <v>0.998</v>
      </c>
      <c r="AE43" s="14">
        <v>0.998</v>
      </c>
      <c r="AF43" s="14">
        <v>0.998</v>
      </c>
      <c r="AG43" s="14">
        <v>0.998</v>
      </c>
      <c r="AH43" s="14">
        <v>0.998</v>
      </c>
      <c r="AI43" s="14">
        <v>0.998</v>
      </c>
      <c r="AJ43" s="14">
        <v>0.998</v>
      </c>
      <c r="AK43" s="14">
        <v>0.998</v>
      </c>
      <c r="AL43" s="14">
        <v>0.998</v>
      </c>
      <c r="AM43" s="14">
        <v>0.998</v>
      </c>
      <c r="AN43" s="14">
        <v>0.998</v>
      </c>
      <c r="AO43" s="14">
        <v>0.998</v>
      </c>
      <c r="AP43" s="14">
        <v>0.998</v>
      </c>
      <c r="AQ43" s="14">
        <v>0.998</v>
      </c>
      <c r="AR43" s="14">
        <v>0.998</v>
      </c>
      <c r="AS43" s="14">
        <v>0.998</v>
      </c>
      <c r="AT43" s="14">
        <v>0.998</v>
      </c>
      <c r="AU43" s="14">
        <v>0.998</v>
      </c>
      <c r="AV43" s="14">
        <v>0.998</v>
      </c>
      <c r="AW43" s="14">
        <v>0.998</v>
      </c>
      <c r="AX43" s="14">
        <v>0.998</v>
      </c>
      <c r="AY43" s="14">
        <v>0.998</v>
      </c>
      <c r="AZ43" s="14">
        <v>0.998</v>
      </c>
      <c r="BA43" s="14">
        <v>0.998</v>
      </c>
      <c r="BB43" s="14">
        <v>0.998</v>
      </c>
      <c r="BC43" s="14">
        <v>0.998</v>
      </c>
      <c r="BD43" s="14">
        <v>0.998</v>
      </c>
    </row>
    <row r="44" spans="1:56" x14ac:dyDescent="0.2">
      <c r="A44" s="6">
        <v>42</v>
      </c>
      <c r="B44" s="7" t="s">
        <v>57</v>
      </c>
      <c r="C44" s="12">
        <v>4.88</v>
      </c>
      <c r="D44" s="12">
        <v>4.88</v>
      </c>
      <c r="E44" s="12">
        <v>4.88</v>
      </c>
      <c r="F44" s="12">
        <v>4.88</v>
      </c>
      <c r="G44" s="12">
        <v>4.88</v>
      </c>
      <c r="H44" s="12">
        <v>-10</v>
      </c>
      <c r="I44" s="13">
        <v>-10</v>
      </c>
      <c r="J44" s="13">
        <v>-10</v>
      </c>
      <c r="K44" s="13">
        <v>-10</v>
      </c>
      <c r="L44" s="13">
        <v>-10</v>
      </c>
      <c r="M44" s="13">
        <v>-10</v>
      </c>
      <c r="N44" s="13">
        <v>-10</v>
      </c>
      <c r="O44" s="14">
        <v>-10</v>
      </c>
      <c r="P44" s="14">
        <v>-10</v>
      </c>
      <c r="Q44" s="14">
        <v>-10</v>
      </c>
      <c r="R44" s="14">
        <v>-10</v>
      </c>
      <c r="S44" s="14">
        <v>-10</v>
      </c>
      <c r="T44" s="14">
        <v>-10</v>
      </c>
      <c r="U44" s="14">
        <v>-10</v>
      </c>
      <c r="V44" s="14">
        <v>-10</v>
      </c>
      <c r="W44" s="14">
        <v>-10</v>
      </c>
      <c r="X44" s="14">
        <v>-10</v>
      </c>
      <c r="Y44" s="14">
        <v>-10</v>
      </c>
      <c r="Z44" s="14">
        <v>-10</v>
      </c>
      <c r="AA44" s="14">
        <v>-10</v>
      </c>
      <c r="AB44" s="14">
        <v>-10</v>
      </c>
      <c r="AC44" s="14">
        <v>-10</v>
      </c>
      <c r="AD44" s="14">
        <v>-10</v>
      </c>
      <c r="AE44" s="14">
        <v>-10</v>
      </c>
      <c r="AF44" s="14">
        <v>-10</v>
      </c>
      <c r="AG44" s="14">
        <v>-10</v>
      </c>
      <c r="AH44" s="14">
        <v>-10</v>
      </c>
      <c r="AI44" s="14">
        <v>-10</v>
      </c>
      <c r="AJ44" s="14">
        <v>-10</v>
      </c>
      <c r="AK44" s="14">
        <v>-10</v>
      </c>
      <c r="AL44" s="14">
        <v>-10</v>
      </c>
      <c r="AM44" s="14">
        <v>-10</v>
      </c>
      <c r="AN44" s="14">
        <v>-10</v>
      </c>
      <c r="AO44" s="14">
        <v>-10</v>
      </c>
      <c r="AP44" s="14">
        <v>-10</v>
      </c>
      <c r="AQ44" s="14">
        <v>-10</v>
      </c>
      <c r="AR44" s="14">
        <v>-10</v>
      </c>
      <c r="AS44" s="14">
        <v>-10</v>
      </c>
      <c r="AT44" s="14">
        <v>-10</v>
      </c>
      <c r="AU44" s="14">
        <v>-10</v>
      </c>
      <c r="AV44" s="14">
        <v>-10</v>
      </c>
      <c r="AW44" s="14">
        <v>-10</v>
      </c>
      <c r="AX44" s="14">
        <v>-10</v>
      </c>
      <c r="AY44" s="14">
        <v>-10</v>
      </c>
      <c r="AZ44" s="14">
        <v>-10</v>
      </c>
      <c r="BA44" s="14">
        <v>-10</v>
      </c>
      <c r="BB44" s="14">
        <v>-10</v>
      </c>
      <c r="BC44" s="14">
        <v>-10</v>
      </c>
      <c r="BD44" s="14">
        <v>-10</v>
      </c>
    </row>
    <row r="45" spans="1:56" s="10" customFormat="1" ht="11.25" customHeight="1" x14ac:dyDescent="0.2">
      <c r="A45" s="6">
        <v>43</v>
      </c>
      <c r="B45" s="7" t="s">
        <v>58</v>
      </c>
      <c r="C45" s="9">
        <v>2469</v>
      </c>
      <c r="D45" s="9">
        <v>2469</v>
      </c>
      <c r="E45" s="9">
        <v>2469</v>
      </c>
      <c r="F45" s="9">
        <v>2469</v>
      </c>
      <c r="G45" s="9">
        <v>1732</v>
      </c>
      <c r="H45" s="9">
        <v>1732</v>
      </c>
      <c r="I45" s="10">
        <v>1732</v>
      </c>
      <c r="J45" s="10">
        <v>1732</v>
      </c>
      <c r="K45" s="10">
        <v>1732</v>
      </c>
      <c r="L45" s="10">
        <v>1732</v>
      </c>
      <c r="M45" s="10">
        <v>1732</v>
      </c>
      <c r="N45" s="10">
        <v>1732</v>
      </c>
      <c r="O45" s="10">
        <v>1732</v>
      </c>
      <c r="P45" s="10">
        <v>1732</v>
      </c>
      <c r="Q45" s="10">
        <v>1732</v>
      </c>
      <c r="R45" s="10">
        <v>1732</v>
      </c>
      <c r="S45" s="10">
        <v>1732</v>
      </c>
      <c r="T45" s="10">
        <v>1732</v>
      </c>
      <c r="U45" s="10">
        <v>1732</v>
      </c>
      <c r="V45" s="10">
        <v>1732</v>
      </c>
      <c r="W45" s="7">
        <v>1732</v>
      </c>
      <c r="X45" s="7">
        <v>1732</v>
      </c>
      <c r="Y45" s="7">
        <v>1732</v>
      </c>
      <c r="Z45" s="7">
        <v>1732</v>
      </c>
      <c r="AA45" s="7">
        <v>1732</v>
      </c>
      <c r="AB45" s="7">
        <v>1732</v>
      </c>
      <c r="AC45" s="7">
        <v>1732</v>
      </c>
      <c r="AD45" s="7">
        <v>1732</v>
      </c>
      <c r="AE45" s="7">
        <v>1732</v>
      </c>
      <c r="AF45" s="7">
        <v>1732</v>
      </c>
      <c r="AG45" s="7">
        <v>1732</v>
      </c>
      <c r="AH45" s="7">
        <v>1732</v>
      </c>
      <c r="AI45" s="7">
        <v>1732</v>
      </c>
      <c r="AJ45" s="7">
        <v>1732</v>
      </c>
      <c r="AK45" s="7">
        <v>1732</v>
      </c>
      <c r="AL45" s="7">
        <v>1732</v>
      </c>
      <c r="AM45" s="7">
        <v>1732</v>
      </c>
      <c r="AN45" s="7">
        <v>1732</v>
      </c>
      <c r="AO45" s="7">
        <v>1732</v>
      </c>
      <c r="AP45" s="7">
        <v>1732</v>
      </c>
      <c r="AQ45" s="7">
        <v>1732</v>
      </c>
      <c r="AR45" s="7">
        <v>1732</v>
      </c>
      <c r="AS45" s="7">
        <v>1732</v>
      </c>
      <c r="AT45" s="7">
        <v>1732</v>
      </c>
      <c r="AU45" s="7">
        <v>1732</v>
      </c>
      <c r="AV45" s="7">
        <v>1732</v>
      </c>
      <c r="AW45" s="7">
        <v>1732</v>
      </c>
      <c r="AX45" s="7">
        <v>1732</v>
      </c>
      <c r="AY45" s="7">
        <v>1732</v>
      </c>
      <c r="AZ45" s="7">
        <v>1732</v>
      </c>
      <c r="BA45" s="7">
        <v>1732</v>
      </c>
      <c r="BB45" s="7">
        <v>1732</v>
      </c>
      <c r="BC45" s="7">
        <v>1732</v>
      </c>
      <c r="BD45" s="7">
        <v>1732</v>
      </c>
    </row>
    <row r="46" spans="1:56" s="10" customFormat="1" x14ac:dyDescent="0.2">
      <c r="A46" s="6">
        <v>44</v>
      </c>
      <c r="B46" s="7" t="s">
        <v>59</v>
      </c>
      <c r="C46" s="9">
        <v>250</v>
      </c>
      <c r="D46" s="9">
        <v>250</v>
      </c>
      <c r="E46" s="9">
        <v>250</v>
      </c>
      <c r="F46" s="9">
        <v>250</v>
      </c>
      <c r="G46" s="9">
        <v>250</v>
      </c>
      <c r="H46" s="9">
        <v>250</v>
      </c>
      <c r="I46" s="10">
        <v>250</v>
      </c>
      <c r="J46" s="10">
        <v>250</v>
      </c>
      <c r="K46" s="10">
        <v>250</v>
      </c>
      <c r="L46" s="10">
        <v>250</v>
      </c>
      <c r="M46" s="10">
        <v>250</v>
      </c>
      <c r="N46" s="10">
        <v>250</v>
      </c>
      <c r="O46" s="10">
        <v>250</v>
      </c>
      <c r="P46" s="10">
        <v>250</v>
      </c>
      <c r="Q46" s="10">
        <v>250</v>
      </c>
      <c r="R46" s="10">
        <v>250</v>
      </c>
      <c r="S46" s="10">
        <v>250</v>
      </c>
      <c r="T46" s="10">
        <v>250</v>
      </c>
      <c r="U46" s="10">
        <v>250</v>
      </c>
      <c r="V46" s="10">
        <v>250</v>
      </c>
      <c r="W46" s="7">
        <v>250</v>
      </c>
      <c r="X46" s="7">
        <v>250</v>
      </c>
      <c r="Y46" s="7">
        <v>250</v>
      </c>
      <c r="Z46" s="7">
        <v>250</v>
      </c>
      <c r="AA46" s="7">
        <v>250</v>
      </c>
      <c r="AB46" s="7">
        <v>250</v>
      </c>
      <c r="AC46" s="7">
        <v>250</v>
      </c>
      <c r="AD46" s="7">
        <v>250</v>
      </c>
      <c r="AE46" s="7">
        <v>250</v>
      </c>
      <c r="AF46" s="7">
        <v>250</v>
      </c>
      <c r="AG46" s="7">
        <v>250</v>
      </c>
      <c r="AH46" s="7">
        <v>250</v>
      </c>
      <c r="AI46" s="7">
        <v>250</v>
      </c>
      <c r="AJ46" s="7">
        <v>250</v>
      </c>
      <c r="AK46" s="7">
        <v>250</v>
      </c>
      <c r="AL46" s="7">
        <v>250</v>
      </c>
      <c r="AM46" s="7">
        <v>250</v>
      </c>
      <c r="AN46" s="7">
        <v>250</v>
      </c>
      <c r="AO46" s="7">
        <v>250</v>
      </c>
      <c r="AP46" s="7">
        <v>250</v>
      </c>
      <c r="AQ46" s="7">
        <v>250</v>
      </c>
      <c r="AR46" s="7">
        <v>250</v>
      </c>
      <c r="AS46" s="7">
        <v>250</v>
      </c>
      <c r="AT46" s="7">
        <v>250</v>
      </c>
      <c r="AU46" s="7">
        <v>250</v>
      </c>
      <c r="AV46" s="7">
        <v>250</v>
      </c>
      <c r="AW46" s="7">
        <v>250</v>
      </c>
      <c r="AX46" s="7">
        <v>250</v>
      </c>
      <c r="AY46" s="7">
        <v>250</v>
      </c>
      <c r="AZ46" s="7">
        <v>250</v>
      </c>
      <c r="BA46" s="7">
        <v>250</v>
      </c>
      <c r="BB46" s="7">
        <v>250</v>
      </c>
      <c r="BC46" s="7">
        <v>250</v>
      </c>
      <c r="BD46" s="7">
        <v>250</v>
      </c>
    </row>
    <row r="47" spans="1:56" s="10" customFormat="1" x14ac:dyDescent="0.2">
      <c r="A47" s="6">
        <v>45</v>
      </c>
      <c r="B47" s="7" t="s">
        <v>60</v>
      </c>
      <c r="C47" s="9">
        <v>0.2</v>
      </c>
      <c r="D47" s="9">
        <v>0.2</v>
      </c>
      <c r="E47" s="9">
        <v>0.2</v>
      </c>
      <c r="F47" s="9">
        <v>0.2</v>
      </c>
      <c r="G47" s="9">
        <v>0</v>
      </c>
      <c r="H47" s="9">
        <v>0.8</v>
      </c>
      <c r="I47" s="10">
        <v>0</v>
      </c>
      <c r="J47" s="10">
        <v>0</v>
      </c>
      <c r="K47" s="10">
        <v>0</v>
      </c>
      <c r="L47" s="10">
        <v>0</v>
      </c>
      <c r="M47" s="10">
        <v>0</v>
      </c>
      <c r="N47" s="10">
        <v>0</v>
      </c>
      <c r="O47" s="10">
        <v>0</v>
      </c>
      <c r="P47" s="10">
        <v>0</v>
      </c>
      <c r="Q47" s="10">
        <v>0</v>
      </c>
      <c r="R47" s="10">
        <v>0</v>
      </c>
      <c r="S47" s="10">
        <v>0</v>
      </c>
      <c r="T47" s="10">
        <v>0</v>
      </c>
      <c r="U47" s="10">
        <v>0</v>
      </c>
      <c r="V47" s="10">
        <v>0</v>
      </c>
      <c r="W47" s="7">
        <v>0</v>
      </c>
      <c r="X47" s="7">
        <v>0</v>
      </c>
      <c r="Y47" s="7">
        <v>0</v>
      </c>
      <c r="Z47" s="7">
        <v>0</v>
      </c>
      <c r="AA47" s="7">
        <v>0</v>
      </c>
      <c r="AB47" s="7">
        <v>0</v>
      </c>
      <c r="AC47" s="7">
        <v>0</v>
      </c>
      <c r="AD47" s="7">
        <v>0</v>
      </c>
      <c r="AE47" s="7">
        <v>0</v>
      </c>
      <c r="AF47" s="7">
        <v>0</v>
      </c>
      <c r="AG47" s="7">
        <v>0</v>
      </c>
      <c r="AH47" s="7">
        <v>0</v>
      </c>
      <c r="AI47" s="7">
        <v>0</v>
      </c>
      <c r="AJ47" s="7">
        <v>0</v>
      </c>
      <c r="AK47" s="7">
        <v>0</v>
      </c>
      <c r="AL47" s="7">
        <v>0</v>
      </c>
      <c r="AM47" s="7">
        <v>0</v>
      </c>
      <c r="AN47" s="7">
        <v>0</v>
      </c>
      <c r="AO47" s="7">
        <v>0</v>
      </c>
      <c r="AP47" s="7">
        <v>0</v>
      </c>
      <c r="AQ47" s="7">
        <v>0</v>
      </c>
      <c r="AR47" s="7">
        <v>0</v>
      </c>
      <c r="AS47" s="7">
        <v>0</v>
      </c>
      <c r="AT47" s="7">
        <v>0</v>
      </c>
      <c r="AU47" s="7">
        <v>0</v>
      </c>
      <c r="AV47" s="7">
        <v>0</v>
      </c>
      <c r="AW47" s="7">
        <v>0</v>
      </c>
      <c r="AX47" s="7">
        <v>0</v>
      </c>
      <c r="AY47" s="7">
        <v>0</v>
      </c>
      <c r="AZ47" s="7">
        <v>0</v>
      </c>
      <c r="BA47" s="7">
        <v>0</v>
      </c>
      <c r="BB47" s="7">
        <v>0</v>
      </c>
      <c r="BC47" s="7">
        <v>0</v>
      </c>
      <c r="BD47" s="7">
        <v>0</v>
      </c>
    </row>
    <row r="48" spans="1:56" s="10" customFormat="1" x14ac:dyDescent="0.2">
      <c r="A48" s="6">
        <v>46</v>
      </c>
      <c r="B48" s="7" t="s">
        <v>61</v>
      </c>
      <c r="C48" s="9">
        <v>64</v>
      </c>
      <c r="D48" s="9">
        <v>64</v>
      </c>
      <c r="E48" s="9">
        <v>64</v>
      </c>
      <c r="F48" s="9">
        <v>64</v>
      </c>
      <c r="G48" s="9">
        <v>64</v>
      </c>
      <c r="H48" s="9">
        <v>64</v>
      </c>
      <c r="I48" s="10">
        <v>64</v>
      </c>
      <c r="J48" s="10">
        <v>64</v>
      </c>
      <c r="K48" s="10">
        <v>64</v>
      </c>
      <c r="L48" s="10">
        <v>64</v>
      </c>
      <c r="M48" s="10">
        <v>64</v>
      </c>
      <c r="N48" s="10">
        <v>64</v>
      </c>
      <c r="O48" s="10">
        <v>64</v>
      </c>
      <c r="P48" s="10">
        <v>64</v>
      </c>
      <c r="Q48" s="10">
        <v>64</v>
      </c>
      <c r="R48" s="10">
        <v>64</v>
      </c>
      <c r="S48" s="10">
        <v>64</v>
      </c>
      <c r="T48" s="10">
        <v>64</v>
      </c>
      <c r="U48" s="10">
        <v>64</v>
      </c>
      <c r="V48" s="10">
        <v>64</v>
      </c>
      <c r="W48" s="7">
        <v>64</v>
      </c>
      <c r="X48" s="7">
        <v>64</v>
      </c>
      <c r="Y48" s="7">
        <v>64</v>
      </c>
      <c r="Z48" s="7">
        <v>64</v>
      </c>
      <c r="AA48" s="7">
        <v>64</v>
      </c>
      <c r="AB48" s="7">
        <v>64</v>
      </c>
      <c r="AC48" s="7">
        <v>64</v>
      </c>
      <c r="AD48" s="7">
        <v>64</v>
      </c>
      <c r="AE48" s="7">
        <v>64</v>
      </c>
      <c r="AF48" s="7">
        <v>64</v>
      </c>
      <c r="AG48" s="7">
        <v>64</v>
      </c>
      <c r="AH48" s="7">
        <v>64</v>
      </c>
      <c r="AI48" s="7">
        <v>64</v>
      </c>
      <c r="AJ48" s="7">
        <v>64</v>
      </c>
      <c r="AK48" s="7">
        <v>64</v>
      </c>
      <c r="AL48" s="7">
        <v>64</v>
      </c>
      <c r="AM48" s="7">
        <v>64</v>
      </c>
      <c r="AN48" s="7">
        <v>64</v>
      </c>
      <c r="AO48" s="7">
        <v>64</v>
      </c>
      <c r="AP48" s="7">
        <v>64</v>
      </c>
      <c r="AQ48" s="7">
        <v>64</v>
      </c>
      <c r="AR48" s="7">
        <v>64</v>
      </c>
      <c r="AS48" s="7">
        <v>64</v>
      </c>
      <c r="AT48" s="7">
        <v>64</v>
      </c>
      <c r="AU48" s="7">
        <v>64</v>
      </c>
      <c r="AV48" s="7">
        <v>64</v>
      </c>
      <c r="AW48" s="7">
        <v>64</v>
      </c>
      <c r="AX48" s="7">
        <v>64</v>
      </c>
      <c r="AY48" s="7">
        <v>64</v>
      </c>
      <c r="AZ48" s="7">
        <v>64</v>
      </c>
      <c r="BA48" s="7">
        <v>64</v>
      </c>
      <c r="BB48" s="7">
        <v>64</v>
      </c>
      <c r="BC48" s="7">
        <v>64</v>
      </c>
      <c r="BD48" s="7">
        <v>64</v>
      </c>
    </row>
    <row r="49" spans="1:56" s="10" customFormat="1" x14ac:dyDescent="0.2">
      <c r="A49" s="6">
        <v>47</v>
      </c>
      <c r="B49" s="7" t="s">
        <v>62</v>
      </c>
      <c r="C49" s="9">
        <v>256</v>
      </c>
      <c r="D49" s="9">
        <v>256</v>
      </c>
      <c r="E49" s="9">
        <v>256</v>
      </c>
      <c r="F49" s="9">
        <v>256</v>
      </c>
      <c r="G49" s="9">
        <v>256</v>
      </c>
      <c r="H49" s="9">
        <v>256</v>
      </c>
      <c r="I49" s="10">
        <v>256</v>
      </c>
      <c r="J49" s="10">
        <v>256</v>
      </c>
      <c r="K49" s="10">
        <v>256</v>
      </c>
      <c r="L49" s="10">
        <v>256</v>
      </c>
      <c r="M49" s="10">
        <v>256</v>
      </c>
      <c r="N49" s="10">
        <v>256</v>
      </c>
      <c r="O49" s="10">
        <v>256</v>
      </c>
      <c r="P49" s="10">
        <v>256</v>
      </c>
      <c r="Q49" s="10">
        <v>256</v>
      </c>
      <c r="R49" s="10">
        <v>256</v>
      </c>
      <c r="S49" s="10">
        <v>256</v>
      </c>
      <c r="T49" s="10">
        <v>256</v>
      </c>
      <c r="U49" s="10">
        <v>256</v>
      </c>
      <c r="V49" s="10">
        <v>256</v>
      </c>
      <c r="W49" s="7">
        <v>256</v>
      </c>
      <c r="X49" s="7">
        <v>256</v>
      </c>
      <c r="Y49" s="7">
        <v>256</v>
      </c>
      <c r="Z49" s="7">
        <v>256</v>
      </c>
      <c r="AA49" s="7">
        <v>256</v>
      </c>
      <c r="AB49" s="7">
        <v>256</v>
      </c>
      <c r="AC49" s="7">
        <v>256</v>
      </c>
      <c r="AD49" s="7">
        <v>256</v>
      </c>
      <c r="AE49" s="7">
        <v>256</v>
      </c>
      <c r="AF49" s="7">
        <v>256</v>
      </c>
      <c r="AG49" s="7">
        <v>256</v>
      </c>
      <c r="AH49" s="7">
        <v>256</v>
      </c>
      <c r="AI49" s="7">
        <v>256</v>
      </c>
      <c r="AJ49" s="7">
        <v>256</v>
      </c>
      <c r="AK49" s="7">
        <v>256</v>
      </c>
      <c r="AL49" s="7">
        <v>256</v>
      </c>
      <c r="AM49" s="7">
        <v>256</v>
      </c>
      <c r="AN49" s="7">
        <v>256</v>
      </c>
      <c r="AO49" s="7">
        <v>256</v>
      </c>
      <c r="AP49" s="7">
        <v>256</v>
      </c>
      <c r="AQ49" s="7">
        <v>256</v>
      </c>
      <c r="AR49" s="7">
        <v>256</v>
      </c>
      <c r="AS49" s="7">
        <v>256</v>
      </c>
      <c r="AT49" s="7">
        <v>256</v>
      </c>
      <c r="AU49" s="7">
        <v>256</v>
      </c>
      <c r="AV49" s="7">
        <v>256</v>
      </c>
      <c r="AW49" s="7">
        <v>256</v>
      </c>
      <c r="AX49" s="7">
        <v>256</v>
      </c>
      <c r="AY49" s="7">
        <v>256</v>
      </c>
      <c r="AZ49" s="7">
        <v>256</v>
      </c>
      <c r="BA49" s="7">
        <v>256</v>
      </c>
      <c r="BB49" s="7">
        <v>256</v>
      </c>
      <c r="BC49" s="7">
        <v>256</v>
      </c>
      <c r="BD49" s="7">
        <v>256</v>
      </c>
    </row>
    <row r="50" spans="1:56" s="10" customFormat="1" x14ac:dyDescent="0.2">
      <c r="A50" s="6">
        <v>48</v>
      </c>
      <c r="B50" s="7" t="s">
        <v>63</v>
      </c>
      <c r="C50" s="9">
        <v>0</v>
      </c>
      <c r="D50" s="9">
        <v>0</v>
      </c>
      <c r="E50" s="9">
        <v>0</v>
      </c>
      <c r="F50" s="9">
        <v>0</v>
      </c>
      <c r="G50" s="9">
        <v>0</v>
      </c>
      <c r="H50" s="9">
        <v>0</v>
      </c>
      <c r="I50" s="10">
        <v>0</v>
      </c>
      <c r="J50" s="10">
        <v>0</v>
      </c>
      <c r="K50" s="10">
        <v>0</v>
      </c>
      <c r="L50" s="10">
        <v>0</v>
      </c>
      <c r="M50" s="10">
        <v>0</v>
      </c>
      <c r="N50" s="10">
        <v>0</v>
      </c>
      <c r="O50" s="10">
        <v>0</v>
      </c>
      <c r="P50" s="10">
        <v>0</v>
      </c>
      <c r="Q50" s="10">
        <v>0</v>
      </c>
      <c r="R50" s="10">
        <v>0</v>
      </c>
      <c r="S50" s="10">
        <v>0</v>
      </c>
      <c r="T50" s="10">
        <v>0</v>
      </c>
      <c r="U50" s="10">
        <v>0</v>
      </c>
      <c r="V50" s="10">
        <v>0</v>
      </c>
      <c r="W50" s="7">
        <v>0</v>
      </c>
      <c r="X50" s="7">
        <v>0</v>
      </c>
      <c r="Y50" s="7">
        <v>0</v>
      </c>
      <c r="Z50" s="7">
        <v>0</v>
      </c>
      <c r="AA50" s="7">
        <v>0</v>
      </c>
      <c r="AB50" s="7">
        <v>0</v>
      </c>
      <c r="AC50" s="7">
        <v>0</v>
      </c>
      <c r="AD50" s="7">
        <v>0</v>
      </c>
      <c r="AE50" s="7">
        <v>0</v>
      </c>
      <c r="AF50" s="7">
        <v>0</v>
      </c>
      <c r="AG50" s="7">
        <v>0</v>
      </c>
      <c r="AH50" s="7">
        <v>0</v>
      </c>
      <c r="AI50" s="7">
        <v>0</v>
      </c>
      <c r="AJ50" s="7">
        <v>0</v>
      </c>
      <c r="AK50" s="7">
        <v>0</v>
      </c>
      <c r="AL50" s="7">
        <v>0</v>
      </c>
      <c r="AM50" s="7">
        <v>0</v>
      </c>
      <c r="AN50" s="7">
        <v>0</v>
      </c>
      <c r="AO50" s="7">
        <v>0</v>
      </c>
      <c r="AP50" s="7">
        <v>0</v>
      </c>
      <c r="AQ50" s="7">
        <v>0</v>
      </c>
      <c r="AR50" s="7">
        <v>0</v>
      </c>
      <c r="AS50" s="7">
        <v>0</v>
      </c>
      <c r="AT50" s="7">
        <v>0</v>
      </c>
      <c r="AU50" s="7">
        <v>0</v>
      </c>
      <c r="AV50" s="7">
        <v>0</v>
      </c>
      <c r="AW50" s="7">
        <v>0</v>
      </c>
      <c r="AX50" s="7">
        <v>0</v>
      </c>
      <c r="AY50" s="7">
        <v>0</v>
      </c>
      <c r="AZ50" s="7">
        <v>0</v>
      </c>
      <c r="BA50" s="7">
        <v>0</v>
      </c>
      <c r="BB50" s="7">
        <v>0</v>
      </c>
      <c r="BC50" s="7">
        <v>0</v>
      </c>
      <c r="BD50" s="7">
        <v>0</v>
      </c>
    </row>
    <row r="51" spans="1:56" s="10" customFormat="1" x14ac:dyDescent="0.2">
      <c r="A51" s="6">
        <v>49</v>
      </c>
      <c r="B51" s="7" t="s">
        <v>64</v>
      </c>
      <c r="C51" s="9">
        <v>64</v>
      </c>
      <c r="D51" s="9">
        <v>64</v>
      </c>
      <c r="E51" s="9">
        <v>64</v>
      </c>
      <c r="F51" s="9">
        <v>64</v>
      </c>
      <c r="G51" s="9">
        <v>64</v>
      </c>
      <c r="H51" s="9">
        <v>64</v>
      </c>
      <c r="I51" s="10">
        <v>64</v>
      </c>
      <c r="J51" s="10">
        <v>64</v>
      </c>
      <c r="K51" s="10">
        <v>64</v>
      </c>
      <c r="L51" s="10">
        <v>64</v>
      </c>
      <c r="M51" s="10">
        <v>64</v>
      </c>
      <c r="N51" s="10">
        <v>64</v>
      </c>
      <c r="O51" s="10">
        <v>64</v>
      </c>
      <c r="P51" s="10">
        <v>64</v>
      </c>
      <c r="Q51" s="10">
        <v>64</v>
      </c>
      <c r="R51" s="10">
        <v>64</v>
      </c>
      <c r="S51" s="10">
        <v>64</v>
      </c>
      <c r="T51" s="10">
        <v>64</v>
      </c>
      <c r="U51" s="10">
        <v>64</v>
      </c>
      <c r="V51" s="10">
        <v>64</v>
      </c>
      <c r="W51" s="7">
        <v>64</v>
      </c>
      <c r="X51" s="7">
        <v>64</v>
      </c>
      <c r="Y51" s="7">
        <v>64</v>
      </c>
      <c r="Z51" s="7">
        <v>64</v>
      </c>
      <c r="AA51" s="7">
        <v>64</v>
      </c>
      <c r="AB51" s="7">
        <v>64</v>
      </c>
      <c r="AC51" s="7">
        <v>64</v>
      </c>
      <c r="AD51" s="7">
        <v>64</v>
      </c>
      <c r="AE51" s="7">
        <v>64</v>
      </c>
      <c r="AF51" s="7">
        <v>64</v>
      </c>
      <c r="AG51" s="7">
        <v>64</v>
      </c>
      <c r="AH51" s="7">
        <v>64</v>
      </c>
      <c r="AI51" s="7">
        <v>64</v>
      </c>
      <c r="AJ51" s="7">
        <v>64</v>
      </c>
      <c r="AK51" s="7">
        <v>64</v>
      </c>
      <c r="AL51" s="7">
        <v>64</v>
      </c>
      <c r="AM51" s="7">
        <v>64</v>
      </c>
      <c r="AN51" s="7">
        <v>64</v>
      </c>
      <c r="AO51" s="7">
        <v>64</v>
      </c>
      <c r="AP51" s="7">
        <v>64</v>
      </c>
      <c r="AQ51" s="7">
        <v>64</v>
      </c>
      <c r="AR51" s="7">
        <v>64</v>
      </c>
      <c r="AS51" s="7">
        <v>64</v>
      </c>
      <c r="AT51" s="7">
        <v>64</v>
      </c>
      <c r="AU51" s="7">
        <v>64</v>
      </c>
      <c r="AV51" s="7">
        <v>64</v>
      </c>
      <c r="AW51" s="7">
        <v>64</v>
      </c>
      <c r="AX51" s="7">
        <v>64</v>
      </c>
      <c r="AY51" s="7">
        <v>64</v>
      </c>
      <c r="AZ51" s="7">
        <v>64</v>
      </c>
      <c r="BA51" s="7">
        <v>64</v>
      </c>
      <c r="BB51" s="7">
        <v>64</v>
      </c>
      <c r="BC51" s="7">
        <v>64</v>
      </c>
      <c r="BD51" s="7">
        <v>64</v>
      </c>
    </row>
    <row r="52" spans="1:56" s="10" customFormat="1" x14ac:dyDescent="0.2">
      <c r="A52" s="6">
        <v>50</v>
      </c>
      <c r="B52" s="7" t="s">
        <v>65</v>
      </c>
      <c r="C52" s="9">
        <v>46</v>
      </c>
      <c r="D52" s="9">
        <v>46</v>
      </c>
      <c r="E52" s="9">
        <v>46</v>
      </c>
      <c r="F52" s="9">
        <v>46</v>
      </c>
      <c r="G52" s="9">
        <v>56</v>
      </c>
      <c r="H52" s="9">
        <v>56</v>
      </c>
      <c r="I52" s="10">
        <v>56</v>
      </c>
      <c r="J52" s="10">
        <v>56</v>
      </c>
      <c r="K52" s="10">
        <v>56</v>
      </c>
      <c r="L52" s="10">
        <v>56</v>
      </c>
      <c r="M52" s="10">
        <v>56</v>
      </c>
      <c r="N52" s="10">
        <v>56</v>
      </c>
      <c r="O52" s="10">
        <v>56</v>
      </c>
      <c r="P52" s="10">
        <v>56</v>
      </c>
      <c r="Q52" s="10">
        <v>56</v>
      </c>
      <c r="R52" s="10">
        <v>56</v>
      </c>
      <c r="S52" s="10">
        <v>56</v>
      </c>
      <c r="T52" s="10">
        <v>56</v>
      </c>
      <c r="U52" s="10">
        <v>56</v>
      </c>
      <c r="V52" s="10">
        <v>56</v>
      </c>
      <c r="W52" s="7">
        <v>56</v>
      </c>
      <c r="X52" s="7">
        <v>56</v>
      </c>
      <c r="Y52" s="7">
        <v>56</v>
      </c>
      <c r="Z52" s="7">
        <v>56</v>
      </c>
      <c r="AA52" s="7">
        <v>56</v>
      </c>
      <c r="AB52" s="7">
        <v>56</v>
      </c>
      <c r="AC52" s="7">
        <v>56</v>
      </c>
      <c r="AD52" s="7">
        <v>56</v>
      </c>
      <c r="AE52" s="7">
        <v>56</v>
      </c>
      <c r="AF52" s="7">
        <v>56</v>
      </c>
      <c r="AG52" s="7">
        <v>56</v>
      </c>
      <c r="AH52" s="7">
        <v>56</v>
      </c>
      <c r="AI52" s="7">
        <v>56</v>
      </c>
      <c r="AJ52" s="7">
        <v>56</v>
      </c>
      <c r="AK52" s="7">
        <v>56</v>
      </c>
      <c r="AL52" s="7">
        <v>56</v>
      </c>
      <c r="AM52" s="7">
        <v>56</v>
      </c>
      <c r="AN52" s="7">
        <v>56</v>
      </c>
      <c r="AO52" s="7">
        <v>56</v>
      </c>
      <c r="AP52" s="7">
        <v>56</v>
      </c>
      <c r="AQ52" s="7">
        <v>56</v>
      </c>
      <c r="AR52" s="7">
        <v>56</v>
      </c>
      <c r="AS52" s="7">
        <v>56</v>
      </c>
      <c r="AT52" s="7">
        <v>56</v>
      </c>
      <c r="AU52" s="7">
        <v>56</v>
      </c>
      <c r="AV52" s="7">
        <v>56</v>
      </c>
      <c r="AW52" s="7">
        <v>56</v>
      </c>
      <c r="AX52" s="7">
        <v>56</v>
      </c>
      <c r="AY52" s="7">
        <v>56</v>
      </c>
      <c r="AZ52" s="7">
        <v>56</v>
      </c>
      <c r="BA52" s="7">
        <v>56</v>
      </c>
      <c r="BB52" s="7">
        <v>56</v>
      </c>
      <c r="BC52" s="7">
        <v>56</v>
      </c>
      <c r="BD52" s="7">
        <v>56</v>
      </c>
    </row>
    <row r="53" spans="1:56" s="10" customFormat="1" x14ac:dyDescent="0.2">
      <c r="A53" s="6">
        <v>51</v>
      </c>
      <c r="B53" s="7" t="s">
        <v>66</v>
      </c>
      <c r="C53" s="9">
        <v>225</v>
      </c>
      <c r="D53" s="9">
        <v>2229</v>
      </c>
      <c r="E53" s="9">
        <v>2229</v>
      </c>
      <c r="F53" s="9">
        <v>2229</v>
      </c>
      <c r="G53" s="9">
        <v>2229</v>
      </c>
      <c r="H53" s="9">
        <v>2229</v>
      </c>
      <c r="I53" s="10">
        <v>2226</v>
      </c>
      <c r="J53" s="10">
        <v>2226</v>
      </c>
      <c r="K53" s="10">
        <v>2226</v>
      </c>
      <c r="L53" s="10">
        <v>2226</v>
      </c>
      <c r="M53" s="10">
        <v>2226</v>
      </c>
      <c r="N53" s="10">
        <v>2226</v>
      </c>
      <c r="O53" s="10">
        <v>2226</v>
      </c>
      <c r="P53" s="10">
        <v>2226</v>
      </c>
      <c r="Q53" s="10">
        <v>2226</v>
      </c>
      <c r="R53" s="10">
        <v>2226</v>
      </c>
      <c r="S53" s="10">
        <v>2226</v>
      </c>
      <c r="T53" s="10">
        <v>2226</v>
      </c>
      <c r="U53" s="10">
        <v>2226</v>
      </c>
      <c r="V53" s="10">
        <v>2226</v>
      </c>
      <c r="W53" s="7">
        <v>2226</v>
      </c>
      <c r="X53" s="7">
        <v>2226</v>
      </c>
      <c r="Y53" s="7">
        <v>2226</v>
      </c>
      <c r="Z53" s="7">
        <v>2226</v>
      </c>
      <c r="AA53" s="7">
        <v>2226</v>
      </c>
      <c r="AB53" s="7">
        <v>2226</v>
      </c>
      <c r="AC53" s="7">
        <v>2226</v>
      </c>
      <c r="AD53" s="7">
        <v>2226</v>
      </c>
      <c r="AE53" s="7">
        <v>2226</v>
      </c>
      <c r="AF53" s="7">
        <v>2226</v>
      </c>
      <c r="AG53" s="7">
        <v>2226</v>
      </c>
      <c r="AH53" s="7">
        <v>2226</v>
      </c>
      <c r="AI53" s="7">
        <v>2226</v>
      </c>
      <c r="AJ53" s="7">
        <v>2226</v>
      </c>
      <c r="AK53" s="7">
        <v>2226</v>
      </c>
      <c r="AL53" s="7">
        <v>2226</v>
      </c>
      <c r="AM53" s="7">
        <v>2226</v>
      </c>
      <c r="AN53" s="7">
        <v>2226</v>
      </c>
      <c r="AO53" s="7">
        <v>2226</v>
      </c>
      <c r="AP53" s="7">
        <v>2226</v>
      </c>
      <c r="AQ53" s="7">
        <v>2226</v>
      </c>
      <c r="AR53" s="7">
        <v>2226</v>
      </c>
      <c r="AS53" s="7">
        <v>2226</v>
      </c>
      <c r="AT53" s="7">
        <v>2226</v>
      </c>
      <c r="AU53" s="7">
        <v>2226</v>
      </c>
      <c r="AV53" s="7">
        <v>2226</v>
      </c>
      <c r="AW53" s="7">
        <v>2226</v>
      </c>
      <c r="AX53" s="7">
        <v>2226</v>
      </c>
      <c r="AY53" s="7">
        <v>2226</v>
      </c>
      <c r="AZ53" s="7">
        <v>2226</v>
      </c>
      <c r="BA53" s="7">
        <v>2226</v>
      </c>
      <c r="BB53" s="7">
        <v>2226</v>
      </c>
      <c r="BC53" s="7">
        <v>2226</v>
      </c>
      <c r="BD53" s="7">
        <v>2226</v>
      </c>
    </row>
    <row r="54" spans="1:56" x14ac:dyDescent="0.2">
      <c r="A54" s="6">
        <v>52</v>
      </c>
      <c r="C54" s="12"/>
      <c r="D54" s="12"/>
      <c r="E54" s="12"/>
      <c r="F54" s="12"/>
      <c r="G54" s="12"/>
      <c r="H54" s="12"/>
      <c r="J54" s="8"/>
      <c r="K54" s="8"/>
      <c r="L54" s="8"/>
      <c r="M54" s="8"/>
      <c r="N54" s="8"/>
    </row>
  </sheetData>
  <phoneticPr fontId="0" type="noConversion"/>
  <pageMargins left="0.75" right="0.75" top="1" bottom="1" header="0.3" footer="0.3"/>
  <pageSetup paperSize="9" orientation="portrait"/>
  <customProperties>
    <customPr name="DVSECTIONID" r:id="rId1"/>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54"/>
  <sheetViews>
    <sheetView tabSelected="1" topLeftCell="AP1" workbookViewId="0">
      <selection activeCell="AY3" sqref="AY3:AY7"/>
    </sheetView>
  </sheetViews>
  <sheetFormatPr baseColWidth="10" defaultColWidth="11.3984375" defaultRowHeight="15" x14ac:dyDescent="0.2"/>
  <cols>
    <col min="1" max="1" width="11.3984375" style="10"/>
    <col min="2" max="2" width="29.19921875" style="7" customWidth="1"/>
    <col min="3" max="16384" width="11.3984375" style="13"/>
  </cols>
  <sheetData>
    <row r="1" spans="1:58" s="8" customFormat="1" x14ac:dyDescent="0.2">
      <c r="A1" s="6"/>
      <c r="B1" s="7"/>
      <c r="C1" s="8">
        <f t="shared" ref="C1:I1" si="0">+C2-693960</f>
        <v>35431</v>
      </c>
      <c r="D1" s="8">
        <f t="shared" si="0"/>
        <v>35945</v>
      </c>
      <c r="E1" s="8">
        <f t="shared" si="0"/>
        <v>36409</v>
      </c>
      <c r="F1" s="8">
        <f t="shared" si="0"/>
        <v>36682</v>
      </c>
      <c r="G1" s="8">
        <f t="shared" si="0"/>
        <v>37149</v>
      </c>
      <c r="H1" s="8">
        <f t="shared" si="0"/>
        <v>37507</v>
      </c>
      <c r="I1" s="8">
        <f t="shared" si="0"/>
        <v>37877</v>
      </c>
      <c r="J1" s="8">
        <f>+J2-693960</f>
        <v>38245</v>
      </c>
      <c r="K1" s="8">
        <f>+K2-693960</f>
        <v>38503</v>
      </c>
      <c r="L1" s="8">
        <f>+L2-693960</f>
        <v>38615</v>
      </c>
      <c r="M1" s="8">
        <f>+M2-693960</f>
        <v>39000</v>
      </c>
      <c r="N1" s="8">
        <f t="shared" ref="N1:AP1" si="1">+N2-693960</f>
        <v>39320</v>
      </c>
      <c r="O1" s="8">
        <f t="shared" si="1"/>
        <v>39981</v>
      </c>
      <c r="P1" s="8">
        <f t="shared" si="1"/>
        <v>40017</v>
      </c>
      <c r="Q1" s="8">
        <f t="shared" si="1"/>
        <v>40024</v>
      </c>
      <c r="R1" s="8">
        <f t="shared" si="1"/>
        <v>40060</v>
      </c>
      <c r="S1" s="8">
        <f>+S2-693960</f>
        <v>40176</v>
      </c>
      <c r="T1" s="8">
        <f t="shared" si="1"/>
        <v>40238</v>
      </c>
      <c r="U1" s="8">
        <f t="shared" si="1"/>
        <v>40267</v>
      </c>
      <c r="V1" s="8">
        <f t="shared" si="1"/>
        <v>40351</v>
      </c>
      <c r="W1" s="8">
        <f t="shared" si="1"/>
        <v>40445</v>
      </c>
      <c r="X1" s="8">
        <f t="shared" si="1"/>
        <v>40512</v>
      </c>
      <c r="Y1" s="8">
        <f t="shared" si="1"/>
        <v>40571</v>
      </c>
      <c r="Z1" s="8">
        <f t="shared" si="1"/>
        <v>40602</v>
      </c>
      <c r="AA1" s="8">
        <f t="shared" si="1"/>
        <v>40646</v>
      </c>
      <c r="AB1" s="8">
        <f t="shared" si="1"/>
        <v>40681</v>
      </c>
      <c r="AC1" s="8">
        <f t="shared" si="1"/>
        <v>40703</v>
      </c>
      <c r="AD1" s="8">
        <f t="shared" si="1"/>
        <v>40742</v>
      </c>
      <c r="AE1" s="8">
        <f t="shared" si="1"/>
        <v>40777</v>
      </c>
      <c r="AF1" s="8">
        <f t="shared" si="1"/>
        <v>40780</v>
      </c>
      <c r="AG1" s="8">
        <f t="shared" si="1"/>
        <v>40855</v>
      </c>
      <c r="AH1" s="8">
        <f t="shared" si="1"/>
        <v>40919</v>
      </c>
      <c r="AI1" s="8">
        <f t="shared" si="1"/>
        <v>41157</v>
      </c>
      <c r="AJ1" s="8">
        <f t="shared" si="1"/>
        <v>41206</v>
      </c>
      <c r="AK1" s="8">
        <f t="shared" si="1"/>
        <v>41394</v>
      </c>
      <c r="AL1" s="8">
        <f t="shared" si="1"/>
        <v>41682</v>
      </c>
      <c r="AM1" s="8">
        <f t="shared" si="1"/>
        <v>41715</v>
      </c>
      <c r="AN1" s="8">
        <f t="shared" si="1"/>
        <v>41758</v>
      </c>
      <c r="AO1" s="8">
        <f t="shared" si="1"/>
        <v>41773</v>
      </c>
      <c r="AP1" s="8">
        <f t="shared" si="1"/>
        <v>41782</v>
      </c>
      <c r="AQ1" s="8">
        <f t="shared" ref="AQ1:AY1" si="2">+AQ2-693960</f>
        <v>41800</v>
      </c>
      <c r="AR1" s="8">
        <f t="shared" si="2"/>
        <v>41897</v>
      </c>
      <c r="AS1" s="8">
        <f t="shared" si="2"/>
        <v>41991</v>
      </c>
      <c r="AT1" s="8">
        <f t="shared" si="2"/>
        <v>42027</v>
      </c>
      <c r="AU1" s="8">
        <f t="shared" si="2"/>
        <v>42080</v>
      </c>
      <c r="AV1" s="8">
        <f t="shared" si="2"/>
        <v>42104</v>
      </c>
      <c r="AW1" s="8">
        <f t="shared" si="2"/>
        <v>42109</v>
      </c>
      <c r="AX1" s="8">
        <f t="shared" si="2"/>
        <v>42122</v>
      </c>
      <c r="AY1" s="8">
        <f t="shared" si="2"/>
        <v>42161</v>
      </c>
      <c r="AZ1" s="5">
        <v>42276</v>
      </c>
      <c r="BA1" s="5">
        <v>42388</v>
      </c>
      <c r="BB1" s="5">
        <v>42417</v>
      </c>
      <c r="BC1" s="5">
        <v>42438</v>
      </c>
      <c r="BD1" s="5">
        <v>42446</v>
      </c>
    </row>
    <row r="2" spans="1:58" s="10" customFormat="1" ht="20" x14ac:dyDescent="0.25">
      <c r="A2" s="6" t="s">
        <v>0</v>
      </c>
      <c r="B2" s="7" t="s">
        <v>1</v>
      </c>
      <c r="C2" s="9">
        <v>729391</v>
      </c>
      <c r="D2" s="9">
        <v>729905</v>
      </c>
      <c r="E2" s="9">
        <v>730369</v>
      </c>
      <c r="F2" s="9">
        <v>730642</v>
      </c>
      <c r="G2" s="9">
        <v>731109</v>
      </c>
      <c r="H2" s="9">
        <v>731467</v>
      </c>
      <c r="I2" s="10">
        <v>731837</v>
      </c>
      <c r="J2" s="10">
        <v>732205</v>
      </c>
      <c r="K2" s="10">
        <v>732463</v>
      </c>
      <c r="L2" s="10">
        <v>732575</v>
      </c>
      <c r="M2" s="10">
        <v>732960</v>
      </c>
      <c r="N2" s="10">
        <v>733280</v>
      </c>
      <c r="O2" s="10">
        <v>733941</v>
      </c>
      <c r="P2" s="10">
        <v>733977</v>
      </c>
      <c r="Q2" s="10">
        <v>733984</v>
      </c>
      <c r="R2" s="10">
        <v>734020</v>
      </c>
      <c r="S2" s="10">
        <v>734136</v>
      </c>
      <c r="T2" s="10">
        <v>734198</v>
      </c>
      <c r="U2" s="10">
        <v>734227</v>
      </c>
      <c r="V2" s="10">
        <v>734311</v>
      </c>
      <c r="W2" s="7">
        <v>734405</v>
      </c>
      <c r="X2" s="7">
        <v>734472</v>
      </c>
      <c r="Y2" s="7">
        <v>734531</v>
      </c>
      <c r="Z2" s="7">
        <v>734562</v>
      </c>
      <c r="AA2" s="7">
        <v>734606</v>
      </c>
      <c r="AB2" s="7">
        <v>734641</v>
      </c>
      <c r="AC2" s="11">
        <v>734663</v>
      </c>
      <c r="AD2" s="11">
        <v>734702</v>
      </c>
      <c r="AE2" s="11">
        <v>734737</v>
      </c>
      <c r="AF2" s="11">
        <v>734740</v>
      </c>
      <c r="AG2" s="11">
        <v>734815</v>
      </c>
      <c r="AH2" s="11">
        <v>734879</v>
      </c>
      <c r="AI2" s="11">
        <v>735117</v>
      </c>
      <c r="AJ2" s="11">
        <v>735166</v>
      </c>
      <c r="AK2" s="19">
        <v>735354</v>
      </c>
      <c r="AL2" s="19">
        <v>735642</v>
      </c>
      <c r="AM2" s="19">
        <v>735675</v>
      </c>
      <c r="AN2" s="19">
        <v>735718</v>
      </c>
      <c r="AO2" s="19">
        <v>735733</v>
      </c>
      <c r="AP2" s="11">
        <v>735742</v>
      </c>
      <c r="AQ2" s="11">
        <v>735760</v>
      </c>
      <c r="AR2" s="11">
        <v>735857</v>
      </c>
      <c r="AS2" s="11">
        <v>735951</v>
      </c>
      <c r="AT2" s="11">
        <v>735987</v>
      </c>
      <c r="AU2" s="11">
        <v>736040</v>
      </c>
      <c r="AV2" s="11">
        <v>736064</v>
      </c>
      <c r="AW2" s="10">
        <v>736069</v>
      </c>
      <c r="AX2" s="4">
        <v>736082</v>
      </c>
      <c r="AY2" s="4">
        <v>736121</v>
      </c>
      <c r="AZ2" s="4">
        <v>736236</v>
      </c>
      <c r="BA2" s="4">
        <v>736348</v>
      </c>
      <c r="BB2" s="4">
        <v>736377</v>
      </c>
      <c r="BC2" s="4">
        <v>736398</v>
      </c>
      <c r="BD2" s="4">
        <v>736406</v>
      </c>
      <c r="BF2" s="39"/>
    </row>
    <row r="3" spans="1:58" ht="18" customHeight="1" x14ac:dyDescent="0.2">
      <c r="A3" s="6">
        <v>1</v>
      </c>
      <c r="B3" s="7" t="s">
        <v>21</v>
      </c>
      <c r="C3" s="12">
        <v>0</v>
      </c>
      <c r="D3" s="12">
        <v>0</v>
      </c>
      <c r="E3" s="12">
        <v>0</v>
      </c>
      <c r="F3" s="12">
        <v>0</v>
      </c>
      <c r="G3" s="12">
        <v>0</v>
      </c>
      <c r="H3" s="12">
        <v>0</v>
      </c>
      <c r="I3" s="13">
        <v>0</v>
      </c>
      <c r="J3" s="13">
        <v>0</v>
      </c>
      <c r="K3" s="13">
        <v>0</v>
      </c>
      <c r="L3" s="13">
        <v>0</v>
      </c>
      <c r="M3" s="13">
        <v>0</v>
      </c>
      <c r="N3" s="13">
        <v>0</v>
      </c>
      <c r="O3" s="14">
        <v>0</v>
      </c>
      <c r="P3" s="14">
        <v>0</v>
      </c>
      <c r="Q3" s="14">
        <v>0</v>
      </c>
      <c r="R3" s="14">
        <v>0</v>
      </c>
      <c r="S3" s="14">
        <v>0</v>
      </c>
      <c r="T3" s="14">
        <v>0</v>
      </c>
      <c r="U3" s="14">
        <v>0</v>
      </c>
      <c r="V3" s="14">
        <v>0</v>
      </c>
      <c r="W3" s="14">
        <v>0</v>
      </c>
      <c r="X3" s="14">
        <v>0</v>
      </c>
      <c r="Y3" s="14">
        <v>0</v>
      </c>
      <c r="Z3" s="14">
        <v>0</v>
      </c>
      <c r="AA3" s="14">
        <v>0</v>
      </c>
      <c r="AB3" s="14">
        <v>0</v>
      </c>
      <c r="AC3" s="14">
        <v>0</v>
      </c>
      <c r="AD3" s="14">
        <v>0</v>
      </c>
      <c r="AE3" s="14">
        <v>0</v>
      </c>
      <c r="AF3" s="14">
        <v>0</v>
      </c>
      <c r="AG3" s="14">
        <v>0</v>
      </c>
      <c r="AH3" s="14">
        <v>0</v>
      </c>
      <c r="AI3" s="14">
        <v>0</v>
      </c>
      <c r="AJ3" s="14">
        <v>0</v>
      </c>
      <c r="AK3" s="14">
        <v>0</v>
      </c>
      <c r="AL3" s="14">
        <v>0</v>
      </c>
      <c r="AM3" s="14">
        <v>0</v>
      </c>
      <c r="AN3" s="14">
        <v>0</v>
      </c>
      <c r="AO3" s="14">
        <v>0</v>
      </c>
      <c r="AP3" s="14">
        <v>0</v>
      </c>
      <c r="AQ3" s="14">
        <v>0</v>
      </c>
      <c r="AR3" s="14">
        <v>0</v>
      </c>
      <c r="AS3" s="14">
        <v>0</v>
      </c>
      <c r="AT3" s="14">
        <v>0</v>
      </c>
      <c r="AU3" s="14">
        <v>0</v>
      </c>
      <c r="AV3" s="14">
        <v>0</v>
      </c>
      <c r="AW3" s="14">
        <v>0</v>
      </c>
      <c r="AX3" s="14">
        <v>0</v>
      </c>
      <c r="AY3" s="14">
        <v>-1.1000000000000001</v>
      </c>
      <c r="AZ3" s="14">
        <v>-1.1000000000000001</v>
      </c>
      <c r="BA3" s="14">
        <v>-1.1000000000000001</v>
      </c>
      <c r="BB3" s="14">
        <v>-1.1000000000000001</v>
      </c>
      <c r="BC3" s="14">
        <v>-1.1000000000000001</v>
      </c>
      <c r="BD3" s="14">
        <v>-1.1000000000000001</v>
      </c>
    </row>
    <row r="4" spans="1:58" x14ac:dyDescent="0.2">
      <c r="A4" s="6">
        <v>2</v>
      </c>
      <c r="B4" s="7" t="s">
        <v>22</v>
      </c>
      <c r="C4" s="12">
        <v>-0.17899999999999999</v>
      </c>
      <c r="D4" s="12">
        <v>-0.17899999999999999</v>
      </c>
      <c r="E4" s="12">
        <v>-0.17899999999999999</v>
      </c>
      <c r="F4" s="12">
        <v>-0.17899999999999999</v>
      </c>
      <c r="G4" s="12">
        <v>-0.17899999999999999</v>
      </c>
      <c r="H4" s="12">
        <v>-0.17899999999999999</v>
      </c>
      <c r="I4" s="13">
        <v>-0.17899999999999999</v>
      </c>
      <c r="J4" s="13">
        <v>-0.17899999999999999</v>
      </c>
      <c r="K4" s="13">
        <v>-0.17899999999999999</v>
      </c>
      <c r="L4" s="13">
        <v>-0.17899999999999999</v>
      </c>
      <c r="M4" s="13">
        <v>-0.17899999999999999</v>
      </c>
      <c r="N4" s="13">
        <v>-0.17899999999999999</v>
      </c>
      <c r="O4" s="14">
        <v>-0.17899999999999999</v>
      </c>
      <c r="P4" s="14">
        <v>-0.17899999999999999</v>
      </c>
      <c r="Q4" s="14">
        <v>-0.17899999999999999</v>
      </c>
      <c r="R4" s="14">
        <v>-0.17899999999999999</v>
      </c>
      <c r="S4" s="14">
        <v>-0.17899999999999999</v>
      </c>
      <c r="T4" s="14">
        <v>-0.17899999999999999</v>
      </c>
      <c r="U4" s="14">
        <v>-0.17899999999999999</v>
      </c>
      <c r="V4" s="14">
        <v>-0.17899999999999999</v>
      </c>
      <c r="W4" s="14">
        <v>-0.17899999999999999</v>
      </c>
      <c r="X4" s="14">
        <v>-0.17899999999999999</v>
      </c>
      <c r="Y4" s="14">
        <v>-0.17899999999999999</v>
      </c>
      <c r="Z4" s="14">
        <v>-0.17899999999999999</v>
      </c>
      <c r="AA4" s="14">
        <v>-0.17899999999999999</v>
      </c>
      <c r="AB4" s="14">
        <v>-0.17899999999999999</v>
      </c>
      <c r="AC4" s="14">
        <v>-0.17899999999999999</v>
      </c>
      <c r="AD4" s="14">
        <v>-0.17899999999999999</v>
      </c>
      <c r="AE4" s="14">
        <v>-0.17899999999999999</v>
      </c>
      <c r="AF4" s="14">
        <v>-0.17899999999999999</v>
      </c>
      <c r="AG4" s="14">
        <v>-0.17899999999999999</v>
      </c>
      <c r="AH4" s="14">
        <v>-0.17899999999999999</v>
      </c>
      <c r="AI4" s="14">
        <v>-0.17899999999999999</v>
      </c>
      <c r="AJ4" s="14">
        <v>-0.17899999999999999</v>
      </c>
      <c r="AK4" s="14">
        <v>-0.17899999999999999</v>
      </c>
      <c r="AL4" s="14">
        <v>-0.17899999999999999</v>
      </c>
      <c r="AM4" s="14">
        <v>-0.17899999999999999</v>
      </c>
      <c r="AN4" s="14">
        <v>-0.17899999999999999</v>
      </c>
      <c r="AO4" s="14">
        <v>-0.17899999999999999</v>
      </c>
      <c r="AP4" s="14">
        <v>-0.17899999999999999</v>
      </c>
      <c r="AQ4" s="14">
        <v>-0.17899999999999999</v>
      </c>
      <c r="AR4" s="14">
        <v>-0.17899999999999999</v>
      </c>
      <c r="AS4" s="14">
        <v>-0.17899999999999999</v>
      </c>
      <c r="AT4" s="14">
        <v>-0.17899999999999999</v>
      </c>
      <c r="AU4" s="14">
        <v>-0.17899999999999999</v>
      </c>
      <c r="AV4" s="14">
        <v>-0.17899999999999999</v>
      </c>
      <c r="AW4" s="14">
        <v>-0.17899999999999999</v>
      </c>
      <c r="AX4" s="14">
        <v>-0.17899999999999999</v>
      </c>
      <c r="AY4" s="14">
        <v>-0.6</v>
      </c>
      <c r="AZ4" s="14">
        <v>-0.6</v>
      </c>
      <c r="BA4" s="14">
        <v>-0.6</v>
      </c>
      <c r="BB4" s="14">
        <v>-0.6</v>
      </c>
      <c r="BC4" s="14">
        <v>-0.6</v>
      </c>
      <c r="BD4" s="14">
        <v>-0.6</v>
      </c>
    </row>
    <row r="5" spans="1:58" x14ac:dyDescent="0.2">
      <c r="A5" s="6">
        <v>3</v>
      </c>
      <c r="B5" s="7" t="s">
        <v>23</v>
      </c>
      <c r="C5" s="12">
        <v>-0.33350000000000002</v>
      </c>
      <c r="D5" s="12">
        <v>-0.33350000000000002</v>
      </c>
      <c r="E5" s="12">
        <v>-0.33350000000000002</v>
      </c>
      <c r="F5" s="12">
        <v>-0.33350000000000002</v>
      </c>
      <c r="G5" s="12">
        <v>-0.33350000000000002</v>
      </c>
      <c r="H5" s="12">
        <v>-0.33350000000000002</v>
      </c>
      <c r="I5" s="13">
        <v>-0.33350000000000002</v>
      </c>
      <c r="J5" s="13">
        <v>-0.33350000000000002</v>
      </c>
      <c r="K5" s="13">
        <v>-0.33350000000000002</v>
      </c>
      <c r="L5" s="13">
        <v>-0.33350000000000002</v>
      </c>
      <c r="M5" s="13">
        <v>-0.33350000000000002</v>
      </c>
      <c r="N5" s="13">
        <v>-0.33350000000000002</v>
      </c>
      <c r="O5" s="14">
        <v>-0.33350000000000002</v>
      </c>
      <c r="P5" s="14">
        <v>-0.33350000000000002</v>
      </c>
      <c r="Q5" s="14">
        <v>-0.33350000000000002</v>
      </c>
      <c r="R5" s="14">
        <v>-0.33350000000000002</v>
      </c>
      <c r="S5" s="14">
        <v>-0.33350000000000002</v>
      </c>
      <c r="T5" s="14">
        <v>-0.33350000000000002</v>
      </c>
      <c r="U5" s="14">
        <v>-0.33350000000000002</v>
      </c>
      <c r="V5" s="14">
        <v>-0.33350000000000002</v>
      </c>
      <c r="W5" s="14">
        <v>-0.33350000000000002</v>
      </c>
      <c r="X5" s="14">
        <v>-0.33350000000000002</v>
      </c>
      <c r="Y5" s="14">
        <v>-0.33350000000000002</v>
      </c>
      <c r="Z5" s="14">
        <v>-0.33350000000000002</v>
      </c>
      <c r="AA5" s="14">
        <v>-0.33350000000000002</v>
      </c>
      <c r="AB5" s="14">
        <v>-0.33350000000000002</v>
      </c>
      <c r="AC5" s="14">
        <v>-0.33350000000000002</v>
      </c>
      <c r="AD5" s="14">
        <v>-0.33350000000000002</v>
      </c>
      <c r="AE5" s="14">
        <v>-0.33350000000000002</v>
      </c>
      <c r="AF5" s="14">
        <v>-0.33350000000000002</v>
      </c>
      <c r="AG5" s="14">
        <v>-0.33350000000000002</v>
      </c>
      <c r="AH5" s="14">
        <v>-0.33350000000000002</v>
      </c>
      <c r="AI5" s="14">
        <v>-0.33350000000000002</v>
      </c>
      <c r="AJ5" s="14">
        <v>-0.33350000000000002</v>
      </c>
      <c r="AK5" s="14">
        <v>-0.33350000000000002</v>
      </c>
      <c r="AL5" s="14">
        <v>-0.33350000000000002</v>
      </c>
      <c r="AM5" s="14">
        <v>-0.33350000000000002</v>
      </c>
      <c r="AN5" s="14">
        <v>-0.33350000000000002</v>
      </c>
      <c r="AO5" s="14">
        <v>-0.33350000000000002</v>
      </c>
      <c r="AP5" s="14">
        <v>-0.33350000000000002</v>
      </c>
      <c r="AQ5" s="14">
        <v>-0.33350000000000002</v>
      </c>
      <c r="AR5" s="14">
        <v>-0.33350000000000002</v>
      </c>
      <c r="AS5" s="14">
        <v>-0.33350000000000002</v>
      </c>
      <c r="AT5" s="14">
        <v>-0.33350000000000002</v>
      </c>
      <c r="AU5" s="14">
        <v>-0.33350000000000002</v>
      </c>
      <c r="AV5" s="14">
        <v>-0.33350000000000002</v>
      </c>
      <c r="AW5" s="14">
        <v>-0.33350000000000002</v>
      </c>
      <c r="AX5" s="14">
        <v>-0.33350000000000002</v>
      </c>
      <c r="AY5" s="14">
        <v>0</v>
      </c>
      <c r="AZ5" s="14">
        <v>0</v>
      </c>
      <c r="BA5" s="14">
        <v>0</v>
      </c>
      <c r="BB5" s="14">
        <v>0</v>
      </c>
      <c r="BC5" s="14">
        <v>0</v>
      </c>
      <c r="BD5" s="14">
        <v>0</v>
      </c>
    </row>
    <row r="6" spans="1:58" x14ac:dyDescent="0.2">
      <c r="A6" s="6">
        <v>4</v>
      </c>
      <c r="B6" s="7" t="s">
        <v>24</v>
      </c>
      <c r="C6" s="12">
        <v>-0.21299999999999999</v>
      </c>
      <c r="D6" s="12">
        <v>-0.21299999999999999</v>
      </c>
      <c r="E6" s="12">
        <v>-0.21299999999999999</v>
      </c>
      <c r="F6" s="12">
        <v>-0.21299999999999999</v>
      </c>
      <c r="G6" s="12">
        <v>-0.21299999999999999</v>
      </c>
      <c r="H6" s="12">
        <v>-0.21299999999999999</v>
      </c>
      <c r="I6" s="13">
        <v>-0.21299999999999999</v>
      </c>
      <c r="J6" s="13">
        <v>-0.21299999999999999</v>
      </c>
      <c r="K6" s="13">
        <v>-0.21299999999999999</v>
      </c>
      <c r="L6" s="13">
        <v>-0.21299999999999999</v>
      </c>
      <c r="M6" s="13">
        <v>-0.21299999999999999</v>
      </c>
      <c r="N6" s="13">
        <v>-0.21299999999999999</v>
      </c>
      <c r="O6" s="14">
        <v>-0.21299999999999999</v>
      </c>
      <c r="P6" s="14">
        <v>-0.21299999999999999</v>
      </c>
      <c r="Q6" s="14">
        <v>-0.21299999999999999</v>
      </c>
      <c r="R6" s="14">
        <v>-0.21299999999999999</v>
      </c>
      <c r="S6" s="14">
        <v>-0.21299999999999999</v>
      </c>
      <c r="T6" s="14">
        <v>-0.21299999999999999</v>
      </c>
      <c r="U6" s="14">
        <v>-0.21299999999999999</v>
      </c>
      <c r="V6" s="14">
        <v>-0.21299999999999999</v>
      </c>
      <c r="W6" s="14">
        <v>-0.21299999999999999</v>
      </c>
      <c r="X6" s="14">
        <v>-0.21299999999999999</v>
      </c>
      <c r="Y6" s="14">
        <v>-0.21299999999999999</v>
      </c>
      <c r="Z6" s="14">
        <v>-0.21299999999999999</v>
      </c>
      <c r="AA6" s="14">
        <v>-0.21299999999999999</v>
      </c>
      <c r="AB6" s="14">
        <v>-0.21299999999999999</v>
      </c>
      <c r="AC6" s="14">
        <v>-0.21299999999999999</v>
      </c>
      <c r="AD6" s="14">
        <v>-0.21299999999999999</v>
      </c>
      <c r="AE6" s="14">
        <v>-0.21299999999999999</v>
      </c>
      <c r="AF6" s="14">
        <v>-0.21299999999999999</v>
      </c>
      <c r="AG6" s="14">
        <v>-0.21299999999999999</v>
      </c>
      <c r="AH6" s="14">
        <v>-0.21299999999999999</v>
      </c>
      <c r="AI6" s="14">
        <v>-0.21299999999999999</v>
      </c>
      <c r="AJ6" s="14">
        <v>-0.21299999999999999</v>
      </c>
      <c r="AK6" s="14">
        <v>-0.21299999999999999</v>
      </c>
      <c r="AL6" s="14">
        <v>-0.21299999999999999</v>
      </c>
      <c r="AM6" s="14">
        <v>-0.21299999999999999</v>
      </c>
      <c r="AN6" s="14">
        <v>-0.21299999999999999</v>
      </c>
      <c r="AO6" s="14">
        <v>-0.21299999999999999</v>
      </c>
      <c r="AP6" s="14">
        <v>-0.21299999999999999</v>
      </c>
      <c r="AQ6" s="14">
        <v>-0.21299999999999999</v>
      </c>
      <c r="AR6" s="14">
        <v>-0.21299999999999999</v>
      </c>
      <c r="AS6" s="14">
        <v>-0.21299999999999999</v>
      </c>
      <c r="AT6" s="14">
        <v>-0.21299999999999999</v>
      </c>
      <c r="AU6" s="14">
        <v>-0.21299999999999999</v>
      </c>
      <c r="AV6" s="14">
        <v>-0.21299999999999999</v>
      </c>
      <c r="AW6" s="14">
        <v>-0.21299999999999999</v>
      </c>
      <c r="AX6" s="14">
        <v>-0.21299999999999999</v>
      </c>
      <c r="AY6" s="14">
        <v>0.3</v>
      </c>
      <c r="AZ6" s="14">
        <v>0.3</v>
      </c>
      <c r="BA6" s="14">
        <v>0.3</v>
      </c>
      <c r="BB6" s="14">
        <v>0.3</v>
      </c>
      <c r="BC6" s="14">
        <v>0.3</v>
      </c>
      <c r="BD6" s="14">
        <v>0.3</v>
      </c>
    </row>
    <row r="7" spans="1:58" x14ac:dyDescent="0.2">
      <c r="A7" s="6">
        <v>5</v>
      </c>
      <c r="B7" s="7" t="s">
        <v>25</v>
      </c>
      <c r="C7" s="12">
        <v>-0.5645</v>
      </c>
      <c r="D7" s="12">
        <v>-0.5645</v>
      </c>
      <c r="E7" s="12">
        <v>-0.5645</v>
      </c>
      <c r="F7" s="12">
        <v>-0.5645</v>
      </c>
      <c r="G7" s="12">
        <v>-0.5645</v>
      </c>
      <c r="H7" s="12">
        <v>-0.5645</v>
      </c>
      <c r="I7" s="13">
        <v>-0.5645</v>
      </c>
      <c r="J7" s="13">
        <v>-0.5645</v>
      </c>
      <c r="K7" s="13">
        <v>-0.5645</v>
      </c>
      <c r="L7" s="13">
        <v>-0.5645</v>
      </c>
      <c r="M7" s="13">
        <v>-0.5645</v>
      </c>
      <c r="N7" s="13">
        <v>-0.5645</v>
      </c>
      <c r="O7" s="14">
        <v>-0.5645</v>
      </c>
      <c r="P7" s="14">
        <v>-0.5645</v>
      </c>
      <c r="Q7" s="14">
        <v>-0.5645</v>
      </c>
      <c r="R7" s="14">
        <v>-0.5645</v>
      </c>
      <c r="S7" s="14">
        <v>-0.5645</v>
      </c>
      <c r="T7" s="14">
        <v>-0.5645</v>
      </c>
      <c r="U7" s="14">
        <v>-0.5645</v>
      </c>
      <c r="V7" s="14">
        <v>-0.5645</v>
      </c>
      <c r="W7" s="14">
        <v>-0.5645</v>
      </c>
      <c r="X7" s="14">
        <v>-0.5645</v>
      </c>
      <c r="Y7" s="14">
        <v>-0.5645</v>
      </c>
      <c r="Z7" s="14">
        <v>-0.5645</v>
      </c>
      <c r="AA7" s="14">
        <v>-0.5645</v>
      </c>
      <c r="AB7" s="14">
        <v>-0.5645</v>
      </c>
      <c r="AC7" s="14">
        <v>-0.5645</v>
      </c>
      <c r="AD7" s="14">
        <v>-0.5645</v>
      </c>
      <c r="AE7" s="14">
        <v>-0.5645</v>
      </c>
      <c r="AF7" s="14">
        <v>-0.5645</v>
      </c>
      <c r="AG7" s="14">
        <v>-0.5645</v>
      </c>
      <c r="AH7" s="14">
        <v>-0.5645</v>
      </c>
      <c r="AI7" s="14">
        <v>-0.5645</v>
      </c>
      <c r="AJ7" s="14">
        <v>-0.5645</v>
      </c>
      <c r="AK7" s="14">
        <v>-0.5645</v>
      </c>
      <c r="AL7" s="14">
        <v>-0.5645</v>
      </c>
      <c r="AM7" s="14">
        <v>-0.5645</v>
      </c>
      <c r="AN7" s="14">
        <v>-0.5645</v>
      </c>
      <c r="AO7" s="14">
        <v>-0.5645</v>
      </c>
      <c r="AP7" s="14">
        <v>-0.5645</v>
      </c>
      <c r="AQ7" s="14">
        <v>-0.5645</v>
      </c>
      <c r="AR7" s="14">
        <v>-0.5645</v>
      </c>
      <c r="AS7" s="14">
        <v>-0.5645</v>
      </c>
      <c r="AT7" s="14">
        <v>-0.5645</v>
      </c>
      <c r="AU7" s="14">
        <v>-0.5645</v>
      </c>
      <c r="AV7" s="14">
        <v>-0.5645</v>
      </c>
      <c r="AW7" s="14">
        <v>-0.5645</v>
      </c>
      <c r="AX7" s="14">
        <v>-0.5645</v>
      </c>
      <c r="AY7" s="14">
        <v>0</v>
      </c>
      <c r="AZ7" s="14">
        <v>0</v>
      </c>
      <c r="BA7" s="14">
        <v>0</v>
      </c>
      <c r="BB7" s="14">
        <v>0</v>
      </c>
      <c r="BC7" s="14">
        <v>0</v>
      </c>
      <c r="BD7" s="14">
        <v>0</v>
      </c>
    </row>
    <row r="8" spans="1:58" x14ac:dyDescent="0.2">
      <c r="A8" s="6">
        <v>6</v>
      </c>
      <c r="B8" s="7" t="s">
        <v>26</v>
      </c>
      <c r="C8" s="12">
        <v>0</v>
      </c>
      <c r="D8" s="12">
        <v>0</v>
      </c>
      <c r="E8" s="12">
        <v>0</v>
      </c>
      <c r="F8" s="12">
        <v>0</v>
      </c>
      <c r="G8" s="12">
        <v>0</v>
      </c>
      <c r="H8" s="12">
        <v>0</v>
      </c>
      <c r="I8" s="13">
        <v>0</v>
      </c>
      <c r="J8" s="13">
        <v>0</v>
      </c>
      <c r="K8" s="13">
        <v>0</v>
      </c>
      <c r="L8" s="13">
        <v>0</v>
      </c>
      <c r="M8" s="13">
        <v>0</v>
      </c>
      <c r="N8" s="13">
        <v>0</v>
      </c>
      <c r="O8" s="14">
        <v>0</v>
      </c>
      <c r="P8" s="14">
        <v>0</v>
      </c>
      <c r="Q8" s="14">
        <v>0</v>
      </c>
      <c r="R8" s="14">
        <v>0</v>
      </c>
      <c r="S8" s="14">
        <v>0</v>
      </c>
      <c r="T8" s="14">
        <v>0</v>
      </c>
      <c r="U8" s="14">
        <v>0</v>
      </c>
      <c r="V8" s="14">
        <v>0</v>
      </c>
      <c r="W8" s="7">
        <v>0</v>
      </c>
      <c r="X8" s="7">
        <v>0</v>
      </c>
      <c r="Y8" s="7">
        <v>0</v>
      </c>
      <c r="Z8" s="7">
        <v>0</v>
      </c>
      <c r="AA8" s="7">
        <v>0</v>
      </c>
      <c r="AB8" s="7">
        <v>0</v>
      </c>
      <c r="AC8" s="7">
        <v>0</v>
      </c>
      <c r="AD8" s="7">
        <v>0</v>
      </c>
      <c r="AE8" s="7">
        <v>0</v>
      </c>
      <c r="AF8" s="7">
        <v>0</v>
      </c>
      <c r="AG8" s="7">
        <v>0</v>
      </c>
      <c r="AH8" s="7">
        <v>0</v>
      </c>
      <c r="AI8" s="7">
        <v>0</v>
      </c>
      <c r="AJ8" s="7">
        <v>0</v>
      </c>
      <c r="AK8" s="7">
        <v>0</v>
      </c>
      <c r="AL8" s="7">
        <v>0</v>
      </c>
      <c r="AM8" s="7">
        <v>0</v>
      </c>
      <c r="AN8" s="7">
        <v>0</v>
      </c>
      <c r="AO8" s="7">
        <v>0</v>
      </c>
      <c r="AP8" s="7">
        <v>0</v>
      </c>
      <c r="AQ8" s="7">
        <v>0</v>
      </c>
      <c r="AR8" s="7">
        <v>0</v>
      </c>
      <c r="AS8" s="7">
        <v>0</v>
      </c>
      <c r="AT8" s="7">
        <v>0</v>
      </c>
      <c r="AU8" s="7">
        <v>0</v>
      </c>
      <c r="AV8" s="7">
        <v>0</v>
      </c>
      <c r="AW8" s="7">
        <v>0</v>
      </c>
      <c r="AX8" s="7">
        <v>0</v>
      </c>
      <c r="AY8" s="7">
        <v>0</v>
      </c>
      <c r="AZ8" s="7">
        <v>0</v>
      </c>
      <c r="BA8" s="7">
        <v>0</v>
      </c>
      <c r="BB8" s="7">
        <v>0</v>
      </c>
      <c r="BC8" s="7">
        <v>0</v>
      </c>
      <c r="BD8" s="7">
        <v>0</v>
      </c>
    </row>
    <row r="9" spans="1:58" x14ac:dyDescent="0.2">
      <c r="A9" s="6">
        <v>7</v>
      </c>
      <c r="B9" s="7" t="s">
        <v>27</v>
      </c>
      <c r="C9" s="12">
        <v>0.34129999999999999</v>
      </c>
      <c r="D9" s="12">
        <v>0.34200000000000003</v>
      </c>
      <c r="E9" s="12">
        <v>0.34200000000000003</v>
      </c>
      <c r="F9" s="12">
        <v>0.34200000000000003</v>
      </c>
      <c r="G9" s="12">
        <v>0.3397</v>
      </c>
      <c r="H9" s="12">
        <v>0.3397</v>
      </c>
      <c r="I9" s="13">
        <v>0.3397</v>
      </c>
      <c r="J9" s="13">
        <v>0.3397</v>
      </c>
      <c r="K9" s="13">
        <v>0.3397</v>
      </c>
      <c r="L9" s="13">
        <v>0.3397</v>
      </c>
      <c r="M9" s="13">
        <v>0.3397</v>
      </c>
      <c r="N9" s="13">
        <v>0.3397</v>
      </c>
      <c r="O9" s="14">
        <v>0.3397</v>
      </c>
      <c r="P9" s="14">
        <v>0.3397</v>
      </c>
      <c r="Q9" s="14">
        <v>0.3397</v>
      </c>
      <c r="R9" s="14">
        <v>0.3397</v>
      </c>
      <c r="S9" s="14">
        <v>0.3397</v>
      </c>
      <c r="T9" s="14">
        <v>0.3397</v>
      </c>
      <c r="U9" s="14">
        <v>0.3397</v>
      </c>
      <c r="V9" s="14">
        <v>0.3397</v>
      </c>
      <c r="W9" s="7">
        <v>0.3397</v>
      </c>
      <c r="X9" s="7">
        <v>0.3397</v>
      </c>
      <c r="Y9" s="7">
        <v>0.3397</v>
      </c>
      <c r="Z9" s="7">
        <v>0.3397</v>
      </c>
      <c r="AA9" s="7">
        <v>0.3397</v>
      </c>
      <c r="AB9" s="7">
        <v>0.3397</v>
      </c>
      <c r="AC9" s="7">
        <v>0.3397</v>
      </c>
      <c r="AD9" s="7">
        <v>0.3397</v>
      </c>
      <c r="AE9" s="7">
        <v>0.3397</v>
      </c>
      <c r="AF9" s="7">
        <v>0.3397</v>
      </c>
      <c r="AG9" s="7">
        <v>0.3397</v>
      </c>
      <c r="AH9" s="7">
        <v>0.3397</v>
      </c>
      <c r="AI9" s="7">
        <v>0.33800000000000002</v>
      </c>
      <c r="AJ9" s="7">
        <v>0.33800000000000002</v>
      </c>
      <c r="AK9" s="7">
        <v>0.3397</v>
      </c>
      <c r="AL9" s="7">
        <v>0.33750000000000002</v>
      </c>
      <c r="AM9" s="7">
        <v>0.3397</v>
      </c>
      <c r="AN9" s="7">
        <v>0.3397</v>
      </c>
      <c r="AO9" s="7">
        <v>0.3397</v>
      </c>
      <c r="AP9" s="7">
        <v>0.3397</v>
      </c>
      <c r="AQ9" s="7">
        <v>0.3397</v>
      </c>
      <c r="AR9" s="7">
        <v>0.3397</v>
      </c>
      <c r="AS9" s="7">
        <v>0.33950000000000002</v>
      </c>
      <c r="AT9" s="7">
        <v>0.33950000000000002</v>
      </c>
      <c r="AU9" s="7">
        <v>0.33950000000000002</v>
      </c>
      <c r="AV9" s="7">
        <v>0.33950000000000002</v>
      </c>
      <c r="AW9" s="7">
        <v>0.33950000000000002</v>
      </c>
      <c r="AX9" s="7">
        <v>0.33950000000000002</v>
      </c>
      <c r="AY9" s="7">
        <v>0.33950000000000002</v>
      </c>
      <c r="AZ9" s="7">
        <v>0.33950000000000002</v>
      </c>
      <c r="BA9" s="7">
        <v>0.33950000000000002</v>
      </c>
      <c r="BB9" s="7">
        <v>0.33950000000000002</v>
      </c>
      <c r="BC9" s="7">
        <v>0.33950000000000002</v>
      </c>
      <c r="BD9" s="7">
        <v>0.33950000000000002</v>
      </c>
    </row>
    <row r="10" spans="1:58" x14ac:dyDescent="0.2">
      <c r="A10" s="6">
        <v>8</v>
      </c>
      <c r="B10" s="7" t="s">
        <v>28</v>
      </c>
      <c r="C10" s="12">
        <v>2.35</v>
      </c>
      <c r="D10" s="12">
        <v>2.35</v>
      </c>
      <c r="E10" s="12">
        <v>2.35</v>
      </c>
      <c r="F10" s="12">
        <v>2.35</v>
      </c>
      <c r="G10" s="12">
        <v>2.35</v>
      </c>
      <c r="H10" s="12">
        <v>2.35</v>
      </c>
      <c r="I10" s="13">
        <v>2.35</v>
      </c>
      <c r="J10" s="13">
        <v>2.35</v>
      </c>
      <c r="K10" s="13">
        <v>2.35</v>
      </c>
      <c r="L10" s="13">
        <v>2.35</v>
      </c>
      <c r="M10" s="13">
        <v>2.35</v>
      </c>
      <c r="N10" s="13">
        <v>2.35</v>
      </c>
      <c r="O10" s="14">
        <v>2.35</v>
      </c>
      <c r="P10" s="14">
        <v>2.35</v>
      </c>
      <c r="Q10" s="14">
        <v>2.35</v>
      </c>
      <c r="R10" s="14">
        <v>2.35</v>
      </c>
      <c r="S10" s="14">
        <v>2.35</v>
      </c>
      <c r="T10" s="14">
        <v>2.35</v>
      </c>
      <c r="U10" s="14">
        <v>2.35</v>
      </c>
      <c r="V10" s="14">
        <v>2.35</v>
      </c>
      <c r="W10" s="7">
        <v>2.35</v>
      </c>
      <c r="X10" s="7">
        <v>2.35</v>
      </c>
      <c r="Y10" s="7">
        <v>2.35</v>
      </c>
      <c r="Z10" s="7">
        <v>2.35</v>
      </c>
      <c r="AA10" s="7">
        <v>2.35</v>
      </c>
      <c r="AB10" s="7">
        <v>2.35</v>
      </c>
      <c r="AC10" s="7">
        <v>2.35</v>
      </c>
      <c r="AD10" s="7">
        <v>2.35</v>
      </c>
      <c r="AE10" s="7">
        <v>2.35</v>
      </c>
      <c r="AF10" s="7">
        <v>2.35</v>
      </c>
      <c r="AG10" s="7">
        <v>2.35</v>
      </c>
      <c r="AH10" s="7">
        <v>2.35</v>
      </c>
      <c r="AI10" s="7">
        <v>2.35</v>
      </c>
      <c r="AJ10" s="7">
        <v>2.35</v>
      </c>
      <c r="AK10" s="7">
        <v>2.35</v>
      </c>
      <c r="AL10" s="7">
        <v>2.35</v>
      </c>
      <c r="AM10" s="7">
        <v>2.35</v>
      </c>
      <c r="AN10" s="7">
        <v>2.35</v>
      </c>
      <c r="AO10" s="7">
        <v>2.35</v>
      </c>
      <c r="AP10" s="7">
        <v>2.35</v>
      </c>
      <c r="AQ10" s="7">
        <v>2.35</v>
      </c>
      <c r="AR10" s="7">
        <v>2.35</v>
      </c>
      <c r="AS10" s="7">
        <v>2.35</v>
      </c>
      <c r="AT10" s="7">
        <v>2.35</v>
      </c>
      <c r="AU10" s="7">
        <v>2.35</v>
      </c>
      <c r="AV10" s="7">
        <v>2.35</v>
      </c>
      <c r="AW10" s="7">
        <v>2.35</v>
      </c>
      <c r="AX10" s="7">
        <v>2.35</v>
      </c>
      <c r="AY10" s="7">
        <v>2.35</v>
      </c>
      <c r="AZ10" s="7">
        <v>2.35</v>
      </c>
      <c r="BA10" s="7">
        <v>2.35</v>
      </c>
      <c r="BB10" s="7">
        <v>2.35</v>
      </c>
      <c r="BC10" s="7">
        <v>2.35</v>
      </c>
      <c r="BD10" s="7">
        <v>2.35</v>
      </c>
    </row>
    <row r="11" spans="1:58" x14ac:dyDescent="0.2">
      <c r="A11" s="6">
        <v>9</v>
      </c>
      <c r="B11" s="7" t="s">
        <v>29</v>
      </c>
      <c r="C11" s="15">
        <v>1.1499999999999999</v>
      </c>
      <c r="D11" s="12">
        <v>1.1499999999999999</v>
      </c>
      <c r="E11" s="12">
        <v>1.1499999999999999</v>
      </c>
      <c r="F11" s="12">
        <v>1.1499999999999999</v>
      </c>
      <c r="G11" s="12">
        <v>1.1499999999999999</v>
      </c>
      <c r="H11" s="12">
        <v>1.1499999999999999</v>
      </c>
      <c r="I11" s="13">
        <v>1.1499999999999999</v>
      </c>
      <c r="J11" s="13">
        <v>1.1499999999999999</v>
      </c>
      <c r="K11" s="13">
        <v>1.1499999999999999</v>
      </c>
      <c r="L11" s="13">
        <v>1.1499999999999999</v>
      </c>
      <c r="M11" s="13">
        <v>1.1499999999999999</v>
      </c>
      <c r="N11" s="13">
        <v>1.1499999999999999</v>
      </c>
      <c r="O11" s="14">
        <v>1.1499999999999999</v>
      </c>
      <c r="P11" s="14">
        <v>1.1499999999999999</v>
      </c>
      <c r="Q11" s="14">
        <v>1.1499999999999999</v>
      </c>
      <c r="R11" s="14">
        <v>1.1499999999999999</v>
      </c>
      <c r="S11" s="14">
        <v>1.1499999999999999</v>
      </c>
      <c r="T11" s="14">
        <v>1.1499999999999999</v>
      </c>
      <c r="U11" s="14">
        <v>1.1499999999999999</v>
      </c>
      <c r="V11" s="14">
        <v>1.1499999999999999</v>
      </c>
      <c r="W11" s="7">
        <v>1.1499999999999999</v>
      </c>
      <c r="X11" s="7">
        <v>1.1499999999999999</v>
      </c>
      <c r="Y11" s="7">
        <v>1.1499999999999999</v>
      </c>
      <c r="Z11" s="7">
        <v>1.1499999999999999</v>
      </c>
      <c r="AA11" s="7">
        <v>1.1499999999999999</v>
      </c>
      <c r="AB11" s="7">
        <v>1.1499999999999999</v>
      </c>
      <c r="AC11" s="7">
        <v>1.1499999999999999</v>
      </c>
      <c r="AD11" s="7">
        <v>1.1499999999999999</v>
      </c>
      <c r="AE11" s="7">
        <v>1.1499999999999999</v>
      </c>
      <c r="AF11" s="7">
        <v>1.1499999999999999</v>
      </c>
      <c r="AG11" s="7">
        <v>1.1499999999999999</v>
      </c>
      <c r="AH11" s="7">
        <v>1.1499999999999999</v>
      </c>
      <c r="AI11" s="7">
        <v>1.1499999999999999</v>
      </c>
      <c r="AJ11" s="7">
        <v>1.1499999999999999</v>
      </c>
      <c r="AK11" s="7">
        <v>1.1499999999999999</v>
      </c>
      <c r="AL11" s="7">
        <v>1.1499999999999999</v>
      </c>
      <c r="AM11" s="7">
        <v>1.1499999999999999</v>
      </c>
      <c r="AN11" s="7">
        <v>1.1499999999999999</v>
      </c>
      <c r="AO11" s="7">
        <v>1.1499999999999999</v>
      </c>
      <c r="AP11" s="7">
        <v>1.1499999999999999</v>
      </c>
      <c r="AQ11" s="7">
        <v>1.1499999999999999</v>
      </c>
      <c r="AR11" s="7">
        <v>1.1499999999999999</v>
      </c>
      <c r="AS11" s="7">
        <v>1.1499999999999999</v>
      </c>
      <c r="AT11" s="7">
        <v>1.1499999999999999</v>
      </c>
      <c r="AU11" s="7">
        <v>1.1499999999999999</v>
      </c>
      <c r="AV11" s="7">
        <v>1.1499999999999999</v>
      </c>
      <c r="AW11" s="7">
        <v>1.1499999999999999</v>
      </c>
      <c r="AX11" s="7">
        <v>1.1499999999999999</v>
      </c>
      <c r="AY11" s="7">
        <v>1.1499999999999999</v>
      </c>
      <c r="AZ11" s="7">
        <v>1.1499999999999999</v>
      </c>
      <c r="BA11" s="7">
        <v>1.1499999999999999</v>
      </c>
      <c r="BB11" s="7">
        <v>1.1499999999999999</v>
      </c>
      <c r="BC11" s="7">
        <v>1.1499999999999999</v>
      </c>
      <c r="BD11" s="7">
        <v>1.1499999999999999</v>
      </c>
    </row>
    <row r="12" spans="1:58" s="10" customFormat="1" ht="17.25" customHeight="1" x14ac:dyDescent="0.2">
      <c r="A12" s="6">
        <v>10</v>
      </c>
      <c r="B12" s="7" t="s">
        <v>30</v>
      </c>
      <c r="C12" s="9">
        <v>1583</v>
      </c>
      <c r="D12" s="9">
        <v>1551</v>
      </c>
      <c r="E12" s="9">
        <v>1565</v>
      </c>
      <c r="F12" s="9">
        <v>1565</v>
      </c>
      <c r="G12" s="9">
        <v>1575</v>
      </c>
      <c r="H12" s="9">
        <v>1575</v>
      </c>
      <c r="I12" s="10">
        <v>1584</v>
      </c>
      <c r="J12" s="10">
        <v>1584</v>
      </c>
      <c r="K12" s="10">
        <v>1605</v>
      </c>
      <c r="L12" s="10">
        <v>1605</v>
      </c>
      <c r="M12" s="10">
        <v>1605</v>
      </c>
      <c r="N12" s="10">
        <v>1605</v>
      </c>
      <c r="O12" s="10">
        <v>1605</v>
      </c>
      <c r="P12" s="10">
        <v>1605</v>
      </c>
      <c r="Q12" s="10">
        <v>1605</v>
      </c>
      <c r="R12" s="10">
        <v>1605</v>
      </c>
      <c r="S12" s="10">
        <v>1605</v>
      </c>
      <c r="T12" s="10">
        <v>1605</v>
      </c>
      <c r="U12" s="10">
        <v>1605</v>
      </c>
      <c r="V12" s="10">
        <v>1605</v>
      </c>
      <c r="W12" s="7">
        <v>1605</v>
      </c>
      <c r="X12" s="7">
        <v>1605</v>
      </c>
      <c r="Y12" s="7">
        <v>1605</v>
      </c>
      <c r="Z12" s="7">
        <v>1605</v>
      </c>
      <c r="AA12" s="7">
        <v>1605</v>
      </c>
      <c r="AB12" s="7">
        <v>1605</v>
      </c>
      <c r="AC12" s="7">
        <v>1605</v>
      </c>
      <c r="AD12" s="7">
        <v>1605</v>
      </c>
      <c r="AE12" s="7">
        <v>1605</v>
      </c>
      <c r="AF12" s="7">
        <v>1605</v>
      </c>
      <c r="AG12" s="7">
        <v>1605</v>
      </c>
      <c r="AH12" s="7">
        <v>1605</v>
      </c>
      <c r="AI12" s="7">
        <v>1615</v>
      </c>
      <c r="AJ12" s="7">
        <v>1615</v>
      </c>
      <c r="AK12" s="7">
        <v>1595</v>
      </c>
      <c r="AL12" s="7">
        <v>1595</v>
      </c>
      <c r="AM12" s="7">
        <v>1585</v>
      </c>
      <c r="AN12" s="7">
        <v>1585</v>
      </c>
      <c r="AO12" s="7">
        <v>1585</v>
      </c>
      <c r="AP12" s="7">
        <v>1585</v>
      </c>
      <c r="AQ12" s="7">
        <v>1585</v>
      </c>
      <c r="AR12" s="7">
        <v>1585</v>
      </c>
      <c r="AS12" s="7">
        <v>1600</v>
      </c>
      <c r="AT12" s="7">
        <v>1580</v>
      </c>
      <c r="AU12" s="7">
        <v>1580</v>
      </c>
      <c r="AV12" s="7">
        <v>1580</v>
      </c>
      <c r="AW12" s="7">
        <v>1580</v>
      </c>
      <c r="AX12" s="7">
        <v>1580</v>
      </c>
      <c r="AY12" s="7">
        <v>1610</v>
      </c>
      <c r="AZ12" s="7">
        <v>1610</v>
      </c>
      <c r="BA12" s="7">
        <v>1610</v>
      </c>
      <c r="BB12" s="7">
        <v>1610</v>
      </c>
      <c r="BC12" s="7">
        <v>1610</v>
      </c>
      <c r="BD12" s="7">
        <v>1610</v>
      </c>
    </row>
    <row r="13" spans="1:58" s="10" customFormat="1" x14ac:dyDescent="0.2">
      <c r="A13" s="6">
        <v>11</v>
      </c>
      <c r="B13" s="7" t="s">
        <v>31</v>
      </c>
      <c r="C13" s="9">
        <v>447</v>
      </c>
      <c r="D13" s="9">
        <v>185</v>
      </c>
      <c r="E13" s="9">
        <v>210</v>
      </c>
      <c r="F13" s="9">
        <v>210</v>
      </c>
      <c r="G13" s="9">
        <v>210</v>
      </c>
      <c r="H13" s="9">
        <v>210</v>
      </c>
      <c r="I13" s="10">
        <v>210</v>
      </c>
      <c r="J13" s="10">
        <v>210</v>
      </c>
      <c r="K13" s="10">
        <v>210</v>
      </c>
      <c r="L13" s="10">
        <v>243</v>
      </c>
      <c r="M13" s="10">
        <v>243</v>
      </c>
      <c r="N13" s="10">
        <v>243</v>
      </c>
      <c r="O13" s="10">
        <v>243</v>
      </c>
      <c r="P13" s="10">
        <v>243</v>
      </c>
      <c r="Q13" s="10">
        <v>243</v>
      </c>
      <c r="R13" s="10">
        <v>243</v>
      </c>
      <c r="S13" s="10">
        <v>243</v>
      </c>
      <c r="T13" s="10">
        <v>243</v>
      </c>
      <c r="U13" s="10">
        <v>243</v>
      </c>
      <c r="V13" s="10">
        <v>243</v>
      </c>
      <c r="W13" s="7">
        <v>180</v>
      </c>
      <c r="X13" s="7">
        <v>180</v>
      </c>
      <c r="Y13" s="7">
        <v>180</v>
      </c>
      <c r="Z13" s="7">
        <v>180</v>
      </c>
      <c r="AA13" s="7">
        <v>180</v>
      </c>
      <c r="AB13" s="7">
        <v>180</v>
      </c>
      <c r="AC13" s="7">
        <v>180</v>
      </c>
      <c r="AD13" s="7">
        <v>225</v>
      </c>
      <c r="AE13" s="7">
        <v>225</v>
      </c>
      <c r="AF13" s="7">
        <v>225</v>
      </c>
      <c r="AG13" s="7">
        <v>225</v>
      </c>
      <c r="AH13" s="7">
        <v>225</v>
      </c>
      <c r="AI13" s="7">
        <v>225</v>
      </c>
      <c r="AJ13" s="7">
        <v>225</v>
      </c>
      <c r="AK13" s="7">
        <v>225</v>
      </c>
      <c r="AL13" s="7">
        <v>225</v>
      </c>
      <c r="AM13" s="7">
        <v>225</v>
      </c>
      <c r="AN13" s="7">
        <v>225</v>
      </c>
      <c r="AO13" s="7">
        <v>225</v>
      </c>
      <c r="AP13" s="7">
        <v>225</v>
      </c>
      <c r="AQ13" s="7">
        <v>225</v>
      </c>
      <c r="AR13" s="7">
        <v>225</v>
      </c>
      <c r="AS13" s="7">
        <v>225</v>
      </c>
      <c r="AT13" s="7">
        <v>225</v>
      </c>
      <c r="AU13" s="7">
        <v>225</v>
      </c>
      <c r="AV13" s="7">
        <v>225</v>
      </c>
      <c r="AW13" s="7">
        <v>225</v>
      </c>
      <c r="AX13" s="7">
        <v>225</v>
      </c>
      <c r="AY13" s="7">
        <v>225</v>
      </c>
      <c r="AZ13" s="7">
        <v>225</v>
      </c>
      <c r="BA13" s="7">
        <v>225</v>
      </c>
      <c r="BB13" s="7">
        <v>225</v>
      </c>
      <c r="BC13" s="7">
        <v>225</v>
      </c>
      <c r="BD13" s="7">
        <v>225</v>
      </c>
    </row>
    <row r="14" spans="1:58" s="17" customFormat="1" ht="17.25" customHeight="1" x14ac:dyDescent="0.2">
      <c r="A14" s="6">
        <v>12</v>
      </c>
      <c r="B14" s="7" t="s">
        <v>32</v>
      </c>
      <c r="C14" s="16">
        <v>3.2000000000000002E-8</v>
      </c>
      <c r="D14" s="16">
        <v>3.2000000000000002E-8</v>
      </c>
      <c r="E14" s="16">
        <v>3.2000000000000002E-8</v>
      </c>
      <c r="F14" s="16">
        <v>3.2000000000000002E-8</v>
      </c>
      <c r="G14" s="16">
        <v>3.2000000000000002E-8</v>
      </c>
      <c r="H14" s="16">
        <v>3.2000000000000002E-8</v>
      </c>
      <c r="I14" s="17">
        <v>3.2000000000000002E-8</v>
      </c>
      <c r="J14" s="17">
        <v>3.2000000000000002E-8</v>
      </c>
      <c r="K14" s="17">
        <v>3.2000000000000002E-8</v>
      </c>
      <c r="L14" s="17">
        <v>3.2000000000000002E-8</v>
      </c>
      <c r="M14" s="17">
        <v>3.2000000000000002E-8</v>
      </c>
      <c r="N14" s="17">
        <v>3.2000000000000002E-8</v>
      </c>
      <c r="O14" s="17">
        <v>3.2000000000000002E-8</v>
      </c>
      <c r="P14" s="17">
        <v>3.2000000000000002E-8</v>
      </c>
      <c r="Q14" s="17">
        <v>3.2000000000000002E-8</v>
      </c>
      <c r="R14" s="17">
        <v>3.2000000000000002E-8</v>
      </c>
      <c r="S14" s="17">
        <v>3.2000000000000002E-8</v>
      </c>
      <c r="T14" s="17">
        <v>3.2000000000000002E-8</v>
      </c>
      <c r="U14" s="17">
        <v>3.2000000000000002E-8</v>
      </c>
      <c r="V14" s="17">
        <v>3.2000000000000002E-8</v>
      </c>
      <c r="W14" s="17">
        <v>3.2000000000000002E-8</v>
      </c>
      <c r="X14" s="17">
        <v>3.2000000000000002E-8</v>
      </c>
      <c r="Y14" s="17">
        <v>3.2000000000000002E-8</v>
      </c>
      <c r="Z14" s="17">
        <v>3.2000000000000002E-8</v>
      </c>
      <c r="AA14" s="17">
        <v>3.2000000000000002E-8</v>
      </c>
      <c r="AB14" s="17">
        <v>3.2000000000000002E-8</v>
      </c>
      <c r="AC14" s="17">
        <v>3.2000000000000002E-8</v>
      </c>
      <c r="AD14" s="17">
        <v>3.2000000000000002E-8</v>
      </c>
      <c r="AE14" s="17">
        <v>3.2000000000000002E-8</v>
      </c>
      <c r="AF14" s="17">
        <v>3.2000000000000002E-8</v>
      </c>
      <c r="AG14" s="17">
        <v>2.1999999999999998E-8</v>
      </c>
      <c r="AH14" s="17">
        <v>2.1999999999999998E-8</v>
      </c>
      <c r="AI14" s="17">
        <v>2.1999999999999998E-8</v>
      </c>
      <c r="AJ14" s="17">
        <v>2.7999999999999999E-8</v>
      </c>
      <c r="AK14" s="17">
        <v>2.7999999999999999E-8</v>
      </c>
      <c r="AL14" s="17">
        <v>3.2000000000000002E-8</v>
      </c>
      <c r="AM14" s="17">
        <v>3.2000000000000002E-8</v>
      </c>
      <c r="AN14" s="17">
        <v>3.2000000000000002E-8</v>
      </c>
      <c r="AO14" s="17">
        <v>3.2000000000000002E-8</v>
      </c>
      <c r="AP14" s="17">
        <v>3.2000000000000002E-8</v>
      </c>
      <c r="AQ14" s="17">
        <v>3.2000000000000002E-8</v>
      </c>
      <c r="AR14" s="17">
        <v>3.2000000000000002E-8</v>
      </c>
      <c r="AS14" s="17">
        <v>2.7999999999999999E-8</v>
      </c>
      <c r="AT14" s="17">
        <v>2.7999999999999999E-8</v>
      </c>
      <c r="AU14" s="17">
        <v>2.7999999999999999E-8</v>
      </c>
      <c r="AV14" s="17">
        <v>2.7999999999999999E-8</v>
      </c>
      <c r="AW14" s="17">
        <v>2.7999999999999999E-8</v>
      </c>
      <c r="AX14" s="17">
        <v>2.6000000000000001E-8</v>
      </c>
      <c r="AY14" s="17">
        <v>2.6000000000000001E-8</v>
      </c>
      <c r="AZ14" s="17">
        <v>2.7999999999999999E-8</v>
      </c>
      <c r="BA14" s="17">
        <v>2.6000000000000001E-8</v>
      </c>
      <c r="BB14" s="17">
        <v>2.6000000000000001E-8</v>
      </c>
      <c r="BC14" s="17">
        <v>2.6000000000000001E-8</v>
      </c>
      <c r="BD14" s="17">
        <v>2.6000000000000001E-8</v>
      </c>
    </row>
    <row r="15" spans="1:58" s="10" customFormat="1" ht="16.5" customHeight="1" x14ac:dyDescent="0.2">
      <c r="A15" s="6">
        <v>13</v>
      </c>
      <c r="B15" s="7" t="s">
        <v>33</v>
      </c>
      <c r="C15" s="9">
        <v>285</v>
      </c>
      <c r="D15" s="9">
        <v>285</v>
      </c>
      <c r="E15" s="9">
        <v>285</v>
      </c>
      <c r="F15" s="9">
        <v>285</v>
      </c>
      <c r="G15" s="9">
        <v>1027</v>
      </c>
      <c r="H15" s="9">
        <v>1027</v>
      </c>
      <c r="I15" s="10">
        <v>1027</v>
      </c>
      <c r="J15" s="10">
        <v>1027</v>
      </c>
      <c r="K15" s="10">
        <v>1027</v>
      </c>
      <c r="L15" s="10">
        <v>1026</v>
      </c>
      <c r="M15" s="10">
        <v>1026</v>
      </c>
      <c r="N15" s="10">
        <v>1026</v>
      </c>
      <c r="O15" s="10">
        <v>1026</v>
      </c>
      <c r="P15" s="10">
        <v>1026</v>
      </c>
      <c r="Q15" s="10">
        <v>1026</v>
      </c>
      <c r="R15" s="10">
        <v>1026</v>
      </c>
      <c r="S15" s="10">
        <v>1026</v>
      </c>
      <c r="T15" s="10">
        <v>1026</v>
      </c>
      <c r="U15" s="10">
        <v>1026</v>
      </c>
      <c r="V15" s="10">
        <v>1026</v>
      </c>
      <c r="W15" s="7">
        <v>1026</v>
      </c>
      <c r="X15" s="7">
        <v>1026</v>
      </c>
      <c r="Y15" s="7">
        <v>1026</v>
      </c>
      <c r="Z15" s="7">
        <v>1026</v>
      </c>
      <c r="AA15" s="7">
        <v>1026</v>
      </c>
      <c r="AB15" s="7">
        <v>1026</v>
      </c>
      <c r="AC15" s="7">
        <v>1026</v>
      </c>
      <c r="AD15" s="7">
        <v>1026</v>
      </c>
      <c r="AE15" s="7">
        <v>1026</v>
      </c>
      <c r="AF15" s="7">
        <v>1026</v>
      </c>
      <c r="AG15" s="7">
        <v>1026</v>
      </c>
      <c r="AH15" s="7">
        <v>1026</v>
      </c>
      <c r="AI15" s="7">
        <v>1026</v>
      </c>
      <c r="AJ15" s="7">
        <v>1026</v>
      </c>
      <c r="AK15" s="7">
        <v>1026</v>
      </c>
      <c r="AL15" s="7">
        <v>1026</v>
      </c>
      <c r="AM15" s="7">
        <v>1026</v>
      </c>
      <c r="AN15" s="7">
        <v>1026</v>
      </c>
      <c r="AO15" s="7">
        <v>1026</v>
      </c>
      <c r="AP15" s="7">
        <v>1026</v>
      </c>
      <c r="AQ15" s="7">
        <v>1026</v>
      </c>
      <c r="AR15" s="7">
        <v>1026</v>
      </c>
      <c r="AS15" s="7">
        <v>1026</v>
      </c>
      <c r="AT15" s="7">
        <v>1026</v>
      </c>
      <c r="AU15" s="7">
        <v>1026</v>
      </c>
      <c r="AV15" s="7">
        <v>1026</v>
      </c>
      <c r="AW15" s="7">
        <v>1026</v>
      </c>
      <c r="AX15" s="7">
        <v>1026</v>
      </c>
      <c r="AY15" s="7">
        <v>1026</v>
      </c>
      <c r="AZ15" s="7">
        <v>1026</v>
      </c>
      <c r="BA15" s="7">
        <v>1026</v>
      </c>
      <c r="BB15" s="7">
        <v>1026</v>
      </c>
      <c r="BC15" s="7">
        <v>1026</v>
      </c>
      <c r="BD15" s="7">
        <v>1026</v>
      </c>
    </row>
    <row r="16" spans="1:58" s="10" customFormat="1" ht="16.5" customHeight="1" x14ac:dyDescent="0.2">
      <c r="A16" s="6">
        <v>14</v>
      </c>
      <c r="B16" s="7" t="s">
        <v>34</v>
      </c>
      <c r="C16" s="9">
        <v>96</v>
      </c>
      <c r="D16" s="9">
        <v>96</v>
      </c>
      <c r="E16" s="9">
        <v>96</v>
      </c>
      <c r="F16" s="9">
        <v>96</v>
      </c>
      <c r="G16" s="9">
        <v>96</v>
      </c>
      <c r="H16" s="9">
        <v>96</v>
      </c>
      <c r="I16" s="10">
        <v>96</v>
      </c>
      <c r="J16" s="10">
        <v>96</v>
      </c>
      <c r="K16" s="10">
        <v>96</v>
      </c>
      <c r="L16" s="10">
        <v>96</v>
      </c>
      <c r="M16" s="10">
        <v>96</v>
      </c>
      <c r="N16" s="10">
        <v>96</v>
      </c>
      <c r="O16" s="10">
        <v>96</v>
      </c>
      <c r="P16" s="10">
        <v>96</v>
      </c>
      <c r="Q16" s="10">
        <v>96</v>
      </c>
      <c r="R16" s="10">
        <v>96</v>
      </c>
      <c r="S16" s="10">
        <v>96</v>
      </c>
      <c r="T16" s="10">
        <v>96</v>
      </c>
      <c r="U16" s="10">
        <v>96</v>
      </c>
      <c r="V16" s="10">
        <v>96</v>
      </c>
      <c r="W16" s="7">
        <v>96</v>
      </c>
      <c r="X16" s="7">
        <v>96</v>
      </c>
      <c r="Y16" s="7">
        <v>96</v>
      </c>
      <c r="Z16" s="7">
        <v>96</v>
      </c>
      <c r="AA16" s="7">
        <v>96</v>
      </c>
      <c r="AB16" s="7">
        <v>96</v>
      </c>
      <c r="AC16" s="7">
        <v>96</v>
      </c>
      <c r="AD16" s="7">
        <v>96</v>
      </c>
      <c r="AE16" s="7">
        <v>96</v>
      </c>
      <c r="AF16" s="7">
        <v>96</v>
      </c>
      <c r="AG16" s="7">
        <v>96</v>
      </c>
      <c r="AH16" s="7">
        <v>96</v>
      </c>
      <c r="AI16" s="7">
        <v>96</v>
      </c>
      <c r="AJ16" s="7">
        <v>96</v>
      </c>
      <c r="AK16" s="7">
        <v>96</v>
      </c>
      <c r="AL16" s="7">
        <v>96</v>
      </c>
      <c r="AM16" s="7">
        <v>96</v>
      </c>
      <c r="AN16" s="7">
        <v>96</v>
      </c>
      <c r="AO16" s="7">
        <v>96</v>
      </c>
      <c r="AP16" s="7">
        <v>96</v>
      </c>
      <c r="AQ16" s="7">
        <v>96</v>
      </c>
      <c r="AR16" s="7">
        <v>96</v>
      </c>
      <c r="AS16" s="7">
        <v>96</v>
      </c>
      <c r="AT16" s="7">
        <v>96</v>
      </c>
      <c r="AU16" s="7">
        <v>96</v>
      </c>
      <c r="AV16" s="7">
        <v>96</v>
      </c>
      <c r="AW16" s="7">
        <v>96</v>
      </c>
      <c r="AX16" s="7">
        <v>96</v>
      </c>
      <c r="AY16" s="7">
        <v>96</v>
      </c>
      <c r="AZ16" s="7">
        <v>96</v>
      </c>
      <c r="BA16" s="7">
        <v>96</v>
      </c>
      <c r="BB16" s="7">
        <v>96</v>
      </c>
      <c r="BC16" s="7">
        <v>96</v>
      </c>
      <c r="BD16" s="7">
        <v>96</v>
      </c>
    </row>
    <row r="17" spans="1:56" s="10" customFormat="1" ht="16.5" customHeight="1" x14ac:dyDescent="0.2">
      <c r="A17" s="6">
        <v>15</v>
      </c>
      <c r="B17" s="7" t="s">
        <v>35</v>
      </c>
      <c r="C17" s="9">
        <v>1693</v>
      </c>
      <c r="D17" s="9">
        <v>1693</v>
      </c>
      <c r="E17" s="9">
        <v>1693</v>
      </c>
      <c r="F17" s="9">
        <v>1693</v>
      </c>
      <c r="G17" s="9">
        <v>2439</v>
      </c>
      <c r="H17" s="9">
        <v>2439</v>
      </c>
      <c r="I17" s="10">
        <v>2439</v>
      </c>
      <c r="J17" s="10">
        <v>2439</v>
      </c>
      <c r="K17" s="10">
        <v>2439</v>
      </c>
      <c r="L17" s="10">
        <v>2439</v>
      </c>
      <c r="M17" s="10">
        <v>2439</v>
      </c>
      <c r="N17" s="10">
        <v>2439</v>
      </c>
      <c r="O17" s="10">
        <v>2439</v>
      </c>
      <c r="P17" s="10">
        <v>2439</v>
      </c>
      <c r="Q17" s="10">
        <v>2439</v>
      </c>
      <c r="R17" s="10">
        <v>2439</v>
      </c>
      <c r="S17" s="10">
        <v>2439</v>
      </c>
      <c r="T17" s="10">
        <v>2439</v>
      </c>
      <c r="U17" s="10">
        <v>2439</v>
      </c>
      <c r="V17" s="10">
        <v>2439</v>
      </c>
      <c r="W17" s="7">
        <v>2439</v>
      </c>
      <c r="X17" s="7">
        <v>2439</v>
      </c>
      <c r="Y17" s="7">
        <v>2439</v>
      </c>
      <c r="Z17" s="7">
        <v>2439</v>
      </c>
      <c r="AA17" s="7">
        <v>2439</v>
      </c>
      <c r="AB17" s="7">
        <v>2439</v>
      </c>
      <c r="AC17" s="7">
        <v>2439</v>
      </c>
      <c r="AD17" s="7">
        <v>2439</v>
      </c>
      <c r="AE17" s="7">
        <v>2439</v>
      </c>
      <c r="AF17" s="7">
        <v>2439</v>
      </c>
      <c r="AG17" s="7">
        <v>2439</v>
      </c>
      <c r="AH17" s="7">
        <v>2439</v>
      </c>
      <c r="AI17" s="7">
        <v>2439</v>
      </c>
      <c r="AJ17" s="7">
        <v>2439</v>
      </c>
      <c r="AK17" s="7">
        <v>2439</v>
      </c>
      <c r="AL17" s="7">
        <v>2439</v>
      </c>
      <c r="AM17" s="7">
        <v>2439</v>
      </c>
      <c r="AN17" s="7">
        <v>2439</v>
      </c>
      <c r="AO17" s="7">
        <v>2439</v>
      </c>
      <c r="AP17" s="7">
        <v>2439</v>
      </c>
      <c r="AQ17" s="7">
        <v>2439</v>
      </c>
      <c r="AR17" s="7">
        <v>2439</v>
      </c>
      <c r="AS17" s="7">
        <v>2439</v>
      </c>
      <c r="AT17" s="7">
        <v>2439</v>
      </c>
      <c r="AU17" s="7">
        <v>2439</v>
      </c>
      <c r="AV17" s="7">
        <v>2439</v>
      </c>
      <c r="AW17" s="7">
        <v>2439</v>
      </c>
      <c r="AX17" s="7">
        <v>2439</v>
      </c>
      <c r="AY17" s="7">
        <v>2439</v>
      </c>
      <c r="AZ17" s="7">
        <v>2439</v>
      </c>
      <c r="BA17" s="7">
        <v>2439</v>
      </c>
      <c r="BB17" s="7">
        <v>2439</v>
      </c>
      <c r="BC17" s="7">
        <v>2439</v>
      </c>
      <c r="BD17" s="7">
        <v>2439</v>
      </c>
    </row>
    <row r="18" spans="1:56" s="10" customFormat="1" ht="15" customHeight="1" x14ac:dyDescent="0.2">
      <c r="A18" s="6">
        <v>16</v>
      </c>
      <c r="B18" s="7" t="s">
        <v>36</v>
      </c>
      <c r="C18" s="9">
        <v>0</v>
      </c>
      <c r="D18" s="9">
        <v>0</v>
      </c>
      <c r="E18" s="9">
        <v>0</v>
      </c>
      <c r="F18" s="9">
        <v>0</v>
      </c>
      <c r="G18" s="9">
        <v>0</v>
      </c>
      <c r="H18" s="9">
        <v>0</v>
      </c>
      <c r="I18" s="10">
        <v>0</v>
      </c>
      <c r="J18" s="10">
        <v>0</v>
      </c>
      <c r="K18" s="10">
        <v>0</v>
      </c>
      <c r="L18" s="10">
        <v>0</v>
      </c>
      <c r="M18" s="10">
        <v>0</v>
      </c>
      <c r="N18" s="10">
        <v>0</v>
      </c>
      <c r="O18" s="10">
        <v>0</v>
      </c>
      <c r="P18" s="10">
        <v>0</v>
      </c>
      <c r="Q18" s="10">
        <v>0</v>
      </c>
      <c r="R18" s="10">
        <v>0</v>
      </c>
      <c r="S18" s="10">
        <v>0</v>
      </c>
      <c r="T18" s="10">
        <v>0</v>
      </c>
      <c r="U18" s="10">
        <v>0</v>
      </c>
      <c r="V18" s="10">
        <v>0</v>
      </c>
      <c r="W18" s="7">
        <v>0</v>
      </c>
      <c r="X18" s="7">
        <v>0</v>
      </c>
      <c r="Y18" s="7">
        <v>0</v>
      </c>
      <c r="Z18" s="7">
        <v>0</v>
      </c>
      <c r="AA18" s="7">
        <v>0</v>
      </c>
      <c r="AB18" s="7">
        <v>0</v>
      </c>
      <c r="AC18" s="7">
        <v>0</v>
      </c>
      <c r="AD18" s="7">
        <v>0</v>
      </c>
      <c r="AE18" s="7">
        <v>0</v>
      </c>
      <c r="AF18" s="7">
        <v>0</v>
      </c>
      <c r="AG18" s="7">
        <v>0</v>
      </c>
      <c r="AH18" s="7">
        <v>0</v>
      </c>
      <c r="AI18" s="7">
        <v>0</v>
      </c>
      <c r="AJ18" s="7">
        <v>0</v>
      </c>
      <c r="AK18" s="7">
        <v>0</v>
      </c>
      <c r="AL18" s="7">
        <v>0</v>
      </c>
      <c r="AM18" s="7">
        <v>0</v>
      </c>
      <c r="AN18" s="7">
        <v>0</v>
      </c>
      <c r="AO18" s="7">
        <v>0</v>
      </c>
      <c r="AP18" s="7">
        <v>0</v>
      </c>
      <c r="AQ18" s="7">
        <v>0</v>
      </c>
      <c r="AR18" s="7">
        <v>0</v>
      </c>
      <c r="AS18" s="7">
        <v>0</v>
      </c>
      <c r="AT18" s="7">
        <v>0</v>
      </c>
      <c r="AU18" s="7">
        <v>0</v>
      </c>
      <c r="AV18" s="7">
        <v>0</v>
      </c>
      <c r="AW18" s="7">
        <v>0</v>
      </c>
      <c r="AX18" s="7">
        <v>0</v>
      </c>
      <c r="AY18" s="7">
        <v>0</v>
      </c>
      <c r="AZ18" s="7">
        <v>0</v>
      </c>
      <c r="BA18" s="7">
        <v>0</v>
      </c>
      <c r="BB18" s="7">
        <v>0</v>
      </c>
      <c r="BC18" s="7">
        <v>0</v>
      </c>
      <c r="BD18" s="7">
        <v>0</v>
      </c>
    </row>
    <row r="19" spans="1:56" s="10" customFormat="1" ht="15" customHeight="1" x14ac:dyDescent="0.2">
      <c r="A19" s="6">
        <v>17</v>
      </c>
      <c r="B19" s="7" t="s">
        <v>37</v>
      </c>
      <c r="C19" s="9">
        <v>5000</v>
      </c>
      <c r="D19" s="9">
        <v>4200</v>
      </c>
      <c r="E19" s="9">
        <v>4200</v>
      </c>
      <c r="F19" s="9">
        <v>4200</v>
      </c>
      <c r="G19" s="9">
        <v>4200</v>
      </c>
      <c r="H19" s="9">
        <v>4200</v>
      </c>
      <c r="I19" s="10">
        <v>4288</v>
      </c>
      <c r="J19" s="10">
        <v>4288</v>
      </c>
      <c r="K19" s="10">
        <v>4288</v>
      </c>
      <c r="L19" s="10">
        <v>4288</v>
      </c>
      <c r="M19" s="10">
        <v>4288</v>
      </c>
      <c r="N19" s="10">
        <v>4288</v>
      </c>
      <c r="O19" s="10">
        <v>4288</v>
      </c>
      <c r="P19" s="10">
        <v>4288</v>
      </c>
      <c r="Q19" s="10">
        <v>4288</v>
      </c>
      <c r="R19" s="10">
        <v>4288</v>
      </c>
      <c r="S19" s="10">
        <v>4288</v>
      </c>
      <c r="T19" s="10">
        <v>4288</v>
      </c>
      <c r="U19" s="10">
        <v>4288</v>
      </c>
      <c r="V19" s="10">
        <v>4288</v>
      </c>
      <c r="W19" s="10">
        <v>4288</v>
      </c>
      <c r="X19" s="10">
        <v>4288</v>
      </c>
      <c r="Y19" s="10">
        <v>4288</v>
      </c>
      <c r="Z19" s="10">
        <v>4288</v>
      </c>
      <c r="AA19" s="10">
        <v>4288</v>
      </c>
      <c r="AB19" s="10">
        <v>4288</v>
      </c>
      <c r="AC19" s="10">
        <v>4288</v>
      </c>
      <c r="AD19" s="10">
        <v>4300</v>
      </c>
      <c r="AE19" s="10">
        <v>4300</v>
      </c>
      <c r="AF19" s="10">
        <v>4300</v>
      </c>
      <c r="AG19" s="10">
        <v>4300</v>
      </c>
      <c r="AH19" s="10">
        <v>4300</v>
      </c>
      <c r="AI19" s="10">
        <v>4300</v>
      </c>
      <c r="AJ19" s="10">
        <v>4300</v>
      </c>
      <c r="AK19" s="10">
        <v>4300</v>
      </c>
      <c r="AL19" s="10">
        <v>4300</v>
      </c>
      <c r="AM19" s="10">
        <v>4300</v>
      </c>
      <c r="AN19" s="10">
        <v>4300</v>
      </c>
      <c r="AO19" s="10">
        <v>4300</v>
      </c>
      <c r="AP19" s="10">
        <v>4300</v>
      </c>
      <c r="AQ19" s="10">
        <v>4300</v>
      </c>
      <c r="AR19" s="10">
        <v>4300</v>
      </c>
      <c r="AS19" s="10">
        <v>4300</v>
      </c>
      <c r="AT19" s="10">
        <v>4300</v>
      </c>
      <c r="AU19" s="10">
        <v>4300</v>
      </c>
      <c r="AV19" s="10">
        <v>4300</v>
      </c>
      <c r="AW19" s="10">
        <v>4300</v>
      </c>
      <c r="AX19" s="10">
        <v>4300</v>
      </c>
      <c r="AY19" s="10">
        <v>4300</v>
      </c>
      <c r="AZ19" s="10">
        <v>4300</v>
      </c>
      <c r="BA19" s="10">
        <v>4300</v>
      </c>
      <c r="BB19" s="10">
        <v>4300</v>
      </c>
      <c r="BC19" s="10">
        <v>4300</v>
      </c>
      <c r="BD19" s="10">
        <v>4300</v>
      </c>
    </row>
    <row r="20" spans="1:56" s="10" customFormat="1" ht="15" customHeight="1" x14ac:dyDescent="0.2">
      <c r="A20" s="6">
        <v>18</v>
      </c>
      <c r="B20" s="7" t="s">
        <v>38</v>
      </c>
      <c r="C20" s="9">
        <v>10000</v>
      </c>
      <c r="D20" s="9">
        <v>9300</v>
      </c>
      <c r="E20" s="9">
        <v>9300</v>
      </c>
      <c r="F20" s="9">
        <v>9300</v>
      </c>
      <c r="G20" s="9">
        <v>9300</v>
      </c>
      <c r="H20" s="9">
        <v>9300</v>
      </c>
      <c r="I20" s="10">
        <v>9303</v>
      </c>
      <c r="J20" s="10">
        <v>9303</v>
      </c>
      <c r="K20" s="10">
        <v>9303</v>
      </c>
      <c r="L20" s="10">
        <v>9303</v>
      </c>
      <c r="M20" s="10">
        <v>9303</v>
      </c>
      <c r="N20" s="10">
        <v>9303</v>
      </c>
      <c r="O20" s="10">
        <v>9303</v>
      </c>
      <c r="P20" s="10">
        <v>9303</v>
      </c>
      <c r="Q20" s="10">
        <v>9303</v>
      </c>
      <c r="R20" s="10">
        <v>9303</v>
      </c>
      <c r="S20" s="10">
        <v>9303</v>
      </c>
      <c r="T20" s="10">
        <v>9303</v>
      </c>
      <c r="U20" s="10">
        <v>9303</v>
      </c>
      <c r="V20" s="10">
        <v>9303</v>
      </c>
      <c r="W20" s="10">
        <v>9303</v>
      </c>
      <c r="X20" s="10">
        <v>9303</v>
      </c>
      <c r="Y20" s="10">
        <v>9303</v>
      </c>
      <c r="Z20" s="10">
        <v>9303</v>
      </c>
      <c r="AA20" s="10">
        <v>9303</v>
      </c>
      <c r="AB20" s="10">
        <v>9303</v>
      </c>
      <c r="AC20" s="10">
        <v>9303</v>
      </c>
      <c r="AD20" s="10">
        <v>9320</v>
      </c>
      <c r="AE20" s="10">
        <v>9320</v>
      </c>
      <c r="AF20" s="10">
        <v>9320</v>
      </c>
      <c r="AG20" s="10">
        <v>9320</v>
      </c>
      <c r="AH20" s="10">
        <v>9320</v>
      </c>
      <c r="AI20" s="10">
        <v>9320</v>
      </c>
      <c r="AJ20" s="10">
        <v>9320</v>
      </c>
      <c r="AK20" s="10">
        <v>9320</v>
      </c>
      <c r="AL20" s="10">
        <v>9320</v>
      </c>
      <c r="AM20" s="10">
        <v>9320</v>
      </c>
      <c r="AN20" s="10">
        <v>9320</v>
      </c>
      <c r="AO20" s="10">
        <v>9320</v>
      </c>
      <c r="AP20" s="10">
        <v>9320</v>
      </c>
      <c r="AQ20" s="10">
        <v>9320</v>
      </c>
      <c r="AR20" s="10">
        <v>9320</v>
      </c>
      <c r="AS20" s="10">
        <v>9320</v>
      </c>
      <c r="AT20" s="10">
        <v>9320</v>
      </c>
      <c r="AU20" s="10">
        <v>9320</v>
      </c>
      <c r="AV20" s="10">
        <v>9320</v>
      </c>
      <c r="AW20" s="10">
        <v>9320</v>
      </c>
      <c r="AX20" s="10">
        <v>9320</v>
      </c>
      <c r="AY20" s="10">
        <v>9320</v>
      </c>
      <c r="AZ20" s="10">
        <v>9320</v>
      </c>
      <c r="BA20" s="10">
        <v>9320</v>
      </c>
      <c r="BB20" s="10">
        <v>9320</v>
      </c>
      <c r="BC20" s="10">
        <v>9320</v>
      </c>
      <c r="BD20" s="10">
        <v>9320</v>
      </c>
    </row>
    <row r="21" spans="1:56" s="10" customFormat="1" ht="15" customHeight="1" x14ac:dyDescent="0.2">
      <c r="A21" s="6">
        <v>19</v>
      </c>
      <c r="B21" s="7" t="s">
        <v>39</v>
      </c>
      <c r="C21" s="9">
        <v>15000</v>
      </c>
      <c r="D21" s="9">
        <v>13800</v>
      </c>
      <c r="E21" s="9">
        <v>13800</v>
      </c>
      <c r="F21" s="9">
        <v>13800</v>
      </c>
      <c r="G21" s="9">
        <v>13800</v>
      </c>
      <c r="H21" s="9">
        <v>13800</v>
      </c>
      <c r="I21" s="10">
        <v>13904</v>
      </c>
      <c r="J21" s="10">
        <v>13904</v>
      </c>
      <c r="K21" s="10">
        <v>13904</v>
      </c>
      <c r="L21" s="10">
        <v>13904</v>
      </c>
      <c r="M21" s="10">
        <v>13904</v>
      </c>
      <c r="N21" s="10">
        <v>13904</v>
      </c>
      <c r="O21" s="10">
        <v>13904</v>
      </c>
      <c r="P21" s="10">
        <v>13904</v>
      </c>
      <c r="Q21" s="10">
        <v>13904</v>
      </c>
      <c r="R21" s="10">
        <v>13904</v>
      </c>
      <c r="S21" s="10">
        <v>13904</v>
      </c>
      <c r="T21" s="10">
        <v>13904</v>
      </c>
      <c r="U21" s="10">
        <v>13904</v>
      </c>
      <c r="V21" s="10">
        <v>13904</v>
      </c>
      <c r="W21" s="10">
        <v>13904</v>
      </c>
      <c r="X21" s="10">
        <v>13904</v>
      </c>
      <c r="Y21" s="10">
        <v>13904</v>
      </c>
      <c r="Z21" s="10">
        <v>13904</v>
      </c>
      <c r="AA21" s="10">
        <v>13904</v>
      </c>
      <c r="AB21" s="10">
        <v>13904</v>
      </c>
      <c r="AC21" s="10">
        <v>13904</v>
      </c>
      <c r="AD21" s="10">
        <v>13860</v>
      </c>
      <c r="AE21" s="10">
        <v>13860</v>
      </c>
      <c r="AF21" s="10">
        <v>13860</v>
      </c>
      <c r="AG21" s="10">
        <v>13860</v>
      </c>
      <c r="AH21" s="10">
        <v>13860</v>
      </c>
      <c r="AI21" s="10">
        <v>13860</v>
      </c>
      <c r="AJ21" s="10">
        <v>13860</v>
      </c>
      <c r="AK21" s="10">
        <v>13860</v>
      </c>
      <c r="AL21" s="10">
        <v>13860</v>
      </c>
      <c r="AM21" s="10">
        <v>13860</v>
      </c>
      <c r="AN21" s="10">
        <v>13860</v>
      </c>
      <c r="AO21" s="10">
        <v>13860</v>
      </c>
      <c r="AP21" s="10">
        <v>13860</v>
      </c>
      <c r="AQ21" s="10">
        <v>13860</v>
      </c>
      <c r="AR21" s="10">
        <v>13860</v>
      </c>
      <c r="AS21" s="10">
        <v>13860</v>
      </c>
      <c r="AT21" s="10">
        <v>13860</v>
      </c>
      <c r="AU21" s="10">
        <v>13860</v>
      </c>
      <c r="AV21" s="10">
        <v>13860</v>
      </c>
      <c r="AW21" s="10">
        <v>13860</v>
      </c>
      <c r="AX21" s="10">
        <v>13860</v>
      </c>
      <c r="AY21" s="10">
        <v>13860</v>
      </c>
      <c r="AZ21" s="10">
        <v>13860</v>
      </c>
      <c r="BA21" s="10">
        <v>13860</v>
      </c>
      <c r="BB21" s="10">
        <v>13860</v>
      </c>
      <c r="BC21" s="10">
        <v>13860</v>
      </c>
      <c r="BD21" s="10">
        <v>13860</v>
      </c>
    </row>
    <row r="22" spans="1:56" s="10" customFormat="1" ht="15" customHeight="1" x14ac:dyDescent="0.2">
      <c r="A22" s="6">
        <v>20</v>
      </c>
      <c r="B22" s="7" t="s">
        <v>40</v>
      </c>
      <c r="C22" s="9">
        <v>20000</v>
      </c>
      <c r="D22" s="9">
        <v>20000</v>
      </c>
      <c r="E22" s="9">
        <v>20000</v>
      </c>
      <c r="F22" s="9">
        <v>20000</v>
      </c>
      <c r="G22" s="9">
        <v>20000</v>
      </c>
      <c r="H22" s="9">
        <v>20000</v>
      </c>
      <c r="I22" s="10">
        <v>21687</v>
      </c>
      <c r="J22" s="10">
        <v>21687</v>
      </c>
      <c r="K22" s="10">
        <v>21687</v>
      </c>
      <c r="L22" s="10">
        <v>21687</v>
      </c>
      <c r="M22" s="10">
        <v>21687</v>
      </c>
      <c r="N22" s="10">
        <v>21687</v>
      </c>
      <c r="O22" s="10">
        <v>21687</v>
      </c>
      <c r="P22" s="10">
        <v>21687</v>
      </c>
      <c r="Q22" s="10">
        <v>21687</v>
      </c>
      <c r="R22" s="10">
        <v>21687</v>
      </c>
      <c r="S22" s="10">
        <v>21687</v>
      </c>
      <c r="T22" s="10">
        <v>21687</v>
      </c>
      <c r="U22" s="10">
        <v>21687</v>
      </c>
      <c r="V22" s="10">
        <v>21687</v>
      </c>
      <c r="W22" s="10">
        <v>21687</v>
      </c>
      <c r="X22" s="10">
        <v>21687</v>
      </c>
      <c r="Y22" s="10">
        <v>21687</v>
      </c>
      <c r="Z22" s="10">
        <v>21687</v>
      </c>
      <c r="AA22" s="10">
        <v>21687</v>
      </c>
      <c r="AB22" s="10">
        <v>21687</v>
      </c>
      <c r="AC22" s="10">
        <v>21687</v>
      </c>
      <c r="AD22" s="10">
        <v>21660</v>
      </c>
      <c r="AE22" s="10">
        <v>21660</v>
      </c>
      <c r="AF22" s="10">
        <v>21660</v>
      </c>
      <c r="AG22" s="10">
        <v>21660</v>
      </c>
      <c r="AH22" s="10">
        <v>21660</v>
      </c>
      <c r="AI22" s="10">
        <v>21660</v>
      </c>
      <c r="AJ22" s="10">
        <v>21660</v>
      </c>
      <c r="AK22" s="10">
        <v>21660</v>
      </c>
      <c r="AL22" s="10">
        <v>21660</v>
      </c>
      <c r="AM22" s="10">
        <v>21660</v>
      </c>
      <c r="AN22" s="10">
        <v>21660</v>
      </c>
      <c r="AO22" s="10">
        <v>21660</v>
      </c>
      <c r="AP22" s="10">
        <v>21660</v>
      </c>
      <c r="AQ22" s="10">
        <v>21660</v>
      </c>
      <c r="AR22" s="10">
        <v>21660</v>
      </c>
      <c r="AS22" s="10">
        <v>21660</v>
      </c>
      <c r="AT22" s="10">
        <v>21660</v>
      </c>
      <c r="AU22" s="10">
        <v>21660</v>
      </c>
      <c r="AV22" s="10">
        <v>21660</v>
      </c>
      <c r="AW22" s="10">
        <v>21660</v>
      </c>
      <c r="AX22" s="10">
        <v>21660</v>
      </c>
      <c r="AY22" s="10">
        <v>21660</v>
      </c>
      <c r="AZ22" s="10">
        <v>21660</v>
      </c>
      <c r="BA22" s="10">
        <v>21660</v>
      </c>
      <c r="BB22" s="10">
        <v>21660</v>
      </c>
      <c r="BC22" s="10">
        <v>21660</v>
      </c>
      <c r="BD22" s="10">
        <v>21660</v>
      </c>
    </row>
    <row r="23" spans="1:56" s="10" customFormat="1" ht="15" customHeight="1" x14ac:dyDescent="0.2">
      <c r="A23" s="6">
        <v>21</v>
      </c>
      <c r="B23" s="7" t="s">
        <v>41</v>
      </c>
      <c r="C23" s="9">
        <v>25000</v>
      </c>
      <c r="D23" s="9">
        <v>25000</v>
      </c>
      <c r="E23" s="9">
        <v>25000</v>
      </c>
      <c r="F23" s="9">
        <v>25000</v>
      </c>
      <c r="G23" s="9">
        <v>25000</v>
      </c>
      <c r="H23" s="9">
        <v>25000</v>
      </c>
      <c r="I23" s="10">
        <v>25061</v>
      </c>
      <c r="J23" s="10">
        <v>25061</v>
      </c>
      <c r="K23" s="10">
        <v>25061</v>
      </c>
      <c r="L23" s="10">
        <v>25061</v>
      </c>
      <c r="M23" s="10">
        <v>25061</v>
      </c>
      <c r="N23" s="10">
        <v>25061</v>
      </c>
      <c r="O23" s="10">
        <v>25061</v>
      </c>
      <c r="P23" s="10">
        <v>25061</v>
      </c>
      <c r="Q23" s="10">
        <v>25061</v>
      </c>
      <c r="R23" s="10">
        <v>25061</v>
      </c>
      <c r="S23" s="10">
        <v>25061</v>
      </c>
      <c r="T23" s="10">
        <v>25061</v>
      </c>
      <c r="U23" s="10">
        <v>25061</v>
      </c>
      <c r="V23" s="10">
        <v>25061</v>
      </c>
      <c r="W23" s="10">
        <v>25061</v>
      </c>
      <c r="X23" s="10">
        <v>25061</v>
      </c>
      <c r="Y23" s="10">
        <v>25061</v>
      </c>
      <c r="Z23" s="10">
        <v>25061</v>
      </c>
      <c r="AA23" s="10">
        <v>25061</v>
      </c>
      <c r="AB23" s="10">
        <v>25061</v>
      </c>
      <c r="AC23" s="10">
        <v>25061</v>
      </c>
      <c r="AD23" s="10">
        <v>25000</v>
      </c>
      <c r="AE23" s="10">
        <v>25000</v>
      </c>
      <c r="AF23" s="10">
        <v>25000</v>
      </c>
      <c r="AG23" s="10">
        <v>25000</v>
      </c>
      <c r="AH23" s="10">
        <v>25000</v>
      </c>
      <c r="AI23" s="10">
        <v>25000</v>
      </c>
      <c r="AJ23" s="10">
        <v>25000</v>
      </c>
      <c r="AK23" s="10">
        <v>25000</v>
      </c>
      <c r="AL23" s="10">
        <v>25000</v>
      </c>
      <c r="AM23" s="10">
        <v>25000</v>
      </c>
      <c r="AN23" s="10">
        <v>25000</v>
      </c>
      <c r="AO23" s="10">
        <v>25000</v>
      </c>
      <c r="AP23" s="10">
        <v>25000</v>
      </c>
      <c r="AQ23" s="10">
        <v>25000</v>
      </c>
      <c r="AR23" s="10">
        <v>25000</v>
      </c>
      <c r="AS23" s="10">
        <v>25000</v>
      </c>
      <c r="AT23" s="10">
        <v>25000</v>
      </c>
      <c r="AU23" s="10">
        <v>25000</v>
      </c>
      <c r="AV23" s="10">
        <v>25000</v>
      </c>
      <c r="AW23" s="10">
        <v>25000</v>
      </c>
      <c r="AX23" s="10">
        <v>25000</v>
      </c>
      <c r="AY23" s="10">
        <v>25000</v>
      </c>
      <c r="AZ23" s="10">
        <v>25000</v>
      </c>
      <c r="BA23" s="10">
        <v>25000</v>
      </c>
      <c r="BB23" s="10">
        <v>25000</v>
      </c>
      <c r="BC23" s="10">
        <v>25000</v>
      </c>
      <c r="BD23" s="10">
        <v>25000</v>
      </c>
    </row>
    <row r="24" spans="1:56" s="10" customFormat="1" x14ac:dyDescent="0.2">
      <c r="A24" s="6">
        <v>22</v>
      </c>
      <c r="B24" s="7" t="s">
        <v>42</v>
      </c>
      <c r="C24" s="9">
        <v>2972</v>
      </c>
      <c r="D24" s="9">
        <v>2972</v>
      </c>
      <c r="E24" s="9">
        <v>2972</v>
      </c>
      <c r="F24" s="9">
        <v>2972</v>
      </c>
      <c r="G24" s="9">
        <v>2972</v>
      </c>
      <c r="H24" s="9">
        <v>2972</v>
      </c>
      <c r="I24" s="10">
        <v>2972</v>
      </c>
      <c r="J24" s="10">
        <v>2972</v>
      </c>
      <c r="K24" s="10">
        <v>2972</v>
      </c>
      <c r="L24" s="10">
        <v>2972</v>
      </c>
      <c r="M24" s="10">
        <v>2972</v>
      </c>
      <c r="N24" s="10">
        <v>2972</v>
      </c>
      <c r="O24" s="10">
        <v>2972</v>
      </c>
      <c r="P24" s="10">
        <v>2972</v>
      </c>
      <c r="Q24" s="10">
        <v>2972</v>
      </c>
      <c r="R24" s="10">
        <v>2972</v>
      </c>
      <c r="S24" s="10">
        <v>2972</v>
      </c>
      <c r="T24" s="10">
        <v>2972</v>
      </c>
      <c r="U24" s="10">
        <v>2972</v>
      </c>
      <c r="V24" s="10">
        <v>2972</v>
      </c>
      <c r="W24" s="7">
        <v>2972</v>
      </c>
      <c r="X24" s="7">
        <v>2972</v>
      </c>
      <c r="Y24" s="7">
        <v>2972</v>
      </c>
      <c r="Z24" s="7">
        <v>2972</v>
      </c>
      <c r="AA24" s="7">
        <v>2972</v>
      </c>
      <c r="AB24" s="7">
        <v>2972</v>
      </c>
      <c r="AC24" s="7">
        <v>2972</v>
      </c>
      <c r="AD24" s="7">
        <v>2972</v>
      </c>
      <c r="AE24" s="7">
        <v>2972</v>
      </c>
      <c r="AF24" s="7">
        <v>2972</v>
      </c>
      <c r="AG24" s="7">
        <v>2972</v>
      </c>
      <c r="AH24" s="7">
        <v>2972</v>
      </c>
      <c r="AI24" s="7">
        <v>2972</v>
      </c>
      <c r="AJ24" s="7">
        <v>2972</v>
      </c>
      <c r="AK24" s="7">
        <v>2972</v>
      </c>
      <c r="AL24" s="7">
        <v>2972</v>
      </c>
      <c r="AM24" s="7">
        <v>2972</v>
      </c>
      <c r="AN24" s="7">
        <v>2972</v>
      </c>
      <c r="AO24" s="7">
        <v>2972</v>
      </c>
      <c r="AP24" s="7">
        <v>2972</v>
      </c>
      <c r="AQ24" s="7">
        <v>2972</v>
      </c>
      <c r="AR24" s="7">
        <v>2972</v>
      </c>
      <c r="AS24" s="7">
        <v>2972</v>
      </c>
      <c r="AT24" s="7">
        <v>2972</v>
      </c>
      <c r="AU24" s="7">
        <v>2972</v>
      </c>
      <c r="AV24" s="7">
        <v>2972</v>
      </c>
      <c r="AW24" s="7">
        <v>2972</v>
      </c>
      <c r="AX24" s="7">
        <v>2972</v>
      </c>
      <c r="AY24" s="7">
        <v>2972</v>
      </c>
      <c r="AZ24" s="7">
        <v>2972</v>
      </c>
      <c r="BA24" s="7">
        <v>2972</v>
      </c>
      <c r="BB24" s="7">
        <v>2972</v>
      </c>
      <c r="BC24" s="7">
        <v>2972</v>
      </c>
      <c r="BD24" s="7">
        <v>2972</v>
      </c>
    </row>
    <row r="25" spans="1:56" s="10" customFormat="1" x14ac:dyDescent="0.2">
      <c r="A25" s="6">
        <v>23</v>
      </c>
      <c r="B25" s="7" t="s">
        <v>43</v>
      </c>
      <c r="C25" s="9">
        <v>3</v>
      </c>
      <c r="D25" s="9">
        <v>3</v>
      </c>
      <c r="E25" s="9">
        <v>3</v>
      </c>
      <c r="F25" s="9">
        <v>3</v>
      </c>
      <c r="G25" s="9">
        <v>3</v>
      </c>
      <c r="H25" s="9">
        <v>3</v>
      </c>
      <c r="I25" s="10">
        <v>3</v>
      </c>
      <c r="J25" s="10">
        <v>3</v>
      </c>
      <c r="K25" s="10">
        <v>3</v>
      </c>
      <c r="L25" s="10">
        <v>3</v>
      </c>
      <c r="M25" s="10">
        <v>3</v>
      </c>
      <c r="N25" s="10">
        <v>3</v>
      </c>
      <c r="O25" s="10">
        <v>3</v>
      </c>
      <c r="P25" s="10">
        <v>3</v>
      </c>
      <c r="Q25" s="10">
        <v>3</v>
      </c>
      <c r="R25" s="10">
        <v>3</v>
      </c>
      <c r="S25" s="10">
        <v>3</v>
      </c>
      <c r="T25" s="10">
        <v>3</v>
      </c>
      <c r="U25" s="10">
        <v>3</v>
      </c>
      <c r="V25" s="10">
        <v>3</v>
      </c>
      <c r="W25" s="7">
        <v>3</v>
      </c>
      <c r="X25" s="7">
        <v>3</v>
      </c>
      <c r="Y25" s="7">
        <v>3</v>
      </c>
      <c r="Z25" s="7">
        <v>3</v>
      </c>
      <c r="AA25" s="7">
        <v>3</v>
      </c>
      <c r="AB25" s="7">
        <v>3</v>
      </c>
      <c r="AC25" s="7">
        <v>3</v>
      </c>
      <c r="AD25" s="7">
        <v>3</v>
      </c>
      <c r="AE25" s="7">
        <v>3</v>
      </c>
      <c r="AF25" s="7">
        <v>3</v>
      </c>
      <c r="AG25" s="7">
        <v>3</v>
      </c>
      <c r="AH25" s="7">
        <v>3</v>
      </c>
      <c r="AI25" s="7">
        <v>3</v>
      </c>
      <c r="AJ25" s="7">
        <v>3</v>
      </c>
      <c r="AK25" s="7">
        <v>3</v>
      </c>
      <c r="AL25" s="7">
        <v>3</v>
      </c>
      <c r="AM25" s="7">
        <v>3</v>
      </c>
      <c r="AN25" s="7">
        <v>3</v>
      </c>
      <c r="AO25" s="7">
        <v>3</v>
      </c>
      <c r="AP25" s="7">
        <v>3</v>
      </c>
      <c r="AQ25" s="7">
        <v>3</v>
      </c>
      <c r="AR25" s="7">
        <v>3</v>
      </c>
      <c r="AS25" s="7">
        <v>3</v>
      </c>
      <c r="AT25" s="7">
        <v>3</v>
      </c>
      <c r="AU25" s="7">
        <v>3</v>
      </c>
      <c r="AV25" s="7">
        <v>3</v>
      </c>
      <c r="AW25" s="7">
        <v>3</v>
      </c>
      <c r="AX25" s="7">
        <v>3</v>
      </c>
      <c r="AY25" s="7">
        <v>3</v>
      </c>
      <c r="AZ25" s="7">
        <v>3</v>
      </c>
      <c r="BA25" s="7">
        <v>3</v>
      </c>
      <c r="BB25" s="7">
        <v>3</v>
      </c>
      <c r="BC25" s="7">
        <v>3</v>
      </c>
      <c r="BD25" s="7">
        <v>3</v>
      </c>
    </row>
    <row r="26" spans="1:56" s="10" customFormat="1" x14ac:dyDescent="0.2">
      <c r="A26" s="6">
        <v>24</v>
      </c>
      <c r="B26" s="7" t="s">
        <v>171</v>
      </c>
      <c r="C26" s="9">
        <v>0</v>
      </c>
      <c r="D26" s="9">
        <v>0</v>
      </c>
      <c r="E26" s="9">
        <v>0</v>
      </c>
      <c r="F26" s="9">
        <v>0</v>
      </c>
      <c r="G26" s="9">
        <v>0</v>
      </c>
      <c r="H26" s="9">
        <v>0</v>
      </c>
      <c r="I26" s="9">
        <v>0</v>
      </c>
      <c r="J26" s="9">
        <v>0</v>
      </c>
      <c r="K26" s="9">
        <v>0</v>
      </c>
      <c r="L26" s="9">
        <v>0</v>
      </c>
      <c r="M26" s="9">
        <v>0</v>
      </c>
      <c r="N26" s="9">
        <v>0</v>
      </c>
      <c r="O26" s="9">
        <v>0</v>
      </c>
      <c r="P26" s="9">
        <v>0</v>
      </c>
      <c r="Q26" s="9">
        <v>0</v>
      </c>
      <c r="R26" s="9">
        <v>0</v>
      </c>
      <c r="S26" s="9">
        <v>0</v>
      </c>
      <c r="T26" s="9">
        <v>0</v>
      </c>
      <c r="U26" s="9">
        <v>0</v>
      </c>
      <c r="V26" s="9">
        <v>0</v>
      </c>
      <c r="W26" s="9">
        <v>0</v>
      </c>
      <c r="X26" s="9">
        <v>0</v>
      </c>
      <c r="Y26" s="9">
        <v>0</v>
      </c>
      <c r="Z26" s="9">
        <v>0</v>
      </c>
      <c r="AA26" s="9">
        <v>0</v>
      </c>
      <c r="AB26" s="9">
        <v>0</v>
      </c>
      <c r="AC26" s="9">
        <v>0</v>
      </c>
      <c r="AD26" s="9">
        <v>0</v>
      </c>
      <c r="AE26" s="9">
        <v>0</v>
      </c>
      <c r="AF26" s="9">
        <v>0</v>
      </c>
      <c r="AG26" s="9">
        <v>0</v>
      </c>
      <c r="AH26" s="9">
        <v>0</v>
      </c>
      <c r="AI26" s="9">
        <v>0</v>
      </c>
      <c r="AJ26" s="7">
        <v>0</v>
      </c>
      <c r="AK26" s="7">
        <v>0</v>
      </c>
      <c r="AL26" s="7">
        <v>0</v>
      </c>
      <c r="AM26" s="7">
        <v>0</v>
      </c>
      <c r="AN26" s="7">
        <v>0</v>
      </c>
      <c r="AO26" s="7">
        <v>1</v>
      </c>
      <c r="AP26" s="7">
        <v>1</v>
      </c>
      <c r="AQ26" s="7">
        <v>1</v>
      </c>
      <c r="AR26" s="7">
        <v>1</v>
      </c>
      <c r="AS26" s="7">
        <v>1</v>
      </c>
      <c r="AT26" s="7">
        <v>1</v>
      </c>
      <c r="AU26" s="7">
        <v>1</v>
      </c>
      <c r="AV26" s="7">
        <v>1</v>
      </c>
      <c r="AW26" s="7">
        <v>1</v>
      </c>
      <c r="AX26" s="7">
        <v>1</v>
      </c>
      <c r="AY26" s="7">
        <v>1</v>
      </c>
      <c r="AZ26" s="7">
        <v>1</v>
      </c>
      <c r="BA26" s="7">
        <v>1</v>
      </c>
      <c r="BB26" s="7">
        <v>1</v>
      </c>
      <c r="BC26" s="7">
        <v>1</v>
      </c>
      <c r="BD26" s="7">
        <v>1</v>
      </c>
    </row>
    <row r="27" spans="1:56" x14ac:dyDescent="0.2">
      <c r="A27" s="6">
        <v>25</v>
      </c>
      <c r="B27" s="7" t="s">
        <v>44</v>
      </c>
      <c r="C27" s="12">
        <v>0</v>
      </c>
      <c r="D27" s="12">
        <v>0</v>
      </c>
      <c r="E27" s="12">
        <v>0</v>
      </c>
      <c r="F27" s="12">
        <v>0</v>
      </c>
      <c r="G27" s="12">
        <v>0</v>
      </c>
      <c r="H27" s="12">
        <v>0</v>
      </c>
      <c r="I27" s="13">
        <v>0</v>
      </c>
      <c r="J27" s="13">
        <v>0</v>
      </c>
      <c r="K27" s="13">
        <v>0</v>
      </c>
      <c r="L27" s="13">
        <v>0</v>
      </c>
      <c r="M27" s="13">
        <v>0</v>
      </c>
      <c r="N27" s="13">
        <v>0</v>
      </c>
      <c r="O27" s="14">
        <v>0</v>
      </c>
      <c r="P27" s="14">
        <v>0</v>
      </c>
      <c r="Q27" s="14">
        <v>0</v>
      </c>
      <c r="R27" s="14">
        <v>0</v>
      </c>
      <c r="S27" s="14">
        <v>0</v>
      </c>
      <c r="T27" s="14">
        <v>0</v>
      </c>
      <c r="U27" s="14">
        <v>0</v>
      </c>
      <c r="V27" s="14">
        <v>0</v>
      </c>
      <c r="W27" s="14">
        <v>0</v>
      </c>
      <c r="X27" s="14">
        <v>0</v>
      </c>
      <c r="Y27" s="14">
        <v>0</v>
      </c>
      <c r="Z27" s="14">
        <v>0</v>
      </c>
      <c r="AA27" s="14">
        <v>0</v>
      </c>
      <c r="AB27" s="14">
        <v>0</v>
      </c>
      <c r="AC27" s="14">
        <v>0</v>
      </c>
      <c r="AD27" s="14">
        <v>0</v>
      </c>
      <c r="AE27" s="14">
        <v>0</v>
      </c>
      <c r="AF27" s="14">
        <v>0</v>
      </c>
      <c r="AG27" s="14">
        <v>0</v>
      </c>
      <c r="AH27" s="14">
        <v>0</v>
      </c>
      <c r="AI27" s="14">
        <v>0</v>
      </c>
      <c r="AJ27" s="14">
        <v>0</v>
      </c>
      <c r="AK27" s="14">
        <v>0</v>
      </c>
      <c r="AL27" s="14">
        <v>0</v>
      </c>
      <c r="AM27" s="14">
        <v>0</v>
      </c>
      <c r="AN27" s="14">
        <v>0</v>
      </c>
      <c r="AO27" s="14">
        <v>0</v>
      </c>
      <c r="AP27" s="14">
        <v>0</v>
      </c>
      <c r="AQ27" s="14">
        <v>0</v>
      </c>
      <c r="AR27" s="14">
        <v>0</v>
      </c>
      <c r="AS27" s="14">
        <v>0</v>
      </c>
      <c r="AT27" s="14">
        <v>0</v>
      </c>
      <c r="AU27" s="14">
        <v>0</v>
      </c>
      <c r="AV27" s="14">
        <v>0</v>
      </c>
      <c r="AW27" s="14">
        <v>0</v>
      </c>
      <c r="AX27" s="14">
        <v>0</v>
      </c>
      <c r="AY27" s="14">
        <v>0</v>
      </c>
      <c r="AZ27" s="14">
        <v>0</v>
      </c>
      <c r="BA27" s="14">
        <v>0</v>
      </c>
      <c r="BB27" s="14">
        <v>0</v>
      </c>
      <c r="BC27" s="14">
        <v>0</v>
      </c>
      <c r="BD27" s="14">
        <v>0</v>
      </c>
    </row>
    <row r="28" spans="1:56" x14ac:dyDescent="0.2">
      <c r="A28" s="6">
        <v>26</v>
      </c>
      <c r="B28" s="7" t="s">
        <v>45</v>
      </c>
      <c r="C28" s="12">
        <v>300</v>
      </c>
      <c r="D28" s="12">
        <v>305</v>
      </c>
      <c r="E28" s="12">
        <v>325</v>
      </c>
      <c r="F28" s="12">
        <v>325</v>
      </c>
      <c r="G28" s="12">
        <v>330</v>
      </c>
      <c r="H28" s="12">
        <v>340</v>
      </c>
      <c r="I28" s="13">
        <v>339</v>
      </c>
      <c r="J28" s="13">
        <v>339</v>
      </c>
      <c r="K28" s="13">
        <v>339</v>
      </c>
      <c r="L28" s="13">
        <v>338</v>
      </c>
      <c r="M28" s="13">
        <v>338</v>
      </c>
      <c r="N28" s="13">
        <v>338</v>
      </c>
      <c r="O28" s="13">
        <v>338</v>
      </c>
      <c r="P28" s="13">
        <v>338</v>
      </c>
      <c r="Q28" s="13">
        <v>338</v>
      </c>
      <c r="R28" s="7">
        <v>338</v>
      </c>
      <c r="S28" s="7">
        <v>338</v>
      </c>
      <c r="T28" s="7">
        <v>338</v>
      </c>
      <c r="U28" s="7">
        <v>338</v>
      </c>
      <c r="V28" s="7">
        <v>338</v>
      </c>
      <c r="W28" s="7">
        <v>350</v>
      </c>
      <c r="X28" s="7">
        <v>350</v>
      </c>
      <c r="Y28" s="7">
        <v>350</v>
      </c>
      <c r="Z28" s="7">
        <v>350</v>
      </c>
      <c r="AA28" s="7">
        <v>350</v>
      </c>
      <c r="AB28" s="7">
        <v>350</v>
      </c>
      <c r="AC28" s="7">
        <v>350</v>
      </c>
      <c r="AD28" s="7">
        <v>350</v>
      </c>
      <c r="AE28" s="7">
        <v>350</v>
      </c>
      <c r="AF28" s="7">
        <v>350</v>
      </c>
      <c r="AG28" s="7">
        <v>350</v>
      </c>
      <c r="AH28" s="7">
        <v>350</v>
      </c>
      <c r="AI28" s="7">
        <v>350</v>
      </c>
      <c r="AJ28" s="7">
        <v>350</v>
      </c>
      <c r="AK28" s="7">
        <v>350</v>
      </c>
      <c r="AL28" s="7">
        <v>335</v>
      </c>
      <c r="AM28" s="7">
        <v>335</v>
      </c>
      <c r="AN28" s="7">
        <v>343</v>
      </c>
      <c r="AO28" s="7">
        <v>343</v>
      </c>
      <c r="AP28" s="7">
        <v>350</v>
      </c>
      <c r="AQ28" s="7">
        <v>350</v>
      </c>
      <c r="AR28" s="7">
        <v>350</v>
      </c>
      <c r="AS28" s="7">
        <v>355</v>
      </c>
      <c r="AT28" s="7">
        <v>360</v>
      </c>
      <c r="AU28" s="7">
        <v>360</v>
      </c>
      <c r="AV28" s="7">
        <v>360</v>
      </c>
      <c r="AW28" s="7">
        <v>342</v>
      </c>
      <c r="AX28" s="7">
        <v>342</v>
      </c>
      <c r="AY28" s="7">
        <v>365</v>
      </c>
      <c r="AZ28" s="7">
        <v>365</v>
      </c>
      <c r="BA28" s="7">
        <v>365</v>
      </c>
      <c r="BB28" s="7">
        <v>365</v>
      </c>
      <c r="BC28" s="7">
        <v>365</v>
      </c>
      <c r="BD28" s="7">
        <v>365</v>
      </c>
    </row>
    <row r="29" spans="1:56" x14ac:dyDescent="0.2">
      <c r="A29" s="6">
        <v>27</v>
      </c>
      <c r="B29" s="7" t="s">
        <v>46</v>
      </c>
      <c r="C29" s="12">
        <v>0</v>
      </c>
      <c r="D29" s="12">
        <v>0</v>
      </c>
      <c r="E29" s="12">
        <v>0</v>
      </c>
      <c r="F29" s="12">
        <v>0</v>
      </c>
      <c r="G29" s="12">
        <v>0</v>
      </c>
      <c r="H29" s="12">
        <v>0</v>
      </c>
      <c r="I29" s="13">
        <v>580</v>
      </c>
      <c r="J29" s="13">
        <v>575</v>
      </c>
      <c r="K29" s="13">
        <v>575</v>
      </c>
      <c r="L29" s="13">
        <v>580</v>
      </c>
      <c r="M29" s="13">
        <v>580</v>
      </c>
      <c r="N29" s="13">
        <v>580</v>
      </c>
      <c r="O29" s="13">
        <v>580</v>
      </c>
      <c r="P29" s="13">
        <v>580</v>
      </c>
      <c r="Q29" s="13">
        <v>580</v>
      </c>
      <c r="R29" s="14">
        <v>580</v>
      </c>
      <c r="S29" s="14">
        <v>580</v>
      </c>
      <c r="T29" s="14">
        <v>580</v>
      </c>
      <c r="U29" s="14">
        <v>580</v>
      </c>
      <c r="V29" s="14">
        <v>580</v>
      </c>
      <c r="W29" s="14">
        <v>590</v>
      </c>
      <c r="X29" s="14">
        <v>590</v>
      </c>
      <c r="Y29" s="14">
        <v>590</v>
      </c>
      <c r="Z29" s="14">
        <v>590</v>
      </c>
      <c r="AA29" s="14">
        <v>590</v>
      </c>
      <c r="AB29" s="14">
        <v>590</v>
      </c>
      <c r="AC29" s="14">
        <v>590</v>
      </c>
      <c r="AD29" s="14">
        <v>590</v>
      </c>
      <c r="AE29" s="14">
        <v>590</v>
      </c>
      <c r="AF29" s="14">
        <v>590</v>
      </c>
      <c r="AG29" s="14">
        <v>590</v>
      </c>
      <c r="AH29" s="14">
        <v>590</v>
      </c>
      <c r="AI29" s="14">
        <v>590</v>
      </c>
      <c r="AJ29" s="14">
        <v>590</v>
      </c>
      <c r="AK29" s="14">
        <v>590</v>
      </c>
      <c r="AL29" s="14">
        <v>580</v>
      </c>
      <c r="AM29" s="14">
        <v>580</v>
      </c>
      <c r="AN29" s="14">
        <v>580</v>
      </c>
      <c r="AO29" s="14">
        <v>580</v>
      </c>
      <c r="AP29" s="14">
        <v>580</v>
      </c>
      <c r="AQ29" s="14">
        <v>580</v>
      </c>
      <c r="AR29" s="14">
        <v>580</v>
      </c>
      <c r="AS29" s="14">
        <v>580</v>
      </c>
      <c r="AT29" s="14">
        <v>580</v>
      </c>
      <c r="AU29" s="14">
        <v>580</v>
      </c>
      <c r="AV29" s="14">
        <v>580</v>
      </c>
      <c r="AW29" s="14">
        <v>580</v>
      </c>
      <c r="AX29" s="14">
        <v>580</v>
      </c>
      <c r="AY29" s="14">
        <v>580</v>
      </c>
      <c r="AZ29" s="14">
        <v>580</v>
      </c>
      <c r="BA29" s="14">
        <v>580</v>
      </c>
      <c r="BB29" s="14">
        <v>580</v>
      </c>
      <c r="BC29" s="14">
        <v>580</v>
      </c>
      <c r="BD29" s="14">
        <v>580</v>
      </c>
    </row>
    <row r="30" spans="1:56" x14ac:dyDescent="0.2">
      <c r="A30" s="6">
        <v>28</v>
      </c>
      <c r="B30" s="7" t="s">
        <v>2</v>
      </c>
      <c r="C30" s="12">
        <v>0</v>
      </c>
      <c r="D30" s="12">
        <v>0</v>
      </c>
      <c r="E30" s="12">
        <v>0</v>
      </c>
      <c r="F30" s="12">
        <v>0</v>
      </c>
      <c r="G30" s="12">
        <v>0</v>
      </c>
      <c r="H30" s="12">
        <v>0</v>
      </c>
      <c r="I30" s="13">
        <v>0</v>
      </c>
      <c r="J30" s="13">
        <v>0</v>
      </c>
      <c r="K30" s="13">
        <v>0</v>
      </c>
      <c r="L30" s="13">
        <v>0</v>
      </c>
      <c r="M30" s="13">
        <v>0</v>
      </c>
      <c r="N30" s="13">
        <v>0</v>
      </c>
      <c r="O30" s="14">
        <v>0</v>
      </c>
      <c r="P30" s="14">
        <v>0</v>
      </c>
      <c r="Q30" s="14">
        <v>0</v>
      </c>
      <c r="R30" s="14">
        <v>0</v>
      </c>
      <c r="S30" s="14">
        <v>0</v>
      </c>
      <c r="T30" s="14">
        <v>0</v>
      </c>
      <c r="U30" s="14">
        <v>0</v>
      </c>
      <c r="V30" s="14">
        <v>0</v>
      </c>
      <c r="W30" s="14">
        <v>0</v>
      </c>
      <c r="X30" s="14">
        <v>0</v>
      </c>
      <c r="Y30" s="14">
        <v>0</v>
      </c>
      <c r="Z30" s="14">
        <v>0</v>
      </c>
      <c r="AA30" s="14">
        <v>0</v>
      </c>
      <c r="AB30" s="14">
        <v>0</v>
      </c>
      <c r="AC30" s="14">
        <v>0</v>
      </c>
      <c r="AD30" s="14">
        <v>0</v>
      </c>
      <c r="AE30" s="14">
        <v>0</v>
      </c>
      <c r="AF30" s="14">
        <v>0</v>
      </c>
      <c r="AG30" s="14">
        <v>0</v>
      </c>
      <c r="AH30" s="14">
        <v>0</v>
      </c>
      <c r="AI30" s="14">
        <v>0</v>
      </c>
      <c r="AJ30" s="14">
        <v>0</v>
      </c>
      <c r="AK30" s="14">
        <v>0</v>
      </c>
      <c r="AL30" s="14">
        <v>0</v>
      </c>
      <c r="AM30" s="14">
        <v>0</v>
      </c>
      <c r="AN30" s="14">
        <v>0</v>
      </c>
      <c r="AO30" s="14">
        <v>0</v>
      </c>
      <c r="AP30" s="14">
        <v>0</v>
      </c>
      <c r="AQ30" s="14">
        <v>0</v>
      </c>
      <c r="AR30" s="14">
        <v>0</v>
      </c>
      <c r="AS30" s="14">
        <v>0</v>
      </c>
      <c r="AT30" s="14">
        <v>0</v>
      </c>
      <c r="AU30" s="14">
        <v>0</v>
      </c>
      <c r="AV30" s="14">
        <v>0</v>
      </c>
      <c r="AW30" s="14">
        <v>0</v>
      </c>
      <c r="AX30" s="14">
        <v>0</v>
      </c>
      <c r="AY30" s="14">
        <v>0</v>
      </c>
      <c r="AZ30" s="14">
        <v>0</v>
      </c>
      <c r="BA30" s="14">
        <v>0</v>
      </c>
      <c r="BB30" s="14">
        <v>0</v>
      </c>
      <c r="BC30" s="14">
        <v>0</v>
      </c>
      <c r="BD30" s="14">
        <v>0</v>
      </c>
    </row>
    <row r="31" spans="1:56" x14ac:dyDescent="0.2">
      <c r="A31" s="6">
        <v>29</v>
      </c>
      <c r="B31" s="7" t="s">
        <v>3</v>
      </c>
      <c r="C31" s="12">
        <v>0</v>
      </c>
      <c r="D31" s="12">
        <v>0</v>
      </c>
      <c r="E31" s="12">
        <v>0</v>
      </c>
      <c r="F31" s="12">
        <v>0</v>
      </c>
      <c r="G31" s="12">
        <v>0</v>
      </c>
      <c r="H31" s="12">
        <v>0</v>
      </c>
      <c r="I31" s="13">
        <v>0</v>
      </c>
      <c r="J31" s="13">
        <v>0</v>
      </c>
      <c r="K31" s="13">
        <v>0</v>
      </c>
      <c r="L31" s="13">
        <v>0</v>
      </c>
      <c r="M31" s="13">
        <v>0</v>
      </c>
      <c r="N31" s="13">
        <v>0</v>
      </c>
      <c r="O31" s="14">
        <v>0</v>
      </c>
      <c r="P31" s="14">
        <v>0</v>
      </c>
      <c r="Q31" s="14">
        <v>0</v>
      </c>
      <c r="R31" s="14">
        <v>0</v>
      </c>
      <c r="S31" s="14">
        <v>0</v>
      </c>
      <c r="T31" s="14">
        <v>0</v>
      </c>
      <c r="U31" s="14">
        <v>0</v>
      </c>
      <c r="V31" s="14">
        <v>0</v>
      </c>
      <c r="W31" s="14">
        <v>0</v>
      </c>
      <c r="X31" s="14">
        <v>0</v>
      </c>
      <c r="Y31" s="14">
        <v>0</v>
      </c>
      <c r="Z31" s="14">
        <v>0</v>
      </c>
      <c r="AA31" s="14">
        <v>0</v>
      </c>
      <c r="AB31" s="14">
        <v>0</v>
      </c>
      <c r="AC31" s="14">
        <v>0</v>
      </c>
      <c r="AD31" s="14">
        <v>0</v>
      </c>
      <c r="AE31" s="14">
        <v>0</v>
      </c>
      <c r="AF31" s="14">
        <v>0</v>
      </c>
      <c r="AG31" s="14">
        <v>0</v>
      </c>
      <c r="AH31" s="14">
        <v>0</v>
      </c>
      <c r="AI31" s="14">
        <v>0</v>
      </c>
      <c r="AJ31" s="14">
        <v>0</v>
      </c>
      <c r="AK31" s="14">
        <v>0</v>
      </c>
      <c r="AL31" s="14">
        <v>0</v>
      </c>
      <c r="AM31" s="14">
        <v>0</v>
      </c>
      <c r="AN31" s="14">
        <v>0</v>
      </c>
      <c r="AO31" s="14">
        <v>0</v>
      </c>
      <c r="AP31" s="14">
        <v>0</v>
      </c>
      <c r="AQ31" s="14">
        <v>0</v>
      </c>
      <c r="AR31" s="14">
        <v>0</v>
      </c>
      <c r="AS31" s="14">
        <v>0</v>
      </c>
      <c r="AT31" s="14">
        <v>0</v>
      </c>
      <c r="AU31" s="14">
        <v>0</v>
      </c>
      <c r="AV31" s="14">
        <v>0</v>
      </c>
      <c r="AW31" s="14">
        <v>0</v>
      </c>
      <c r="AX31" s="14">
        <v>0</v>
      </c>
      <c r="AY31" s="14">
        <v>0</v>
      </c>
      <c r="AZ31" s="14">
        <v>0</v>
      </c>
      <c r="BA31" s="14">
        <v>0</v>
      </c>
      <c r="BB31" s="14">
        <v>0</v>
      </c>
      <c r="BC31" s="14">
        <v>0</v>
      </c>
      <c r="BD31" s="14">
        <v>0</v>
      </c>
    </row>
    <row r="32" spans="1:56" x14ac:dyDescent="0.2">
      <c r="A32" s="6">
        <v>30</v>
      </c>
      <c r="B32" s="7" t="s">
        <v>4</v>
      </c>
      <c r="C32" s="12">
        <v>0</v>
      </c>
      <c r="D32" s="12">
        <v>0</v>
      </c>
      <c r="E32" s="12">
        <v>0</v>
      </c>
      <c r="F32" s="12">
        <v>0</v>
      </c>
      <c r="G32" s="12">
        <v>0</v>
      </c>
      <c r="H32" s="12">
        <v>0</v>
      </c>
      <c r="I32" s="13">
        <v>0</v>
      </c>
      <c r="J32" s="13">
        <v>0</v>
      </c>
      <c r="K32" s="13">
        <v>0</v>
      </c>
      <c r="L32" s="13">
        <v>0</v>
      </c>
      <c r="M32" s="13">
        <v>0</v>
      </c>
      <c r="N32" s="13">
        <v>0</v>
      </c>
      <c r="O32" s="14">
        <v>0</v>
      </c>
      <c r="P32" s="14">
        <v>0</v>
      </c>
      <c r="Q32" s="14">
        <v>0</v>
      </c>
      <c r="R32" s="14">
        <v>0</v>
      </c>
      <c r="S32" s="14">
        <v>0</v>
      </c>
      <c r="T32" s="14">
        <v>0</v>
      </c>
      <c r="U32" s="14">
        <v>0</v>
      </c>
      <c r="V32" s="14">
        <v>0</v>
      </c>
      <c r="W32" s="14">
        <v>0</v>
      </c>
      <c r="X32" s="14">
        <v>0</v>
      </c>
      <c r="Y32" s="14">
        <v>0</v>
      </c>
      <c r="Z32" s="14">
        <v>0</v>
      </c>
      <c r="AA32" s="14">
        <v>0</v>
      </c>
      <c r="AB32" s="14">
        <v>0</v>
      </c>
      <c r="AC32" s="14">
        <v>0</v>
      </c>
      <c r="AD32" s="14">
        <v>0</v>
      </c>
      <c r="AE32" s="14">
        <v>0</v>
      </c>
      <c r="AF32" s="14">
        <v>0</v>
      </c>
      <c r="AG32" s="14">
        <v>0</v>
      </c>
      <c r="AH32" s="14">
        <v>0</v>
      </c>
      <c r="AI32" s="14">
        <v>0</v>
      </c>
      <c r="AJ32" s="14">
        <v>0</v>
      </c>
      <c r="AK32" s="14">
        <v>0</v>
      </c>
      <c r="AL32" s="14">
        <v>0</v>
      </c>
      <c r="AM32" s="14">
        <v>0</v>
      </c>
      <c r="AN32" s="14">
        <v>0</v>
      </c>
      <c r="AO32" s="14">
        <v>0</v>
      </c>
      <c r="AP32" s="14">
        <v>0</v>
      </c>
      <c r="AQ32" s="14">
        <v>0</v>
      </c>
      <c r="AR32" s="14">
        <v>0</v>
      </c>
      <c r="AS32" s="14">
        <v>0</v>
      </c>
      <c r="AT32" s="14">
        <v>0</v>
      </c>
      <c r="AU32" s="14">
        <v>0</v>
      </c>
      <c r="AV32" s="14">
        <v>0</v>
      </c>
      <c r="AW32" s="14">
        <v>0</v>
      </c>
      <c r="AX32" s="14">
        <v>0</v>
      </c>
      <c r="AY32" s="14">
        <v>0</v>
      </c>
      <c r="AZ32" s="14">
        <v>0</v>
      </c>
      <c r="BA32" s="14">
        <v>0</v>
      </c>
      <c r="BB32" s="14">
        <v>0</v>
      </c>
      <c r="BC32" s="14">
        <v>0</v>
      </c>
      <c r="BD32" s="14">
        <v>0</v>
      </c>
    </row>
    <row r="33" spans="1:56" x14ac:dyDescent="0.2">
      <c r="A33" s="6">
        <v>31</v>
      </c>
      <c r="B33" s="7" t="s">
        <v>5</v>
      </c>
      <c r="C33" s="12">
        <v>0</v>
      </c>
      <c r="D33" s="12">
        <v>0</v>
      </c>
      <c r="E33" s="12">
        <v>0</v>
      </c>
      <c r="F33" s="12">
        <v>0</v>
      </c>
      <c r="G33" s="12">
        <v>0</v>
      </c>
      <c r="H33" s="12">
        <v>0</v>
      </c>
      <c r="I33" s="13">
        <v>0</v>
      </c>
      <c r="J33" s="13">
        <v>0</v>
      </c>
      <c r="K33" s="13">
        <v>0</v>
      </c>
      <c r="L33" s="13">
        <v>0</v>
      </c>
      <c r="M33" s="13">
        <v>0</v>
      </c>
      <c r="N33" s="13">
        <v>0</v>
      </c>
      <c r="O33" s="14">
        <v>0</v>
      </c>
      <c r="P33" s="14">
        <v>0</v>
      </c>
      <c r="Q33" s="14">
        <v>0</v>
      </c>
      <c r="R33" s="14">
        <v>0</v>
      </c>
      <c r="S33" s="14">
        <v>0</v>
      </c>
      <c r="T33" s="14">
        <v>0</v>
      </c>
      <c r="U33" s="14">
        <v>0</v>
      </c>
      <c r="V33" s="14">
        <v>0</v>
      </c>
      <c r="W33" s="14">
        <v>0</v>
      </c>
      <c r="X33" s="14">
        <v>0</v>
      </c>
      <c r="Y33" s="14">
        <v>0</v>
      </c>
      <c r="Z33" s="14">
        <v>0</v>
      </c>
      <c r="AA33" s="14">
        <v>0</v>
      </c>
      <c r="AB33" s="14">
        <v>0</v>
      </c>
      <c r="AC33" s="14">
        <v>0</v>
      </c>
      <c r="AD33" s="14">
        <v>0</v>
      </c>
      <c r="AE33" s="14">
        <v>0</v>
      </c>
      <c r="AF33" s="14">
        <v>0</v>
      </c>
      <c r="AG33" s="14">
        <v>0</v>
      </c>
      <c r="AH33" s="14">
        <v>0</v>
      </c>
      <c r="AI33" s="14">
        <v>0</v>
      </c>
      <c r="AJ33" s="14">
        <v>0</v>
      </c>
      <c r="AK33" s="14">
        <v>0</v>
      </c>
      <c r="AL33" s="14">
        <v>0</v>
      </c>
      <c r="AM33" s="14">
        <v>0</v>
      </c>
      <c r="AN33" s="14">
        <v>0</v>
      </c>
      <c r="AO33" s="14">
        <v>0</v>
      </c>
      <c r="AP33" s="14">
        <v>0</v>
      </c>
      <c r="AQ33" s="14">
        <v>0</v>
      </c>
      <c r="AR33" s="14">
        <v>0</v>
      </c>
      <c r="AS33" s="14">
        <v>0</v>
      </c>
      <c r="AT33" s="14">
        <v>0</v>
      </c>
      <c r="AU33" s="14">
        <v>0</v>
      </c>
      <c r="AV33" s="14">
        <v>0</v>
      </c>
      <c r="AW33" s="14">
        <v>0</v>
      </c>
      <c r="AX33" s="14">
        <v>0</v>
      </c>
      <c r="AY33" s="14">
        <v>0</v>
      </c>
      <c r="AZ33" s="14">
        <v>0</v>
      </c>
      <c r="BA33" s="14">
        <v>0</v>
      </c>
      <c r="BB33" s="14">
        <v>0</v>
      </c>
      <c r="BC33" s="14">
        <v>0</v>
      </c>
      <c r="BD33" s="14">
        <v>0</v>
      </c>
    </row>
    <row r="34" spans="1:56" x14ac:dyDescent="0.2">
      <c r="A34" s="6">
        <v>32</v>
      </c>
      <c r="B34" s="7" t="s">
        <v>47</v>
      </c>
      <c r="C34" s="12">
        <v>6680</v>
      </c>
      <c r="D34" s="12">
        <v>6680</v>
      </c>
      <c r="E34" s="12">
        <v>6680</v>
      </c>
      <c r="F34" s="12">
        <v>6680</v>
      </c>
      <c r="G34" s="12">
        <v>7417</v>
      </c>
      <c r="H34" s="12">
        <v>7417</v>
      </c>
      <c r="I34" s="13">
        <v>7417</v>
      </c>
      <c r="J34" s="13">
        <v>7417</v>
      </c>
      <c r="K34" s="13">
        <v>7417</v>
      </c>
      <c r="L34" s="13">
        <v>7417</v>
      </c>
      <c r="M34" s="13">
        <v>7417</v>
      </c>
      <c r="N34" s="13">
        <v>7417</v>
      </c>
      <c r="O34" s="14">
        <v>7420</v>
      </c>
      <c r="P34" s="14">
        <v>7420</v>
      </c>
      <c r="Q34" s="14">
        <v>7420</v>
      </c>
      <c r="R34" s="14">
        <v>7420</v>
      </c>
      <c r="S34" s="14">
        <v>7420</v>
      </c>
      <c r="T34" s="14">
        <v>7420</v>
      </c>
      <c r="U34" s="14">
        <v>7420</v>
      </c>
      <c r="V34" s="14">
        <v>7420</v>
      </c>
      <c r="W34" s="14">
        <v>7420</v>
      </c>
      <c r="X34" s="14">
        <v>7420</v>
      </c>
      <c r="Y34" s="14">
        <v>7420</v>
      </c>
      <c r="Z34" s="14">
        <v>7420</v>
      </c>
      <c r="AA34" s="14">
        <v>7420</v>
      </c>
      <c r="AB34" s="14">
        <v>7420</v>
      </c>
      <c r="AC34" s="14">
        <v>7420</v>
      </c>
      <c r="AD34" s="14">
        <v>7420</v>
      </c>
      <c r="AE34" s="14">
        <v>7420</v>
      </c>
      <c r="AF34" s="14">
        <v>7420</v>
      </c>
      <c r="AG34" s="14">
        <v>7420</v>
      </c>
      <c r="AH34" s="14">
        <v>7420</v>
      </c>
      <c r="AI34" s="14">
        <v>7420</v>
      </c>
      <c r="AJ34" s="14">
        <v>7420</v>
      </c>
      <c r="AK34" s="14">
        <v>7420</v>
      </c>
      <c r="AL34" s="14">
        <v>7420</v>
      </c>
      <c r="AM34" s="14">
        <v>7420</v>
      </c>
      <c r="AN34" s="14">
        <v>7420</v>
      </c>
      <c r="AO34" s="14">
        <v>7420</v>
      </c>
      <c r="AP34" s="14">
        <v>7420</v>
      </c>
      <c r="AQ34" s="14">
        <v>7420</v>
      </c>
      <c r="AR34" s="14">
        <v>7420</v>
      </c>
      <c r="AS34" s="14">
        <v>7420</v>
      </c>
      <c r="AT34" s="14">
        <v>7420</v>
      </c>
      <c r="AU34" s="14">
        <v>7420</v>
      </c>
      <c r="AV34" s="14">
        <v>7420</v>
      </c>
      <c r="AW34" s="14">
        <v>7420</v>
      </c>
      <c r="AX34" s="14">
        <v>7420</v>
      </c>
      <c r="AY34" s="14">
        <v>7420</v>
      </c>
      <c r="AZ34" s="14">
        <v>7420</v>
      </c>
      <c r="BA34" s="14">
        <v>7420</v>
      </c>
      <c r="BB34" s="14">
        <v>7420</v>
      </c>
      <c r="BC34" s="14">
        <v>7420</v>
      </c>
      <c r="BD34" s="14">
        <v>7420</v>
      </c>
    </row>
    <row r="35" spans="1:56" s="10" customFormat="1" x14ac:dyDescent="0.2">
      <c r="A35" s="6">
        <v>33</v>
      </c>
      <c r="B35" s="7" t="s">
        <v>48</v>
      </c>
      <c r="C35" s="9">
        <v>6020</v>
      </c>
      <c r="D35" s="9">
        <v>6020</v>
      </c>
      <c r="E35" s="9">
        <v>6020</v>
      </c>
      <c r="F35" s="9">
        <v>6020</v>
      </c>
      <c r="G35" s="9">
        <v>6020</v>
      </c>
      <c r="H35" s="9">
        <v>6020</v>
      </c>
      <c r="I35" s="10">
        <v>6020</v>
      </c>
      <c r="J35" s="10">
        <v>6020</v>
      </c>
      <c r="K35" s="10">
        <v>6020</v>
      </c>
      <c r="L35" s="10">
        <v>6020</v>
      </c>
      <c r="M35" s="10">
        <v>6020</v>
      </c>
      <c r="N35" s="10">
        <v>6020</v>
      </c>
      <c r="O35" s="10">
        <v>6025</v>
      </c>
      <c r="P35" s="10">
        <v>6025</v>
      </c>
      <c r="Q35" s="10">
        <v>6025</v>
      </c>
      <c r="R35" s="10">
        <v>6025</v>
      </c>
      <c r="S35" s="10">
        <v>6025</v>
      </c>
      <c r="T35" s="10">
        <v>6025</v>
      </c>
      <c r="U35" s="10">
        <v>6025</v>
      </c>
      <c r="V35" s="10">
        <v>6025</v>
      </c>
      <c r="W35" s="7">
        <v>6025</v>
      </c>
      <c r="X35" s="7">
        <v>6025</v>
      </c>
      <c r="Y35" s="7">
        <v>6025</v>
      </c>
      <c r="Z35" s="7">
        <v>6025</v>
      </c>
      <c r="AA35" s="7">
        <v>6025</v>
      </c>
      <c r="AB35" s="7">
        <v>6025</v>
      </c>
      <c r="AC35" s="7">
        <v>6025</v>
      </c>
      <c r="AD35" s="7">
        <v>6025</v>
      </c>
      <c r="AE35" s="7">
        <v>6025</v>
      </c>
      <c r="AF35" s="7">
        <v>6025</v>
      </c>
      <c r="AG35" s="7">
        <v>6025</v>
      </c>
      <c r="AH35" s="7">
        <v>6025</v>
      </c>
      <c r="AI35" s="7">
        <v>6025</v>
      </c>
      <c r="AJ35" s="7">
        <v>6025</v>
      </c>
      <c r="AK35" s="7">
        <v>6025</v>
      </c>
      <c r="AL35" s="7">
        <v>6025</v>
      </c>
      <c r="AM35" s="7">
        <v>6025</v>
      </c>
      <c r="AN35" s="7">
        <v>6025</v>
      </c>
      <c r="AO35" s="7">
        <v>6025</v>
      </c>
      <c r="AP35" s="7">
        <v>6025</v>
      </c>
      <c r="AQ35" s="7">
        <v>6025</v>
      </c>
      <c r="AR35" s="7">
        <v>6025</v>
      </c>
      <c r="AS35" s="7">
        <v>6025</v>
      </c>
      <c r="AT35" s="7">
        <v>6025</v>
      </c>
      <c r="AU35" s="7">
        <v>6025</v>
      </c>
      <c r="AV35" s="7">
        <v>6025</v>
      </c>
      <c r="AW35" s="7">
        <v>6025</v>
      </c>
      <c r="AX35" s="7">
        <v>6025</v>
      </c>
      <c r="AY35" s="7">
        <v>6025</v>
      </c>
      <c r="AZ35" s="7">
        <v>6025</v>
      </c>
      <c r="BA35" s="7">
        <v>6025</v>
      </c>
      <c r="BB35" s="7">
        <v>6025</v>
      </c>
      <c r="BC35" s="7">
        <v>6025</v>
      </c>
      <c r="BD35" s="7">
        <v>6025</v>
      </c>
    </row>
    <row r="36" spans="1:56" s="10" customFormat="1" x14ac:dyDescent="0.2">
      <c r="A36" s="6">
        <v>34</v>
      </c>
      <c r="B36" s="7" t="s">
        <v>49</v>
      </c>
      <c r="C36" s="9">
        <v>178</v>
      </c>
      <c r="D36" s="9">
        <v>178</v>
      </c>
      <c r="E36" s="9">
        <v>178</v>
      </c>
      <c r="F36" s="9">
        <v>178</v>
      </c>
      <c r="G36" s="9">
        <v>178</v>
      </c>
      <c r="H36" s="9">
        <v>178</v>
      </c>
      <c r="I36" s="10">
        <v>178</v>
      </c>
      <c r="J36" s="10">
        <v>178</v>
      </c>
      <c r="K36" s="10">
        <v>178</v>
      </c>
      <c r="L36" s="10">
        <v>178</v>
      </c>
      <c r="M36" s="10">
        <v>178</v>
      </c>
      <c r="N36" s="10">
        <v>178</v>
      </c>
      <c r="O36" s="10">
        <v>178</v>
      </c>
      <c r="P36" s="10">
        <v>178</v>
      </c>
      <c r="Q36" s="10">
        <v>178</v>
      </c>
      <c r="R36" s="10">
        <v>178</v>
      </c>
      <c r="S36" s="10">
        <v>178</v>
      </c>
      <c r="T36" s="10">
        <v>178</v>
      </c>
      <c r="U36" s="10">
        <v>178</v>
      </c>
      <c r="V36" s="10">
        <v>178</v>
      </c>
      <c r="W36" s="7">
        <v>178</v>
      </c>
      <c r="X36" s="7">
        <v>178</v>
      </c>
      <c r="Y36" s="7">
        <v>178</v>
      </c>
      <c r="Z36" s="7">
        <v>178</v>
      </c>
      <c r="AA36" s="7">
        <v>178</v>
      </c>
      <c r="AB36" s="7">
        <v>178</v>
      </c>
      <c r="AC36" s="7">
        <v>178</v>
      </c>
      <c r="AD36" s="7">
        <v>178</v>
      </c>
      <c r="AE36" s="7">
        <v>178</v>
      </c>
      <c r="AF36" s="7">
        <v>178</v>
      </c>
      <c r="AG36" s="7">
        <v>178</v>
      </c>
      <c r="AH36" s="7">
        <v>178</v>
      </c>
      <c r="AI36" s="7">
        <v>178</v>
      </c>
      <c r="AJ36" s="7">
        <v>178</v>
      </c>
      <c r="AK36" s="7">
        <v>178</v>
      </c>
      <c r="AL36" s="7">
        <v>178</v>
      </c>
      <c r="AM36" s="7">
        <v>178</v>
      </c>
      <c r="AN36" s="7">
        <v>178</v>
      </c>
      <c r="AO36" s="7">
        <v>178</v>
      </c>
      <c r="AP36" s="7">
        <v>178</v>
      </c>
      <c r="AQ36" s="7">
        <v>178</v>
      </c>
      <c r="AR36" s="7">
        <v>178</v>
      </c>
      <c r="AS36" s="7">
        <v>178</v>
      </c>
      <c r="AT36" s="7">
        <v>178</v>
      </c>
      <c r="AU36" s="7">
        <v>178</v>
      </c>
      <c r="AV36" s="7">
        <v>178</v>
      </c>
      <c r="AW36" s="7">
        <v>178</v>
      </c>
      <c r="AX36" s="7">
        <v>178</v>
      </c>
      <c r="AY36" s="7">
        <v>178</v>
      </c>
      <c r="AZ36" s="7">
        <v>178</v>
      </c>
      <c r="BA36" s="7">
        <v>178</v>
      </c>
      <c r="BB36" s="7">
        <v>178</v>
      </c>
      <c r="BC36" s="7">
        <v>178</v>
      </c>
      <c r="BD36" s="7">
        <v>178</v>
      </c>
    </row>
    <row r="37" spans="1:56" s="10" customFormat="1" x14ac:dyDescent="0.2">
      <c r="A37" s="6">
        <v>35</v>
      </c>
      <c r="B37" s="7" t="s">
        <v>50</v>
      </c>
      <c r="C37" s="9">
        <v>-3</v>
      </c>
      <c r="D37" s="9">
        <v>-3</v>
      </c>
      <c r="E37" s="9">
        <v>-3</v>
      </c>
      <c r="F37" s="9">
        <v>-3</v>
      </c>
      <c r="G37" s="9">
        <v>-3</v>
      </c>
      <c r="H37" s="9">
        <v>-3</v>
      </c>
      <c r="I37" s="10">
        <v>-3</v>
      </c>
      <c r="J37" s="10">
        <v>-3</v>
      </c>
      <c r="K37" s="10">
        <v>-3</v>
      </c>
      <c r="L37" s="10">
        <v>-3</v>
      </c>
      <c r="M37" s="10">
        <v>-3</v>
      </c>
      <c r="N37" s="10">
        <v>-3</v>
      </c>
      <c r="O37" s="10">
        <v>-3</v>
      </c>
      <c r="P37" s="10">
        <v>-3</v>
      </c>
      <c r="Q37" s="10">
        <v>-3</v>
      </c>
      <c r="R37" s="10">
        <v>-3</v>
      </c>
      <c r="S37" s="10">
        <v>-3</v>
      </c>
      <c r="T37" s="10">
        <v>-3</v>
      </c>
      <c r="U37" s="10">
        <v>-3</v>
      </c>
      <c r="V37" s="10">
        <v>-3</v>
      </c>
      <c r="W37" s="7">
        <v>-3</v>
      </c>
      <c r="X37" s="7">
        <v>-3</v>
      </c>
      <c r="Y37" s="7">
        <v>-3</v>
      </c>
      <c r="Z37" s="7">
        <v>-3</v>
      </c>
      <c r="AA37" s="7">
        <v>-3</v>
      </c>
      <c r="AB37" s="7">
        <v>-3</v>
      </c>
      <c r="AC37" s="7">
        <v>-3</v>
      </c>
      <c r="AD37" s="7">
        <v>-3</v>
      </c>
      <c r="AE37" s="7">
        <v>-3</v>
      </c>
      <c r="AF37" s="7">
        <v>-3</v>
      </c>
      <c r="AG37" s="7">
        <v>-3</v>
      </c>
      <c r="AH37" s="7">
        <v>-3</v>
      </c>
      <c r="AI37" s="7">
        <v>-3</v>
      </c>
      <c r="AJ37" s="7">
        <v>-3</v>
      </c>
      <c r="AK37" s="7">
        <v>-3</v>
      </c>
      <c r="AL37" s="7">
        <v>-3</v>
      </c>
      <c r="AM37" s="7">
        <v>-3</v>
      </c>
      <c r="AN37" s="7">
        <v>-3</v>
      </c>
      <c r="AO37" s="7">
        <v>-3</v>
      </c>
      <c r="AP37" s="7">
        <v>-3</v>
      </c>
      <c r="AQ37" s="7">
        <v>-3</v>
      </c>
      <c r="AR37" s="7">
        <v>-3</v>
      </c>
      <c r="AS37" s="7" t="s">
        <v>193</v>
      </c>
      <c r="AT37" s="7" t="s">
        <v>193</v>
      </c>
      <c r="AU37" s="7" t="s">
        <v>193</v>
      </c>
      <c r="AV37" s="7" t="s">
        <v>193</v>
      </c>
      <c r="AW37" s="7" t="s">
        <v>193</v>
      </c>
      <c r="AX37" s="7" t="s">
        <v>193</v>
      </c>
      <c r="AY37" s="7" t="s">
        <v>193</v>
      </c>
      <c r="AZ37" s="7" t="s">
        <v>193</v>
      </c>
      <c r="BA37" s="7" t="s">
        <v>193</v>
      </c>
      <c r="BB37" s="7" t="s">
        <v>193</v>
      </c>
      <c r="BC37" s="7" t="s">
        <v>193</v>
      </c>
      <c r="BD37" s="7" t="s">
        <v>193</v>
      </c>
    </row>
    <row r="38" spans="1:56" s="10" customFormat="1" x14ac:dyDescent="0.2">
      <c r="A38" s="6">
        <v>36</v>
      </c>
      <c r="B38" s="7" t="s">
        <v>51</v>
      </c>
      <c r="C38" s="9">
        <v>770</v>
      </c>
      <c r="D38" s="9">
        <v>770</v>
      </c>
      <c r="E38" s="9">
        <v>770</v>
      </c>
      <c r="F38" s="9">
        <v>770</v>
      </c>
      <c r="G38" s="9">
        <v>770</v>
      </c>
      <c r="H38" s="9">
        <v>770</v>
      </c>
      <c r="I38" s="10">
        <v>770</v>
      </c>
      <c r="J38" s="10">
        <v>770</v>
      </c>
      <c r="K38" s="10">
        <v>770</v>
      </c>
      <c r="L38" s="10">
        <v>770</v>
      </c>
      <c r="M38" s="10">
        <v>770</v>
      </c>
      <c r="N38" s="10">
        <v>770</v>
      </c>
      <c r="O38" s="10">
        <v>770</v>
      </c>
      <c r="P38" s="10">
        <v>770</v>
      </c>
      <c r="Q38" s="10">
        <v>770</v>
      </c>
      <c r="R38" s="10">
        <v>770</v>
      </c>
      <c r="S38" s="10">
        <v>770</v>
      </c>
      <c r="T38" s="10">
        <v>770</v>
      </c>
      <c r="U38" s="10">
        <v>770</v>
      </c>
      <c r="V38" s="10">
        <v>770</v>
      </c>
      <c r="W38" s="7">
        <v>770</v>
      </c>
      <c r="X38" s="7">
        <v>770</v>
      </c>
      <c r="Y38" s="7">
        <v>770</v>
      </c>
      <c r="Z38" s="7">
        <v>770</v>
      </c>
      <c r="AA38" s="7">
        <v>770</v>
      </c>
      <c r="AB38" s="7">
        <v>770</v>
      </c>
      <c r="AC38" s="7">
        <v>770</v>
      </c>
      <c r="AD38" s="7">
        <v>770</v>
      </c>
      <c r="AE38" s="7">
        <v>770</v>
      </c>
      <c r="AF38" s="7">
        <v>770</v>
      </c>
      <c r="AG38" s="7">
        <v>770</v>
      </c>
      <c r="AH38" s="7">
        <v>770</v>
      </c>
      <c r="AI38" s="7">
        <v>770</v>
      </c>
      <c r="AJ38" s="7">
        <v>770</v>
      </c>
      <c r="AK38" s="7">
        <v>770</v>
      </c>
      <c r="AL38" s="7">
        <v>770</v>
      </c>
      <c r="AM38" s="7">
        <v>770</v>
      </c>
      <c r="AN38" s="7">
        <v>770</v>
      </c>
      <c r="AO38" s="7">
        <v>770</v>
      </c>
      <c r="AP38" s="7">
        <v>770</v>
      </c>
      <c r="AQ38" s="7">
        <v>770</v>
      </c>
      <c r="AR38" s="7">
        <v>770</v>
      </c>
      <c r="AS38" s="7">
        <v>77900</v>
      </c>
      <c r="AT38" s="7">
        <v>67397790</v>
      </c>
      <c r="AU38" s="7">
        <v>67397790</v>
      </c>
      <c r="AV38" s="7">
        <v>67397790</v>
      </c>
      <c r="AW38" s="7">
        <v>67397790</v>
      </c>
      <c r="AX38" s="7">
        <v>67397790</v>
      </c>
      <c r="AY38" s="7">
        <v>67397790</v>
      </c>
      <c r="AZ38" s="7">
        <v>67397790</v>
      </c>
      <c r="BA38" s="7">
        <v>67397790</v>
      </c>
      <c r="BB38" s="7">
        <v>67397790</v>
      </c>
      <c r="BC38" s="7">
        <v>67397790</v>
      </c>
      <c r="BD38" s="7">
        <v>67397790</v>
      </c>
    </row>
    <row r="39" spans="1:56" s="10" customFormat="1" x14ac:dyDescent="0.2">
      <c r="A39" s="6">
        <v>37</v>
      </c>
      <c r="B39" s="7" t="s">
        <v>52</v>
      </c>
      <c r="C39" s="9">
        <v>740</v>
      </c>
      <c r="D39" s="9">
        <v>740</v>
      </c>
      <c r="E39" s="9">
        <v>740</v>
      </c>
      <c r="F39" s="9">
        <v>740</v>
      </c>
      <c r="G39" s="9">
        <v>740</v>
      </c>
      <c r="H39" s="9">
        <v>740</v>
      </c>
      <c r="I39" s="10">
        <v>740</v>
      </c>
      <c r="J39" s="10">
        <v>740</v>
      </c>
      <c r="K39" s="10">
        <v>740</v>
      </c>
      <c r="L39" s="10">
        <v>740</v>
      </c>
      <c r="M39" s="10">
        <v>740</v>
      </c>
      <c r="N39" s="10">
        <v>740</v>
      </c>
      <c r="O39" s="10">
        <v>740</v>
      </c>
      <c r="P39" s="10">
        <v>740</v>
      </c>
      <c r="Q39" s="10">
        <v>740</v>
      </c>
      <c r="R39" s="10">
        <v>740</v>
      </c>
      <c r="S39" s="10">
        <v>740</v>
      </c>
      <c r="T39" s="10">
        <v>740</v>
      </c>
      <c r="U39" s="10">
        <v>740</v>
      </c>
      <c r="V39" s="10">
        <v>740</v>
      </c>
      <c r="W39" s="7">
        <v>740</v>
      </c>
      <c r="X39" s="7">
        <v>740</v>
      </c>
      <c r="Y39" s="7">
        <v>740</v>
      </c>
      <c r="Z39" s="7">
        <v>740</v>
      </c>
      <c r="AA39" s="7">
        <v>740</v>
      </c>
      <c r="AB39" s="7">
        <v>740</v>
      </c>
      <c r="AC39" s="7">
        <v>740</v>
      </c>
      <c r="AD39" s="7">
        <v>740</v>
      </c>
      <c r="AE39" s="7">
        <v>740</v>
      </c>
      <c r="AF39" s="7">
        <v>740</v>
      </c>
      <c r="AG39" s="7">
        <v>740</v>
      </c>
      <c r="AH39" s="7">
        <v>740</v>
      </c>
      <c r="AI39" s="7">
        <v>740</v>
      </c>
      <c r="AJ39" s="7">
        <v>740</v>
      </c>
      <c r="AK39" s="7">
        <v>740</v>
      </c>
      <c r="AL39" s="7">
        <v>740</v>
      </c>
      <c r="AM39" s="7">
        <v>740</v>
      </c>
      <c r="AN39" s="7">
        <v>740</v>
      </c>
      <c r="AO39" s="7">
        <v>740</v>
      </c>
      <c r="AP39" s="7">
        <v>740</v>
      </c>
      <c r="AQ39" s="7">
        <v>740</v>
      </c>
      <c r="AR39" s="7">
        <v>740</v>
      </c>
      <c r="AS39" s="7">
        <v>76950</v>
      </c>
      <c r="AT39" s="7">
        <v>54644647</v>
      </c>
      <c r="AU39" s="7">
        <v>54644647</v>
      </c>
      <c r="AV39" s="7">
        <v>54644647</v>
      </c>
      <c r="AW39" s="7">
        <v>54644647</v>
      </c>
      <c r="AX39" s="7">
        <v>54644647</v>
      </c>
      <c r="AY39" s="7">
        <v>54644647</v>
      </c>
      <c r="AZ39" s="7">
        <v>54644647</v>
      </c>
      <c r="BA39" s="7">
        <v>54644647</v>
      </c>
      <c r="BB39" s="7">
        <v>54644647</v>
      </c>
      <c r="BC39" s="7">
        <v>54644647</v>
      </c>
      <c r="BD39" s="7">
        <v>54644647</v>
      </c>
    </row>
    <row r="40" spans="1:56" s="10" customFormat="1" x14ac:dyDescent="0.2">
      <c r="A40" s="6">
        <v>38</v>
      </c>
      <c r="B40" s="7" t="s">
        <v>53</v>
      </c>
      <c r="C40" s="9">
        <v>8028</v>
      </c>
      <c r="D40" s="9">
        <v>8028</v>
      </c>
      <c r="E40" s="9">
        <v>8028</v>
      </c>
      <c r="F40" s="9">
        <v>8028</v>
      </c>
      <c r="G40" s="9">
        <v>8028</v>
      </c>
      <c r="H40" s="9">
        <v>8028</v>
      </c>
      <c r="I40" s="10">
        <v>8028</v>
      </c>
      <c r="J40" s="10">
        <v>8028</v>
      </c>
      <c r="K40" s="10">
        <v>8028</v>
      </c>
      <c r="L40" s="10">
        <v>8028</v>
      </c>
      <c r="M40" s="10">
        <v>8028</v>
      </c>
      <c r="N40" s="10">
        <v>8028</v>
      </c>
      <c r="O40" s="10">
        <v>8028</v>
      </c>
      <c r="P40" s="10">
        <v>8028</v>
      </c>
      <c r="Q40" s="10">
        <v>8028</v>
      </c>
      <c r="R40" s="10">
        <v>8028</v>
      </c>
      <c r="S40" s="10">
        <v>8028</v>
      </c>
      <c r="T40" s="10">
        <v>8028</v>
      </c>
      <c r="U40" s="10">
        <v>8028</v>
      </c>
      <c r="V40" s="10">
        <v>8028</v>
      </c>
      <c r="W40" s="7">
        <v>8028</v>
      </c>
      <c r="X40" s="7">
        <v>8028</v>
      </c>
      <c r="Y40" s="7">
        <v>8028</v>
      </c>
      <c r="Z40" s="7">
        <v>8028</v>
      </c>
      <c r="AA40" s="7">
        <v>8028</v>
      </c>
      <c r="AB40" s="7">
        <v>8028</v>
      </c>
      <c r="AC40" s="7">
        <v>8028</v>
      </c>
      <c r="AD40" s="7">
        <v>8028</v>
      </c>
      <c r="AE40" s="7">
        <v>8028</v>
      </c>
      <c r="AF40" s="7">
        <v>8028</v>
      </c>
      <c r="AG40" s="7">
        <v>8028</v>
      </c>
      <c r="AH40" s="7">
        <v>8028</v>
      </c>
      <c r="AI40" s="7">
        <v>8028</v>
      </c>
      <c r="AJ40" s="7">
        <v>8028</v>
      </c>
      <c r="AK40" s="7">
        <v>8028</v>
      </c>
      <c r="AL40" s="7">
        <v>8028</v>
      </c>
      <c r="AM40" s="7">
        <v>8028</v>
      </c>
      <c r="AN40" s="7">
        <v>8028</v>
      </c>
      <c r="AO40" s="7">
        <v>8028</v>
      </c>
      <c r="AP40" s="7">
        <v>8028</v>
      </c>
      <c r="AQ40" s="7">
        <v>8028</v>
      </c>
      <c r="AR40" s="7">
        <v>8028</v>
      </c>
      <c r="AS40" s="7">
        <v>79050</v>
      </c>
      <c r="AT40" s="7">
        <v>88722733</v>
      </c>
      <c r="AU40" s="7">
        <v>88722733</v>
      </c>
      <c r="AV40" s="7">
        <v>88722733</v>
      </c>
      <c r="AW40" s="7">
        <v>88722733</v>
      </c>
      <c r="AX40" s="7">
        <v>88722733</v>
      </c>
      <c r="AY40" s="7">
        <v>88722733</v>
      </c>
      <c r="AZ40" s="7">
        <v>88722733</v>
      </c>
      <c r="BA40" s="7">
        <v>88722733</v>
      </c>
      <c r="BB40" s="7">
        <v>88722733</v>
      </c>
      <c r="BC40" s="7">
        <v>88722733</v>
      </c>
      <c r="BD40" s="7">
        <v>88722733</v>
      </c>
    </row>
    <row r="41" spans="1:56" s="10" customFormat="1" x14ac:dyDescent="0.2">
      <c r="A41" s="6">
        <v>39</v>
      </c>
      <c r="B41" s="7" t="s">
        <v>54</v>
      </c>
      <c r="C41" s="9">
        <v>242</v>
      </c>
      <c r="D41" s="9">
        <v>242</v>
      </c>
      <c r="E41" s="9">
        <v>242</v>
      </c>
      <c r="F41" s="9">
        <v>242</v>
      </c>
      <c r="G41" s="9">
        <v>242</v>
      </c>
      <c r="H41" s="9">
        <v>242</v>
      </c>
      <c r="I41" s="10">
        <v>242</v>
      </c>
      <c r="J41" s="10">
        <v>242</v>
      </c>
      <c r="K41" s="10">
        <v>242</v>
      </c>
      <c r="L41" s="10">
        <v>242</v>
      </c>
      <c r="M41" s="10">
        <v>242</v>
      </c>
      <c r="N41" s="10">
        <v>242</v>
      </c>
      <c r="O41" s="10">
        <v>242</v>
      </c>
      <c r="P41" s="10">
        <v>242</v>
      </c>
      <c r="Q41" s="10">
        <v>242</v>
      </c>
      <c r="R41" s="10">
        <v>242</v>
      </c>
      <c r="S41" s="10">
        <v>242</v>
      </c>
      <c r="T41" s="10">
        <v>242</v>
      </c>
      <c r="U41" s="10">
        <v>242</v>
      </c>
      <c r="V41" s="10">
        <v>242</v>
      </c>
      <c r="W41" s="7">
        <v>242</v>
      </c>
      <c r="X41" s="7">
        <v>242</v>
      </c>
      <c r="Y41" s="7">
        <v>242</v>
      </c>
      <c r="Z41" s="7">
        <v>242</v>
      </c>
      <c r="AA41" s="7">
        <v>242</v>
      </c>
      <c r="AB41" s="7">
        <v>242</v>
      </c>
      <c r="AC41" s="7">
        <v>242</v>
      </c>
      <c r="AD41" s="7">
        <v>242</v>
      </c>
      <c r="AE41" s="7">
        <v>242</v>
      </c>
      <c r="AF41" s="7">
        <v>242</v>
      </c>
      <c r="AG41" s="7">
        <v>242</v>
      </c>
      <c r="AH41" s="7">
        <v>242</v>
      </c>
      <c r="AI41" s="7">
        <v>242</v>
      </c>
      <c r="AJ41" s="7">
        <v>242</v>
      </c>
      <c r="AK41" s="7">
        <v>242</v>
      </c>
      <c r="AL41" s="7">
        <v>242</v>
      </c>
      <c r="AM41" s="7">
        <v>242</v>
      </c>
      <c r="AN41" s="7">
        <v>242</v>
      </c>
      <c r="AO41" s="7">
        <v>242</v>
      </c>
      <c r="AP41" s="7">
        <v>242</v>
      </c>
      <c r="AQ41" s="7">
        <v>242</v>
      </c>
      <c r="AR41" s="7">
        <v>242</v>
      </c>
      <c r="AS41" s="7">
        <v>79200</v>
      </c>
      <c r="AT41" s="7">
        <v>92846918</v>
      </c>
      <c r="AU41" s="7">
        <v>92846918</v>
      </c>
      <c r="AV41" s="7">
        <v>92846918</v>
      </c>
      <c r="AW41" s="7">
        <v>92846918</v>
      </c>
      <c r="AX41" s="7">
        <v>92846918</v>
      </c>
      <c r="AY41" s="7">
        <v>92846918</v>
      </c>
      <c r="AZ41" s="7">
        <v>92846918</v>
      </c>
      <c r="BA41" s="7">
        <v>92846918</v>
      </c>
      <c r="BB41" s="7">
        <v>92846918</v>
      </c>
      <c r="BC41" s="7">
        <v>92846918</v>
      </c>
      <c r="BD41" s="7">
        <v>92846918</v>
      </c>
    </row>
    <row r="42" spans="1:56" s="10" customFormat="1" x14ac:dyDescent="0.2">
      <c r="A42" s="6">
        <v>40</v>
      </c>
      <c r="B42" s="7" t="s">
        <v>55</v>
      </c>
      <c r="C42" s="9">
        <v>2512</v>
      </c>
      <c r="D42" s="9">
        <v>2512</v>
      </c>
      <c r="E42" s="9">
        <v>2512</v>
      </c>
      <c r="F42" s="9">
        <v>2512</v>
      </c>
      <c r="G42" s="9">
        <v>2512</v>
      </c>
      <c r="H42" s="9">
        <v>2512</v>
      </c>
      <c r="I42" s="10">
        <v>2512</v>
      </c>
      <c r="J42" s="10">
        <v>2512</v>
      </c>
      <c r="K42" s="10">
        <v>2512</v>
      </c>
      <c r="L42" s="10">
        <v>2512</v>
      </c>
      <c r="M42" s="10">
        <v>2512</v>
      </c>
      <c r="N42" s="10">
        <v>2512</v>
      </c>
      <c r="O42" s="10">
        <v>2512</v>
      </c>
      <c r="P42" s="10">
        <v>2512</v>
      </c>
      <c r="Q42" s="10">
        <v>2512</v>
      </c>
      <c r="R42" s="10">
        <v>2512</v>
      </c>
      <c r="S42" s="10">
        <v>2512</v>
      </c>
      <c r="T42" s="10">
        <v>2512</v>
      </c>
      <c r="U42" s="10">
        <v>2512</v>
      </c>
      <c r="V42" s="10">
        <v>2512</v>
      </c>
      <c r="W42" s="7">
        <v>2512</v>
      </c>
      <c r="X42" s="7">
        <v>2512</v>
      </c>
      <c r="Y42" s="7">
        <v>2512</v>
      </c>
      <c r="Z42" s="7">
        <v>2512</v>
      </c>
      <c r="AA42" s="7">
        <v>2512</v>
      </c>
      <c r="AB42" s="7">
        <v>2512</v>
      </c>
      <c r="AC42" s="7">
        <v>2512</v>
      </c>
      <c r="AD42" s="7">
        <v>2512</v>
      </c>
      <c r="AE42" s="7">
        <v>2512</v>
      </c>
      <c r="AF42" s="7">
        <v>2512</v>
      </c>
      <c r="AG42" s="7">
        <v>2512</v>
      </c>
      <c r="AH42" s="7">
        <v>2512</v>
      </c>
      <c r="AI42" s="7">
        <v>2512</v>
      </c>
      <c r="AJ42" s="7">
        <v>2512</v>
      </c>
      <c r="AK42" s="7">
        <v>2512</v>
      </c>
      <c r="AL42" s="7">
        <v>2512</v>
      </c>
      <c r="AM42" s="7">
        <v>2512</v>
      </c>
      <c r="AN42" s="7">
        <v>2512</v>
      </c>
      <c r="AO42" s="7">
        <v>2512</v>
      </c>
      <c r="AP42" s="7">
        <v>2512</v>
      </c>
      <c r="AQ42" s="7">
        <v>2512</v>
      </c>
      <c r="AR42" s="7">
        <v>2512</v>
      </c>
      <c r="AS42" s="7">
        <v>79540</v>
      </c>
      <c r="AT42" s="7">
        <v>100533789</v>
      </c>
      <c r="AU42" s="7">
        <v>100533789</v>
      </c>
      <c r="AV42" s="7">
        <v>100533789</v>
      </c>
      <c r="AW42" s="7">
        <v>100533789</v>
      </c>
      <c r="AX42" s="7">
        <v>100533789</v>
      </c>
      <c r="AY42" s="7">
        <v>100533789</v>
      </c>
      <c r="AZ42" s="7">
        <v>100533789</v>
      </c>
      <c r="BA42" s="7">
        <v>100533789</v>
      </c>
      <c r="BB42" s="7">
        <v>100533789</v>
      </c>
      <c r="BC42" s="7">
        <v>100533789</v>
      </c>
      <c r="BD42" s="7">
        <v>100533789</v>
      </c>
    </row>
    <row r="43" spans="1:56" x14ac:dyDescent="0.2">
      <c r="A43" s="6">
        <v>41</v>
      </c>
      <c r="B43" s="7" t="s">
        <v>56</v>
      </c>
      <c r="C43" s="12">
        <v>0.99760000000000004</v>
      </c>
      <c r="D43" s="12">
        <v>0.99760000000000004</v>
      </c>
      <c r="E43" s="12">
        <v>0.99760000000000004</v>
      </c>
      <c r="F43" s="12">
        <v>0.99760000000000004</v>
      </c>
      <c r="G43" s="12">
        <v>0.99760000000000004</v>
      </c>
      <c r="H43" s="12">
        <v>0.998</v>
      </c>
      <c r="I43" s="13">
        <v>0.998</v>
      </c>
      <c r="J43" s="13">
        <v>0.998</v>
      </c>
      <c r="K43" s="13">
        <v>0.998</v>
      </c>
      <c r="L43" s="13">
        <v>0.998</v>
      </c>
      <c r="M43" s="13">
        <v>0.998</v>
      </c>
      <c r="N43" s="13">
        <v>0.998</v>
      </c>
      <c r="O43" s="14">
        <v>0.998</v>
      </c>
      <c r="P43" s="14">
        <v>0.998</v>
      </c>
      <c r="Q43" s="14">
        <v>0.998</v>
      </c>
      <c r="R43" s="14">
        <v>0.998</v>
      </c>
      <c r="S43" s="14">
        <v>0.998</v>
      </c>
      <c r="T43" s="14">
        <v>0.998</v>
      </c>
      <c r="U43" s="14">
        <v>0.998</v>
      </c>
      <c r="V43" s="14">
        <v>0.998</v>
      </c>
      <c r="W43" s="14">
        <v>0.998</v>
      </c>
      <c r="X43" s="14">
        <v>0.998</v>
      </c>
      <c r="Y43" s="14">
        <v>0.998</v>
      </c>
      <c r="Z43" s="14">
        <v>0.998</v>
      </c>
      <c r="AA43" s="14">
        <v>0.998</v>
      </c>
      <c r="AB43" s="14">
        <v>0.998</v>
      </c>
      <c r="AC43" s="14">
        <v>0.998</v>
      </c>
      <c r="AD43" s="14">
        <v>0.998</v>
      </c>
      <c r="AE43" s="14">
        <v>0.998</v>
      </c>
      <c r="AF43" s="14">
        <v>0.998</v>
      </c>
      <c r="AG43" s="14">
        <v>0.998</v>
      </c>
      <c r="AH43" s="14">
        <v>0.998</v>
      </c>
      <c r="AI43" s="14">
        <v>0.998</v>
      </c>
      <c r="AJ43" s="14">
        <v>0.998</v>
      </c>
      <c r="AK43" s="14">
        <v>0.998</v>
      </c>
      <c r="AL43" s="14">
        <v>0.998</v>
      </c>
      <c r="AM43" s="14">
        <v>0.998</v>
      </c>
      <c r="AN43" s="14">
        <v>0.998</v>
      </c>
      <c r="AO43" s="14">
        <v>0.998</v>
      </c>
      <c r="AP43" s="14">
        <v>0.998</v>
      </c>
      <c r="AQ43" s="14">
        <v>0.998</v>
      </c>
      <c r="AR43" s="14">
        <v>0.998</v>
      </c>
      <c r="AS43" s="14">
        <v>0.998</v>
      </c>
      <c r="AT43" s="14">
        <v>0.998</v>
      </c>
      <c r="AU43" s="14">
        <v>0.998</v>
      </c>
      <c r="AV43" s="14">
        <v>0.998</v>
      </c>
      <c r="AW43" s="14">
        <v>0.998</v>
      </c>
      <c r="AX43" s="14">
        <v>0.998</v>
      </c>
      <c r="AY43" s="14">
        <v>0.998</v>
      </c>
      <c r="AZ43" s="14">
        <v>0.998</v>
      </c>
      <c r="BA43" s="14">
        <v>0.998</v>
      </c>
      <c r="BB43" s="14">
        <v>0.998</v>
      </c>
      <c r="BC43" s="14">
        <v>0.998</v>
      </c>
      <c r="BD43" s="14">
        <v>0.998</v>
      </c>
    </row>
    <row r="44" spans="1:56" x14ac:dyDescent="0.2">
      <c r="A44" s="6">
        <v>42</v>
      </c>
      <c r="B44" s="7" t="s">
        <v>57</v>
      </c>
      <c r="C44" s="12">
        <v>4.88</v>
      </c>
      <c r="D44" s="12">
        <v>4.88</v>
      </c>
      <c r="E44" s="12">
        <v>4.88</v>
      </c>
      <c r="F44" s="12">
        <v>4.88</v>
      </c>
      <c r="G44" s="12">
        <v>4.88</v>
      </c>
      <c r="H44" s="12">
        <v>-10</v>
      </c>
      <c r="I44" s="13">
        <v>-10</v>
      </c>
      <c r="J44" s="13">
        <v>-10</v>
      </c>
      <c r="K44" s="13">
        <v>-10</v>
      </c>
      <c r="L44" s="13">
        <v>-10</v>
      </c>
      <c r="M44" s="13">
        <v>-10</v>
      </c>
      <c r="N44" s="13">
        <v>-10</v>
      </c>
      <c r="O44" s="14">
        <v>-10</v>
      </c>
      <c r="P44" s="14">
        <v>-10</v>
      </c>
      <c r="Q44" s="14">
        <v>-10</v>
      </c>
      <c r="R44" s="14">
        <v>-10</v>
      </c>
      <c r="S44" s="14">
        <v>-10</v>
      </c>
      <c r="T44" s="14">
        <v>-10</v>
      </c>
      <c r="U44" s="14">
        <v>-10</v>
      </c>
      <c r="V44" s="14">
        <v>-10</v>
      </c>
      <c r="W44" s="14">
        <v>-10</v>
      </c>
      <c r="X44" s="14">
        <v>-10</v>
      </c>
      <c r="Y44" s="14">
        <v>-10</v>
      </c>
      <c r="Z44" s="14">
        <v>-10</v>
      </c>
      <c r="AA44" s="14">
        <v>-10</v>
      </c>
      <c r="AB44" s="14">
        <v>-10</v>
      </c>
      <c r="AC44" s="14">
        <v>-10</v>
      </c>
      <c r="AD44" s="14">
        <v>-10</v>
      </c>
      <c r="AE44" s="14">
        <v>-10</v>
      </c>
      <c r="AF44" s="14">
        <v>-10</v>
      </c>
      <c r="AG44" s="14">
        <v>-10</v>
      </c>
      <c r="AH44" s="14">
        <v>-10</v>
      </c>
      <c r="AI44" s="14">
        <v>-10</v>
      </c>
      <c r="AJ44" s="14">
        <v>-10</v>
      </c>
      <c r="AK44" s="14">
        <v>-10</v>
      </c>
      <c r="AL44" s="14">
        <v>-10</v>
      </c>
      <c r="AM44" s="14">
        <v>-10</v>
      </c>
      <c r="AN44" s="14">
        <v>-10</v>
      </c>
      <c r="AO44" s="14">
        <v>-10</v>
      </c>
      <c r="AP44" s="14">
        <v>-10</v>
      </c>
      <c r="AQ44" s="14">
        <v>-10</v>
      </c>
      <c r="AR44" s="14">
        <v>-10</v>
      </c>
      <c r="AS44" s="14">
        <v>-10</v>
      </c>
      <c r="AT44" s="14">
        <v>-10</v>
      </c>
      <c r="AU44" s="14">
        <v>-10</v>
      </c>
      <c r="AV44" s="14">
        <v>-10</v>
      </c>
      <c r="AW44" s="14">
        <v>-10</v>
      </c>
      <c r="AX44" s="14">
        <v>-10</v>
      </c>
      <c r="AY44" s="14">
        <v>-10</v>
      </c>
      <c r="AZ44" s="14">
        <v>-10</v>
      </c>
      <c r="BA44" s="14">
        <v>-10</v>
      </c>
      <c r="BB44" s="14">
        <v>-10</v>
      </c>
      <c r="BC44" s="14">
        <v>-10</v>
      </c>
      <c r="BD44" s="14">
        <v>-10</v>
      </c>
    </row>
    <row r="45" spans="1:56" s="10" customFormat="1" ht="11.25" customHeight="1" x14ac:dyDescent="0.2">
      <c r="A45" s="6">
        <v>43</v>
      </c>
      <c r="B45" s="7" t="s">
        <v>58</v>
      </c>
      <c r="C45" s="9">
        <v>2469</v>
      </c>
      <c r="D45" s="9">
        <v>2469</v>
      </c>
      <c r="E45" s="9">
        <v>2469</v>
      </c>
      <c r="F45" s="9">
        <v>2469</v>
      </c>
      <c r="G45" s="9">
        <v>1732</v>
      </c>
      <c r="H45" s="9">
        <v>1732</v>
      </c>
      <c r="I45" s="10">
        <v>1732</v>
      </c>
      <c r="J45" s="10">
        <v>1732</v>
      </c>
      <c r="K45" s="10">
        <v>1732</v>
      </c>
      <c r="L45" s="10">
        <v>1732</v>
      </c>
      <c r="M45" s="10">
        <v>1732</v>
      </c>
      <c r="N45" s="10">
        <v>1732</v>
      </c>
      <c r="O45" s="10">
        <v>1732</v>
      </c>
      <c r="P45" s="10">
        <v>1732</v>
      </c>
      <c r="Q45" s="10">
        <v>1732</v>
      </c>
      <c r="R45" s="10">
        <v>1732</v>
      </c>
      <c r="S45" s="10">
        <v>1732</v>
      </c>
      <c r="T45" s="10">
        <v>1732</v>
      </c>
      <c r="U45" s="10">
        <v>1732</v>
      </c>
      <c r="V45" s="10">
        <v>1732</v>
      </c>
      <c r="W45" s="7">
        <v>1732</v>
      </c>
      <c r="X45" s="7">
        <v>1732</v>
      </c>
      <c r="Y45" s="7">
        <v>1732</v>
      </c>
      <c r="Z45" s="7">
        <v>1732</v>
      </c>
      <c r="AA45" s="7">
        <v>1732</v>
      </c>
      <c r="AB45" s="7">
        <v>1732</v>
      </c>
      <c r="AC45" s="7">
        <v>1732</v>
      </c>
      <c r="AD45" s="7">
        <v>1732</v>
      </c>
      <c r="AE45" s="7">
        <v>1732</v>
      </c>
      <c r="AF45" s="7">
        <v>1732</v>
      </c>
      <c r="AG45" s="7">
        <v>1732</v>
      </c>
      <c r="AH45" s="7">
        <v>1732</v>
      </c>
      <c r="AI45" s="7">
        <v>1732</v>
      </c>
      <c r="AJ45" s="7">
        <v>1732</v>
      </c>
      <c r="AK45" s="7">
        <v>1732</v>
      </c>
      <c r="AL45" s="7">
        <v>1732</v>
      </c>
      <c r="AM45" s="7">
        <v>1732</v>
      </c>
      <c r="AN45" s="7">
        <v>1732</v>
      </c>
      <c r="AO45" s="7">
        <v>1732</v>
      </c>
      <c r="AP45" s="7">
        <v>1732</v>
      </c>
      <c r="AQ45" s="7">
        <v>1732</v>
      </c>
      <c r="AR45" s="7">
        <v>1732</v>
      </c>
      <c r="AS45" s="7">
        <v>1732</v>
      </c>
      <c r="AT45" s="7">
        <v>1732</v>
      </c>
      <c r="AU45" s="7">
        <v>1732</v>
      </c>
      <c r="AV45" s="7">
        <v>1732</v>
      </c>
      <c r="AW45" s="7">
        <v>1732</v>
      </c>
      <c r="AX45" s="7">
        <v>1732</v>
      </c>
      <c r="AY45" s="7">
        <v>1732</v>
      </c>
      <c r="AZ45" s="7">
        <v>1732</v>
      </c>
      <c r="BA45" s="7">
        <v>1732</v>
      </c>
      <c r="BB45" s="7">
        <v>1732</v>
      </c>
      <c r="BC45" s="7">
        <v>1732</v>
      </c>
      <c r="BD45" s="7">
        <v>1732</v>
      </c>
    </row>
    <row r="46" spans="1:56" s="10" customFormat="1" x14ac:dyDescent="0.2">
      <c r="A46" s="6">
        <v>44</v>
      </c>
      <c r="B46" s="7" t="s">
        <v>59</v>
      </c>
      <c r="C46" s="9">
        <v>250</v>
      </c>
      <c r="D46" s="9">
        <v>250</v>
      </c>
      <c r="E46" s="9">
        <v>250</v>
      </c>
      <c r="F46" s="9">
        <v>250</v>
      </c>
      <c r="G46" s="9">
        <v>250</v>
      </c>
      <c r="H46" s="9">
        <v>250</v>
      </c>
      <c r="I46" s="10">
        <v>250</v>
      </c>
      <c r="J46" s="10">
        <v>250</v>
      </c>
      <c r="K46" s="10">
        <v>250</v>
      </c>
      <c r="L46" s="10">
        <v>250</v>
      </c>
      <c r="M46" s="10">
        <v>250</v>
      </c>
      <c r="N46" s="10">
        <v>250</v>
      </c>
      <c r="O46" s="10">
        <v>250</v>
      </c>
      <c r="P46" s="10">
        <v>250</v>
      </c>
      <c r="Q46" s="10">
        <v>250</v>
      </c>
      <c r="R46" s="10">
        <v>250</v>
      </c>
      <c r="S46" s="10">
        <v>250</v>
      </c>
      <c r="T46" s="10">
        <v>250</v>
      </c>
      <c r="U46" s="10">
        <v>250</v>
      </c>
      <c r="V46" s="10">
        <v>250</v>
      </c>
      <c r="W46" s="7">
        <v>250</v>
      </c>
      <c r="X46" s="7">
        <v>250</v>
      </c>
      <c r="Y46" s="7">
        <v>250</v>
      </c>
      <c r="Z46" s="7">
        <v>250</v>
      </c>
      <c r="AA46" s="7">
        <v>250</v>
      </c>
      <c r="AB46" s="7">
        <v>250</v>
      </c>
      <c r="AC46" s="7">
        <v>250</v>
      </c>
      <c r="AD46" s="7">
        <v>250</v>
      </c>
      <c r="AE46" s="7">
        <v>250</v>
      </c>
      <c r="AF46" s="7">
        <v>250</v>
      </c>
      <c r="AG46" s="7">
        <v>250</v>
      </c>
      <c r="AH46" s="7">
        <v>250</v>
      </c>
      <c r="AI46" s="7">
        <v>250</v>
      </c>
      <c r="AJ46" s="7">
        <v>250</v>
      </c>
      <c r="AK46" s="7">
        <v>250</v>
      </c>
      <c r="AL46" s="7">
        <v>250</v>
      </c>
      <c r="AM46" s="7">
        <v>250</v>
      </c>
      <c r="AN46" s="7">
        <v>250</v>
      </c>
      <c r="AO46" s="7">
        <v>250</v>
      </c>
      <c r="AP46" s="7">
        <v>250</v>
      </c>
      <c r="AQ46" s="7">
        <v>250</v>
      </c>
      <c r="AR46" s="7">
        <v>250</v>
      </c>
      <c r="AS46" s="7">
        <v>250</v>
      </c>
      <c r="AT46" s="7">
        <v>250</v>
      </c>
      <c r="AU46" s="7">
        <v>250</v>
      </c>
      <c r="AV46" s="7">
        <v>250</v>
      </c>
      <c r="AW46" s="7">
        <v>250</v>
      </c>
      <c r="AX46" s="7">
        <v>250</v>
      </c>
      <c r="AY46" s="7">
        <v>250</v>
      </c>
      <c r="AZ46" s="7">
        <v>250</v>
      </c>
      <c r="BA46" s="7">
        <v>250</v>
      </c>
      <c r="BB46" s="7">
        <v>250</v>
      </c>
      <c r="BC46" s="7">
        <v>250</v>
      </c>
      <c r="BD46" s="7">
        <v>250</v>
      </c>
    </row>
    <row r="47" spans="1:56" s="10" customFormat="1" x14ac:dyDescent="0.2">
      <c r="A47" s="6">
        <v>45</v>
      </c>
      <c r="B47" s="7" t="s">
        <v>60</v>
      </c>
      <c r="C47" s="9">
        <v>0.2</v>
      </c>
      <c r="D47" s="9">
        <v>0.2</v>
      </c>
      <c r="E47" s="9">
        <v>0.2</v>
      </c>
      <c r="F47" s="9">
        <v>0.2</v>
      </c>
      <c r="G47" s="9">
        <v>0</v>
      </c>
      <c r="H47" s="9">
        <v>0.8</v>
      </c>
      <c r="I47" s="10">
        <v>0</v>
      </c>
      <c r="J47" s="10">
        <v>0</v>
      </c>
      <c r="K47" s="10">
        <v>0</v>
      </c>
      <c r="L47" s="10">
        <v>0</v>
      </c>
      <c r="M47" s="10">
        <v>0</v>
      </c>
      <c r="N47" s="10">
        <v>0</v>
      </c>
      <c r="O47" s="10">
        <v>0</v>
      </c>
      <c r="P47" s="10">
        <v>0</v>
      </c>
      <c r="Q47" s="10">
        <v>0</v>
      </c>
      <c r="R47" s="10">
        <v>0</v>
      </c>
      <c r="S47" s="10">
        <v>0</v>
      </c>
      <c r="T47" s="10">
        <v>0</v>
      </c>
      <c r="U47" s="10">
        <v>0</v>
      </c>
      <c r="V47" s="10">
        <v>0</v>
      </c>
      <c r="W47" s="7">
        <v>0</v>
      </c>
      <c r="X47" s="7">
        <v>0</v>
      </c>
      <c r="Y47" s="7">
        <v>0</v>
      </c>
      <c r="Z47" s="7">
        <v>0</v>
      </c>
      <c r="AA47" s="7">
        <v>0</v>
      </c>
      <c r="AB47" s="7">
        <v>0</v>
      </c>
      <c r="AC47" s="7">
        <v>0</v>
      </c>
      <c r="AD47" s="7">
        <v>0</v>
      </c>
      <c r="AE47" s="7">
        <v>0</v>
      </c>
      <c r="AF47" s="7">
        <v>0</v>
      </c>
      <c r="AG47" s="7">
        <v>0</v>
      </c>
      <c r="AH47" s="7">
        <v>0</v>
      </c>
      <c r="AI47" s="7">
        <v>0</v>
      </c>
      <c r="AJ47" s="7">
        <v>0</v>
      </c>
      <c r="AK47" s="7">
        <v>0</v>
      </c>
      <c r="AL47" s="7">
        <v>0</v>
      </c>
      <c r="AM47" s="7">
        <v>0</v>
      </c>
      <c r="AN47" s="7">
        <v>0</v>
      </c>
      <c r="AO47" s="7">
        <v>0</v>
      </c>
      <c r="AP47" s="7">
        <v>0</v>
      </c>
      <c r="AQ47" s="7">
        <v>0</v>
      </c>
      <c r="AR47" s="7">
        <v>0</v>
      </c>
      <c r="AS47" s="7">
        <v>0</v>
      </c>
      <c r="AT47" s="7">
        <v>0</v>
      </c>
      <c r="AU47" s="7">
        <v>0</v>
      </c>
      <c r="AV47" s="7">
        <v>0</v>
      </c>
      <c r="AW47" s="7">
        <v>0</v>
      </c>
      <c r="AX47" s="7">
        <v>0</v>
      </c>
      <c r="AY47" s="7">
        <v>0</v>
      </c>
      <c r="AZ47" s="7">
        <v>0</v>
      </c>
      <c r="BA47" s="7">
        <v>0</v>
      </c>
      <c r="BB47" s="7">
        <v>0</v>
      </c>
      <c r="BC47" s="7">
        <v>0</v>
      </c>
      <c r="BD47" s="7">
        <v>0</v>
      </c>
    </row>
    <row r="48" spans="1:56" s="10" customFormat="1" x14ac:dyDescent="0.2">
      <c r="A48" s="6">
        <v>46</v>
      </c>
      <c r="B48" s="7" t="s">
        <v>61</v>
      </c>
      <c r="C48" s="9">
        <v>64</v>
      </c>
      <c r="D48" s="9">
        <v>64</v>
      </c>
      <c r="E48" s="9">
        <v>64</v>
      </c>
      <c r="F48" s="9">
        <v>64</v>
      </c>
      <c r="G48" s="9">
        <v>64</v>
      </c>
      <c r="H48" s="9">
        <v>64</v>
      </c>
      <c r="I48" s="10">
        <v>64</v>
      </c>
      <c r="J48" s="10">
        <v>64</v>
      </c>
      <c r="K48" s="10">
        <v>64</v>
      </c>
      <c r="L48" s="10">
        <v>64</v>
      </c>
      <c r="M48" s="10">
        <v>64</v>
      </c>
      <c r="N48" s="10">
        <v>64</v>
      </c>
      <c r="O48" s="10">
        <v>64</v>
      </c>
      <c r="P48" s="10">
        <v>64</v>
      </c>
      <c r="Q48" s="10">
        <v>64</v>
      </c>
      <c r="R48" s="10">
        <v>64</v>
      </c>
      <c r="S48" s="10">
        <v>64</v>
      </c>
      <c r="T48" s="10">
        <v>64</v>
      </c>
      <c r="U48" s="10">
        <v>64</v>
      </c>
      <c r="V48" s="10">
        <v>64</v>
      </c>
      <c r="W48" s="7">
        <v>64</v>
      </c>
      <c r="X48" s="7">
        <v>64</v>
      </c>
      <c r="Y48" s="7">
        <v>64</v>
      </c>
      <c r="Z48" s="7">
        <v>64</v>
      </c>
      <c r="AA48" s="7">
        <v>64</v>
      </c>
      <c r="AB48" s="7">
        <v>64</v>
      </c>
      <c r="AC48" s="7">
        <v>64</v>
      </c>
      <c r="AD48" s="7">
        <v>64</v>
      </c>
      <c r="AE48" s="7">
        <v>64</v>
      </c>
      <c r="AF48" s="7">
        <v>64</v>
      </c>
      <c r="AG48" s="7">
        <v>64</v>
      </c>
      <c r="AH48" s="7">
        <v>64</v>
      </c>
      <c r="AI48" s="7">
        <v>64</v>
      </c>
      <c r="AJ48" s="7">
        <v>64</v>
      </c>
      <c r="AK48" s="7">
        <v>64</v>
      </c>
      <c r="AL48" s="7">
        <v>64</v>
      </c>
      <c r="AM48" s="7">
        <v>64</v>
      </c>
      <c r="AN48" s="7">
        <v>64</v>
      </c>
      <c r="AO48" s="7">
        <v>64</v>
      </c>
      <c r="AP48" s="7">
        <v>64</v>
      </c>
      <c r="AQ48" s="7">
        <v>64</v>
      </c>
      <c r="AR48" s="7">
        <v>64</v>
      </c>
      <c r="AS48" s="7">
        <v>64</v>
      </c>
      <c r="AT48" s="7">
        <v>64</v>
      </c>
      <c r="AU48" s="7">
        <v>64</v>
      </c>
      <c r="AV48" s="7">
        <v>64</v>
      </c>
      <c r="AW48" s="7">
        <v>64</v>
      </c>
      <c r="AX48" s="7">
        <v>64</v>
      </c>
      <c r="AY48" s="7">
        <v>64</v>
      </c>
      <c r="AZ48" s="7">
        <v>64</v>
      </c>
      <c r="BA48" s="7">
        <v>64</v>
      </c>
      <c r="BB48" s="7">
        <v>64</v>
      </c>
      <c r="BC48" s="7">
        <v>64</v>
      </c>
      <c r="BD48" s="7">
        <v>64</v>
      </c>
    </row>
    <row r="49" spans="1:56" s="10" customFormat="1" x14ac:dyDescent="0.2">
      <c r="A49" s="6">
        <v>47</v>
      </c>
      <c r="B49" s="7" t="s">
        <v>62</v>
      </c>
      <c r="C49" s="9">
        <v>256</v>
      </c>
      <c r="D49" s="9">
        <v>256</v>
      </c>
      <c r="E49" s="9">
        <v>256</v>
      </c>
      <c r="F49" s="9">
        <v>256</v>
      </c>
      <c r="G49" s="9">
        <v>256</v>
      </c>
      <c r="H49" s="9">
        <v>256</v>
      </c>
      <c r="I49" s="10">
        <v>256</v>
      </c>
      <c r="J49" s="10">
        <v>256</v>
      </c>
      <c r="K49" s="10">
        <v>256</v>
      </c>
      <c r="L49" s="10">
        <v>256</v>
      </c>
      <c r="M49" s="10">
        <v>256</v>
      </c>
      <c r="N49" s="10">
        <v>256</v>
      </c>
      <c r="O49" s="10">
        <v>256</v>
      </c>
      <c r="P49" s="10">
        <v>256</v>
      </c>
      <c r="Q49" s="10">
        <v>256</v>
      </c>
      <c r="R49" s="10">
        <v>256</v>
      </c>
      <c r="S49" s="10">
        <v>256</v>
      </c>
      <c r="T49" s="10">
        <v>256</v>
      </c>
      <c r="U49" s="10">
        <v>256</v>
      </c>
      <c r="V49" s="10">
        <v>256</v>
      </c>
      <c r="W49" s="7">
        <v>256</v>
      </c>
      <c r="X49" s="7">
        <v>256</v>
      </c>
      <c r="Y49" s="7">
        <v>256</v>
      </c>
      <c r="Z49" s="7">
        <v>256</v>
      </c>
      <c r="AA49" s="7">
        <v>256</v>
      </c>
      <c r="AB49" s="7">
        <v>256</v>
      </c>
      <c r="AC49" s="7">
        <v>256</v>
      </c>
      <c r="AD49" s="7">
        <v>256</v>
      </c>
      <c r="AE49" s="7">
        <v>256</v>
      </c>
      <c r="AF49" s="7">
        <v>256</v>
      </c>
      <c r="AG49" s="7">
        <v>256</v>
      </c>
      <c r="AH49" s="7">
        <v>256</v>
      </c>
      <c r="AI49" s="7">
        <v>256</v>
      </c>
      <c r="AJ49" s="7">
        <v>256</v>
      </c>
      <c r="AK49" s="7">
        <v>256</v>
      </c>
      <c r="AL49" s="7">
        <v>256</v>
      </c>
      <c r="AM49" s="7">
        <v>256</v>
      </c>
      <c r="AN49" s="7">
        <v>256</v>
      </c>
      <c r="AO49" s="7">
        <v>256</v>
      </c>
      <c r="AP49" s="7">
        <v>256</v>
      </c>
      <c r="AQ49" s="7">
        <v>256</v>
      </c>
      <c r="AR49" s="7">
        <v>256</v>
      </c>
      <c r="AS49" s="7">
        <v>256</v>
      </c>
      <c r="AT49" s="7">
        <v>256</v>
      </c>
      <c r="AU49" s="7">
        <v>256</v>
      </c>
      <c r="AV49" s="7">
        <v>256</v>
      </c>
      <c r="AW49" s="7">
        <v>256</v>
      </c>
      <c r="AX49" s="7">
        <v>256</v>
      </c>
      <c r="AY49" s="7">
        <v>256</v>
      </c>
      <c r="AZ49" s="7">
        <v>256</v>
      </c>
      <c r="BA49" s="7">
        <v>256</v>
      </c>
      <c r="BB49" s="7">
        <v>256</v>
      </c>
      <c r="BC49" s="7">
        <v>256</v>
      </c>
      <c r="BD49" s="7">
        <v>256</v>
      </c>
    </row>
    <row r="50" spans="1:56" s="10" customFormat="1" x14ac:dyDescent="0.2">
      <c r="A50" s="6">
        <v>48</v>
      </c>
      <c r="B50" s="7" t="s">
        <v>63</v>
      </c>
      <c r="C50" s="9">
        <v>0</v>
      </c>
      <c r="D50" s="9">
        <v>0</v>
      </c>
      <c r="E50" s="9">
        <v>0</v>
      </c>
      <c r="F50" s="9">
        <v>0</v>
      </c>
      <c r="G50" s="9">
        <v>0</v>
      </c>
      <c r="H50" s="9">
        <v>0</v>
      </c>
      <c r="I50" s="10">
        <v>0</v>
      </c>
      <c r="J50" s="10">
        <v>0</v>
      </c>
      <c r="K50" s="10">
        <v>0</v>
      </c>
      <c r="L50" s="10">
        <v>0</v>
      </c>
      <c r="M50" s="10">
        <v>0</v>
      </c>
      <c r="N50" s="10">
        <v>0</v>
      </c>
      <c r="O50" s="10">
        <v>0</v>
      </c>
      <c r="P50" s="10">
        <v>0</v>
      </c>
      <c r="Q50" s="10">
        <v>0</v>
      </c>
      <c r="R50" s="10">
        <v>0</v>
      </c>
      <c r="S50" s="10">
        <v>0</v>
      </c>
      <c r="T50" s="10">
        <v>0</v>
      </c>
      <c r="U50" s="10">
        <v>0</v>
      </c>
      <c r="V50" s="10">
        <v>0</v>
      </c>
      <c r="W50" s="7">
        <v>0</v>
      </c>
      <c r="X50" s="7">
        <v>0</v>
      </c>
      <c r="Y50" s="7">
        <v>0</v>
      </c>
      <c r="Z50" s="7">
        <v>0</v>
      </c>
      <c r="AA50" s="7">
        <v>0</v>
      </c>
      <c r="AB50" s="7">
        <v>0</v>
      </c>
      <c r="AC50" s="7">
        <v>0</v>
      </c>
      <c r="AD50" s="7">
        <v>0</v>
      </c>
      <c r="AE50" s="7">
        <v>0</v>
      </c>
      <c r="AF50" s="7">
        <v>0</v>
      </c>
      <c r="AG50" s="7">
        <v>0</v>
      </c>
      <c r="AH50" s="7">
        <v>0</v>
      </c>
      <c r="AI50" s="7">
        <v>0</v>
      </c>
      <c r="AJ50" s="7">
        <v>0</v>
      </c>
      <c r="AK50" s="7">
        <v>0</v>
      </c>
      <c r="AL50" s="7">
        <v>0</v>
      </c>
      <c r="AM50" s="7">
        <v>0</v>
      </c>
      <c r="AN50" s="7">
        <v>0</v>
      </c>
      <c r="AO50" s="7">
        <v>0</v>
      </c>
      <c r="AP50" s="7">
        <v>0</v>
      </c>
      <c r="AQ50" s="7">
        <v>0</v>
      </c>
      <c r="AR50" s="7">
        <v>0</v>
      </c>
      <c r="AS50" s="7">
        <v>0</v>
      </c>
      <c r="AT50" s="7">
        <v>0</v>
      </c>
      <c r="AU50" s="7">
        <v>0</v>
      </c>
      <c r="AV50" s="7">
        <v>0</v>
      </c>
      <c r="AW50" s="7">
        <v>0</v>
      </c>
      <c r="AX50" s="7">
        <v>0</v>
      </c>
      <c r="AY50" s="7">
        <v>0</v>
      </c>
      <c r="AZ50" s="7">
        <v>0</v>
      </c>
      <c r="BA50" s="7">
        <v>0</v>
      </c>
      <c r="BB50" s="7">
        <v>0</v>
      </c>
      <c r="BC50" s="7">
        <v>0</v>
      </c>
      <c r="BD50" s="7">
        <v>0</v>
      </c>
    </row>
    <row r="51" spans="1:56" s="10" customFormat="1" x14ac:dyDescent="0.2">
      <c r="A51" s="6">
        <v>49</v>
      </c>
      <c r="B51" s="7" t="s">
        <v>64</v>
      </c>
      <c r="C51" s="9">
        <v>64</v>
      </c>
      <c r="D51" s="9">
        <v>64</v>
      </c>
      <c r="E51" s="9">
        <v>64</v>
      </c>
      <c r="F51" s="9">
        <v>64</v>
      </c>
      <c r="G51" s="9">
        <v>64</v>
      </c>
      <c r="H51" s="9">
        <v>64</v>
      </c>
      <c r="I51" s="10">
        <v>64</v>
      </c>
      <c r="J51" s="10">
        <v>64</v>
      </c>
      <c r="K51" s="10">
        <v>64</v>
      </c>
      <c r="L51" s="10">
        <v>64</v>
      </c>
      <c r="M51" s="10">
        <v>64</v>
      </c>
      <c r="N51" s="10">
        <v>64</v>
      </c>
      <c r="O51" s="10">
        <v>64</v>
      </c>
      <c r="P51" s="10">
        <v>64</v>
      </c>
      <c r="Q51" s="10">
        <v>64</v>
      </c>
      <c r="R51" s="10">
        <v>64</v>
      </c>
      <c r="S51" s="10">
        <v>64</v>
      </c>
      <c r="T51" s="10">
        <v>64</v>
      </c>
      <c r="U51" s="10">
        <v>64</v>
      </c>
      <c r="V51" s="10">
        <v>64</v>
      </c>
      <c r="W51" s="7">
        <v>64</v>
      </c>
      <c r="X51" s="7">
        <v>64</v>
      </c>
      <c r="Y51" s="7">
        <v>64</v>
      </c>
      <c r="Z51" s="7">
        <v>64</v>
      </c>
      <c r="AA51" s="7">
        <v>64</v>
      </c>
      <c r="AB51" s="7">
        <v>64</v>
      </c>
      <c r="AC51" s="7">
        <v>64</v>
      </c>
      <c r="AD51" s="7">
        <v>64</v>
      </c>
      <c r="AE51" s="7">
        <v>64</v>
      </c>
      <c r="AF51" s="7">
        <v>64</v>
      </c>
      <c r="AG51" s="7">
        <v>64</v>
      </c>
      <c r="AH51" s="7">
        <v>64</v>
      </c>
      <c r="AI51" s="7">
        <v>64</v>
      </c>
      <c r="AJ51" s="7">
        <v>64</v>
      </c>
      <c r="AK51" s="7">
        <v>64</v>
      </c>
      <c r="AL51" s="7">
        <v>64</v>
      </c>
      <c r="AM51" s="7">
        <v>64</v>
      </c>
      <c r="AN51" s="7">
        <v>64</v>
      </c>
      <c r="AO51" s="7">
        <v>64</v>
      </c>
      <c r="AP51" s="7">
        <v>64</v>
      </c>
      <c r="AQ51" s="7">
        <v>64</v>
      </c>
      <c r="AR51" s="7">
        <v>64</v>
      </c>
      <c r="AS51" s="7">
        <v>64</v>
      </c>
      <c r="AT51" s="7">
        <v>64</v>
      </c>
      <c r="AU51" s="7">
        <v>64</v>
      </c>
      <c r="AV51" s="7">
        <v>64</v>
      </c>
      <c r="AW51" s="7">
        <v>64</v>
      </c>
      <c r="AX51" s="7">
        <v>64</v>
      </c>
      <c r="AY51" s="7">
        <v>64</v>
      </c>
      <c r="AZ51" s="7">
        <v>64</v>
      </c>
      <c r="BA51" s="7">
        <v>64</v>
      </c>
      <c r="BB51" s="7">
        <v>64</v>
      </c>
      <c r="BC51" s="7">
        <v>64</v>
      </c>
      <c r="BD51" s="7">
        <v>64</v>
      </c>
    </row>
    <row r="52" spans="1:56" s="10" customFormat="1" x14ac:dyDescent="0.2">
      <c r="A52" s="6">
        <v>50</v>
      </c>
      <c r="B52" s="7" t="s">
        <v>65</v>
      </c>
      <c r="C52" s="9">
        <v>46</v>
      </c>
      <c r="D52" s="9">
        <v>46</v>
      </c>
      <c r="E52" s="9">
        <v>46</v>
      </c>
      <c r="F52" s="9">
        <v>46</v>
      </c>
      <c r="G52" s="9">
        <v>56</v>
      </c>
      <c r="H52" s="9">
        <v>56</v>
      </c>
      <c r="I52" s="10">
        <v>56</v>
      </c>
      <c r="J52" s="10">
        <v>56</v>
      </c>
      <c r="K52" s="10">
        <v>56</v>
      </c>
      <c r="L52" s="10">
        <v>56</v>
      </c>
      <c r="M52" s="10">
        <v>56</v>
      </c>
      <c r="N52" s="10">
        <v>56</v>
      </c>
      <c r="O52" s="10">
        <v>56</v>
      </c>
      <c r="P52" s="10">
        <v>56</v>
      </c>
      <c r="Q52" s="10">
        <v>56</v>
      </c>
      <c r="R52" s="10">
        <v>56</v>
      </c>
      <c r="S52" s="10">
        <v>56</v>
      </c>
      <c r="T52" s="10">
        <v>56</v>
      </c>
      <c r="U52" s="10">
        <v>56</v>
      </c>
      <c r="V52" s="10">
        <v>56</v>
      </c>
      <c r="W52" s="7">
        <v>56</v>
      </c>
      <c r="X52" s="7">
        <v>56</v>
      </c>
      <c r="Y52" s="7">
        <v>56</v>
      </c>
      <c r="Z52" s="7">
        <v>56</v>
      </c>
      <c r="AA52" s="7">
        <v>56</v>
      </c>
      <c r="AB52" s="7">
        <v>56</v>
      </c>
      <c r="AC52" s="7">
        <v>56</v>
      </c>
      <c r="AD52" s="7">
        <v>56</v>
      </c>
      <c r="AE52" s="7">
        <v>56</v>
      </c>
      <c r="AF52" s="7">
        <v>56</v>
      </c>
      <c r="AG52" s="7">
        <v>56</v>
      </c>
      <c r="AH52" s="7">
        <v>56</v>
      </c>
      <c r="AI52" s="7">
        <v>56</v>
      </c>
      <c r="AJ52" s="7">
        <v>56</v>
      </c>
      <c r="AK52" s="7">
        <v>56</v>
      </c>
      <c r="AL52" s="7">
        <v>56</v>
      </c>
      <c r="AM52" s="7">
        <v>56</v>
      </c>
      <c r="AN52" s="7">
        <v>56</v>
      </c>
      <c r="AO52" s="7">
        <v>56</v>
      </c>
      <c r="AP52" s="7">
        <v>56</v>
      </c>
      <c r="AQ52" s="7">
        <v>56</v>
      </c>
      <c r="AR52" s="7">
        <v>56</v>
      </c>
      <c r="AS52" s="7">
        <v>56</v>
      </c>
      <c r="AT52" s="7">
        <v>56</v>
      </c>
      <c r="AU52" s="7">
        <v>56</v>
      </c>
      <c r="AV52" s="7">
        <v>56</v>
      </c>
      <c r="AW52" s="7">
        <v>56</v>
      </c>
      <c r="AX52" s="7">
        <v>56</v>
      </c>
      <c r="AY52" s="7">
        <v>56</v>
      </c>
      <c r="AZ52" s="7">
        <v>56</v>
      </c>
      <c r="BA52" s="7">
        <v>56</v>
      </c>
      <c r="BB52" s="7">
        <v>56</v>
      </c>
      <c r="BC52" s="7">
        <v>56</v>
      </c>
      <c r="BD52" s="7">
        <v>56</v>
      </c>
    </row>
    <row r="53" spans="1:56" s="10" customFormat="1" x14ac:dyDescent="0.2">
      <c r="A53" s="6">
        <v>51</v>
      </c>
      <c r="B53" s="7" t="s">
        <v>66</v>
      </c>
      <c r="C53" s="9">
        <v>225</v>
      </c>
      <c r="D53" s="9">
        <v>2229</v>
      </c>
      <c r="E53" s="9">
        <v>2229</v>
      </c>
      <c r="F53" s="9">
        <v>2229</v>
      </c>
      <c r="G53" s="9">
        <v>2229</v>
      </c>
      <c r="H53" s="9">
        <v>2229</v>
      </c>
      <c r="I53" s="10">
        <v>2226</v>
      </c>
      <c r="J53" s="10">
        <v>2226</v>
      </c>
      <c r="K53" s="10">
        <v>2226</v>
      </c>
      <c r="L53" s="10">
        <v>2226</v>
      </c>
      <c r="M53" s="10">
        <v>2226</v>
      </c>
      <c r="N53" s="10">
        <v>2226</v>
      </c>
      <c r="O53" s="10">
        <v>2226</v>
      </c>
      <c r="P53" s="10">
        <v>2226</v>
      </c>
      <c r="Q53" s="10">
        <v>2226</v>
      </c>
      <c r="R53" s="10">
        <v>2226</v>
      </c>
      <c r="S53" s="10">
        <v>2226</v>
      </c>
      <c r="T53" s="10">
        <v>2226</v>
      </c>
      <c r="U53" s="10">
        <v>2226</v>
      </c>
      <c r="V53" s="10">
        <v>2226</v>
      </c>
      <c r="W53" s="7">
        <v>2226</v>
      </c>
      <c r="X53" s="7">
        <v>2226</v>
      </c>
      <c r="Y53" s="7">
        <v>2226</v>
      </c>
      <c r="Z53" s="7">
        <v>2226</v>
      </c>
      <c r="AA53" s="7">
        <v>2226</v>
      </c>
      <c r="AB53" s="7">
        <v>2226</v>
      </c>
      <c r="AC53" s="7">
        <v>2226</v>
      </c>
      <c r="AD53" s="7">
        <v>2226</v>
      </c>
      <c r="AE53" s="7">
        <v>2226</v>
      </c>
      <c r="AF53" s="7">
        <v>2226</v>
      </c>
      <c r="AG53" s="7">
        <v>2226</v>
      </c>
      <c r="AH53" s="7">
        <v>2226</v>
      </c>
      <c r="AI53" s="7">
        <v>2226</v>
      </c>
      <c r="AJ53" s="7">
        <v>2226</v>
      </c>
      <c r="AK53" s="7">
        <v>2226</v>
      </c>
      <c r="AL53" s="7">
        <v>2226</v>
      </c>
      <c r="AM53" s="7">
        <v>2226</v>
      </c>
      <c r="AN53" s="7">
        <v>2226</v>
      </c>
      <c r="AO53" s="7">
        <v>2226</v>
      </c>
      <c r="AP53" s="7">
        <v>2226</v>
      </c>
      <c r="AQ53" s="7">
        <v>2226</v>
      </c>
      <c r="AR53" s="7">
        <v>2226</v>
      </c>
      <c r="AS53" s="7">
        <v>2226</v>
      </c>
      <c r="AT53" s="7">
        <v>2226</v>
      </c>
      <c r="AU53" s="7">
        <v>2226</v>
      </c>
      <c r="AV53" s="7">
        <v>2226</v>
      </c>
      <c r="AW53" s="7">
        <v>2226</v>
      </c>
      <c r="AX53" s="7">
        <v>2226</v>
      </c>
      <c r="AY53" s="7">
        <v>2226</v>
      </c>
      <c r="AZ53" s="7">
        <v>2226</v>
      </c>
      <c r="BA53" s="7">
        <v>2226</v>
      </c>
      <c r="BB53" s="7">
        <v>2226</v>
      </c>
      <c r="BC53" s="7">
        <v>2226</v>
      </c>
      <c r="BD53" s="7">
        <v>2226</v>
      </c>
    </row>
    <row r="54" spans="1:56" x14ac:dyDescent="0.2">
      <c r="A54" s="6">
        <v>52</v>
      </c>
      <c r="C54" s="12"/>
      <c r="D54" s="12"/>
      <c r="E54" s="12"/>
      <c r="F54" s="12"/>
      <c r="G54" s="12"/>
      <c r="H54" s="12"/>
      <c r="J54" s="8"/>
      <c r="K54" s="8"/>
      <c r="L54" s="8"/>
      <c r="M54" s="8"/>
      <c r="N54" s="8"/>
    </row>
  </sheetData>
  <phoneticPr fontId="3" type="noConversion"/>
  <pageMargins left="0.75" right="0.75" top="1" bottom="1"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enableFormatConditionsCalculation="0"/>
  <dimension ref="A1:E55"/>
  <sheetViews>
    <sheetView topLeftCell="A47" workbookViewId="0">
      <selection activeCell="A49" sqref="A49"/>
    </sheetView>
  </sheetViews>
  <sheetFormatPr baseColWidth="10" defaultRowHeight="15" x14ac:dyDescent="0.2"/>
  <cols>
    <col min="1" max="1" width="11.3984375" style="5" customWidth="1"/>
    <col min="2" max="2" width="14.3984375" style="4" customWidth="1"/>
    <col min="3" max="3" width="36" customWidth="1"/>
    <col min="4" max="4" width="19.19921875" customWidth="1"/>
  </cols>
  <sheetData>
    <row r="1" spans="1:5" x14ac:dyDescent="0.2">
      <c r="A1" s="5">
        <f t="shared" ref="A1:A32" si="0">+B1-693960</f>
        <v>35431</v>
      </c>
      <c r="B1" s="2">
        <v>729391</v>
      </c>
      <c r="C1" t="s">
        <v>69</v>
      </c>
      <c r="D1" t="s">
        <v>6</v>
      </c>
      <c r="E1">
        <v>300</v>
      </c>
    </row>
    <row r="2" spans="1:5" x14ac:dyDescent="0.2">
      <c r="A2" s="5">
        <f t="shared" si="0"/>
        <v>35945</v>
      </c>
      <c r="B2" s="2">
        <v>729905</v>
      </c>
      <c r="C2" t="s">
        <v>69</v>
      </c>
      <c r="D2" t="s">
        <v>6</v>
      </c>
      <c r="E2">
        <v>305</v>
      </c>
    </row>
    <row r="3" spans="1:5" x14ac:dyDescent="0.2">
      <c r="A3" s="5">
        <f t="shared" si="0"/>
        <v>36409</v>
      </c>
      <c r="B3" s="2">
        <v>730369</v>
      </c>
      <c r="C3" t="s">
        <v>69</v>
      </c>
      <c r="D3" t="s">
        <v>6</v>
      </c>
      <c r="E3">
        <v>325</v>
      </c>
    </row>
    <row r="4" spans="1:5" x14ac:dyDescent="0.2">
      <c r="A4" s="5">
        <f t="shared" si="0"/>
        <v>36682</v>
      </c>
      <c r="B4" s="2">
        <v>730642</v>
      </c>
      <c r="C4" t="s">
        <v>69</v>
      </c>
      <c r="D4" t="s">
        <v>6</v>
      </c>
      <c r="E4">
        <v>325</v>
      </c>
    </row>
    <row r="5" spans="1:5" x14ac:dyDescent="0.2">
      <c r="A5" s="5">
        <f t="shared" si="0"/>
        <v>37149</v>
      </c>
      <c r="B5" s="2">
        <v>731109</v>
      </c>
      <c r="C5" t="s">
        <v>69</v>
      </c>
      <c r="D5" t="s">
        <v>6</v>
      </c>
      <c r="E5">
        <v>330</v>
      </c>
    </row>
    <row r="6" spans="1:5" x14ac:dyDescent="0.2">
      <c r="A6" s="5">
        <f t="shared" si="0"/>
        <v>37507</v>
      </c>
      <c r="B6" s="2">
        <v>731467</v>
      </c>
      <c r="C6" t="s">
        <v>69</v>
      </c>
      <c r="D6" t="s">
        <v>6</v>
      </c>
      <c r="E6">
        <v>340</v>
      </c>
    </row>
    <row r="7" spans="1:5" x14ac:dyDescent="0.2">
      <c r="A7" s="5">
        <f t="shared" si="0"/>
        <v>37877</v>
      </c>
      <c r="B7" s="3">
        <v>731837</v>
      </c>
      <c r="C7" t="s">
        <v>69</v>
      </c>
      <c r="D7" t="s">
        <v>6</v>
      </c>
      <c r="E7">
        <v>339</v>
      </c>
    </row>
    <row r="8" spans="1:5" x14ac:dyDescent="0.2">
      <c r="A8" s="5">
        <f t="shared" si="0"/>
        <v>38245</v>
      </c>
      <c r="B8" s="3">
        <v>732205</v>
      </c>
      <c r="C8" t="s">
        <v>84</v>
      </c>
      <c r="D8" t="s">
        <v>83</v>
      </c>
      <c r="E8">
        <v>339</v>
      </c>
    </row>
    <row r="9" spans="1:5" x14ac:dyDescent="0.2">
      <c r="A9" s="5">
        <f t="shared" si="0"/>
        <v>38503</v>
      </c>
      <c r="B9" s="10">
        <v>732463</v>
      </c>
      <c r="C9" t="s">
        <v>163</v>
      </c>
      <c r="E9">
        <v>338</v>
      </c>
    </row>
    <row r="10" spans="1:5" x14ac:dyDescent="0.2">
      <c r="A10" s="5">
        <f t="shared" si="0"/>
        <v>38615</v>
      </c>
      <c r="B10" s="3">
        <v>732575</v>
      </c>
      <c r="C10" t="s">
        <v>82</v>
      </c>
      <c r="D10" t="s">
        <v>81</v>
      </c>
      <c r="E10">
        <v>338</v>
      </c>
    </row>
    <row r="11" spans="1:5" x14ac:dyDescent="0.2">
      <c r="A11" s="5">
        <f t="shared" si="0"/>
        <v>39000</v>
      </c>
      <c r="B11" s="4">
        <v>732960</v>
      </c>
      <c r="C11" t="s">
        <v>79</v>
      </c>
      <c r="D11" t="s">
        <v>81</v>
      </c>
      <c r="E11">
        <v>338</v>
      </c>
    </row>
    <row r="12" spans="1:5" x14ac:dyDescent="0.2">
      <c r="A12" s="5">
        <f t="shared" si="0"/>
        <v>39320</v>
      </c>
      <c r="B12" s="3">
        <v>733280</v>
      </c>
      <c r="C12" t="s">
        <v>80</v>
      </c>
      <c r="D12" t="s">
        <v>81</v>
      </c>
      <c r="E12">
        <v>338</v>
      </c>
    </row>
    <row r="13" spans="1:5" x14ac:dyDescent="0.2">
      <c r="A13" s="5">
        <f t="shared" si="0"/>
        <v>39981</v>
      </c>
      <c r="B13" s="4">
        <v>733941</v>
      </c>
      <c r="C13" t="s">
        <v>70</v>
      </c>
      <c r="D13" t="s">
        <v>81</v>
      </c>
      <c r="E13">
        <v>338</v>
      </c>
    </row>
    <row r="14" spans="1:5" x14ac:dyDescent="0.2">
      <c r="A14" s="5">
        <f t="shared" si="0"/>
        <v>40017</v>
      </c>
      <c r="B14" s="4">
        <v>733977</v>
      </c>
      <c r="C14" t="s">
        <v>71</v>
      </c>
      <c r="D14" t="s">
        <v>81</v>
      </c>
      <c r="E14">
        <v>338</v>
      </c>
    </row>
    <row r="15" spans="1:5" x14ac:dyDescent="0.2">
      <c r="A15" s="5">
        <f t="shared" si="0"/>
        <v>40024</v>
      </c>
      <c r="B15" s="4">
        <v>733984</v>
      </c>
      <c r="C15" t="s">
        <v>72</v>
      </c>
      <c r="D15" t="s">
        <v>81</v>
      </c>
      <c r="E15">
        <v>338</v>
      </c>
    </row>
    <row r="16" spans="1:5" x14ac:dyDescent="0.2">
      <c r="A16" s="5">
        <f t="shared" si="0"/>
        <v>40060</v>
      </c>
      <c r="B16" s="4">
        <v>734020</v>
      </c>
      <c r="C16" t="s">
        <v>73</v>
      </c>
      <c r="D16" t="s">
        <v>81</v>
      </c>
      <c r="E16">
        <v>338</v>
      </c>
    </row>
    <row r="17" spans="1:5" x14ac:dyDescent="0.2">
      <c r="A17" s="5">
        <f t="shared" si="0"/>
        <v>40176</v>
      </c>
      <c r="B17" s="4">
        <v>734136</v>
      </c>
      <c r="C17" t="s">
        <v>72</v>
      </c>
      <c r="D17" t="s">
        <v>81</v>
      </c>
      <c r="E17">
        <v>338</v>
      </c>
    </row>
    <row r="18" spans="1:5" x14ac:dyDescent="0.2">
      <c r="A18" s="5">
        <f t="shared" si="0"/>
        <v>40238</v>
      </c>
      <c r="B18" s="4">
        <v>734198</v>
      </c>
      <c r="C18" t="s">
        <v>74</v>
      </c>
      <c r="D18" t="s">
        <v>81</v>
      </c>
      <c r="E18">
        <v>338</v>
      </c>
    </row>
    <row r="19" spans="1:5" x14ac:dyDescent="0.2">
      <c r="A19" s="5">
        <f t="shared" si="0"/>
        <v>40267</v>
      </c>
      <c r="B19" s="4">
        <v>734227</v>
      </c>
      <c r="C19" t="s">
        <v>75</v>
      </c>
      <c r="D19" t="s">
        <v>81</v>
      </c>
      <c r="E19">
        <v>338</v>
      </c>
    </row>
    <row r="20" spans="1:5" x14ac:dyDescent="0.2">
      <c r="A20" s="5">
        <f t="shared" si="0"/>
        <v>40351</v>
      </c>
      <c r="B20" s="4">
        <v>734311</v>
      </c>
      <c r="C20" t="s">
        <v>75</v>
      </c>
      <c r="D20" t="s">
        <v>81</v>
      </c>
      <c r="E20">
        <v>338</v>
      </c>
    </row>
    <row r="21" spans="1:5" x14ac:dyDescent="0.2">
      <c r="A21" s="5">
        <f t="shared" si="0"/>
        <v>40445</v>
      </c>
      <c r="B21" s="4">
        <v>734405</v>
      </c>
      <c r="C21" t="s">
        <v>76</v>
      </c>
      <c r="D21" t="s">
        <v>7</v>
      </c>
      <c r="E21">
        <v>350</v>
      </c>
    </row>
    <row r="22" spans="1:5" x14ac:dyDescent="0.2">
      <c r="A22" s="5">
        <f>+B22-693960</f>
        <v>40512</v>
      </c>
      <c r="B22" s="7">
        <v>734472</v>
      </c>
      <c r="C22" t="s">
        <v>105</v>
      </c>
      <c r="D22" t="s">
        <v>7</v>
      </c>
      <c r="E22">
        <v>350</v>
      </c>
    </row>
    <row r="23" spans="1:5" x14ac:dyDescent="0.2">
      <c r="A23" s="5">
        <f>+B23-693960</f>
        <v>40571</v>
      </c>
      <c r="B23" s="7">
        <v>734531</v>
      </c>
      <c r="C23" t="s">
        <v>141</v>
      </c>
      <c r="D23" t="s">
        <v>7</v>
      </c>
      <c r="E23">
        <v>350</v>
      </c>
    </row>
    <row r="24" spans="1:5" x14ac:dyDescent="0.2">
      <c r="A24" s="5">
        <f t="shared" si="0"/>
        <v>40602</v>
      </c>
      <c r="B24" s="4">
        <v>734562</v>
      </c>
      <c r="C24" t="s">
        <v>77</v>
      </c>
      <c r="D24" t="s">
        <v>7</v>
      </c>
      <c r="E24">
        <v>350</v>
      </c>
    </row>
    <row r="25" spans="1:5" x14ac:dyDescent="0.2">
      <c r="A25" s="5">
        <f t="shared" si="0"/>
        <v>40646</v>
      </c>
      <c r="B25" s="4">
        <v>734606</v>
      </c>
      <c r="C25" t="s">
        <v>87</v>
      </c>
      <c r="D25" t="s">
        <v>7</v>
      </c>
      <c r="E25">
        <v>350</v>
      </c>
    </row>
    <row r="26" spans="1:5" x14ac:dyDescent="0.2">
      <c r="A26" s="5">
        <f t="shared" si="0"/>
        <v>40681</v>
      </c>
      <c r="B26">
        <v>734641</v>
      </c>
      <c r="C26" t="s">
        <v>86</v>
      </c>
      <c r="D26" t="s">
        <v>7</v>
      </c>
      <c r="E26">
        <v>350</v>
      </c>
    </row>
    <row r="27" spans="1:5" x14ac:dyDescent="0.2">
      <c r="A27" s="5">
        <f t="shared" si="0"/>
        <v>40703</v>
      </c>
      <c r="B27" s="4">
        <v>734663</v>
      </c>
      <c r="C27" t="s">
        <v>78</v>
      </c>
      <c r="D27" t="s">
        <v>7</v>
      </c>
      <c r="E27">
        <v>350</v>
      </c>
    </row>
    <row r="28" spans="1:5" x14ac:dyDescent="0.2">
      <c r="A28" s="5">
        <f t="shared" si="0"/>
        <v>40742</v>
      </c>
      <c r="B28" s="4">
        <v>734702</v>
      </c>
      <c r="C28" t="s">
        <v>101</v>
      </c>
      <c r="D28" t="s">
        <v>7</v>
      </c>
      <c r="E28">
        <v>350</v>
      </c>
    </row>
    <row r="29" spans="1:5" x14ac:dyDescent="0.2">
      <c r="A29" s="5">
        <f>+B29-693960</f>
        <v>40777</v>
      </c>
      <c r="B29" s="4">
        <v>734737</v>
      </c>
      <c r="C29" t="s">
        <v>96</v>
      </c>
      <c r="D29" t="s">
        <v>7</v>
      </c>
      <c r="E29">
        <v>350</v>
      </c>
    </row>
    <row r="30" spans="1:5" x14ac:dyDescent="0.2">
      <c r="A30" s="5">
        <f>+B30-693960</f>
        <v>40780</v>
      </c>
      <c r="B30" s="4">
        <v>734740</v>
      </c>
      <c r="C30" t="s">
        <v>87</v>
      </c>
      <c r="D30" t="s">
        <v>7</v>
      </c>
      <c r="E30">
        <v>350</v>
      </c>
    </row>
    <row r="31" spans="1:5" x14ac:dyDescent="0.2">
      <c r="A31" s="5">
        <f t="shared" si="0"/>
        <v>40855</v>
      </c>
      <c r="B31" s="4">
        <v>734815</v>
      </c>
      <c r="C31" t="s">
        <v>72</v>
      </c>
      <c r="D31" t="s">
        <v>7</v>
      </c>
      <c r="E31">
        <v>350</v>
      </c>
    </row>
    <row r="32" spans="1:5" x14ac:dyDescent="0.2">
      <c r="A32" s="5">
        <f t="shared" si="0"/>
        <v>40919</v>
      </c>
      <c r="B32" s="4">
        <v>734879</v>
      </c>
      <c r="C32" t="s">
        <v>102</v>
      </c>
      <c r="D32" t="s">
        <v>7</v>
      </c>
      <c r="E32">
        <v>350</v>
      </c>
    </row>
    <row r="33" spans="1:5" x14ac:dyDescent="0.2">
      <c r="A33" s="5">
        <f t="shared" ref="A33:A39" si="1">+B33-693960</f>
        <v>41157</v>
      </c>
      <c r="B33" s="4">
        <v>735117</v>
      </c>
      <c r="C33" s="4" t="s">
        <v>98</v>
      </c>
      <c r="D33" t="s">
        <v>7</v>
      </c>
      <c r="E33">
        <v>350</v>
      </c>
    </row>
    <row r="34" spans="1:5" x14ac:dyDescent="0.2">
      <c r="A34" s="5">
        <f t="shared" si="1"/>
        <v>41206</v>
      </c>
      <c r="B34" s="4">
        <v>735166</v>
      </c>
      <c r="C34" s="4" t="s">
        <v>115</v>
      </c>
      <c r="D34" t="s">
        <v>7</v>
      </c>
      <c r="E34">
        <v>350</v>
      </c>
    </row>
    <row r="35" spans="1:5" x14ac:dyDescent="0.2">
      <c r="A35" s="1">
        <f t="shared" si="1"/>
        <v>41394</v>
      </c>
      <c r="B35" s="18">
        <v>735354</v>
      </c>
      <c r="C35" t="s">
        <v>98</v>
      </c>
      <c r="D35" t="s">
        <v>7</v>
      </c>
      <c r="E35">
        <v>350</v>
      </c>
    </row>
    <row r="36" spans="1:5" x14ac:dyDescent="0.2">
      <c r="A36" s="1">
        <f t="shared" si="1"/>
        <v>41682</v>
      </c>
      <c r="B36" s="18">
        <v>735642</v>
      </c>
      <c r="C36" t="s">
        <v>115</v>
      </c>
      <c r="D36" t="s">
        <v>147</v>
      </c>
      <c r="E36">
        <v>335</v>
      </c>
    </row>
    <row r="37" spans="1:5" x14ac:dyDescent="0.2">
      <c r="A37" s="1">
        <f>+B37-693960</f>
        <v>41715</v>
      </c>
      <c r="B37" s="18">
        <v>735675</v>
      </c>
      <c r="C37" t="s">
        <v>155</v>
      </c>
      <c r="D37" t="s">
        <v>147</v>
      </c>
      <c r="E37">
        <v>335</v>
      </c>
    </row>
    <row r="38" spans="1:5" x14ac:dyDescent="0.2">
      <c r="A38" s="1">
        <f>+B38-693960</f>
        <v>41758</v>
      </c>
      <c r="B38" s="18">
        <v>735718</v>
      </c>
      <c r="C38" t="s">
        <v>72</v>
      </c>
      <c r="D38" t="s">
        <v>147</v>
      </c>
      <c r="E38">
        <v>335</v>
      </c>
    </row>
    <row r="39" spans="1:5" x14ac:dyDescent="0.2">
      <c r="A39" s="1">
        <f t="shared" si="1"/>
        <v>41773</v>
      </c>
      <c r="B39" s="4">
        <v>735733</v>
      </c>
      <c r="C39" t="s">
        <v>151</v>
      </c>
      <c r="D39" t="s">
        <v>147</v>
      </c>
      <c r="E39">
        <v>343</v>
      </c>
    </row>
    <row r="40" spans="1:5" x14ac:dyDescent="0.2">
      <c r="A40" s="5">
        <v>41782</v>
      </c>
      <c r="B40" s="4">
        <v>735742</v>
      </c>
      <c r="C40" t="s">
        <v>154</v>
      </c>
      <c r="D40" t="s">
        <v>147</v>
      </c>
      <c r="E40">
        <v>343</v>
      </c>
    </row>
    <row r="41" spans="1:5" x14ac:dyDescent="0.2">
      <c r="A41" s="20">
        <f t="shared" ref="A41:A54" si="2">+B41-693960</f>
        <v>41800</v>
      </c>
      <c r="B41" s="4">
        <v>735760</v>
      </c>
      <c r="C41" t="s">
        <v>157</v>
      </c>
      <c r="D41" t="s">
        <v>156</v>
      </c>
      <c r="E41">
        <v>350</v>
      </c>
    </row>
    <row r="42" spans="1:5" x14ac:dyDescent="0.2">
      <c r="A42" s="20">
        <f t="shared" si="2"/>
        <v>41897</v>
      </c>
      <c r="B42" s="11">
        <v>735857</v>
      </c>
      <c r="C42" t="s">
        <v>161</v>
      </c>
      <c r="D42" t="s">
        <v>156</v>
      </c>
      <c r="E42">
        <v>350</v>
      </c>
    </row>
    <row r="43" spans="1:5" s="7" customFormat="1" x14ac:dyDescent="0.2">
      <c r="A43" s="20">
        <f t="shared" si="2"/>
        <v>41991</v>
      </c>
      <c r="B43" s="11">
        <v>735951</v>
      </c>
      <c r="C43" t="s">
        <v>102</v>
      </c>
      <c r="D43" t="s">
        <v>156</v>
      </c>
      <c r="E43">
        <v>350</v>
      </c>
    </row>
    <row r="44" spans="1:5" s="7" customFormat="1" x14ac:dyDescent="0.2">
      <c r="A44" s="20">
        <f t="shared" si="2"/>
        <v>42027</v>
      </c>
      <c r="B44" s="11">
        <v>735987</v>
      </c>
      <c r="C44" s="4" t="s">
        <v>115</v>
      </c>
      <c r="D44" t="s">
        <v>156</v>
      </c>
      <c r="E44">
        <v>350</v>
      </c>
    </row>
    <row r="45" spans="1:5" s="7" customFormat="1" x14ac:dyDescent="0.2">
      <c r="A45" s="20">
        <f t="shared" si="2"/>
        <v>42080</v>
      </c>
      <c r="B45" s="11">
        <v>736040</v>
      </c>
      <c r="C45" s="4" t="s">
        <v>194</v>
      </c>
      <c r="D45" t="s">
        <v>156</v>
      </c>
      <c r="E45">
        <v>350</v>
      </c>
    </row>
    <row r="46" spans="1:5" s="7" customFormat="1" x14ac:dyDescent="0.2">
      <c r="A46" s="20">
        <f t="shared" si="2"/>
        <v>42104</v>
      </c>
      <c r="B46" s="11">
        <v>736064</v>
      </c>
      <c r="C46" s="4" t="s">
        <v>199</v>
      </c>
      <c r="D46" t="s">
        <v>156</v>
      </c>
      <c r="E46">
        <v>350</v>
      </c>
    </row>
    <row r="47" spans="1:5" x14ac:dyDescent="0.2">
      <c r="A47" s="20">
        <f t="shared" si="2"/>
        <v>42109</v>
      </c>
      <c r="B47" s="4">
        <v>736069</v>
      </c>
      <c r="C47" s="4" t="s">
        <v>200</v>
      </c>
      <c r="D47" t="s">
        <v>156</v>
      </c>
      <c r="E47">
        <v>350</v>
      </c>
    </row>
    <row r="48" spans="1:5" x14ac:dyDescent="0.2">
      <c r="A48" s="20">
        <f t="shared" si="2"/>
        <v>42122</v>
      </c>
      <c r="B48" s="4">
        <v>736082</v>
      </c>
      <c r="C48" s="4" t="s">
        <v>202</v>
      </c>
      <c r="D48" t="s">
        <v>156</v>
      </c>
      <c r="E48">
        <v>350</v>
      </c>
    </row>
    <row r="49" spans="1:5" x14ac:dyDescent="0.2">
      <c r="A49" s="20">
        <f t="shared" si="2"/>
        <v>42161</v>
      </c>
      <c r="B49" s="4">
        <v>736121</v>
      </c>
      <c r="C49" s="4" t="s">
        <v>204</v>
      </c>
      <c r="D49" t="s">
        <v>156</v>
      </c>
      <c r="E49">
        <v>350</v>
      </c>
    </row>
    <row r="50" spans="1:5" x14ac:dyDescent="0.2">
      <c r="A50" s="20">
        <f t="shared" si="2"/>
        <v>42276</v>
      </c>
      <c r="B50" s="4">
        <v>736236</v>
      </c>
      <c r="C50" s="22" t="s">
        <v>209</v>
      </c>
      <c r="D50" t="s">
        <v>156</v>
      </c>
      <c r="E50">
        <v>350</v>
      </c>
    </row>
    <row r="51" spans="1:5" x14ac:dyDescent="0.2">
      <c r="A51" s="20">
        <f t="shared" si="2"/>
        <v>42388</v>
      </c>
      <c r="B51" s="4">
        <v>736348</v>
      </c>
      <c r="C51" s="22" t="s">
        <v>98</v>
      </c>
      <c r="D51" t="s">
        <v>205</v>
      </c>
      <c r="E51">
        <v>350</v>
      </c>
    </row>
    <row r="52" spans="1:5" x14ac:dyDescent="0.2">
      <c r="A52" s="20">
        <f t="shared" si="2"/>
        <v>42417</v>
      </c>
      <c r="B52" s="4">
        <v>736377</v>
      </c>
      <c r="C52" s="22" t="s">
        <v>210</v>
      </c>
      <c r="D52" t="s">
        <v>206</v>
      </c>
      <c r="E52">
        <v>350</v>
      </c>
    </row>
    <row r="53" spans="1:5" x14ac:dyDescent="0.2">
      <c r="A53" s="20">
        <f t="shared" si="2"/>
        <v>42438</v>
      </c>
      <c r="B53" s="4">
        <v>736398</v>
      </c>
      <c r="C53" s="22" t="s">
        <v>211</v>
      </c>
      <c r="D53" t="s">
        <v>207</v>
      </c>
      <c r="E53">
        <v>350</v>
      </c>
    </row>
    <row r="54" spans="1:5" x14ac:dyDescent="0.2">
      <c r="A54" s="20">
        <f t="shared" si="2"/>
        <v>42446</v>
      </c>
      <c r="B54" s="4">
        <v>736406</v>
      </c>
      <c r="C54" s="22" t="s">
        <v>212</v>
      </c>
      <c r="D54" t="s">
        <v>208</v>
      </c>
      <c r="E54">
        <v>350</v>
      </c>
    </row>
    <row r="55" spans="1:5" x14ac:dyDescent="0.2">
      <c r="C55" s="22"/>
    </row>
  </sheetData>
  <phoneticPr fontId="0" type="noConversion"/>
  <pageMargins left="0.75" right="0.75" top="1" bottom="1" header="0.3" footer="0.3"/>
  <pageSetup paperSize="9" orientation="portrait"/>
  <customProperties>
    <customPr name="DVSECTIONID"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enableFormatConditionsCalculation="0"/>
  <dimension ref="A1:E98"/>
  <sheetViews>
    <sheetView topLeftCell="A80" workbookViewId="0">
      <selection activeCell="B92" sqref="B92"/>
    </sheetView>
  </sheetViews>
  <sheetFormatPr baseColWidth="10" defaultColWidth="11.3984375" defaultRowHeight="15" x14ac:dyDescent="0.2"/>
  <cols>
    <col min="1" max="1" width="11.3984375" style="21" customWidth="1"/>
    <col min="2" max="2" width="43.796875" style="22" customWidth="1"/>
    <col min="3" max="3" width="12" style="7" customWidth="1"/>
    <col min="4" max="4" width="17" style="7" customWidth="1"/>
    <col min="5" max="5" width="18.59765625" style="7" customWidth="1"/>
    <col min="6" max="16384" width="11.3984375" style="7"/>
  </cols>
  <sheetData>
    <row r="1" spans="1:5" ht="105" x14ac:dyDescent="0.2">
      <c r="A1" s="21">
        <v>37622</v>
      </c>
      <c r="B1" s="22" t="s">
        <v>85</v>
      </c>
    </row>
    <row r="2" spans="1:5" x14ac:dyDescent="0.2">
      <c r="A2" s="21">
        <v>38245</v>
      </c>
      <c r="B2" s="22" t="s">
        <v>164</v>
      </c>
    </row>
    <row r="3" spans="1:5" x14ac:dyDescent="0.2">
      <c r="A3" s="21">
        <v>38503</v>
      </c>
      <c r="B3" s="22" t="s">
        <v>165</v>
      </c>
    </row>
    <row r="4" spans="1:5" ht="30" x14ac:dyDescent="0.2">
      <c r="A4" s="21">
        <v>40515</v>
      </c>
      <c r="B4" s="22" t="s">
        <v>9</v>
      </c>
    </row>
    <row r="5" spans="1:5" ht="30" x14ac:dyDescent="0.2">
      <c r="A5" s="21">
        <v>40349</v>
      </c>
      <c r="B5" s="22" t="s">
        <v>177</v>
      </c>
      <c r="C5" s="7" t="s">
        <v>178</v>
      </c>
      <c r="D5" s="7" t="s">
        <v>179</v>
      </c>
      <c r="E5" s="7" t="s">
        <v>180</v>
      </c>
    </row>
    <row r="6" spans="1:5" x14ac:dyDescent="0.2">
      <c r="A6" s="21">
        <v>40377</v>
      </c>
      <c r="B6" s="22" t="s">
        <v>181</v>
      </c>
      <c r="C6" s="7" t="s">
        <v>182</v>
      </c>
      <c r="D6" s="7" t="s">
        <v>183</v>
      </c>
      <c r="E6" s="7" t="s">
        <v>184</v>
      </c>
    </row>
    <row r="7" spans="1:5" ht="30" x14ac:dyDescent="0.2">
      <c r="A7" s="21">
        <v>40379</v>
      </c>
      <c r="B7" s="22" t="s">
        <v>120</v>
      </c>
      <c r="C7" s="7" t="s">
        <v>119</v>
      </c>
    </row>
    <row r="8" spans="1:5" ht="30" x14ac:dyDescent="0.2">
      <c r="A8" s="21">
        <v>40380</v>
      </c>
      <c r="B8" s="22" t="s">
        <v>120</v>
      </c>
      <c r="C8" s="7" t="s">
        <v>121</v>
      </c>
    </row>
    <row r="9" spans="1:5" ht="30" x14ac:dyDescent="0.2">
      <c r="A9" s="21">
        <v>40381</v>
      </c>
      <c r="B9" s="22" t="s">
        <v>122</v>
      </c>
      <c r="C9" s="7" t="s">
        <v>123</v>
      </c>
    </row>
    <row r="10" spans="1:5" ht="30" x14ac:dyDescent="0.2">
      <c r="A10" s="21">
        <v>40383</v>
      </c>
      <c r="B10" s="22" t="s">
        <v>125</v>
      </c>
      <c r="C10" s="7" t="s">
        <v>124</v>
      </c>
    </row>
    <row r="11" spans="1:5" ht="30" x14ac:dyDescent="0.2">
      <c r="A11" s="21">
        <v>40386</v>
      </c>
      <c r="B11" s="22" t="s">
        <v>125</v>
      </c>
      <c r="C11" s="7" t="s">
        <v>126</v>
      </c>
    </row>
    <row r="12" spans="1:5" ht="13.5" customHeight="1" x14ac:dyDescent="0.2">
      <c r="A12" s="21">
        <v>40387</v>
      </c>
      <c r="B12" s="22" t="s">
        <v>125</v>
      </c>
      <c r="C12" s="7" t="s">
        <v>127</v>
      </c>
    </row>
    <row r="13" spans="1:5" ht="13.5" customHeight="1" x14ac:dyDescent="0.2">
      <c r="A13" s="21">
        <v>40388</v>
      </c>
      <c r="B13" s="22" t="s">
        <v>125</v>
      </c>
      <c r="C13" s="7" t="s">
        <v>128</v>
      </c>
    </row>
    <row r="14" spans="1:5" ht="30.75" customHeight="1" x14ac:dyDescent="0.2">
      <c r="A14" s="21">
        <v>40569</v>
      </c>
      <c r="B14" s="22" t="s">
        <v>11</v>
      </c>
    </row>
    <row r="15" spans="1:5" ht="42" customHeight="1" x14ac:dyDescent="0.2">
      <c r="A15" s="21">
        <v>40602</v>
      </c>
      <c r="B15" s="23" t="s">
        <v>10</v>
      </c>
    </row>
    <row r="16" spans="1:5" ht="90" x14ac:dyDescent="0.2">
      <c r="A16" s="21">
        <v>40646</v>
      </c>
      <c r="B16" s="22" t="s">
        <v>8</v>
      </c>
    </row>
    <row r="17" spans="1:3" ht="45" x14ac:dyDescent="0.2">
      <c r="A17" s="21">
        <v>40665</v>
      </c>
      <c r="B17" s="22" t="s">
        <v>14</v>
      </c>
    </row>
    <row r="18" spans="1:3" ht="60" x14ac:dyDescent="0.2">
      <c r="A18" s="21">
        <v>40667</v>
      </c>
      <c r="B18" s="22" t="s">
        <v>13</v>
      </c>
      <c r="C18" s="7" t="s">
        <v>12</v>
      </c>
    </row>
    <row r="19" spans="1:3" x14ac:dyDescent="0.2">
      <c r="A19" s="21">
        <v>40668</v>
      </c>
      <c r="B19" s="22" t="s">
        <v>15</v>
      </c>
    </row>
    <row r="20" spans="1:3" x14ac:dyDescent="0.2">
      <c r="A20" s="21">
        <v>40675</v>
      </c>
      <c r="B20" s="22" t="s">
        <v>18</v>
      </c>
    </row>
    <row r="21" spans="1:3" x14ac:dyDescent="0.2">
      <c r="A21" s="21">
        <v>40681</v>
      </c>
      <c r="B21" s="22" t="s">
        <v>16</v>
      </c>
    </row>
    <row r="22" spans="1:3" ht="30" x14ac:dyDescent="0.2">
      <c r="A22" s="21">
        <v>40696</v>
      </c>
      <c r="B22" s="22" t="s">
        <v>19</v>
      </c>
      <c r="C22" s="7" t="s">
        <v>20</v>
      </c>
    </row>
    <row r="23" spans="1:3" x14ac:dyDescent="0.2">
      <c r="A23" s="21">
        <v>40698</v>
      </c>
      <c r="B23" s="22" t="s">
        <v>88</v>
      </c>
      <c r="C23" s="7" t="s">
        <v>91</v>
      </c>
    </row>
    <row r="24" spans="1:3" x14ac:dyDescent="0.2">
      <c r="A24" s="21">
        <v>40699</v>
      </c>
      <c r="B24" s="22" t="s">
        <v>88</v>
      </c>
      <c r="C24" s="7" t="s">
        <v>92</v>
      </c>
    </row>
    <row r="25" spans="1:3" x14ac:dyDescent="0.2">
      <c r="A25" s="21">
        <v>40700</v>
      </c>
      <c r="B25" s="22" t="s">
        <v>88</v>
      </c>
      <c r="C25" s="7" t="s">
        <v>93</v>
      </c>
    </row>
    <row r="26" spans="1:3" x14ac:dyDescent="0.2">
      <c r="A26" s="21">
        <v>40701</v>
      </c>
      <c r="B26" s="22" t="s">
        <v>88</v>
      </c>
      <c r="C26" s="7" t="s">
        <v>94</v>
      </c>
    </row>
    <row r="27" spans="1:3" ht="14.25" customHeight="1" x14ac:dyDescent="0.2">
      <c r="A27" s="21">
        <v>40701</v>
      </c>
      <c r="B27" s="22" t="s">
        <v>68</v>
      </c>
    </row>
    <row r="28" spans="1:3" x14ac:dyDescent="0.2">
      <c r="A28" s="21">
        <v>40703</v>
      </c>
      <c r="B28" s="22" t="s">
        <v>67</v>
      </c>
    </row>
    <row r="29" spans="1:3" x14ac:dyDescent="0.2">
      <c r="A29" s="21">
        <v>40712</v>
      </c>
      <c r="B29" s="22" t="s">
        <v>88</v>
      </c>
      <c r="C29" s="7" t="s">
        <v>90</v>
      </c>
    </row>
    <row r="30" spans="1:3" x14ac:dyDescent="0.2">
      <c r="A30" s="21">
        <v>40713</v>
      </c>
      <c r="B30" s="22" t="s">
        <v>88</v>
      </c>
      <c r="C30" s="7" t="s">
        <v>89</v>
      </c>
    </row>
    <row r="31" spans="1:3" x14ac:dyDescent="0.2">
      <c r="A31" s="24">
        <v>40742</v>
      </c>
      <c r="B31" s="29" t="s">
        <v>95</v>
      </c>
      <c r="C31" s="7" t="s">
        <v>97</v>
      </c>
    </row>
    <row r="32" spans="1:3" x14ac:dyDescent="0.2">
      <c r="A32" s="21">
        <v>40777</v>
      </c>
      <c r="B32" s="29" t="s">
        <v>96</v>
      </c>
      <c r="C32" s="7" t="s">
        <v>97</v>
      </c>
    </row>
    <row r="33" spans="1:5" x14ac:dyDescent="0.2">
      <c r="A33" s="21">
        <v>40780</v>
      </c>
      <c r="B33" s="29" t="s">
        <v>98</v>
      </c>
      <c r="C33" s="7" t="s">
        <v>97</v>
      </c>
    </row>
    <row r="34" spans="1:5" x14ac:dyDescent="0.2">
      <c r="A34" s="21">
        <v>40855</v>
      </c>
      <c r="B34" s="22" t="s">
        <v>99</v>
      </c>
    </row>
    <row r="35" spans="1:5" x14ac:dyDescent="0.2">
      <c r="A35" s="21">
        <v>40899</v>
      </c>
      <c r="B35" s="22" t="s">
        <v>100</v>
      </c>
    </row>
    <row r="36" spans="1:5" x14ac:dyDescent="0.2">
      <c r="A36" s="21">
        <v>40919</v>
      </c>
      <c r="B36" s="22" t="s">
        <v>103</v>
      </c>
    </row>
    <row r="37" spans="1:5" ht="30" x14ac:dyDescent="0.2">
      <c r="A37" s="21">
        <v>41035</v>
      </c>
      <c r="B37" s="22" t="s">
        <v>104</v>
      </c>
      <c r="C37" s="7" t="s">
        <v>113</v>
      </c>
    </row>
    <row r="38" spans="1:5" x14ac:dyDescent="0.2">
      <c r="A38" s="21">
        <v>41050</v>
      </c>
      <c r="B38" s="22" t="s">
        <v>143</v>
      </c>
    </row>
    <row r="39" spans="1:5" x14ac:dyDescent="0.2">
      <c r="A39" s="21">
        <v>41107</v>
      </c>
      <c r="B39" s="22" t="s">
        <v>144</v>
      </c>
    </row>
    <row r="40" spans="1:5" x14ac:dyDescent="0.2">
      <c r="A40" s="21">
        <v>41135</v>
      </c>
      <c r="B40" s="22" t="s">
        <v>106</v>
      </c>
    </row>
    <row r="41" spans="1:5" x14ac:dyDescent="0.2">
      <c r="A41" s="21">
        <v>41150</v>
      </c>
      <c r="B41" s="22" t="s">
        <v>107</v>
      </c>
    </row>
    <row r="42" spans="1:5" x14ac:dyDescent="0.2">
      <c r="A42" s="21">
        <v>41154</v>
      </c>
      <c r="B42" s="22" t="s">
        <v>108</v>
      </c>
    </row>
    <row r="43" spans="1:5" x14ac:dyDescent="0.2">
      <c r="A43" s="21">
        <v>41157</v>
      </c>
      <c r="B43" s="29" t="s">
        <v>109</v>
      </c>
    </row>
    <row r="44" spans="1:5" x14ac:dyDescent="0.2">
      <c r="A44" s="21">
        <v>41167</v>
      </c>
      <c r="B44" s="29" t="s">
        <v>172</v>
      </c>
      <c r="D44" t="s">
        <v>173</v>
      </c>
      <c r="E44" t="s">
        <v>174</v>
      </c>
    </row>
    <row r="45" spans="1:5" x14ac:dyDescent="0.2">
      <c r="A45" s="21">
        <v>41167</v>
      </c>
      <c r="B45" s="29" t="s">
        <v>172</v>
      </c>
      <c r="D45" t="s">
        <v>175</v>
      </c>
      <c r="E45" t="s">
        <v>176</v>
      </c>
    </row>
    <row r="46" spans="1:5" x14ac:dyDescent="0.2">
      <c r="A46" s="21">
        <v>41171</v>
      </c>
      <c r="B46" s="22" t="s">
        <v>110</v>
      </c>
    </row>
    <row r="47" spans="1:5" x14ac:dyDescent="0.2">
      <c r="A47" s="21">
        <v>41192</v>
      </c>
      <c r="B47" s="22" t="s">
        <v>111</v>
      </c>
    </row>
    <row r="48" spans="1:5" x14ac:dyDescent="0.2">
      <c r="A48" s="21">
        <v>41197</v>
      </c>
      <c r="B48" s="22" t="s">
        <v>112</v>
      </c>
      <c r="C48" s="7" t="s">
        <v>114</v>
      </c>
    </row>
    <row r="49" spans="1:5" x14ac:dyDescent="0.2">
      <c r="A49" s="21">
        <v>41206</v>
      </c>
      <c r="B49" s="22" t="s">
        <v>116</v>
      </c>
    </row>
    <row r="50" spans="1:5" s="25" customFormat="1" x14ac:dyDescent="0.2">
      <c r="A50" s="24">
        <v>41213</v>
      </c>
      <c r="B50" s="30" t="s">
        <v>117</v>
      </c>
    </row>
    <row r="51" spans="1:5" s="25" customFormat="1" ht="30" x14ac:dyDescent="0.2">
      <c r="A51" s="24">
        <v>41225</v>
      </c>
      <c r="B51" s="30" t="s">
        <v>118</v>
      </c>
    </row>
    <row r="52" spans="1:5" s="25" customFormat="1" x14ac:dyDescent="0.2">
      <c r="A52" s="24">
        <v>41255</v>
      </c>
      <c r="B52" s="30" t="s">
        <v>129</v>
      </c>
      <c r="C52" s="25" t="s">
        <v>130</v>
      </c>
    </row>
    <row r="53" spans="1:5" x14ac:dyDescent="0.2">
      <c r="A53" s="21">
        <v>41263</v>
      </c>
      <c r="B53" s="22" t="s">
        <v>131</v>
      </c>
    </row>
    <row r="54" spans="1:5" x14ac:dyDescent="0.2">
      <c r="A54" s="21">
        <v>41302</v>
      </c>
      <c r="B54" s="22" t="s">
        <v>132</v>
      </c>
    </row>
    <row r="55" spans="1:5" x14ac:dyDescent="0.2">
      <c r="A55" s="21">
        <v>41335</v>
      </c>
      <c r="B55" s="22" t="s">
        <v>133</v>
      </c>
    </row>
    <row r="56" spans="1:5" ht="30" x14ac:dyDescent="0.2">
      <c r="A56" s="21">
        <v>41340</v>
      </c>
      <c r="B56" s="22" t="s">
        <v>134</v>
      </c>
    </row>
    <row r="57" spans="1:5" x14ac:dyDescent="0.2">
      <c r="A57" s="21">
        <v>41341</v>
      </c>
      <c r="B57" s="22" t="s">
        <v>135</v>
      </c>
    </row>
    <row r="58" spans="1:5" ht="30" x14ac:dyDescent="0.2">
      <c r="A58" s="21">
        <v>41354</v>
      </c>
      <c r="B58" s="22" t="s">
        <v>136</v>
      </c>
    </row>
    <row r="59" spans="1:5" x14ac:dyDescent="0.2">
      <c r="A59" s="21">
        <v>41389</v>
      </c>
      <c r="B59" s="22" t="s">
        <v>137</v>
      </c>
    </row>
    <row r="60" spans="1:5" x14ac:dyDescent="0.2">
      <c r="A60" s="21">
        <v>41394</v>
      </c>
      <c r="B60" s="22" t="s">
        <v>138</v>
      </c>
    </row>
    <row r="61" spans="1:5" ht="30" x14ac:dyDescent="0.2">
      <c r="A61" s="21">
        <v>41408</v>
      </c>
      <c r="B61" s="22" t="s">
        <v>140</v>
      </c>
      <c r="C61" s="7" t="s">
        <v>139</v>
      </c>
    </row>
    <row r="62" spans="1:5" x14ac:dyDescent="0.2">
      <c r="A62" s="21">
        <v>41500</v>
      </c>
      <c r="B62" s="22" t="s">
        <v>185</v>
      </c>
      <c r="C62" s="7" t="s">
        <v>186</v>
      </c>
      <c r="D62" t="s">
        <v>187</v>
      </c>
      <c r="E62" t="s">
        <v>188</v>
      </c>
    </row>
    <row r="63" spans="1:5" ht="30" x14ac:dyDescent="0.2">
      <c r="A63" s="21">
        <v>41519</v>
      </c>
      <c r="B63" s="22" t="s">
        <v>142</v>
      </c>
    </row>
    <row r="64" spans="1:5" x14ac:dyDescent="0.2">
      <c r="A64" s="26">
        <v>41617</v>
      </c>
      <c r="B64" s="30" t="s">
        <v>145</v>
      </c>
    </row>
    <row r="65" spans="1:2" x14ac:dyDescent="0.2">
      <c r="A65" s="26">
        <v>41621</v>
      </c>
      <c r="B65" s="30" t="s">
        <v>146</v>
      </c>
    </row>
    <row r="66" spans="1:2" x14ac:dyDescent="0.2">
      <c r="A66" s="26">
        <v>41641</v>
      </c>
      <c r="B66" s="31" t="s">
        <v>144</v>
      </c>
    </row>
    <row r="67" spans="1:2" ht="30" x14ac:dyDescent="0.2">
      <c r="A67" s="26">
        <v>41682</v>
      </c>
      <c r="B67" s="31" t="s">
        <v>148</v>
      </c>
    </row>
    <row r="68" spans="1:2" x14ac:dyDescent="0.2">
      <c r="A68" s="26">
        <v>41725</v>
      </c>
      <c r="B68" s="22" t="s">
        <v>149</v>
      </c>
    </row>
    <row r="69" spans="1:2" x14ac:dyDescent="0.2">
      <c r="A69" s="26">
        <v>41729</v>
      </c>
      <c r="B69" s="22" t="s">
        <v>149</v>
      </c>
    </row>
    <row r="70" spans="1:2" x14ac:dyDescent="0.2">
      <c r="A70" s="26">
        <v>41758</v>
      </c>
      <c r="B70" s="22" t="s">
        <v>150</v>
      </c>
    </row>
    <row r="71" spans="1:2" x14ac:dyDescent="0.2">
      <c r="A71" s="21">
        <v>41774</v>
      </c>
      <c r="B71" s="22" t="s">
        <v>152</v>
      </c>
    </row>
    <row r="72" spans="1:2" x14ac:dyDescent="0.2">
      <c r="A72" s="21">
        <v>41779</v>
      </c>
      <c r="B72" s="22" t="s">
        <v>153</v>
      </c>
    </row>
    <row r="73" spans="1:2" x14ac:dyDescent="0.2">
      <c r="A73" s="21">
        <v>41782</v>
      </c>
      <c r="B73" s="22" t="s">
        <v>158</v>
      </c>
    </row>
    <row r="74" spans="1:2" x14ac:dyDescent="0.2">
      <c r="A74" s="27">
        <v>41800</v>
      </c>
      <c r="B74" s="31" t="s">
        <v>159</v>
      </c>
    </row>
    <row r="75" spans="1:2" x14ac:dyDescent="0.2">
      <c r="A75" s="21">
        <v>41856</v>
      </c>
      <c r="B75" s="22" t="s">
        <v>160</v>
      </c>
    </row>
    <row r="76" spans="1:2" x14ac:dyDescent="0.2">
      <c r="A76" s="27">
        <v>41897</v>
      </c>
      <c r="B76" s="31" t="s">
        <v>162</v>
      </c>
    </row>
    <row r="77" spans="1:2" customFormat="1" x14ac:dyDescent="0.2">
      <c r="A77" s="28">
        <v>41929</v>
      </c>
      <c r="B77" s="32" t="s">
        <v>166</v>
      </c>
    </row>
    <row r="78" spans="1:2" customFormat="1" x14ac:dyDescent="0.2">
      <c r="A78" s="28">
        <v>41934</v>
      </c>
      <c r="B78" s="32" t="s">
        <v>169</v>
      </c>
    </row>
    <row r="79" spans="1:2" customFormat="1" x14ac:dyDescent="0.2">
      <c r="A79" s="28">
        <v>41961</v>
      </c>
      <c r="B79" s="32" t="s">
        <v>166</v>
      </c>
    </row>
    <row r="80" spans="1:2" customFormat="1" x14ac:dyDescent="0.2">
      <c r="A80" s="28">
        <v>41967</v>
      </c>
      <c r="B80" s="32" t="s">
        <v>167</v>
      </c>
    </row>
    <row r="81" spans="1:5" customFormat="1" x14ac:dyDescent="0.2">
      <c r="A81" s="28">
        <v>41969</v>
      </c>
      <c r="B81" s="32" t="s">
        <v>166</v>
      </c>
    </row>
    <row r="82" spans="1:5" customFormat="1" ht="30" x14ac:dyDescent="0.2">
      <c r="A82" s="28">
        <v>41974</v>
      </c>
      <c r="B82" s="32" t="s">
        <v>168</v>
      </c>
    </row>
    <row r="83" spans="1:5" customFormat="1" x14ac:dyDescent="0.2">
      <c r="A83" s="28">
        <v>41976</v>
      </c>
      <c r="B83" s="32" t="s">
        <v>170</v>
      </c>
    </row>
    <row r="84" spans="1:5" customFormat="1" x14ac:dyDescent="0.2">
      <c r="A84" s="28">
        <v>41990</v>
      </c>
      <c r="B84" s="32" t="s">
        <v>196</v>
      </c>
    </row>
    <row r="85" spans="1:5" x14ac:dyDescent="0.2">
      <c r="A85" s="21">
        <v>42027</v>
      </c>
      <c r="B85" s="22" t="s">
        <v>116</v>
      </c>
      <c r="D85"/>
      <c r="E85"/>
    </row>
    <row r="86" spans="1:5" x14ac:dyDescent="0.2">
      <c r="A86" s="21">
        <v>42028</v>
      </c>
      <c r="B86" s="22" t="s">
        <v>189</v>
      </c>
      <c r="C86" s="7" t="s">
        <v>190</v>
      </c>
      <c r="D86" t="s">
        <v>191</v>
      </c>
      <c r="E86" t="s">
        <v>192</v>
      </c>
    </row>
    <row r="87" spans="1:5" x14ac:dyDescent="0.2">
      <c r="A87" s="21">
        <v>42080</v>
      </c>
      <c r="B87" s="4" t="s">
        <v>195</v>
      </c>
      <c r="C87" s="4"/>
      <c r="D87"/>
      <c r="E87"/>
    </row>
    <row r="88" spans="1:5" x14ac:dyDescent="0.2">
      <c r="A88" s="21">
        <v>42104</v>
      </c>
      <c r="B88" s="22" t="s">
        <v>197</v>
      </c>
    </row>
    <row r="89" spans="1:5" x14ac:dyDescent="0.2">
      <c r="A89" s="21">
        <v>42107</v>
      </c>
      <c r="B89" s="22" t="s">
        <v>198</v>
      </c>
    </row>
    <row r="90" spans="1:5" x14ac:dyDescent="0.2">
      <c r="A90" s="21">
        <v>42109</v>
      </c>
      <c r="B90" s="22" t="s">
        <v>201</v>
      </c>
    </row>
    <row r="91" spans="1:5" x14ac:dyDescent="0.2">
      <c r="A91" s="21">
        <v>42122</v>
      </c>
      <c r="B91" s="22" t="s">
        <v>203</v>
      </c>
    </row>
    <row r="92" spans="1:5" x14ac:dyDescent="0.2">
      <c r="A92" s="38">
        <v>42161</v>
      </c>
      <c r="B92" s="4" t="s">
        <v>213</v>
      </c>
      <c r="C92" s="4"/>
      <c r="D92"/>
      <c r="E92"/>
    </row>
    <row r="93" spans="1:5" x14ac:dyDescent="0.2">
      <c r="A93" s="21">
        <v>42276</v>
      </c>
      <c r="B93" s="22" t="s">
        <v>214</v>
      </c>
    </row>
    <row r="94" spans="1:5" x14ac:dyDescent="0.2">
      <c r="A94" s="21">
        <v>42388</v>
      </c>
      <c r="B94" s="22" t="s">
        <v>109</v>
      </c>
    </row>
    <row r="95" spans="1:5" x14ac:dyDescent="0.2">
      <c r="A95" s="21">
        <v>42417</v>
      </c>
      <c r="B95" s="22" t="s">
        <v>215</v>
      </c>
    </row>
    <row r="96" spans="1:5" x14ac:dyDescent="0.2">
      <c r="A96" s="21">
        <v>42438</v>
      </c>
      <c r="B96" s="22" t="s">
        <v>216</v>
      </c>
    </row>
    <row r="97" spans="1:2" x14ac:dyDescent="0.2">
      <c r="A97" s="21">
        <v>42439</v>
      </c>
      <c r="B97" s="22" t="s">
        <v>218</v>
      </c>
    </row>
    <row r="98" spans="1:2" x14ac:dyDescent="0.2">
      <c r="A98" s="21">
        <v>42446</v>
      </c>
      <c r="B98" s="22" t="s">
        <v>217</v>
      </c>
    </row>
  </sheetData>
  <phoneticPr fontId="0" type="noConversion"/>
  <pageMargins left="0.75" right="0.75" top="1" bottom="1" header="0.3" footer="0.3"/>
  <pageSetup paperSize="9" orientation="portrait"/>
  <customProperties>
    <customPr name="DVSECTIONID"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enableFormatConditionsCalculation="0"/>
  <dimension ref="A1:IV9"/>
  <sheetViews>
    <sheetView workbookViewId="0">
      <selection activeCell="BV7" sqref="BV7"/>
    </sheetView>
  </sheetViews>
  <sheetFormatPr baseColWidth="10" defaultRowHeight="15" x14ac:dyDescent="0.2"/>
  <sheetData>
    <row r="1" spans="1:256" x14ac:dyDescent="0.2">
      <c r="A1">
        <f>IF(icf.157!1:1,"AAAAAF8//gA=",0)</f>
        <v>0</v>
      </c>
      <c r="B1" t="e">
        <f>AND(icf.157!A1,"AAAAAF8//gE=")</f>
        <v>#VALUE!</v>
      </c>
      <c r="C1" t="e">
        <f>AND(icf.157!#REF!,"AAAAAF8//gI=")</f>
        <v>#REF!</v>
      </c>
      <c r="D1" t="e">
        <f>AND(icf.157!C1,"AAAAAF8//gM=")</f>
        <v>#VALUE!</v>
      </c>
      <c r="E1" t="e">
        <f>AND(icf.157!D1,"AAAAAF8//gQ=")</f>
        <v>#VALUE!</v>
      </c>
      <c r="F1" t="e">
        <f>AND(icf.157!E1,"AAAAAF8//gU=")</f>
        <v>#VALUE!</v>
      </c>
      <c r="G1" t="e">
        <f>AND(icf.157!F1,"AAAAAF8//gY=")</f>
        <v>#VALUE!</v>
      </c>
      <c r="H1" t="e">
        <f>AND(icf.157!G1,"AAAAAF8//gc=")</f>
        <v>#VALUE!</v>
      </c>
      <c r="I1" t="e">
        <f>AND(icf.157!H1,"AAAAAF8//gg=")</f>
        <v>#VALUE!</v>
      </c>
      <c r="J1" t="e">
        <f>AND(icf.157!I1,"AAAAAF8//gk=")</f>
        <v>#VALUE!</v>
      </c>
      <c r="K1" t="e">
        <f>AND(icf.157!J1,"AAAAAF8//go=")</f>
        <v>#VALUE!</v>
      </c>
      <c r="L1" t="e">
        <f>AND(icf.157!L1,"AAAAAF8//gs=")</f>
        <v>#VALUE!</v>
      </c>
      <c r="M1" t="e">
        <f>AND(icf.157!M1,"AAAAAF8//gw=")</f>
        <v>#VALUE!</v>
      </c>
      <c r="N1" t="e">
        <f>AND(icf.157!N1,"AAAAAF8//g0=")</f>
        <v>#VALUE!</v>
      </c>
      <c r="O1" t="e">
        <f>AND(icf.157!O1,"AAAAAF8//g4=")</f>
        <v>#VALUE!</v>
      </c>
      <c r="P1" t="e">
        <f>AND(icf.157!P1,"AAAAAF8//g8=")</f>
        <v>#VALUE!</v>
      </c>
      <c r="Q1" t="e">
        <f>AND(icf.157!Q1,"AAAAAF8//hA=")</f>
        <v>#VALUE!</v>
      </c>
      <c r="R1" t="e">
        <f>AND(icf.157!R1,"AAAAAF8//hE=")</f>
        <v>#VALUE!</v>
      </c>
      <c r="S1" t="e">
        <f>AND(icf.157!S1,"AAAAAF8//hI=")</f>
        <v>#VALUE!</v>
      </c>
      <c r="T1" t="e">
        <f>AND(icf.157!T1,"AAAAAF8//hM=")</f>
        <v>#VALUE!</v>
      </c>
      <c r="U1" t="e">
        <f>AND(icf.157!#REF!,"AAAAAF8//hQ=")</f>
        <v>#REF!</v>
      </c>
      <c r="V1" t="e">
        <f>AND(icf.157!V1,"AAAAAF8//hU=")</f>
        <v>#VALUE!</v>
      </c>
      <c r="W1" t="e">
        <f>AND(icf.157!W1,"AAAAAF8//hY=")</f>
        <v>#VALUE!</v>
      </c>
      <c r="X1" t="e">
        <f>AND(icf.157!Y1,"AAAAAF8//hc=")</f>
        <v>#VALUE!</v>
      </c>
      <c r="Y1" t="e">
        <f>AND(icf.157!Z1,"AAAAAF8//hg=")</f>
        <v>#VALUE!</v>
      </c>
      <c r="Z1" t="e">
        <f>AND(icf.157!AA1,"AAAAAF8//hk=")</f>
        <v>#VALUE!</v>
      </c>
      <c r="AA1" t="str">
        <f>IF(icf.157!2:2,"AAAAAF8//ho=",0)</f>
        <v>AAAAAF8//ho=</v>
      </c>
      <c r="AB1" t="e">
        <f>AND(icf.157!A2,"AAAAAF8//hs=")</f>
        <v>#VALUE!</v>
      </c>
      <c r="AC1" t="e">
        <f>AND(icf.157!#REF!,"AAAAAF8//hw=")</f>
        <v>#REF!</v>
      </c>
      <c r="AD1" t="e">
        <f>AND(icf.157!C2,"AAAAAF8//h0=")</f>
        <v>#VALUE!</v>
      </c>
      <c r="AE1" t="e">
        <f>AND(icf.157!D2,"AAAAAF8//h4=")</f>
        <v>#VALUE!</v>
      </c>
      <c r="AF1" t="e">
        <f>AND(icf.157!E2,"AAAAAF8//h8=")</f>
        <v>#VALUE!</v>
      </c>
      <c r="AG1" t="e">
        <f>AND(icf.157!F2,"AAAAAF8//iA=")</f>
        <v>#VALUE!</v>
      </c>
      <c r="AH1" t="e">
        <f>AND(icf.157!G2,"AAAAAF8//iE=")</f>
        <v>#VALUE!</v>
      </c>
      <c r="AI1" t="e">
        <f>AND(icf.157!H2,"AAAAAF8//iI=")</f>
        <v>#VALUE!</v>
      </c>
      <c r="AJ1" t="e">
        <f>AND(icf.157!I2,"AAAAAF8//iM=")</f>
        <v>#VALUE!</v>
      </c>
      <c r="AK1" t="e">
        <f>AND(icf.157!J2,"AAAAAF8//iQ=")</f>
        <v>#VALUE!</v>
      </c>
      <c r="AL1" t="e">
        <f>AND(icf.157!L2,"AAAAAF8//iU=")</f>
        <v>#VALUE!</v>
      </c>
      <c r="AM1" t="e">
        <f>AND(icf.157!M2,"AAAAAF8//iY=")</f>
        <v>#VALUE!</v>
      </c>
      <c r="AN1" t="e">
        <f>AND(icf.157!N2,"AAAAAF8//ic=")</f>
        <v>#VALUE!</v>
      </c>
      <c r="AO1" t="e">
        <f>AND(icf.157!O2,"AAAAAF8//ig=")</f>
        <v>#VALUE!</v>
      </c>
      <c r="AP1" t="e">
        <f>AND(icf.157!P2,"AAAAAF8//ik=")</f>
        <v>#VALUE!</v>
      </c>
      <c r="AQ1" t="e">
        <f>AND(icf.157!Q2,"AAAAAF8//io=")</f>
        <v>#VALUE!</v>
      </c>
      <c r="AR1" t="e">
        <f>AND(icf.157!R2,"AAAAAF8//is=")</f>
        <v>#VALUE!</v>
      </c>
      <c r="AS1" t="e">
        <f>AND(icf.157!S2,"AAAAAF8//iw=")</f>
        <v>#VALUE!</v>
      </c>
      <c r="AT1" t="e">
        <f>AND(icf.157!T2,"AAAAAF8//i0=")</f>
        <v>#VALUE!</v>
      </c>
      <c r="AU1" t="e">
        <f>AND(icf.157!#REF!,"AAAAAF8//i4=")</f>
        <v>#REF!</v>
      </c>
      <c r="AV1" t="e">
        <f>AND(icf.157!V2,"AAAAAF8//i8=")</f>
        <v>#VALUE!</v>
      </c>
      <c r="AW1" t="e">
        <f>AND(icf.157!W2,"AAAAAF8//jA=")</f>
        <v>#VALUE!</v>
      </c>
      <c r="AX1" t="e">
        <f>AND(icf.157!Y2,"AAAAAF8//jE=")</f>
        <v>#VALUE!</v>
      </c>
      <c r="AY1" t="e">
        <f>AND(icf.157!Z2,"AAAAAF8//jI=")</f>
        <v>#VALUE!</v>
      </c>
      <c r="AZ1" t="e">
        <f>AND(icf.157!AA2,"AAAAAF8//jM=")</f>
        <v>#VALUE!</v>
      </c>
      <c r="BA1">
        <f>IF(icf.157!3:3,"AAAAAF8//jQ=",0)</f>
        <v>0</v>
      </c>
      <c r="BB1" t="e">
        <f>AND(icf.157!A3,"AAAAAF8//jU=")</f>
        <v>#VALUE!</v>
      </c>
      <c r="BC1" t="e">
        <f>AND(icf.157!#REF!,"AAAAAF8//jY=")</f>
        <v>#REF!</v>
      </c>
      <c r="BD1" t="e">
        <f>AND(icf.157!C3,"AAAAAF8//jc=")</f>
        <v>#VALUE!</v>
      </c>
      <c r="BE1" t="e">
        <f>AND(icf.157!D3,"AAAAAF8//jg=")</f>
        <v>#VALUE!</v>
      </c>
      <c r="BF1" t="e">
        <f>AND(icf.157!E3,"AAAAAF8//jk=")</f>
        <v>#VALUE!</v>
      </c>
      <c r="BG1" t="e">
        <f>AND(icf.157!F3,"AAAAAF8//jo=")</f>
        <v>#VALUE!</v>
      </c>
      <c r="BH1" t="e">
        <f>AND(icf.157!G3,"AAAAAF8//js=")</f>
        <v>#VALUE!</v>
      </c>
      <c r="BI1" t="e">
        <f>AND(icf.157!H3,"AAAAAF8//jw=")</f>
        <v>#VALUE!</v>
      </c>
      <c r="BJ1" t="e">
        <f>AND(icf.157!I3,"AAAAAF8//j0=")</f>
        <v>#VALUE!</v>
      </c>
      <c r="BK1" t="e">
        <f>AND(icf.157!J3,"AAAAAF8//j4=")</f>
        <v>#VALUE!</v>
      </c>
      <c r="BL1" t="e">
        <f>AND(icf.157!L3,"AAAAAF8//j8=")</f>
        <v>#VALUE!</v>
      </c>
      <c r="BM1" t="e">
        <f>AND(icf.157!M3,"AAAAAF8//kA=")</f>
        <v>#VALUE!</v>
      </c>
      <c r="BN1" t="e">
        <f>AND(icf.157!N3,"AAAAAF8//kE=")</f>
        <v>#VALUE!</v>
      </c>
      <c r="BO1" t="e">
        <f>AND(icf.157!O3,"AAAAAF8//kI=")</f>
        <v>#VALUE!</v>
      </c>
      <c r="BP1" t="e">
        <f>AND(icf.157!P3,"AAAAAF8//kM=")</f>
        <v>#VALUE!</v>
      </c>
      <c r="BQ1" t="e">
        <f>AND(icf.157!Q3,"AAAAAF8//kQ=")</f>
        <v>#VALUE!</v>
      </c>
      <c r="BR1" t="e">
        <f>AND(icf.157!R3,"AAAAAF8//kU=")</f>
        <v>#VALUE!</v>
      </c>
      <c r="BS1" t="e">
        <f>AND(icf.157!S3,"AAAAAF8//kY=")</f>
        <v>#VALUE!</v>
      </c>
      <c r="BT1" t="e">
        <f>AND(icf.157!T3,"AAAAAF8//kc=")</f>
        <v>#VALUE!</v>
      </c>
      <c r="BU1" t="e">
        <f>AND(icf.157!#REF!,"AAAAAF8//kg=")</f>
        <v>#REF!</v>
      </c>
      <c r="BV1" t="e">
        <f>AND(icf.157!V3,"AAAAAF8//kk=")</f>
        <v>#VALUE!</v>
      </c>
      <c r="BW1" t="e">
        <f>AND(icf.157!W3,"AAAAAF8//ko=")</f>
        <v>#VALUE!</v>
      </c>
      <c r="BX1" t="e">
        <f>AND(icf.157!Y3,"AAAAAF8//ks=")</f>
        <v>#VALUE!</v>
      </c>
      <c r="BY1" t="e">
        <f>AND(icf.157!Z3,"AAAAAF8//kw=")</f>
        <v>#VALUE!</v>
      </c>
      <c r="BZ1" t="e">
        <f>AND(icf.157!AA3,"AAAAAF8//k0=")</f>
        <v>#VALUE!</v>
      </c>
      <c r="CA1">
        <f>IF(icf.157!4:4,"AAAAAF8//k4=",0)</f>
        <v>0</v>
      </c>
      <c r="CB1" t="e">
        <f>AND(icf.157!A4,"AAAAAF8//k8=")</f>
        <v>#VALUE!</v>
      </c>
      <c r="CC1" t="e">
        <f>AND(icf.157!#REF!,"AAAAAF8//lA=")</f>
        <v>#REF!</v>
      </c>
      <c r="CD1" t="e">
        <f>AND(icf.157!C4,"AAAAAF8//lE=")</f>
        <v>#VALUE!</v>
      </c>
      <c r="CE1" t="e">
        <f>AND(icf.157!D4,"AAAAAF8//lI=")</f>
        <v>#VALUE!</v>
      </c>
      <c r="CF1" t="e">
        <f>AND(icf.157!E4,"AAAAAF8//lM=")</f>
        <v>#VALUE!</v>
      </c>
      <c r="CG1" t="e">
        <f>AND(icf.157!F4,"AAAAAF8//lQ=")</f>
        <v>#VALUE!</v>
      </c>
      <c r="CH1" t="e">
        <f>AND(icf.157!G4,"AAAAAF8//lU=")</f>
        <v>#VALUE!</v>
      </c>
      <c r="CI1" t="e">
        <f>AND(icf.157!H4,"AAAAAF8//lY=")</f>
        <v>#VALUE!</v>
      </c>
      <c r="CJ1" t="e">
        <f>AND(icf.157!I4,"AAAAAF8//lc=")</f>
        <v>#VALUE!</v>
      </c>
      <c r="CK1" t="e">
        <f>AND(icf.157!J4,"AAAAAF8//lg=")</f>
        <v>#VALUE!</v>
      </c>
      <c r="CL1" t="e">
        <f>AND(icf.157!L4,"AAAAAF8//lk=")</f>
        <v>#VALUE!</v>
      </c>
      <c r="CM1" t="e">
        <f>AND(icf.157!M4,"AAAAAF8//lo=")</f>
        <v>#VALUE!</v>
      </c>
      <c r="CN1" t="e">
        <f>AND(icf.157!N4,"AAAAAF8//ls=")</f>
        <v>#VALUE!</v>
      </c>
      <c r="CO1" t="e">
        <f>AND(icf.157!O4,"AAAAAF8//lw=")</f>
        <v>#VALUE!</v>
      </c>
      <c r="CP1" t="e">
        <f>AND(icf.157!P4,"AAAAAF8//l0=")</f>
        <v>#VALUE!</v>
      </c>
      <c r="CQ1" t="e">
        <f>AND(icf.157!Q4,"AAAAAF8//l4=")</f>
        <v>#VALUE!</v>
      </c>
      <c r="CR1" t="e">
        <f>AND(icf.157!R4,"AAAAAF8//l8=")</f>
        <v>#VALUE!</v>
      </c>
      <c r="CS1" t="e">
        <f>AND(icf.157!S4,"AAAAAF8//mA=")</f>
        <v>#VALUE!</v>
      </c>
      <c r="CT1" t="e">
        <f>AND(icf.157!T4,"AAAAAF8//mE=")</f>
        <v>#VALUE!</v>
      </c>
      <c r="CU1" t="e">
        <f>AND(icf.157!#REF!,"AAAAAF8//mI=")</f>
        <v>#REF!</v>
      </c>
      <c r="CV1" t="e">
        <f>AND(icf.157!V4,"AAAAAF8//mM=")</f>
        <v>#VALUE!</v>
      </c>
      <c r="CW1" t="e">
        <f>AND(icf.157!W4,"AAAAAF8//mQ=")</f>
        <v>#VALUE!</v>
      </c>
      <c r="CX1" t="e">
        <f>AND(icf.157!Y4,"AAAAAF8//mU=")</f>
        <v>#VALUE!</v>
      </c>
      <c r="CY1" t="e">
        <f>AND(icf.157!Z4,"AAAAAF8//mY=")</f>
        <v>#VALUE!</v>
      </c>
      <c r="CZ1" t="e">
        <f>AND(icf.157!AA4,"AAAAAF8//mc=")</f>
        <v>#VALUE!</v>
      </c>
      <c r="DA1">
        <f>IF(icf.157!5:5,"AAAAAF8//mg=",0)</f>
        <v>0</v>
      </c>
      <c r="DB1" t="e">
        <f>AND(icf.157!A5,"AAAAAF8//mk=")</f>
        <v>#VALUE!</v>
      </c>
      <c r="DC1" t="e">
        <f>AND(icf.157!#REF!,"AAAAAF8//mo=")</f>
        <v>#REF!</v>
      </c>
      <c r="DD1" t="e">
        <f>AND(icf.157!C5,"AAAAAF8//ms=")</f>
        <v>#VALUE!</v>
      </c>
      <c r="DE1" t="e">
        <f>AND(icf.157!D5,"AAAAAF8//mw=")</f>
        <v>#VALUE!</v>
      </c>
      <c r="DF1" t="e">
        <f>AND(icf.157!E5,"AAAAAF8//m0=")</f>
        <v>#VALUE!</v>
      </c>
      <c r="DG1" t="e">
        <f>AND(icf.157!F5,"AAAAAF8//m4=")</f>
        <v>#VALUE!</v>
      </c>
      <c r="DH1" t="e">
        <f>AND(icf.157!G5,"AAAAAF8//m8=")</f>
        <v>#VALUE!</v>
      </c>
      <c r="DI1" t="e">
        <f>AND(icf.157!H5,"AAAAAF8//nA=")</f>
        <v>#VALUE!</v>
      </c>
      <c r="DJ1" t="e">
        <f>AND(icf.157!I5,"AAAAAF8//nE=")</f>
        <v>#VALUE!</v>
      </c>
      <c r="DK1" t="e">
        <f>AND(icf.157!J5,"AAAAAF8//nI=")</f>
        <v>#VALUE!</v>
      </c>
      <c r="DL1" t="e">
        <f>AND(icf.157!L5,"AAAAAF8//nM=")</f>
        <v>#VALUE!</v>
      </c>
      <c r="DM1" t="e">
        <f>AND(icf.157!M5,"AAAAAF8//nQ=")</f>
        <v>#VALUE!</v>
      </c>
      <c r="DN1" t="e">
        <f>AND(icf.157!N5,"AAAAAF8//nU=")</f>
        <v>#VALUE!</v>
      </c>
      <c r="DO1" t="e">
        <f>AND(icf.157!O5,"AAAAAF8//nY=")</f>
        <v>#VALUE!</v>
      </c>
      <c r="DP1" t="e">
        <f>AND(icf.157!P5,"AAAAAF8//nc=")</f>
        <v>#VALUE!</v>
      </c>
      <c r="DQ1" t="e">
        <f>AND(icf.157!Q5,"AAAAAF8//ng=")</f>
        <v>#VALUE!</v>
      </c>
      <c r="DR1" t="e">
        <f>AND(icf.157!R5,"AAAAAF8//nk=")</f>
        <v>#VALUE!</v>
      </c>
      <c r="DS1" t="e">
        <f>AND(icf.157!S5,"AAAAAF8//no=")</f>
        <v>#VALUE!</v>
      </c>
      <c r="DT1" t="e">
        <f>AND(icf.157!T5,"AAAAAF8//ns=")</f>
        <v>#VALUE!</v>
      </c>
      <c r="DU1" t="e">
        <f>AND(icf.157!#REF!,"AAAAAF8//nw=")</f>
        <v>#REF!</v>
      </c>
      <c r="DV1" t="e">
        <f>AND(icf.157!V5,"AAAAAF8//n0=")</f>
        <v>#VALUE!</v>
      </c>
      <c r="DW1" t="e">
        <f>AND(icf.157!W5,"AAAAAF8//n4=")</f>
        <v>#VALUE!</v>
      </c>
      <c r="DX1" t="e">
        <f>AND(icf.157!Y5,"AAAAAF8//n8=")</f>
        <v>#VALUE!</v>
      </c>
      <c r="DY1" t="e">
        <f>AND(icf.157!Z5,"AAAAAF8//oA=")</f>
        <v>#VALUE!</v>
      </c>
      <c r="DZ1" t="e">
        <f>AND(icf.157!AA5,"AAAAAF8//oE=")</f>
        <v>#VALUE!</v>
      </c>
      <c r="EA1">
        <f>IF(icf.157!6:6,"AAAAAF8//oI=",0)</f>
        <v>0</v>
      </c>
      <c r="EB1" t="e">
        <f>AND(icf.157!A6,"AAAAAF8//oM=")</f>
        <v>#VALUE!</v>
      </c>
      <c r="EC1" t="e">
        <f>AND(icf.157!#REF!,"AAAAAF8//oQ=")</f>
        <v>#REF!</v>
      </c>
      <c r="ED1" t="e">
        <f>AND(icf.157!C6,"AAAAAF8//oU=")</f>
        <v>#VALUE!</v>
      </c>
      <c r="EE1" t="e">
        <f>AND(icf.157!D6,"AAAAAF8//oY=")</f>
        <v>#VALUE!</v>
      </c>
      <c r="EF1" t="e">
        <f>AND(icf.157!E6,"AAAAAF8//oc=")</f>
        <v>#VALUE!</v>
      </c>
      <c r="EG1" t="e">
        <f>AND(icf.157!F6,"AAAAAF8//og=")</f>
        <v>#VALUE!</v>
      </c>
      <c r="EH1" t="e">
        <f>AND(icf.157!G6,"AAAAAF8//ok=")</f>
        <v>#VALUE!</v>
      </c>
      <c r="EI1" t="e">
        <f>AND(icf.157!H6,"AAAAAF8//oo=")</f>
        <v>#VALUE!</v>
      </c>
      <c r="EJ1" t="e">
        <f>AND(icf.157!I6,"AAAAAF8//os=")</f>
        <v>#VALUE!</v>
      </c>
      <c r="EK1" t="e">
        <f>AND(icf.157!J6,"AAAAAF8//ow=")</f>
        <v>#VALUE!</v>
      </c>
      <c r="EL1" t="e">
        <f>AND(icf.157!L6,"AAAAAF8//o0=")</f>
        <v>#VALUE!</v>
      </c>
      <c r="EM1" t="e">
        <f>AND(icf.157!M6,"AAAAAF8//o4=")</f>
        <v>#VALUE!</v>
      </c>
      <c r="EN1" t="e">
        <f>AND(icf.157!N6,"AAAAAF8//o8=")</f>
        <v>#VALUE!</v>
      </c>
      <c r="EO1" t="e">
        <f>AND(icf.157!O6,"AAAAAF8//pA=")</f>
        <v>#VALUE!</v>
      </c>
      <c r="EP1" t="e">
        <f>AND(icf.157!P6,"AAAAAF8//pE=")</f>
        <v>#VALUE!</v>
      </c>
      <c r="EQ1" t="e">
        <f>AND(icf.157!Q6,"AAAAAF8//pI=")</f>
        <v>#VALUE!</v>
      </c>
      <c r="ER1" t="e">
        <f>AND(icf.157!R6,"AAAAAF8//pM=")</f>
        <v>#VALUE!</v>
      </c>
      <c r="ES1" t="e">
        <f>AND(icf.157!S6,"AAAAAF8//pQ=")</f>
        <v>#VALUE!</v>
      </c>
      <c r="ET1" t="e">
        <f>AND(icf.157!T6,"AAAAAF8//pU=")</f>
        <v>#VALUE!</v>
      </c>
      <c r="EU1" t="e">
        <f>AND(icf.157!#REF!,"AAAAAF8//pY=")</f>
        <v>#REF!</v>
      </c>
      <c r="EV1" t="e">
        <f>AND(icf.157!V6,"AAAAAF8//pc=")</f>
        <v>#VALUE!</v>
      </c>
      <c r="EW1" t="e">
        <f>AND(icf.157!W6,"AAAAAF8//pg=")</f>
        <v>#VALUE!</v>
      </c>
      <c r="EX1" t="e">
        <f>AND(icf.157!Y6,"AAAAAF8//pk=")</f>
        <v>#VALUE!</v>
      </c>
      <c r="EY1" t="e">
        <f>AND(icf.157!Z6,"AAAAAF8//po=")</f>
        <v>#VALUE!</v>
      </c>
      <c r="EZ1" t="e">
        <f>AND(icf.157!AA6,"AAAAAF8//ps=")</f>
        <v>#VALUE!</v>
      </c>
      <c r="FA1">
        <f>IF(icf.157!7:7,"AAAAAF8//pw=",0)</f>
        <v>0</v>
      </c>
      <c r="FB1" t="e">
        <f>AND(icf.157!A7,"AAAAAF8//p0=")</f>
        <v>#VALUE!</v>
      </c>
      <c r="FC1" t="e">
        <f>AND(icf.157!#REF!,"AAAAAF8//p4=")</f>
        <v>#REF!</v>
      </c>
      <c r="FD1" t="e">
        <f>AND(icf.157!C7,"AAAAAF8//p8=")</f>
        <v>#VALUE!</v>
      </c>
      <c r="FE1" t="e">
        <f>AND(icf.157!D7,"AAAAAF8//qA=")</f>
        <v>#VALUE!</v>
      </c>
      <c r="FF1" t="e">
        <f>AND(icf.157!E7,"AAAAAF8//qE=")</f>
        <v>#VALUE!</v>
      </c>
      <c r="FG1" t="e">
        <f>AND(icf.157!F7,"AAAAAF8//qI=")</f>
        <v>#VALUE!</v>
      </c>
      <c r="FH1" t="e">
        <f>AND(icf.157!G7,"AAAAAF8//qM=")</f>
        <v>#VALUE!</v>
      </c>
      <c r="FI1" t="e">
        <f>AND(icf.157!H7,"AAAAAF8//qQ=")</f>
        <v>#VALUE!</v>
      </c>
      <c r="FJ1" t="e">
        <f>AND(icf.157!I7,"AAAAAF8//qU=")</f>
        <v>#VALUE!</v>
      </c>
      <c r="FK1" t="e">
        <f>AND(icf.157!J7,"AAAAAF8//qY=")</f>
        <v>#VALUE!</v>
      </c>
      <c r="FL1" t="e">
        <f>AND(icf.157!L7,"AAAAAF8//qc=")</f>
        <v>#VALUE!</v>
      </c>
      <c r="FM1" t="e">
        <f>AND(icf.157!M7,"AAAAAF8//qg=")</f>
        <v>#VALUE!</v>
      </c>
      <c r="FN1" t="e">
        <f>AND(icf.157!N7,"AAAAAF8//qk=")</f>
        <v>#VALUE!</v>
      </c>
      <c r="FO1" t="e">
        <f>AND(icf.157!O7,"AAAAAF8//qo=")</f>
        <v>#VALUE!</v>
      </c>
      <c r="FP1" t="e">
        <f>AND(icf.157!P7,"AAAAAF8//qs=")</f>
        <v>#VALUE!</v>
      </c>
      <c r="FQ1" t="e">
        <f>AND(icf.157!Q7,"AAAAAF8//qw=")</f>
        <v>#VALUE!</v>
      </c>
      <c r="FR1" t="e">
        <f>AND(icf.157!R7,"AAAAAF8//q0=")</f>
        <v>#VALUE!</v>
      </c>
      <c r="FS1" t="e">
        <f>AND(icf.157!S7,"AAAAAF8//q4=")</f>
        <v>#VALUE!</v>
      </c>
      <c r="FT1" t="e">
        <f>AND(icf.157!T7,"AAAAAF8//q8=")</f>
        <v>#VALUE!</v>
      </c>
      <c r="FU1" t="e">
        <f>AND(icf.157!#REF!,"AAAAAF8//rA=")</f>
        <v>#REF!</v>
      </c>
      <c r="FV1" t="e">
        <f>AND(icf.157!V7,"AAAAAF8//rE=")</f>
        <v>#VALUE!</v>
      </c>
      <c r="FW1" t="e">
        <f>AND(icf.157!W7,"AAAAAF8//rI=")</f>
        <v>#VALUE!</v>
      </c>
      <c r="FX1" t="e">
        <f>AND(icf.157!Y7,"AAAAAF8//rM=")</f>
        <v>#VALUE!</v>
      </c>
      <c r="FY1" t="e">
        <f>AND(icf.157!Z7,"AAAAAF8//rQ=")</f>
        <v>#VALUE!</v>
      </c>
      <c r="FZ1" t="e">
        <f>AND(icf.157!AA7,"AAAAAF8//rU=")</f>
        <v>#VALUE!</v>
      </c>
      <c r="GA1">
        <f>IF(icf.157!8:8,"AAAAAF8//rY=",0)</f>
        <v>0</v>
      </c>
      <c r="GB1" t="e">
        <f>AND(icf.157!A8,"AAAAAF8//rc=")</f>
        <v>#VALUE!</v>
      </c>
      <c r="GC1" t="e">
        <f>AND(icf.157!#REF!,"AAAAAF8//rg=")</f>
        <v>#REF!</v>
      </c>
      <c r="GD1" t="e">
        <f>AND(icf.157!C8,"AAAAAF8//rk=")</f>
        <v>#VALUE!</v>
      </c>
      <c r="GE1" t="e">
        <f>AND(icf.157!D8,"AAAAAF8//ro=")</f>
        <v>#VALUE!</v>
      </c>
      <c r="GF1" t="e">
        <f>AND(icf.157!E8,"AAAAAF8//rs=")</f>
        <v>#VALUE!</v>
      </c>
      <c r="GG1" t="e">
        <f>AND(icf.157!F8,"AAAAAF8//rw=")</f>
        <v>#VALUE!</v>
      </c>
      <c r="GH1" t="e">
        <f>AND(icf.157!G8,"AAAAAF8//r0=")</f>
        <v>#VALUE!</v>
      </c>
      <c r="GI1" t="e">
        <f>AND(icf.157!H8,"AAAAAF8//r4=")</f>
        <v>#VALUE!</v>
      </c>
      <c r="GJ1" t="e">
        <f>AND(icf.157!I8,"AAAAAF8//r8=")</f>
        <v>#VALUE!</v>
      </c>
      <c r="GK1" t="e">
        <f>AND(icf.157!J8,"AAAAAF8//sA=")</f>
        <v>#VALUE!</v>
      </c>
      <c r="GL1" t="e">
        <f>AND(icf.157!L8,"AAAAAF8//sE=")</f>
        <v>#VALUE!</v>
      </c>
      <c r="GM1" t="e">
        <f>AND(icf.157!M8,"AAAAAF8//sI=")</f>
        <v>#VALUE!</v>
      </c>
      <c r="GN1" t="e">
        <f>AND(icf.157!N8,"AAAAAF8//sM=")</f>
        <v>#VALUE!</v>
      </c>
      <c r="GO1" t="e">
        <f>AND(icf.157!O8,"AAAAAF8//sQ=")</f>
        <v>#VALUE!</v>
      </c>
      <c r="GP1" t="e">
        <f>AND(icf.157!P8,"AAAAAF8//sU=")</f>
        <v>#VALUE!</v>
      </c>
      <c r="GQ1" t="e">
        <f>AND(icf.157!Q8,"AAAAAF8//sY=")</f>
        <v>#VALUE!</v>
      </c>
      <c r="GR1" t="e">
        <f>AND(icf.157!R8,"AAAAAF8//sc=")</f>
        <v>#VALUE!</v>
      </c>
      <c r="GS1" t="e">
        <f>AND(icf.157!S8,"AAAAAF8//sg=")</f>
        <v>#VALUE!</v>
      </c>
      <c r="GT1" t="e">
        <f>AND(icf.157!T8,"AAAAAF8//sk=")</f>
        <v>#VALUE!</v>
      </c>
      <c r="GU1" t="e">
        <f>AND(icf.157!#REF!,"AAAAAF8//so=")</f>
        <v>#REF!</v>
      </c>
      <c r="GV1" t="e">
        <f>AND(icf.157!V8,"AAAAAF8//ss=")</f>
        <v>#VALUE!</v>
      </c>
      <c r="GW1" t="e">
        <f>AND(icf.157!W8,"AAAAAF8//sw=")</f>
        <v>#VALUE!</v>
      </c>
      <c r="GX1" t="e">
        <f>AND(icf.157!Y8,"AAAAAF8//s0=")</f>
        <v>#VALUE!</v>
      </c>
      <c r="GY1" t="e">
        <f>AND(icf.157!Z8,"AAAAAF8//s4=")</f>
        <v>#VALUE!</v>
      </c>
      <c r="GZ1" t="e">
        <f>AND(icf.157!AA8,"AAAAAF8//s8=")</f>
        <v>#VALUE!</v>
      </c>
      <c r="HA1">
        <f>IF(icf.157!9:9,"AAAAAF8//tA=",0)</f>
        <v>0</v>
      </c>
      <c r="HB1" t="e">
        <f>AND(icf.157!A9,"AAAAAF8//tE=")</f>
        <v>#VALUE!</v>
      </c>
      <c r="HC1" t="e">
        <f>AND(icf.157!#REF!,"AAAAAF8//tI=")</f>
        <v>#REF!</v>
      </c>
      <c r="HD1" t="e">
        <f>AND(icf.157!C9,"AAAAAF8//tM=")</f>
        <v>#VALUE!</v>
      </c>
      <c r="HE1" t="e">
        <f>AND(icf.157!D9,"AAAAAF8//tQ=")</f>
        <v>#VALUE!</v>
      </c>
      <c r="HF1" t="e">
        <f>AND(icf.157!E9,"AAAAAF8//tU=")</f>
        <v>#VALUE!</v>
      </c>
      <c r="HG1" t="e">
        <f>AND(icf.157!F9,"AAAAAF8//tY=")</f>
        <v>#VALUE!</v>
      </c>
      <c r="HH1" t="e">
        <f>AND(icf.157!G9,"AAAAAF8//tc=")</f>
        <v>#VALUE!</v>
      </c>
      <c r="HI1" t="e">
        <f>AND(icf.157!H9,"AAAAAF8//tg=")</f>
        <v>#VALUE!</v>
      </c>
      <c r="HJ1" t="e">
        <f>AND(icf.157!I9,"AAAAAF8//tk=")</f>
        <v>#VALUE!</v>
      </c>
      <c r="HK1" t="e">
        <f>AND(icf.157!J9,"AAAAAF8//to=")</f>
        <v>#VALUE!</v>
      </c>
      <c r="HL1" t="e">
        <f>AND(icf.157!L9,"AAAAAF8//ts=")</f>
        <v>#VALUE!</v>
      </c>
      <c r="HM1" t="e">
        <f>AND(icf.157!M9,"AAAAAF8//tw=")</f>
        <v>#VALUE!</v>
      </c>
      <c r="HN1" t="e">
        <f>AND(icf.157!N9,"AAAAAF8//t0=")</f>
        <v>#VALUE!</v>
      </c>
      <c r="HO1" t="e">
        <f>AND(icf.157!O9,"AAAAAF8//t4=")</f>
        <v>#VALUE!</v>
      </c>
      <c r="HP1" t="e">
        <f>AND(icf.157!P9,"AAAAAF8//t8=")</f>
        <v>#VALUE!</v>
      </c>
      <c r="HQ1" t="e">
        <f>AND(icf.157!Q9,"AAAAAF8//uA=")</f>
        <v>#VALUE!</v>
      </c>
      <c r="HR1" t="e">
        <f>AND(icf.157!R9,"AAAAAF8//uE=")</f>
        <v>#VALUE!</v>
      </c>
      <c r="HS1" t="e">
        <f>AND(icf.157!S9,"AAAAAF8//uI=")</f>
        <v>#VALUE!</v>
      </c>
      <c r="HT1" t="e">
        <f>AND(icf.157!T9,"AAAAAF8//uM=")</f>
        <v>#VALUE!</v>
      </c>
      <c r="HU1" t="e">
        <f>AND(icf.157!#REF!,"AAAAAF8//uQ=")</f>
        <v>#REF!</v>
      </c>
      <c r="HV1" t="e">
        <f>AND(icf.157!V9,"AAAAAF8//uU=")</f>
        <v>#VALUE!</v>
      </c>
      <c r="HW1" t="e">
        <f>AND(icf.157!W9,"AAAAAF8//uY=")</f>
        <v>#VALUE!</v>
      </c>
      <c r="HX1" t="e">
        <f>AND(icf.157!Y9,"AAAAAF8//uc=")</f>
        <v>#VALUE!</v>
      </c>
      <c r="HY1" t="e">
        <f>AND(icf.157!Z9,"AAAAAF8//ug=")</f>
        <v>#VALUE!</v>
      </c>
      <c r="HZ1" t="e">
        <f>AND(icf.157!AA9,"AAAAAF8//uk=")</f>
        <v>#VALUE!</v>
      </c>
      <c r="IA1">
        <f>IF(icf.157!10:10,"AAAAAF8//uo=",0)</f>
        <v>0</v>
      </c>
      <c r="IB1" t="e">
        <f>AND(icf.157!A10,"AAAAAF8//us=")</f>
        <v>#VALUE!</v>
      </c>
      <c r="IC1" t="e">
        <f>AND(icf.157!#REF!,"AAAAAF8//uw=")</f>
        <v>#REF!</v>
      </c>
      <c r="ID1" t="e">
        <f>AND(icf.157!C10,"AAAAAF8//u0=")</f>
        <v>#VALUE!</v>
      </c>
      <c r="IE1" t="e">
        <f>AND(icf.157!D10,"AAAAAF8//u4=")</f>
        <v>#VALUE!</v>
      </c>
      <c r="IF1" t="e">
        <f>AND(icf.157!E10,"AAAAAF8//u8=")</f>
        <v>#VALUE!</v>
      </c>
      <c r="IG1" t="e">
        <f>AND(icf.157!F10,"AAAAAF8//vA=")</f>
        <v>#VALUE!</v>
      </c>
      <c r="IH1" t="e">
        <f>AND(icf.157!G10,"AAAAAF8//vE=")</f>
        <v>#VALUE!</v>
      </c>
      <c r="II1" t="e">
        <f>AND(icf.157!H10,"AAAAAF8//vI=")</f>
        <v>#VALUE!</v>
      </c>
      <c r="IJ1" t="e">
        <f>AND(icf.157!I10,"AAAAAF8//vM=")</f>
        <v>#VALUE!</v>
      </c>
      <c r="IK1" t="e">
        <f>AND(icf.157!J10,"AAAAAF8//vQ=")</f>
        <v>#VALUE!</v>
      </c>
      <c r="IL1" t="e">
        <f>AND(icf.157!L10,"AAAAAF8//vU=")</f>
        <v>#VALUE!</v>
      </c>
      <c r="IM1" t="e">
        <f>AND(icf.157!M10,"AAAAAF8//vY=")</f>
        <v>#VALUE!</v>
      </c>
      <c r="IN1" t="e">
        <f>AND(icf.157!N10,"AAAAAF8//vc=")</f>
        <v>#VALUE!</v>
      </c>
      <c r="IO1" t="e">
        <f>AND(icf.157!O10,"AAAAAF8//vg=")</f>
        <v>#VALUE!</v>
      </c>
      <c r="IP1" t="e">
        <f>AND(icf.157!P10,"AAAAAF8//vk=")</f>
        <v>#VALUE!</v>
      </c>
      <c r="IQ1" t="e">
        <f>AND(icf.157!Q10,"AAAAAF8//vo=")</f>
        <v>#VALUE!</v>
      </c>
      <c r="IR1" t="e">
        <f>AND(icf.157!R10,"AAAAAF8//vs=")</f>
        <v>#VALUE!</v>
      </c>
      <c r="IS1" t="e">
        <f>AND(icf.157!S10,"AAAAAF8//vw=")</f>
        <v>#VALUE!</v>
      </c>
      <c r="IT1" t="e">
        <f>AND(icf.157!T10,"AAAAAF8//v0=")</f>
        <v>#VALUE!</v>
      </c>
      <c r="IU1" t="e">
        <f>AND(icf.157!#REF!,"AAAAAF8//v4=")</f>
        <v>#REF!</v>
      </c>
      <c r="IV1" t="e">
        <f>AND(icf.157!V10,"AAAAAF8//v8=")</f>
        <v>#VALUE!</v>
      </c>
    </row>
    <row r="2" spans="1:256" x14ac:dyDescent="0.2">
      <c r="A2" t="e">
        <f>AND(icf.157!W10,"AAAAAG9/uwA=")</f>
        <v>#VALUE!</v>
      </c>
      <c r="B2" t="e">
        <f>AND(icf.157!Y10,"AAAAAG9/uwE=")</f>
        <v>#VALUE!</v>
      </c>
      <c r="C2" t="e">
        <f>AND(icf.157!Z10,"AAAAAG9/uwI=")</f>
        <v>#VALUE!</v>
      </c>
      <c r="D2" t="e">
        <f>AND(icf.157!AA10,"AAAAAG9/uwM=")</f>
        <v>#VALUE!</v>
      </c>
      <c r="E2" t="str">
        <f>IF(icf.157!11:11,"AAAAAG9/uwQ=",0)</f>
        <v>AAAAAG9/uwQ=</v>
      </c>
      <c r="F2" t="e">
        <f>AND(icf.157!A11,"AAAAAG9/uwU=")</f>
        <v>#VALUE!</v>
      </c>
      <c r="G2" t="e">
        <f>AND(icf.157!#REF!,"AAAAAG9/uwY=")</f>
        <v>#REF!</v>
      </c>
      <c r="H2" t="e">
        <f>AND(icf.157!C11,"AAAAAG9/uwc=")</f>
        <v>#VALUE!</v>
      </c>
      <c r="I2" t="e">
        <f>AND(icf.157!D11,"AAAAAG9/uwg=")</f>
        <v>#VALUE!</v>
      </c>
      <c r="J2" t="e">
        <f>AND(icf.157!E11,"AAAAAG9/uwk=")</f>
        <v>#VALUE!</v>
      </c>
      <c r="K2" t="e">
        <f>AND(icf.157!F11,"AAAAAG9/uwo=")</f>
        <v>#VALUE!</v>
      </c>
      <c r="L2" t="e">
        <f>AND(icf.157!G11,"AAAAAG9/uws=")</f>
        <v>#VALUE!</v>
      </c>
      <c r="M2" t="e">
        <f>AND(icf.157!H11,"AAAAAG9/uww=")</f>
        <v>#VALUE!</v>
      </c>
      <c r="N2" t="e">
        <f>AND(icf.157!I11,"AAAAAG9/uw0=")</f>
        <v>#VALUE!</v>
      </c>
      <c r="O2" t="e">
        <f>AND(icf.157!J11,"AAAAAG9/uw4=")</f>
        <v>#VALUE!</v>
      </c>
      <c r="P2" t="e">
        <f>AND(icf.157!L11,"AAAAAG9/uw8=")</f>
        <v>#VALUE!</v>
      </c>
      <c r="Q2" t="e">
        <f>AND(icf.157!M11,"AAAAAG9/uxA=")</f>
        <v>#VALUE!</v>
      </c>
      <c r="R2" t="e">
        <f>AND(icf.157!N11,"AAAAAG9/uxE=")</f>
        <v>#VALUE!</v>
      </c>
      <c r="S2" t="e">
        <f>AND(icf.157!O11,"AAAAAG9/uxI=")</f>
        <v>#VALUE!</v>
      </c>
      <c r="T2" t="e">
        <f>AND(icf.157!P11,"AAAAAG9/uxM=")</f>
        <v>#VALUE!</v>
      </c>
      <c r="U2" t="e">
        <f>AND(icf.157!Q11,"AAAAAG9/uxQ=")</f>
        <v>#VALUE!</v>
      </c>
      <c r="V2" t="e">
        <f>AND(icf.157!R11,"AAAAAG9/uxU=")</f>
        <v>#VALUE!</v>
      </c>
      <c r="W2" t="e">
        <f>AND(icf.157!S11,"AAAAAG9/uxY=")</f>
        <v>#VALUE!</v>
      </c>
      <c r="X2" t="e">
        <f>AND(icf.157!T11,"AAAAAG9/uxc=")</f>
        <v>#VALUE!</v>
      </c>
      <c r="Y2" t="e">
        <f>AND(icf.157!#REF!,"AAAAAG9/uxg=")</f>
        <v>#REF!</v>
      </c>
      <c r="Z2" t="e">
        <f>AND(icf.157!V11,"AAAAAG9/uxk=")</f>
        <v>#VALUE!</v>
      </c>
      <c r="AA2" t="e">
        <f>AND(icf.157!W11,"AAAAAG9/uxo=")</f>
        <v>#VALUE!</v>
      </c>
      <c r="AB2" t="e">
        <f>AND(icf.157!Y11,"AAAAAG9/uxs=")</f>
        <v>#VALUE!</v>
      </c>
      <c r="AC2" t="e">
        <f>AND(icf.157!Z11,"AAAAAG9/uxw=")</f>
        <v>#VALUE!</v>
      </c>
      <c r="AD2" t="e">
        <f>AND(icf.157!AA11,"AAAAAG9/ux0=")</f>
        <v>#VALUE!</v>
      </c>
      <c r="AE2" t="str">
        <f>IF(icf.157!12:12,"AAAAAG9/ux4=",0)</f>
        <v>AAAAAG9/ux4=</v>
      </c>
      <c r="AF2" t="e">
        <f>AND(icf.157!A12,"AAAAAG9/ux8=")</f>
        <v>#VALUE!</v>
      </c>
      <c r="AG2" t="e">
        <f>AND(icf.157!#REF!,"AAAAAG9/uyA=")</f>
        <v>#REF!</v>
      </c>
      <c r="AH2" t="e">
        <f>AND(icf.157!C12,"AAAAAG9/uyE=")</f>
        <v>#VALUE!</v>
      </c>
      <c r="AI2" t="e">
        <f>AND(icf.157!D12,"AAAAAG9/uyI=")</f>
        <v>#VALUE!</v>
      </c>
      <c r="AJ2" t="e">
        <f>AND(icf.157!E12,"AAAAAG9/uyM=")</f>
        <v>#VALUE!</v>
      </c>
      <c r="AK2" t="e">
        <f>AND(icf.157!F12,"AAAAAG9/uyQ=")</f>
        <v>#VALUE!</v>
      </c>
      <c r="AL2" t="e">
        <f>AND(icf.157!G12,"AAAAAG9/uyU=")</f>
        <v>#VALUE!</v>
      </c>
      <c r="AM2" t="e">
        <f>AND(icf.157!H12,"AAAAAG9/uyY=")</f>
        <v>#VALUE!</v>
      </c>
      <c r="AN2" t="e">
        <f>AND(icf.157!I12,"AAAAAG9/uyc=")</f>
        <v>#VALUE!</v>
      </c>
      <c r="AO2" t="e">
        <f>AND(icf.157!J12,"AAAAAG9/uyg=")</f>
        <v>#VALUE!</v>
      </c>
      <c r="AP2" t="e">
        <f>AND(icf.157!L12,"AAAAAG9/uyk=")</f>
        <v>#VALUE!</v>
      </c>
      <c r="AQ2" t="e">
        <f>AND(icf.157!M12,"AAAAAG9/uyo=")</f>
        <v>#VALUE!</v>
      </c>
      <c r="AR2" t="e">
        <f>AND(icf.157!N12,"AAAAAG9/uys=")</f>
        <v>#VALUE!</v>
      </c>
      <c r="AS2" t="e">
        <f>AND(icf.157!O12,"AAAAAG9/uyw=")</f>
        <v>#VALUE!</v>
      </c>
      <c r="AT2" t="e">
        <f>AND(icf.157!P12,"AAAAAG9/uy0=")</f>
        <v>#VALUE!</v>
      </c>
      <c r="AU2" t="e">
        <f>AND(icf.157!Q12,"AAAAAG9/uy4=")</f>
        <v>#VALUE!</v>
      </c>
      <c r="AV2" t="e">
        <f>AND(icf.157!R12,"AAAAAG9/uy8=")</f>
        <v>#VALUE!</v>
      </c>
      <c r="AW2" t="e">
        <f>AND(icf.157!S12,"AAAAAG9/uzA=")</f>
        <v>#VALUE!</v>
      </c>
      <c r="AX2" t="e">
        <f>AND(icf.157!T12,"AAAAAG9/uzE=")</f>
        <v>#VALUE!</v>
      </c>
      <c r="AY2" t="e">
        <f>AND(icf.157!#REF!,"AAAAAG9/uzI=")</f>
        <v>#REF!</v>
      </c>
      <c r="AZ2" t="e">
        <f>AND(icf.157!V12,"AAAAAG9/uzM=")</f>
        <v>#VALUE!</v>
      </c>
      <c r="BA2" t="e">
        <f>AND(icf.157!W12,"AAAAAG9/uzQ=")</f>
        <v>#VALUE!</v>
      </c>
      <c r="BB2" t="e">
        <f>AND(icf.157!Y12,"AAAAAG9/uzU=")</f>
        <v>#VALUE!</v>
      </c>
      <c r="BC2" t="e">
        <f>AND(icf.157!Z12,"AAAAAG9/uzY=")</f>
        <v>#VALUE!</v>
      </c>
      <c r="BD2" t="e">
        <f>AND(icf.157!AA12,"AAAAAG9/uzc=")</f>
        <v>#VALUE!</v>
      </c>
      <c r="BE2">
        <f>IF(icf.157!13:13,"AAAAAG9/uzg=",0)</f>
        <v>0</v>
      </c>
      <c r="BF2" t="e">
        <f>AND(icf.157!A13,"AAAAAG9/uzk=")</f>
        <v>#VALUE!</v>
      </c>
      <c r="BG2" t="e">
        <f>AND(icf.157!#REF!,"AAAAAG9/uzo=")</f>
        <v>#REF!</v>
      </c>
      <c r="BH2" t="e">
        <f>AND(icf.157!C13,"AAAAAG9/uzs=")</f>
        <v>#VALUE!</v>
      </c>
      <c r="BI2" t="e">
        <f>AND(icf.157!D13,"AAAAAG9/uzw=")</f>
        <v>#VALUE!</v>
      </c>
      <c r="BJ2" t="e">
        <f>AND(icf.157!E13,"AAAAAG9/uz0=")</f>
        <v>#VALUE!</v>
      </c>
      <c r="BK2" t="e">
        <f>AND(icf.157!F13,"AAAAAG9/uz4=")</f>
        <v>#VALUE!</v>
      </c>
      <c r="BL2" t="e">
        <f>AND(icf.157!G13,"AAAAAG9/uz8=")</f>
        <v>#VALUE!</v>
      </c>
      <c r="BM2" t="e">
        <f>AND(icf.157!H13,"AAAAAG9/u0A=")</f>
        <v>#VALUE!</v>
      </c>
      <c r="BN2" t="e">
        <f>AND(icf.157!I13,"AAAAAG9/u0E=")</f>
        <v>#VALUE!</v>
      </c>
      <c r="BO2" t="e">
        <f>AND(icf.157!J13,"AAAAAG9/u0I=")</f>
        <v>#VALUE!</v>
      </c>
      <c r="BP2" t="e">
        <f>AND(icf.157!L13,"AAAAAG9/u0M=")</f>
        <v>#VALUE!</v>
      </c>
      <c r="BQ2" t="e">
        <f>AND(icf.157!M13,"AAAAAG9/u0Q=")</f>
        <v>#VALUE!</v>
      </c>
      <c r="BR2" t="e">
        <f>AND(icf.157!N13,"AAAAAG9/u0U=")</f>
        <v>#VALUE!</v>
      </c>
      <c r="BS2" t="e">
        <f>AND(icf.157!O13,"AAAAAG9/u0Y=")</f>
        <v>#VALUE!</v>
      </c>
      <c r="BT2" t="e">
        <f>AND(icf.157!P13,"AAAAAG9/u0c=")</f>
        <v>#VALUE!</v>
      </c>
      <c r="BU2" t="e">
        <f>AND(icf.157!Q13,"AAAAAG9/u0g=")</f>
        <v>#VALUE!</v>
      </c>
      <c r="BV2" t="e">
        <f>AND(icf.157!R13,"AAAAAG9/u0k=")</f>
        <v>#VALUE!</v>
      </c>
      <c r="BW2" t="e">
        <f>AND(icf.157!S13,"AAAAAG9/u0o=")</f>
        <v>#VALUE!</v>
      </c>
      <c r="BX2" t="e">
        <f>AND(icf.157!T13,"AAAAAG9/u0s=")</f>
        <v>#VALUE!</v>
      </c>
      <c r="BY2" t="e">
        <f>AND(icf.157!#REF!,"AAAAAG9/u0w=")</f>
        <v>#REF!</v>
      </c>
      <c r="BZ2" t="e">
        <f>AND(icf.157!V13,"AAAAAG9/u00=")</f>
        <v>#VALUE!</v>
      </c>
      <c r="CA2" t="e">
        <f>AND(icf.157!W13,"AAAAAG9/u04=")</f>
        <v>#VALUE!</v>
      </c>
      <c r="CB2" t="e">
        <f>AND(icf.157!Y13,"AAAAAG9/u08=")</f>
        <v>#VALUE!</v>
      </c>
      <c r="CC2" t="e">
        <f>AND(icf.157!Z13,"AAAAAG9/u1A=")</f>
        <v>#VALUE!</v>
      </c>
      <c r="CD2" t="e">
        <f>AND(icf.157!AA13,"AAAAAG9/u1E=")</f>
        <v>#VALUE!</v>
      </c>
      <c r="CE2">
        <f>IF(icf.157!14:14,"AAAAAG9/u1I=",0)</f>
        <v>0</v>
      </c>
      <c r="CF2" t="e">
        <f>AND(icf.157!A14,"AAAAAG9/u1M=")</f>
        <v>#VALUE!</v>
      </c>
      <c r="CG2" t="e">
        <f>AND(icf.157!#REF!,"AAAAAG9/u1Q=")</f>
        <v>#REF!</v>
      </c>
      <c r="CH2" t="e">
        <f>AND(icf.157!C14,"AAAAAG9/u1U=")</f>
        <v>#VALUE!</v>
      </c>
      <c r="CI2" t="e">
        <f>AND(icf.157!D14,"AAAAAG9/u1Y=")</f>
        <v>#VALUE!</v>
      </c>
      <c r="CJ2" t="e">
        <f>AND(icf.157!E14,"AAAAAG9/u1c=")</f>
        <v>#VALUE!</v>
      </c>
      <c r="CK2" t="e">
        <f>AND(icf.157!F14,"AAAAAG9/u1g=")</f>
        <v>#VALUE!</v>
      </c>
      <c r="CL2" t="e">
        <f>AND(icf.157!G14,"AAAAAG9/u1k=")</f>
        <v>#VALUE!</v>
      </c>
      <c r="CM2" t="e">
        <f>AND(icf.157!H14,"AAAAAG9/u1o=")</f>
        <v>#VALUE!</v>
      </c>
      <c r="CN2" t="e">
        <f>AND(icf.157!I14,"AAAAAG9/u1s=")</f>
        <v>#VALUE!</v>
      </c>
      <c r="CO2" t="e">
        <f>AND(icf.157!J14,"AAAAAG9/u1w=")</f>
        <v>#VALUE!</v>
      </c>
      <c r="CP2" t="e">
        <f>AND(icf.157!L14,"AAAAAG9/u10=")</f>
        <v>#VALUE!</v>
      </c>
      <c r="CQ2" t="e">
        <f>AND(icf.157!M14,"AAAAAG9/u14=")</f>
        <v>#VALUE!</v>
      </c>
      <c r="CR2" t="e">
        <f>AND(icf.157!N14,"AAAAAG9/u18=")</f>
        <v>#VALUE!</v>
      </c>
      <c r="CS2" t="e">
        <f>AND(icf.157!O14,"AAAAAG9/u2A=")</f>
        <v>#VALUE!</v>
      </c>
      <c r="CT2" t="e">
        <f>AND(icf.157!P14,"AAAAAG9/u2E=")</f>
        <v>#VALUE!</v>
      </c>
      <c r="CU2" t="e">
        <f>AND(icf.157!Q14,"AAAAAG9/u2I=")</f>
        <v>#VALUE!</v>
      </c>
      <c r="CV2" t="e">
        <f>AND(icf.157!R14,"AAAAAG9/u2M=")</f>
        <v>#VALUE!</v>
      </c>
      <c r="CW2" t="e">
        <f>AND(icf.157!S14,"AAAAAG9/u2Q=")</f>
        <v>#VALUE!</v>
      </c>
      <c r="CX2" t="e">
        <f>AND(icf.157!T14,"AAAAAG9/u2U=")</f>
        <v>#VALUE!</v>
      </c>
      <c r="CY2" t="e">
        <f>AND(icf.157!#REF!,"AAAAAG9/u2Y=")</f>
        <v>#REF!</v>
      </c>
      <c r="CZ2" t="e">
        <f>AND(icf.157!V14,"AAAAAG9/u2c=")</f>
        <v>#VALUE!</v>
      </c>
      <c r="DA2" t="e">
        <f>AND(icf.157!W14,"AAAAAG9/u2g=")</f>
        <v>#VALUE!</v>
      </c>
      <c r="DB2" t="e">
        <f>AND(icf.157!Y14,"AAAAAG9/u2k=")</f>
        <v>#VALUE!</v>
      </c>
      <c r="DC2" t="e">
        <f>AND(icf.157!Z14,"AAAAAG9/u2o=")</f>
        <v>#VALUE!</v>
      </c>
      <c r="DD2" t="e">
        <f>AND(icf.157!AA14,"AAAAAG9/u2s=")</f>
        <v>#VALUE!</v>
      </c>
      <c r="DE2">
        <f>IF(icf.157!15:15,"AAAAAG9/u2w=",0)</f>
        <v>0</v>
      </c>
      <c r="DF2" t="e">
        <f>AND(icf.157!A15,"AAAAAG9/u20=")</f>
        <v>#VALUE!</v>
      </c>
      <c r="DG2" t="e">
        <f>AND(icf.157!#REF!,"AAAAAG9/u24=")</f>
        <v>#REF!</v>
      </c>
      <c r="DH2" t="e">
        <f>AND(icf.157!C15,"AAAAAG9/u28=")</f>
        <v>#VALUE!</v>
      </c>
      <c r="DI2" t="e">
        <f>AND(icf.157!D15,"AAAAAG9/u3A=")</f>
        <v>#VALUE!</v>
      </c>
      <c r="DJ2" t="e">
        <f>AND(icf.157!E15,"AAAAAG9/u3E=")</f>
        <v>#VALUE!</v>
      </c>
      <c r="DK2" t="e">
        <f>AND(icf.157!F15,"AAAAAG9/u3I=")</f>
        <v>#VALUE!</v>
      </c>
      <c r="DL2" t="e">
        <f>AND(icf.157!G15,"AAAAAG9/u3M=")</f>
        <v>#VALUE!</v>
      </c>
      <c r="DM2" t="e">
        <f>AND(icf.157!H15,"AAAAAG9/u3Q=")</f>
        <v>#VALUE!</v>
      </c>
      <c r="DN2" t="e">
        <f>AND(icf.157!I15,"AAAAAG9/u3U=")</f>
        <v>#VALUE!</v>
      </c>
      <c r="DO2" t="e">
        <f>AND(icf.157!J15,"AAAAAG9/u3Y=")</f>
        <v>#VALUE!</v>
      </c>
      <c r="DP2" t="e">
        <f>AND(icf.157!L15,"AAAAAG9/u3c=")</f>
        <v>#VALUE!</v>
      </c>
      <c r="DQ2" t="e">
        <f>AND(icf.157!M15,"AAAAAG9/u3g=")</f>
        <v>#VALUE!</v>
      </c>
      <c r="DR2" t="e">
        <f>AND(icf.157!N15,"AAAAAG9/u3k=")</f>
        <v>#VALUE!</v>
      </c>
      <c r="DS2" t="e">
        <f>AND(icf.157!O15,"AAAAAG9/u3o=")</f>
        <v>#VALUE!</v>
      </c>
      <c r="DT2" t="e">
        <f>AND(icf.157!P15,"AAAAAG9/u3s=")</f>
        <v>#VALUE!</v>
      </c>
      <c r="DU2" t="e">
        <f>AND(icf.157!Q15,"AAAAAG9/u3w=")</f>
        <v>#VALUE!</v>
      </c>
      <c r="DV2" t="e">
        <f>AND(icf.157!R15,"AAAAAG9/u30=")</f>
        <v>#VALUE!</v>
      </c>
      <c r="DW2" t="e">
        <f>AND(icf.157!S15,"AAAAAG9/u34=")</f>
        <v>#VALUE!</v>
      </c>
      <c r="DX2" t="e">
        <f>AND(icf.157!T15,"AAAAAG9/u38=")</f>
        <v>#VALUE!</v>
      </c>
      <c r="DY2" t="e">
        <f>AND(icf.157!#REF!,"AAAAAG9/u4A=")</f>
        <v>#REF!</v>
      </c>
      <c r="DZ2" t="e">
        <f>AND(icf.157!V15,"AAAAAG9/u4E=")</f>
        <v>#VALUE!</v>
      </c>
      <c r="EA2" t="e">
        <f>AND(icf.157!W15,"AAAAAG9/u4I=")</f>
        <v>#VALUE!</v>
      </c>
      <c r="EB2" t="e">
        <f>AND(icf.157!Y15,"AAAAAG9/u4M=")</f>
        <v>#VALUE!</v>
      </c>
      <c r="EC2" t="e">
        <f>AND(icf.157!Z15,"AAAAAG9/u4Q=")</f>
        <v>#VALUE!</v>
      </c>
      <c r="ED2" t="e">
        <f>AND(icf.157!AA15,"AAAAAG9/u4U=")</f>
        <v>#VALUE!</v>
      </c>
      <c r="EE2">
        <f>IF(icf.157!16:16,"AAAAAG9/u4Y=",0)</f>
        <v>0</v>
      </c>
      <c r="EF2" t="e">
        <f>AND(icf.157!A16,"AAAAAG9/u4c=")</f>
        <v>#VALUE!</v>
      </c>
      <c r="EG2" t="e">
        <f>AND(icf.157!#REF!,"AAAAAG9/u4g=")</f>
        <v>#REF!</v>
      </c>
      <c r="EH2" t="e">
        <f>AND(icf.157!C16,"AAAAAG9/u4k=")</f>
        <v>#VALUE!</v>
      </c>
      <c r="EI2" t="e">
        <f>AND(icf.157!D16,"AAAAAG9/u4o=")</f>
        <v>#VALUE!</v>
      </c>
      <c r="EJ2" t="e">
        <f>AND(icf.157!E16,"AAAAAG9/u4s=")</f>
        <v>#VALUE!</v>
      </c>
      <c r="EK2" t="e">
        <f>AND(icf.157!F16,"AAAAAG9/u4w=")</f>
        <v>#VALUE!</v>
      </c>
      <c r="EL2" t="e">
        <f>AND(icf.157!G16,"AAAAAG9/u40=")</f>
        <v>#VALUE!</v>
      </c>
      <c r="EM2" t="e">
        <f>AND(icf.157!H16,"AAAAAG9/u44=")</f>
        <v>#VALUE!</v>
      </c>
      <c r="EN2" t="e">
        <f>AND(icf.157!I16,"AAAAAG9/u48=")</f>
        <v>#VALUE!</v>
      </c>
      <c r="EO2" t="e">
        <f>AND(icf.157!J16,"AAAAAG9/u5A=")</f>
        <v>#VALUE!</v>
      </c>
      <c r="EP2" t="e">
        <f>AND(icf.157!L16,"AAAAAG9/u5E=")</f>
        <v>#VALUE!</v>
      </c>
      <c r="EQ2" t="e">
        <f>AND(icf.157!M16,"AAAAAG9/u5I=")</f>
        <v>#VALUE!</v>
      </c>
      <c r="ER2" t="e">
        <f>AND(icf.157!N16,"AAAAAG9/u5M=")</f>
        <v>#VALUE!</v>
      </c>
      <c r="ES2" t="e">
        <f>AND(icf.157!O16,"AAAAAG9/u5Q=")</f>
        <v>#VALUE!</v>
      </c>
      <c r="ET2" t="e">
        <f>AND(icf.157!P16,"AAAAAG9/u5U=")</f>
        <v>#VALUE!</v>
      </c>
      <c r="EU2" t="e">
        <f>AND(icf.157!Q16,"AAAAAG9/u5Y=")</f>
        <v>#VALUE!</v>
      </c>
      <c r="EV2" t="e">
        <f>AND(icf.157!R16,"AAAAAG9/u5c=")</f>
        <v>#VALUE!</v>
      </c>
      <c r="EW2" t="e">
        <f>AND(icf.157!S16,"AAAAAG9/u5g=")</f>
        <v>#VALUE!</v>
      </c>
      <c r="EX2" t="e">
        <f>AND(icf.157!T16,"AAAAAG9/u5k=")</f>
        <v>#VALUE!</v>
      </c>
      <c r="EY2" t="e">
        <f>AND(icf.157!#REF!,"AAAAAG9/u5o=")</f>
        <v>#REF!</v>
      </c>
      <c r="EZ2" t="e">
        <f>AND(icf.157!V16,"AAAAAG9/u5s=")</f>
        <v>#VALUE!</v>
      </c>
      <c r="FA2" t="e">
        <f>AND(icf.157!W16,"AAAAAG9/u5w=")</f>
        <v>#VALUE!</v>
      </c>
      <c r="FB2" t="e">
        <f>AND(icf.157!Y16,"AAAAAG9/u50=")</f>
        <v>#VALUE!</v>
      </c>
      <c r="FC2" t="e">
        <f>AND(icf.157!Z16,"AAAAAG9/u54=")</f>
        <v>#VALUE!</v>
      </c>
      <c r="FD2" t="e">
        <f>AND(icf.157!AA16,"AAAAAG9/u58=")</f>
        <v>#VALUE!</v>
      </c>
      <c r="FE2">
        <f>IF(icf.157!17:17,"AAAAAG9/u6A=",0)</f>
        <v>0</v>
      </c>
      <c r="FF2" t="e">
        <f>AND(icf.157!A17,"AAAAAG9/u6E=")</f>
        <v>#VALUE!</v>
      </c>
      <c r="FG2" t="e">
        <f>AND(icf.157!#REF!,"AAAAAG9/u6I=")</f>
        <v>#REF!</v>
      </c>
      <c r="FH2" t="e">
        <f>AND(icf.157!C17,"AAAAAG9/u6M=")</f>
        <v>#VALUE!</v>
      </c>
      <c r="FI2" t="e">
        <f>AND(icf.157!D17,"AAAAAG9/u6Q=")</f>
        <v>#VALUE!</v>
      </c>
      <c r="FJ2" t="e">
        <f>AND(icf.157!E17,"AAAAAG9/u6U=")</f>
        <v>#VALUE!</v>
      </c>
      <c r="FK2" t="e">
        <f>AND(icf.157!F17,"AAAAAG9/u6Y=")</f>
        <v>#VALUE!</v>
      </c>
      <c r="FL2" t="e">
        <f>AND(icf.157!G17,"AAAAAG9/u6c=")</f>
        <v>#VALUE!</v>
      </c>
      <c r="FM2" t="e">
        <f>AND(icf.157!H17,"AAAAAG9/u6g=")</f>
        <v>#VALUE!</v>
      </c>
      <c r="FN2" t="e">
        <f>AND(icf.157!I17,"AAAAAG9/u6k=")</f>
        <v>#VALUE!</v>
      </c>
      <c r="FO2" t="e">
        <f>AND(icf.157!J17,"AAAAAG9/u6o=")</f>
        <v>#VALUE!</v>
      </c>
      <c r="FP2" t="e">
        <f>AND(icf.157!L17,"AAAAAG9/u6s=")</f>
        <v>#VALUE!</v>
      </c>
      <c r="FQ2" t="e">
        <f>AND(icf.157!M17,"AAAAAG9/u6w=")</f>
        <v>#VALUE!</v>
      </c>
      <c r="FR2" t="e">
        <f>AND(icf.157!N17,"AAAAAG9/u60=")</f>
        <v>#VALUE!</v>
      </c>
      <c r="FS2" t="e">
        <f>AND(icf.157!O17,"AAAAAG9/u64=")</f>
        <v>#VALUE!</v>
      </c>
      <c r="FT2" t="e">
        <f>AND(icf.157!P17,"AAAAAG9/u68=")</f>
        <v>#VALUE!</v>
      </c>
      <c r="FU2" t="e">
        <f>AND(icf.157!Q17,"AAAAAG9/u7A=")</f>
        <v>#VALUE!</v>
      </c>
      <c r="FV2" t="e">
        <f>AND(icf.157!R17,"AAAAAG9/u7E=")</f>
        <v>#VALUE!</v>
      </c>
      <c r="FW2" t="e">
        <f>AND(icf.157!S17,"AAAAAG9/u7I=")</f>
        <v>#VALUE!</v>
      </c>
      <c r="FX2" t="e">
        <f>AND(icf.157!T17,"AAAAAG9/u7M=")</f>
        <v>#VALUE!</v>
      </c>
      <c r="FY2" t="e">
        <f>AND(icf.157!#REF!,"AAAAAG9/u7Q=")</f>
        <v>#REF!</v>
      </c>
      <c r="FZ2" t="e">
        <f>AND(icf.157!V17,"AAAAAG9/u7U=")</f>
        <v>#VALUE!</v>
      </c>
      <c r="GA2" t="e">
        <f>AND(icf.157!W17,"AAAAAG9/u7Y=")</f>
        <v>#VALUE!</v>
      </c>
      <c r="GB2" t="e">
        <f>AND(icf.157!Y17,"AAAAAG9/u7c=")</f>
        <v>#VALUE!</v>
      </c>
      <c r="GC2" t="e">
        <f>AND(icf.157!Z17,"AAAAAG9/u7g=")</f>
        <v>#VALUE!</v>
      </c>
      <c r="GD2" t="e">
        <f>AND(icf.157!AA17,"AAAAAG9/u7k=")</f>
        <v>#VALUE!</v>
      </c>
      <c r="GE2">
        <f>IF(icf.157!18:18,"AAAAAG9/u7o=",0)</f>
        <v>0</v>
      </c>
      <c r="GF2" t="e">
        <f>AND(icf.157!A18,"AAAAAG9/u7s=")</f>
        <v>#VALUE!</v>
      </c>
      <c r="GG2" t="e">
        <f>AND(icf.157!#REF!,"AAAAAG9/u7w=")</f>
        <v>#REF!</v>
      </c>
      <c r="GH2" t="e">
        <f>AND(icf.157!C18,"AAAAAG9/u70=")</f>
        <v>#VALUE!</v>
      </c>
      <c r="GI2" t="e">
        <f>AND(icf.157!D18,"AAAAAG9/u74=")</f>
        <v>#VALUE!</v>
      </c>
      <c r="GJ2" t="e">
        <f>AND(icf.157!E18,"AAAAAG9/u78=")</f>
        <v>#VALUE!</v>
      </c>
      <c r="GK2" t="e">
        <f>AND(icf.157!F18,"AAAAAG9/u8A=")</f>
        <v>#VALUE!</v>
      </c>
      <c r="GL2" t="e">
        <f>AND(icf.157!G18,"AAAAAG9/u8E=")</f>
        <v>#VALUE!</v>
      </c>
      <c r="GM2" t="e">
        <f>AND(icf.157!H18,"AAAAAG9/u8I=")</f>
        <v>#VALUE!</v>
      </c>
      <c r="GN2" t="e">
        <f>AND(icf.157!I18,"AAAAAG9/u8M=")</f>
        <v>#VALUE!</v>
      </c>
      <c r="GO2" t="e">
        <f>AND(icf.157!J18,"AAAAAG9/u8Q=")</f>
        <v>#VALUE!</v>
      </c>
      <c r="GP2" t="e">
        <f>AND(icf.157!L18,"AAAAAG9/u8U=")</f>
        <v>#VALUE!</v>
      </c>
      <c r="GQ2" t="e">
        <f>AND(icf.157!M18,"AAAAAG9/u8Y=")</f>
        <v>#VALUE!</v>
      </c>
      <c r="GR2" t="e">
        <f>AND(icf.157!N18,"AAAAAG9/u8c=")</f>
        <v>#VALUE!</v>
      </c>
      <c r="GS2" t="e">
        <f>AND(icf.157!O18,"AAAAAG9/u8g=")</f>
        <v>#VALUE!</v>
      </c>
      <c r="GT2" t="e">
        <f>AND(icf.157!P18,"AAAAAG9/u8k=")</f>
        <v>#VALUE!</v>
      </c>
      <c r="GU2" t="e">
        <f>AND(icf.157!Q18,"AAAAAG9/u8o=")</f>
        <v>#VALUE!</v>
      </c>
      <c r="GV2" t="e">
        <f>AND(icf.157!R18,"AAAAAG9/u8s=")</f>
        <v>#VALUE!</v>
      </c>
      <c r="GW2" t="e">
        <f>AND(icf.157!S18,"AAAAAG9/u8w=")</f>
        <v>#VALUE!</v>
      </c>
      <c r="GX2" t="e">
        <f>AND(icf.157!T18,"AAAAAG9/u80=")</f>
        <v>#VALUE!</v>
      </c>
      <c r="GY2" t="e">
        <f>AND(icf.157!#REF!,"AAAAAG9/u84=")</f>
        <v>#REF!</v>
      </c>
      <c r="GZ2" t="e">
        <f>AND(icf.157!V18,"AAAAAG9/u88=")</f>
        <v>#VALUE!</v>
      </c>
      <c r="HA2" t="e">
        <f>AND(icf.157!W18,"AAAAAG9/u9A=")</f>
        <v>#VALUE!</v>
      </c>
      <c r="HB2" t="e">
        <f>AND(icf.157!Y18,"AAAAAG9/u9E=")</f>
        <v>#VALUE!</v>
      </c>
      <c r="HC2" t="e">
        <f>AND(icf.157!Z18,"AAAAAG9/u9I=")</f>
        <v>#VALUE!</v>
      </c>
      <c r="HD2" t="e">
        <f>AND(icf.157!AA18,"AAAAAG9/u9M=")</f>
        <v>#VALUE!</v>
      </c>
      <c r="HE2">
        <f>IF(icf.157!19:19,"AAAAAG9/u9Q=",0)</f>
        <v>0</v>
      </c>
      <c r="HF2" t="e">
        <f>AND(icf.157!A19,"AAAAAG9/u9U=")</f>
        <v>#VALUE!</v>
      </c>
      <c r="HG2" t="e">
        <f>AND(icf.157!#REF!,"AAAAAG9/u9Y=")</f>
        <v>#REF!</v>
      </c>
      <c r="HH2" t="e">
        <f>AND(icf.157!C19,"AAAAAG9/u9c=")</f>
        <v>#VALUE!</v>
      </c>
      <c r="HI2" t="e">
        <f>AND(icf.157!D19,"AAAAAG9/u9g=")</f>
        <v>#VALUE!</v>
      </c>
      <c r="HJ2" t="e">
        <f>AND(icf.157!E19,"AAAAAG9/u9k=")</f>
        <v>#VALUE!</v>
      </c>
      <c r="HK2" t="e">
        <f>AND(icf.157!F19,"AAAAAG9/u9o=")</f>
        <v>#VALUE!</v>
      </c>
      <c r="HL2" t="e">
        <f>AND(icf.157!G19,"AAAAAG9/u9s=")</f>
        <v>#VALUE!</v>
      </c>
      <c r="HM2" t="e">
        <f>AND(icf.157!H19,"AAAAAG9/u9w=")</f>
        <v>#VALUE!</v>
      </c>
      <c r="HN2" t="e">
        <f>AND(icf.157!I19,"AAAAAG9/u90=")</f>
        <v>#VALUE!</v>
      </c>
      <c r="HO2" t="e">
        <f>AND(icf.157!J19,"AAAAAG9/u94=")</f>
        <v>#VALUE!</v>
      </c>
      <c r="HP2" t="e">
        <f>AND(icf.157!L19,"AAAAAG9/u98=")</f>
        <v>#VALUE!</v>
      </c>
      <c r="HQ2" t="e">
        <f>AND(icf.157!M19,"AAAAAG9/u+A=")</f>
        <v>#VALUE!</v>
      </c>
      <c r="HR2" t="e">
        <f>AND(icf.157!N19,"AAAAAG9/u+E=")</f>
        <v>#VALUE!</v>
      </c>
      <c r="HS2" t="e">
        <f>AND(icf.157!O19,"AAAAAG9/u+I=")</f>
        <v>#VALUE!</v>
      </c>
      <c r="HT2" t="e">
        <f>AND(icf.157!P19,"AAAAAG9/u+M=")</f>
        <v>#VALUE!</v>
      </c>
      <c r="HU2" t="e">
        <f>AND(icf.157!Q19,"AAAAAG9/u+Q=")</f>
        <v>#VALUE!</v>
      </c>
      <c r="HV2" t="e">
        <f>AND(icf.157!R19,"AAAAAG9/u+U=")</f>
        <v>#VALUE!</v>
      </c>
      <c r="HW2" t="e">
        <f>AND(icf.157!S19,"AAAAAG9/u+Y=")</f>
        <v>#VALUE!</v>
      </c>
      <c r="HX2" t="e">
        <f>AND(icf.157!T19,"AAAAAG9/u+c=")</f>
        <v>#VALUE!</v>
      </c>
      <c r="HY2" t="e">
        <f>AND(icf.157!#REF!,"AAAAAG9/u+g=")</f>
        <v>#REF!</v>
      </c>
      <c r="HZ2" t="e">
        <f>AND(icf.157!V19,"AAAAAG9/u+k=")</f>
        <v>#VALUE!</v>
      </c>
      <c r="IA2" t="e">
        <f>AND(icf.157!W19,"AAAAAG9/u+o=")</f>
        <v>#VALUE!</v>
      </c>
      <c r="IB2" t="e">
        <f>AND(icf.157!Y19,"AAAAAG9/u+s=")</f>
        <v>#VALUE!</v>
      </c>
      <c r="IC2" t="e">
        <f>AND(icf.157!Z19,"AAAAAG9/u+w=")</f>
        <v>#VALUE!</v>
      </c>
      <c r="ID2" t="e">
        <f>AND(icf.157!AA19,"AAAAAG9/u+0=")</f>
        <v>#VALUE!</v>
      </c>
      <c r="IE2">
        <f>IF(icf.157!20:20,"AAAAAG9/u+4=",0)</f>
        <v>0</v>
      </c>
      <c r="IF2" t="e">
        <f>AND(icf.157!A20,"AAAAAG9/u+8=")</f>
        <v>#VALUE!</v>
      </c>
      <c r="IG2" t="e">
        <f>AND(icf.157!#REF!,"AAAAAG9/u/A=")</f>
        <v>#REF!</v>
      </c>
      <c r="IH2" t="e">
        <f>AND(icf.157!C20,"AAAAAG9/u/E=")</f>
        <v>#VALUE!</v>
      </c>
      <c r="II2" t="e">
        <f>AND(icf.157!D20,"AAAAAG9/u/I=")</f>
        <v>#VALUE!</v>
      </c>
      <c r="IJ2" t="e">
        <f>AND(icf.157!E20,"AAAAAG9/u/M=")</f>
        <v>#VALUE!</v>
      </c>
      <c r="IK2" t="e">
        <f>AND(icf.157!F20,"AAAAAG9/u/Q=")</f>
        <v>#VALUE!</v>
      </c>
      <c r="IL2" t="e">
        <f>AND(icf.157!G20,"AAAAAG9/u/U=")</f>
        <v>#VALUE!</v>
      </c>
      <c r="IM2" t="e">
        <f>AND(icf.157!H20,"AAAAAG9/u/Y=")</f>
        <v>#VALUE!</v>
      </c>
      <c r="IN2" t="e">
        <f>AND(icf.157!I20,"AAAAAG9/u/c=")</f>
        <v>#VALUE!</v>
      </c>
      <c r="IO2" t="e">
        <f>AND(icf.157!J20,"AAAAAG9/u/g=")</f>
        <v>#VALUE!</v>
      </c>
      <c r="IP2" t="e">
        <f>AND(icf.157!L20,"AAAAAG9/u/k=")</f>
        <v>#VALUE!</v>
      </c>
      <c r="IQ2" t="e">
        <f>AND(icf.157!M20,"AAAAAG9/u/o=")</f>
        <v>#VALUE!</v>
      </c>
      <c r="IR2" t="e">
        <f>AND(icf.157!N20,"AAAAAG9/u/s=")</f>
        <v>#VALUE!</v>
      </c>
      <c r="IS2" t="e">
        <f>AND(icf.157!O20,"AAAAAG9/u/w=")</f>
        <v>#VALUE!</v>
      </c>
      <c r="IT2" t="e">
        <f>AND(icf.157!P20,"AAAAAG9/u/0=")</f>
        <v>#VALUE!</v>
      </c>
      <c r="IU2" t="e">
        <f>AND(icf.157!Q20,"AAAAAG9/u/4=")</f>
        <v>#VALUE!</v>
      </c>
      <c r="IV2" t="e">
        <f>AND(icf.157!R20,"AAAAAG9/u/8=")</f>
        <v>#VALUE!</v>
      </c>
    </row>
    <row r="3" spans="1:256" x14ac:dyDescent="0.2">
      <c r="A3" t="e">
        <f>AND(icf.157!S20,"AAAAAHuxawA=")</f>
        <v>#VALUE!</v>
      </c>
      <c r="B3" t="e">
        <f>AND(icf.157!T20,"AAAAAHuxawE=")</f>
        <v>#VALUE!</v>
      </c>
      <c r="C3" t="e">
        <f>AND(icf.157!#REF!,"AAAAAHuxawI=")</f>
        <v>#REF!</v>
      </c>
      <c r="D3" t="e">
        <f>AND(icf.157!V20,"AAAAAHuxawM=")</f>
        <v>#VALUE!</v>
      </c>
      <c r="E3" t="e">
        <f>AND(icf.157!W20,"AAAAAHuxawQ=")</f>
        <v>#VALUE!</v>
      </c>
      <c r="F3" t="e">
        <f>AND(icf.157!Y20,"AAAAAHuxawU=")</f>
        <v>#VALUE!</v>
      </c>
      <c r="G3" t="e">
        <f>AND(icf.157!Z20,"AAAAAHuxawY=")</f>
        <v>#VALUE!</v>
      </c>
      <c r="H3" t="e">
        <f>AND(icf.157!AA20,"AAAAAHuxawc=")</f>
        <v>#VALUE!</v>
      </c>
      <c r="I3" t="str">
        <f>IF(icf.157!21:21,"AAAAAHuxawg=",0)</f>
        <v>AAAAAHuxawg=</v>
      </c>
      <c r="J3" t="e">
        <f>AND(icf.157!A21,"AAAAAHuxawk=")</f>
        <v>#VALUE!</v>
      </c>
      <c r="K3" t="e">
        <f>AND(icf.157!#REF!,"AAAAAHuxawo=")</f>
        <v>#REF!</v>
      </c>
      <c r="L3" t="e">
        <f>AND(icf.157!C21,"AAAAAHuxaws=")</f>
        <v>#VALUE!</v>
      </c>
      <c r="M3" t="e">
        <f>AND(icf.157!D21,"AAAAAHuxaww=")</f>
        <v>#VALUE!</v>
      </c>
      <c r="N3" t="e">
        <f>AND(icf.157!E21,"AAAAAHuxaw0=")</f>
        <v>#VALUE!</v>
      </c>
      <c r="O3" t="e">
        <f>AND(icf.157!F21,"AAAAAHuxaw4=")</f>
        <v>#VALUE!</v>
      </c>
      <c r="P3" t="e">
        <f>AND(icf.157!G21,"AAAAAHuxaw8=")</f>
        <v>#VALUE!</v>
      </c>
      <c r="Q3" t="e">
        <f>AND(icf.157!H21,"AAAAAHuxaxA=")</f>
        <v>#VALUE!</v>
      </c>
      <c r="R3" t="e">
        <f>AND(icf.157!I21,"AAAAAHuxaxE=")</f>
        <v>#VALUE!</v>
      </c>
      <c r="S3" t="e">
        <f>AND(icf.157!J21,"AAAAAHuxaxI=")</f>
        <v>#VALUE!</v>
      </c>
      <c r="T3" t="e">
        <f>AND(icf.157!L21,"AAAAAHuxaxM=")</f>
        <v>#VALUE!</v>
      </c>
      <c r="U3" t="e">
        <f>AND(icf.157!M21,"AAAAAHuxaxQ=")</f>
        <v>#VALUE!</v>
      </c>
      <c r="V3" t="e">
        <f>AND(icf.157!N21,"AAAAAHuxaxU=")</f>
        <v>#VALUE!</v>
      </c>
      <c r="W3" t="e">
        <f>AND(icf.157!O21,"AAAAAHuxaxY=")</f>
        <v>#VALUE!</v>
      </c>
      <c r="X3" t="e">
        <f>AND(icf.157!P21,"AAAAAHuxaxc=")</f>
        <v>#VALUE!</v>
      </c>
      <c r="Y3" t="e">
        <f>AND(icf.157!Q21,"AAAAAHuxaxg=")</f>
        <v>#VALUE!</v>
      </c>
      <c r="Z3" t="e">
        <f>AND(icf.157!R21,"AAAAAHuxaxk=")</f>
        <v>#VALUE!</v>
      </c>
      <c r="AA3" t="e">
        <f>AND(icf.157!S21,"AAAAAHuxaxo=")</f>
        <v>#VALUE!</v>
      </c>
      <c r="AB3" t="e">
        <f>AND(icf.157!T21,"AAAAAHuxaxs=")</f>
        <v>#VALUE!</v>
      </c>
      <c r="AC3" t="e">
        <f>AND(icf.157!#REF!,"AAAAAHuxaxw=")</f>
        <v>#REF!</v>
      </c>
      <c r="AD3" t="e">
        <f>AND(icf.157!V21,"AAAAAHuxax0=")</f>
        <v>#VALUE!</v>
      </c>
      <c r="AE3" t="e">
        <f>AND(icf.157!W21,"AAAAAHuxax4=")</f>
        <v>#VALUE!</v>
      </c>
      <c r="AF3" t="e">
        <f>AND(icf.157!Y21,"AAAAAHuxax8=")</f>
        <v>#VALUE!</v>
      </c>
      <c r="AG3" t="e">
        <f>AND(icf.157!Z21,"AAAAAHuxayA=")</f>
        <v>#VALUE!</v>
      </c>
      <c r="AH3" t="e">
        <f>AND(icf.157!AA21,"AAAAAHuxayE=")</f>
        <v>#VALUE!</v>
      </c>
      <c r="AI3" t="str">
        <f>IF(icf.157!22:22,"AAAAAHuxayI=",0)</f>
        <v>AAAAAHuxayI=</v>
      </c>
      <c r="AJ3" t="e">
        <f>AND(icf.157!A22,"AAAAAHuxayM=")</f>
        <v>#VALUE!</v>
      </c>
      <c r="AK3" t="e">
        <f>AND(icf.157!#REF!,"AAAAAHuxayQ=")</f>
        <v>#REF!</v>
      </c>
      <c r="AL3" t="e">
        <f>AND(icf.157!C22,"AAAAAHuxayU=")</f>
        <v>#VALUE!</v>
      </c>
      <c r="AM3" t="e">
        <f>AND(icf.157!D22,"AAAAAHuxayY=")</f>
        <v>#VALUE!</v>
      </c>
      <c r="AN3" t="e">
        <f>AND(icf.157!E22,"AAAAAHuxayc=")</f>
        <v>#VALUE!</v>
      </c>
      <c r="AO3" t="e">
        <f>AND(icf.157!F22,"AAAAAHuxayg=")</f>
        <v>#VALUE!</v>
      </c>
      <c r="AP3" t="e">
        <f>AND(icf.157!G22,"AAAAAHuxayk=")</f>
        <v>#VALUE!</v>
      </c>
      <c r="AQ3" t="e">
        <f>AND(icf.157!H22,"AAAAAHuxayo=")</f>
        <v>#VALUE!</v>
      </c>
      <c r="AR3" t="e">
        <f>AND(icf.157!I22,"AAAAAHuxays=")</f>
        <v>#VALUE!</v>
      </c>
      <c r="AS3" t="e">
        <f>AND(icf.157!J22,"AAAAAHuxayw=")</f>
        <v>#VALUE!</v>
      </c>
      <c r="AT3" t="e">
        <f>AND(icf.157!L22,"AAAAAHuxay0=")</f>
        <v>#VALUE!</v>
      </c>
      <c r="AU3" t="e">
        <f>AND(icf.157!M22,"AAAAAHuxay4=")</f>
        <v>#VALUE!</v>
      </c>
      <c r="AV3" t="e">
        <f>AND(icf.157!N22,"AAAAAHuxay8=")</f>
        <v>#VALUE!</v>
      </c>
      <c r="AW3" t="e">
        <f>AND(icf.157!O22,"AAAAAHuxazA=")</f>
        <v>#VALUE!</v>
      </c>
      <c r="AX3" t="e">
        <f>AND(icf.157!P22,"AAAAAHuxazE=")</f>
        <v>#VALUE!</v>
      </c>
      <c r="AY3" t="e">
        <f>AND(icf.157!Q22,"AAAAAHuxazI=")</f>
        <v>#VALUE!</v>
      </c>
      <c r="AZ3" t="e">
        <f>AND(icf.157!R22,"AAAAAHuxazM=")</f>
        <v>#VALUE!</v>
      </c>
      <c r="BA3" t="e">
        <f>AND(icf.157!S22,"AAAAAHuxazQ=")</f>
        <v>#VALUE!</v>
      </c>
      <c r="BB3" t="e">
        <f>AND(icf.157!T22,"AAAAAHuxazU=")</f>
        <v>#VALUE!</v>
      </c>
      <c r="BC3" t="e">
        <f>AND(icf.157!#REF!,"AAAAAHuxazY=")</f>
        <v>#REF!</v>
      </c>
      <c r="BD3" t="e">
        <f>AND(icf.157!V22,"AAAAAHuxazc=")</f>
        <v>#VALUE!</v>
      </c>
      <c r="BE3" t="e">
        <f>AND(icf.157!W22,"AAAAAHuxazg=")</f>
        <v>#VALUE!</v>
      </c>
      <c r="BF3" t="e">
        <f>AND(icf.157!Y22,"AAAAAHuxazk=")</f>
        <v>#VALUE!</v>
      </c>
      <c r="BG3" t="e">
        <f>AND(icf.157!Z22,"AAAAAHuxazo=")</f>
        <v>#VALUE!</v>
      </c>
      <c r="BH3" t="e">
        <f>AND(icf.157!AA22,"AAAAAHuxazs=")</f>
        <v>#VALUE!</v>
      </c>
      <c r="BI3">
        <f>IF(icf.157!23:23,"AAAAAHuxazw=",0)</f>
        <v>0</v>
      </c>
      <c r="BJ3" t="e">
        <f>AND(icf.157!A23,"AAAAAHuxaz0=")</f>
        <v>#VALUE!</v>
      </c>
      <c r="BK3" t="e">
        <f>AND(icf.157!#REF!,"AAAAAHuxaz4=")</f>
        <v>#REF!</v>
      </c>
      <c r="BL3" t="e">
        <f>AND(icf.157!C23,"AAAAAHuxaz8=")</f>
        <v>#VALUE!</v>
      </c>
      <c r="BM3" t="e">
        <f>AND(icf.157!D23,"AAAAAHuxa0A=")</f>
        <v>#VALUE!</v>
      </c>
      <c r="BN3" t="e">
        <f>AND(icf.157!E23,"AAAAAHuxa0E=")</f>
        <v>#VALUE!</v>
      </c>
      <c r="BO3" t="e">
        <f>AND(icf.157!F23,"AAAAAHuxa0I=")</f>
        <v>#VALUE!</v>
      </c>
      <c r="BP3" t="e">
        <f>AND(icf.157!G23,"AAAAAHuxa0M=")</f>
        <v>#VALUE!</v>
      </c>
      <c r="BQ3" t="e">
        <f>AND(icf.157!H23,"AAAAAHuxa0Q=")</f>
        <v>#VALUE!</v>
      </c>
      <c r="BR3" t="e">
        <f>AND(icf.157!I23,"AAAAAHuxa0U=")</f>
        <v>#VALUE!</v>
      </c>
      <c r="BS3" t="e">
        <f>AND(icf.157!J23,"AAAAAHuxa0Y=")</f>
        <v>#VALUE!</v>
      </c>
      <c r="BT3" t="e">
        <f>AND(icf.157!L23,"AAAAAHuxa0c=")</f>
        <v>#VALUE!</v>
      </c>
      <c r="BU3" t="e">
        <f>AND(icf.157!M23,"AAAAAHuxa0g=")</f>
        <v>#VALUE!</v>
      </c>
      <c r="BV3" t="e">
        <f>AND(icf.157!N23,"AAAAAHuxa0k=")</f>
        <v>#VALUE!</v>
      </c>
      <c r="BW3" t="e">
        <f>AND(icf.157!O23,"AAAAAHuxa0o=")</f>
        <v>#VALUE!</v>
      </c>
      <c r="BX3" t="e">
        <f>AND(icf.157!P23,"AAAAAHuxa0s=")</f>
        <v>#VALUE!</v>
      </c>
      <c r="BY3" t="e">
        <f>AND(icf.157!Q23,"AAAAAHuxa0w=")</f>
        <v>#VALUE!</v>
      </c>
      <c r="BZ3" t="e">
        <f>AND(icf.157!R23,"AAAAAHuxa00=")</f>
        <v>#VALUE!</v>
      </c>
      <c r="CA3" t="e">
        <f>AND(icf.157!S23,"AAAAAHuxa04=")</f>
        <v>#VALUE!</v>
      </c>
      <c r="CB3" t="e">
        <f>AND(icf.157!T23,"AAAAAHuxa08=")</f>
        <v>#VALUE!</v>
      </c>
      <c r="CC3" t="e">
        <f>AND(icf.157!#REF!,"AAAAAHuxa1A=")</f>
        <v>#REF!</v>
      </c>
      <c r="CD3" t="e">
        <f>AND(icf.157!V23,"AAAAAHuxa1E=")</f>
        <v>#VALUE!</v>
      </c>
      <c r="CE3" t="e">
        <f>AND(icf.157!W23,"AAAAAHuxa1I=")</f>
        <v>#VALUE!</v>
      </c>
      <c r="CF3" t="e">
        <f>AND(icf.157!Y23,"AAAAAHuxa1M=")</f>
        <v>#VALUE!</v>
      </c>
      <c r="CG3" t="e">
        <f>AND(icf.157!Z23,"AAAAAHuxa1Q=")</f>
        <v>#VALUE!</v>
      </c>
      <c r="CH3" t="e">
        <f>AND(icf.157!AA23,"AAAAAHuxa1U=")</f>
        <v>#VALUE!</v>
      </c>
      <c r="CI3">
        <f>IF(icf.157!24:24,"AAAAAHuxa1Y=",0)</f>
        <v>0</v>
      </c>
      <c r="CJ3" t="e">
        <f>AND(icf.157!A24,"AAAAAHuxa1c=")</f>
        <v>#VALUE!</v>
      </c>
      <c r="CK3" t="e">
        <f>AND(icf.157!#REF!,"AAAAAHuxa1g=")</f>
        <v>#REF!</v>
      </c>
      <c r="CL3" t="e">
        <f>AND(icf.157!C24,"AAAAAHuxa1k=")</f>
        <v>#VALUE!</v>
      </c>
      <c r="CM3" t="e">
        <f>AND(icf.157!D24,"AAAAAHuxa1o=")</f>
        <v>#VALUE!</v>
      </c>
      <c r="CN3" t="e">
        <f>AND(icf.157!E24,"AAAAAHuxa1s=")</f>
        <v>#VALUE!</v>
      </c>
      <c r="CO3" t="e">
        <f>AND(icf.157!F24,"AAAAAHuxa1w=")</f>
        <v>#VALUE!</v>
      </c>
      <c r="CP3" t="e">
        <f>AND(icf.157!G24,"AAAAAHuxa10=")</f>
        <v>#VALUE!</v>
      </c>
      <c r="CQ3" t="e">
        <f>AND(icf.157!H24,"AAAAAHuxa14=")</f>
        <v>#VALUE!</v>
      </c>
      <c r="CR3" t="e">
        <f>AND(icf.157!I24,"AAAAAHuxa18=")</f>
        <v>#VALUE!</v>
      </c>
      <c r="CS3" t="e">
        <f>AND(icf.157!J24,"AAAAAHuxa2A=")</f>
        <v>#VALUE!</v>
      </c>
      <c r="CT3" t="e">
        <f>AND(icf.157!L24,"AAAAAHuxa2E=")</f>
        <v>#VALUE!</v>
      </c>
      <c r="CU3" t="e">
        <f>AND(icf.157!M24,"AAAAAHuxa2I=")</f>
        <v>#VALUE!</v>
      </c>
      <c r="CV3" t="e">
        <f>AND(icf.157!N24,"AAAAAHuxa2M=")</f>
        <v>#VALUE!</v>
      </c>
      <c r="CW3" t="e">
        <f>AND(icf.157!O24,"AAAAAHuxa2Q=")</f>
        <v>#VALUE!</v>
      </c>
      <c r="CX3" t="e">
        <f>AND(icf.157!P24,"AAAAAHuxa2U=")</f>
        <v>#VALUE!</v>
      </c>
      <c r="CY3" t="e">
        <f>AND(icf.157!Q24,"AAAAAHuxa2Y=")</f>
        <v>#VALUE!</v>
      </c>
      <c r="CZ3" t="e">
        <f>AND(icf.157!R24,"AAAAAHuxa2c=")</f>
        <v>#VALUE!</v>
      </c>
      <c r="DA3" t="e">
        <f>AND(icf.157!S24,"AAAAAHuxa2g=")</f>
        <v>#VALUE!</v>
      </c>
      <c r="DB3" t="e">
        <f>AND(icf.157!T24,"AAAAAHuxa2k=")</f>
        <v>#VALUE!</v>
      </c>
      <c r="DC3" t="e">
        <f>AND(icf.157!#REF!,"AAAAAHuxa2o=")</f>
        <v>#REF!</v>
      </c>
      <c r="DD3" t="e">
        <f>AND(icf.157!V24,"AAAAAHuxa2s=")</f>
        <v>#VALUE!</v>
      </c>
      <c r="DE3" t="e">
        <f>AND(icf.157!W24,"AAAAAHuxa2w=")</f>
        <v>#VALUE!</v>
      </c>
      <c r="DF3" t="e">
        <f>AND(icf.157!Y24,"AAAAAHuxa20=")</f>
        <v>#VALUE!</v>
      </c>
      <c r="DG3" t="e">
        <f>AND(icf.157!Z24,"AAAAAHuxa24=")</f>
        <v>#VALUE!</v>
      </c>
      <c r="DH3" t="e">
        <f>AND(icf.157!AA24,"AAAAAHuxa28=")</f>
        <v>#VALUE!</v>
      </c>
      <c r="DI3">
        <f>IF(icf.157!25:25,"AAAAAHuxa3A=",0)</f>
        <v>0</v>
      </c>
      <c r="DJ3" t="e">
        <f>AND(icf.157!A25,"AAAAAHuxa3E=")</f>
        <v>#VALUE!</v>
      </c>
      <c r="DK3" t="e">
        <f>AND(icf.157!#REF!,"AAAAAHuxa3I=")</f>
        <v>#REF!</v>
      </c>
      <c r="DL3" t="e">
        <f>AND(icf.157!C25,"AAAAAHuxa3M=")</f>
        <v>#VALUE!</v>
      </c>
      <c r="DM3" t="e">
        <f>AND(icf.157!D25,"AAAAAHuxa3Q=")</f>
        <v>#VALUE!</v>
      </c>
      <c r="DN3" t="e">
        <f>AND(icf.157!E25,"AAAAAHuxa3U=")</f>
        <v>#VALUE!</v>
      </c>
      <c r="DO3" t="e">
        <f>AND(icf.157!F25,"AAAAAHuxa3Y=")</f>
        <v>#VALUE!</v>
      </c>
      <c r="DP3" t="e">
        <f>AND(icf.157!G25,"AAAAAHuxa3c=")</f>
        <v>#VALUE!</v>
      </c>
      <c r="DQ3" t="e">
        <f>AND(icf.157!H25,"AAAAAHuxa3g=")</f>
        <v>#VALUE!</v>
      </c>
      <c r="DR3" t="e">
        <f>AND(icf.157!I25,"AAAAAHuxa3k=")</f>
        <v>#VALUE!</v>
      </c>
      <c r="DS3" t="e">
        <f>AND(icf.157!J25,"AAAAAHuxa3o=")</f>
        <v>#VALUE!</v>
      </c>
      <c r="DT3" t="e">
        <f>AND(icf.157!L25,"AAAAAHuxa3s=")</f>
        <v>#VALUE!</v>
      </c>
      <c r="DU3" t="e">
        <f>AND(icf.157!M25,"AAAAAHuxa3w=")</f>
        <v>#VALUE!</v>
      </c>
      <c r="DV3" t="e">
        <f>AND(icf.157!N25,"AAAAAHuxa30=")</f>
        <v>#VALUE!</v>
      </c>
      <c r="DW3" t="e">
        <f>AND(icf.157!O25,"AAAAAHuxa34=")</f>
        <v>#VALUE!</v>
      </c>
      <c r="DX3" t="e">
        <f>AND(icf.157!P25,"AAAAAHuxa38=")</f>
        <v>#VALUE!</v>
      </c>
      <c r="DY3" t="e">
        <f>AND(icf.157!Q25,"AAAAAHuxa4A=")</f>
        <v>#VALUE!</v>
      </c>
      <c r="DZ3" t="e">
        <f>AND(icf.157!R25,"AAAAAHuxa4E=")</f>
        <v>#VALUE!</v>
      </c>
      <c r="EA3" t="e">
        <f>AND(icf.157!S25,"AAAAAHuxa4I=")</f>
        <v>#VALUE!</v>
      </c>
      <c r="EB3" t="e">
        <f>AND(icf.157!T25,"AAAAAHuxa4M=")</f>
        <v>#VALUE!</v>
      </c>
      <c r="EC3" t="e">
        <f>AND(icf.157!#REF!,"AAAAAHuxa4Q=")</f>
        <v>#REF!</v>
      </c>
      <c r="ED3" t="e">
        <f>AND(icf.157!V25,"AAAAAHuxa4U=")</f>
        <v>#VALUE!</v>
      </c>
      <c r="EE3" t="e">
        <f>AND(icf.157!W25,"AAAAAHuxa4Y=")</f>
        <v>#VALUE!</v>
      </c>
      <c r="EF3" t="e">
        <f>AND(icf.157!Y25,"AAAAAHuxa4c=")</f>
        <v>#VALUE!</v>
      </c>
      <c r="EG3" t="e">
        <f>AND(icf.157!Z25,"AAAAAHuxa4g=")</f>
        <v>#VALUE!</v>
      </c>
      <c r="EH3" t="e">
        <f>AND(icf.157!AA25,"AAAAAHuxa4k=")</f>
        <v>#VALUE!</v>
      </c>
      <c r="EI3">
        <f>IF(icf.157!26:26,"AAAAAHuxa4o=",0)</f>
        <v>0</v>
      </c>
      <c r="EJ3" t="e">
        <f>AND(icf.157!A26,"AAAAAHuxa4s=")</f>
        <v>#VALUE!</v>
      </c>
      <c r="EK3" t="e">
        <f>AND(icf.157!#REF!,"AAAAAHuxa4w=")</f>
        <v>#REF!</v>
      </c>
      <c r="EL3" t="e">
        <f>AND(icf.157!C26,"AAAAAHuxa40=")</f>
        <v>#VALUE!</v>
      </c>
      <c r="EM3" t="e">
        <f>AND(icf.157!D26,"AAAAAHuxa44=")</f>
        <v>#VALUE!</v>
      </c>
      <c r="EN3" t="e">
        <f>AND(icf.157!E26,"AAAAAHuxa48=")</f>
        <v>#VALUE!</v>
      </c>
      <c r="EO3" t="e">
        <f>AND(icf.157!F26,"AAAAAHuxa5A=")</f>
        <v>#VALUE!</v>
      </c>
      <c r="EP3" t="e">
        <f>AND(icf.157!G26,"AAAAAHuxa5E=")</f>
        <v>#VALUE!</v>
      </c>
      <c r="EQ3" t="e">
        <f>AND(icf.157!H26,"AAAAAHuxa5I=")</f>
        <v>#VALUE!</v>
      </c>
      <c r="ER3" t="e">
        <f>AND(icf.157!I26,"AAAAAHuxa5M=")</f>
        <v>#VALUE!</v>
      </c>
      <c r="ES3" t="e">
        <f>AND(icf.157!J26,"AAAAAHuxa5Q=")</f>
        <v>#VALUE!</v>
      </c>
      <c r="ET3" t="e">
        <f>AND(icf.157!L26,"AAAAAHuxa5U=")</f>
        <v>#VALUE!</v>
      </c>
      <c r="EU3" t="e">
        <f>AND(icf.157!M26,"AAAAAHuxa5Y=")</f>
        <v>#VALUE!</v>
      </c>
      <c r="EV3" t="e">
        <f>AND(icf.157!N26,"AAAAAHuxa5c=")</f>
        <v>#VALUE!</v>
      </c>
      <c r="EW3" t="e">
        <f>AND(icf.157!O26,"AAAAAHuxa5g=")</f>
        <v>#VALUE!</v>
      </c>
      <c r="EX3" t="e">
        <f>AND(icf.157!P26,"AAAAAHuxa5k=")</f>
        <v>#VALUE!</v>
      </c>
      <c r="EY3" t="e">
        <f>AND(icf.157!Q26,"AAAAAHuxa5o=")</f>
        <v>#VALUE!</v>
      </c>
      <c r="EZ3" t="e">
        <f>AND(icf.157!R26,"AAAAAHuxa5s=")</f>
        <v>#VALUE!</v>
      </c>
      <c r="FA3" t="e">
        <f>AND(icf.157!S26,"AAAAAHuxa5w=")</f>
        <v>#VALUE!</v>
      </c>
      <c r="FB3" t="e">
        <f>AND(icf.157!T26,"AAAAAHuxa50=")</f>
        <v>#VALUE!</v>
      </c>
      <c r="FC3" t="e">
        <f>AND(icf.157!#REF!,"AAAAAHuxa54=")</f>
        <v>#REF!</v>
      </c>
      <c r="FD3" t="e">
        <f>AND(icf.157!V26,"AAAAAHuxa58=")</f>
        <v>#VALUE!</v>
      </c>
      <c r="FE3" t="e">
        <f>AND(icf.157!W26,"AAAAAHuxa6A=")</f>
        <v>#VALUE!</v>
      </c>
      <c r="FF3" t="e">
        <f>AND(icf.157!Y26,"AAAAAHuxa6E=")</f>
        <v>#VALUE!</v>
      </c>
      <c r="FG3" t="e">
        <f>AND(icf.157!Z26,"AAAAAHuxa6I=")</f>
        <v>#VALUE!</v>
      </c>
      <c r="FH3" t="e">
        <f>AND(icf.157!AA26,"AAAAAHuxa6M=")</f>
        <v>#VALUE!</v>
      </c>
      <c r="FI3">
        <f>IF(icf.157!27:27,"AAAAAHuxa6Q=",0)</f>
        <v>0</v>
      </c>
      <c r="FJ3" t="e">
        <f>AND(icf.157!A27,"AAAAAHuxa6U=")</f>
        <v>#VALUE!</v>
      </c>
      <c r="FK3" t="e">
        <f>AND(icf.157!#REF!,"AAAAAHuxa6Y=")</f>
        <v>#REF!</v>
      </c>
      <c r="FL3" t="e">
        <f>AND(icf.157!C27,"AAAAAHuxa6c=")</f>
        <v>#VALUE!</v>
      </c>
      <c r="FM3" t="e">
        <f>AND(icf.157!D27,"AAAAAHuxa6g=")</f>
        <v>#VALUE!</v>
      </c>
      <c r="FN3" t="e">
        <f>AND(icf.157!E27,"AAAAAHuxa6k=")</f>
        <v>#VALUE!</v>
      </c>
      <c r="FO3" t="e">
        <f>AND(icf.157!F27,"AAAAAHuxa6o=")</f>
        <v>#VALUE!</v>
      </c>
      <c r="FP3" t="e">
        <f>AND(icf.157!G27,"AAAAAHuxa6s=")</f>
        <v>#VALUE!</v>
      </c>
      <c r="FQ3" t="e">
        <f>AND(icf.157!H27,"AAAAAHuxa6w=")</f>
        <v>#VALUE!</v>
      </c>
      <c r="FR3" t="e">
        <f>AND(icf.157!I27,"AAAAAHuxa60=")</f>
        <v>#VALUE!</v>
      </c>
      <c r="FS3" t="e">
        <f>AND(icf.157!J27,"AAAAAHuxa64=")</f>
        <v>#VALUE!</v>
      </c>
      <c r="FT3" t="e">
        <f>AND(icf.157!L27,"AAAAAHuxa68=")</f>
        <v>#VALUE!</v>
      </c>
      <c r="FU3" t="e">
        <f>AND(icf.157!M27,"AAAAAHuxa7A=")</f>
        <v>#VALUE!</v>
      </c>
      <c r="FV3" t="e">
        <f>AND(icf.157!N27,"AAAAAHuxa7E=")</f>
        <v>#VALUE!</v>
      </c>
      <c r="FW3" t="e">
        <f>AND(icf.157!O27,"AAAAAHuxa7I=")</f>
        <v>#VALUE!</v>
      </c>
      <c r="FX3" t="e">
        <f>AND(icf.157!P27,"AAAAAHuxa7M=")</f>
        <v>#VALUE!</v>
      </c>
      <c r="FY3" t="e">
        <f>AND(icf.157!Q27,"AAAAAHuxa7Q=")</f>
        <v>#VALUE!</v>
      </c>
      <c r="FZ3" t="e">
        <f>AND(icf.157!R27,"AAAAAHuxa7U=")</f>
        <v>#VALUE!</v>
      </c>
      <c r="GA3" t="e">
        <f>AND(icf.157!S27,"AAAAAHuxa7Y=")</f>
        <v>#VALUE!</v>
      </c>
      <c r="GB3" t="e">
        <f>AND(icf.157!T27,"AAAAAHuxa7c=")</f>
        <v>#VALUE!</v>
      </c>
      <c r="GC3" t="e">
        <f>AND(icf.157!#REF!,"AAAAAHuxa7g=")</f>
        <v>#REF!</v>
      </c>
      <c r="GD3" t="e">
        <f>AND(icf.157!V27,"AAAAAHuxa7k=")</f>
        <v>#VALUE!</v>
      </c>
      <c r="GE3" t="e">
        <f>AND(icf.157!W27,"AAAAAHuxa7o=")</f>
        <v>#VALUE!</v>
      </c>
      <c r="GF3" t="e">
        <f>AND(icf.157!Y27,"AAAAAHuxa7s=")</f>
        <v>#VALUE!</v>
      </c>
      <c r="GG3" t="e">
        <f>AND(icf.157!Z27,"AAAAAHuxa7w=")</f>
        <v>#VALUE!</v>
      </c>
      <c r="GH3" t="e">
        <f>AND(icf.157!AA27,"AAAAAHuxa70=")</f>
        <v>#VALUE!</v>
      </c>
      <c r="GI3">
        <f>IF(icf.157!28:28,"AAAAAHuxa74=",0)</f>
        <v>0</v>
      </c>
      <c r="GJ3" t="e">
        <f>AND(icf.157!A28,"AAAAAHuxa78=")</f>
        <v>#VALUE!</v>
      </c>
      <c r="GK3" t="e">
        <f>AND(icf.157!#REF!,"AAAAAHuxa8A=")</f>
        <v>#REF!</v>
      </c>
      <c r="GL3" t="e">
        <f>AND(icf.157!C28,"AAAAAHuxa8E=")</f>
        <v>#VALUE!</v>
      </c>
      <c r="GM3" t="e">
        <f>AND(icf.157!D28,"AAAAAHuxa8I=")</f>
        <v>#VALUE!</v>
      </c>
      <c r="GN3" t="e">
        <f>AND(icf.157!E28,"AAAAAHuxa8M=")</f>
        <v>#VALUE!</v>
      </c>
      <c r="GO3" t="e">
        <f>AND(icf.157!F28,"AAAAAHuxa8Q=")</f>
        <v>#VALUE!</v>
      </c>
      <c r="GP3" t="e">
        <f>AND(icf.157!G28,"AAAAAHuxa8U=")</f>
        <v>#VALUE!</v>
      </c>
      <c r="GQ3" t="e">
        <f>AND(icf.157!H28,"AAAAAHuxa8Y=")</f>
        <v>#VALUE!</v>
      </c>
      <c r="GR3" t="e">
        <f>AND(icf.157!I28,"AAAAAHuxa8c=")</f>
        <v>#VALUE!</v>
      </c>
      <c r="GS3" t="e">
        <f>AND(icf.157!J28,"AAAAAHuxa8g=")</f>
        <v>#VALUE!</v>
      </c>
      <c r="GT3" t="e">
        <f>AND(icf.157!L28,"AAAAAHuxa8k=")</f>
        <v>#VALUE!</v>
      </c>
      <c r="GU3" t="e">
        <f>AND(icf.157!M28,"AAAAAHuxa8o=")</f>
        <v>#VALUE!</v>
      </c>
      <c r="GV3" t="e">
        <f>AND(icf.157!N28,"AAAAAHuxa8s=")</f>
        <v>#VALUE!</v>
      </c>
      <c r="GW3" t="e">
        <f>AND(icf.157!O28,"AAAAAHuxa8w=")</f>
        <v>#VALUE!</v>
      </c>
      <c r="GX3" t="e">
        <f>AND(icf.157!P28,"AAAAAHuxa80=")</f>
        <v>#VALUE!</v>
      </c>
      <c r="GY3" t="e">
        <f>AND(icf.157!Q28,"AAAAAHuxa84=")</f>
        <v>#VALUE!</v>
      </c>
      <c r="GZ3" t="e">
        <f>AND(icf.157!R28,"AAAAAHuxa88=")</f>
        <v>#VALUE!</v>
      </c>
      <c r="HA3" t="e">
        <f>AND(icf.157!S28,"AAAAAHuxa9A=")</f>
        <v>#VALUE!</v>
      </c>
      <c r="HB3" t="e">
        <f>AND(icf.157!T28,"AAAAAHuxa9E=")</f>
        <v>#VALUE!</v>
      </c>
      <c r="HC3" t="e">
        <f>AND(icf.157!#REF!,"AAAAAHuxa9I=")</f>
        <v>#REF!</v>
      </c>
      <c r="HD3" t="e">
        <f>AND(icf.157!V28,"AAAAAHuxa9M=")</f>
        <v>#VALUE!</v>
      </c>
      <c r="HE3" t="e">
        <f>AND(icf.157!W28,"AAAAAHuxa9Q=")</f>
        <v>#VALUE!</v>
      </c>
      <c r="HF3" t="e">
        <f>AND(icf.157!Y28,"AAAAAHuxa9U=")</f>
        <v>#VALUE!</v>
      </c>
      <c r="HG3" t="e">
        <f>AND(icf.157!Z28,"AAAAAHuxa9Y=")</f>
        <v>#VALUE!</v>
      </c>
      <c r="HH3" t="e">
        <f>AND(icf.157!AA28,"AAAAAHuxa9c=")</f>
        <v>#VALUE!</v>
      </c>
      <c r="HI3">
        <f>IF(icf.157!29:29,"AAAAAHuxa9g=",0)</f>
        <v>0</v>
      </c>
      <c r="HJ3" t="e">
        <f>AND(icf.157!A29,"AAAAAHuxa9k=")</f>
        <v>#VALUE!</v>
      </c>
      <c r="HK3" t="e">
        <f>AND(icf.157!#REF!,"AAAAAHuxa9o=")</f>
        <v>#REF!</v>
      </c>
      <c r="HL3" t="e">
        <f>AND(icf.157!C29,"AAAAAHuxa9s=")</f>
        <v>#VALUE!</v>
      </c>
      <c r="HM3" t="e">
        <f>AND(icf.157!D29,"AAAAAHuxa9w=")</f>
        <v>#VALUE!</v>
      </c>
      <c r="HN3" t="e">
        <f>AND(icf.157!E29,"AAAAAHuxa90=")</f>
        <v>#VALUE!</v>
      </c>
      <c r="HO3" t="e">
        <f>AND(icf.157!F29,"AAAAAHuxa94=")</f>
        <v>#VALUE!</v>
      </c>
      <c r="HP3" t="e">
        <f>AND(icf.157!G29,"AAAAAHuxa98=")</f>
        <v>#VALUE!</v>
      </c>
      <c r="HQ3" t="e">
        <f>AND(icf.157!H29,"AAAAAHuxa+A=")</f>
        <v>#VALUE!</v>
      </c>
      <c r="HR3" t="e">
        <f>AND(icf.157!I29,"AAAAAHuxa+E=")</f>
        <v>#VALUE!</v>
      </c>
      <c r="HS3" t="e">
        <f>AND(icf.157!J29,"AAAAAHuxa+I=")</f>
        <v>#VALUE!</v>
      </c>
      <c r="HT3" t="e">
        <f>AND(icf.157!L29,"AAAAAHuxa+M=")</f>
        <v>#VALUE!</v>
      </c>
      <c r="HU3" t="e">
        <f>AND(icf.157!M29,"AAAAAHuxa+Q=")</f>
        <v>#VALUE!</v>
      </c>
      <c r="HV3" t="e">
        <f>AND(icf.157!N29,"AAAAAHuxa+U=")</f>
        <v>#VALUE!</v>
      </c>
      <c r="HW3" t="e">
        <f>AND(icf.157!O29,"AAAAAHuxa+Y=")</f>
        <v>#VALUE!</v>
      </c>
      <c r="HX3" t="e">
        <f>AND(icf.157!P29,"AAAAAHuxa+c=")</f>
        <v>#VALUE!</v>
      </c>
      <c r="HY3" t="e">
        <f>AND(icf.157!Q29,"AAAAAHuxa+g=")</f>
        <v>#VALUE!</v>
      </c>
      <c r="HZ3" t="e">
        <f>AND(icf.157!R29,"AAAAAHuxa+k=")</f>
        <v>#VALUE!</v>
      </c>
      <c r="IA3" t="e">
        <f>AND(icf.157!S29,"AAAAAHuxa+o=")</f>
        <v>#VALUE!</v>
      </c>
      <c r="IB3" t="e">
        <f>AND(icf.157!T29,"AAAAAHuxa+s=")</f>
        <v>#VALUE!</v>
      </c>
      <c r="IC3" t="e">
        <f>AND(icf.157!#REF!,"AAAAAHuxa+w=")</f>
        <v>#REF!</v>
      </c>
      <c r="ID3" t="e">
        <f>AND(icf.157!V29,"AAAAAHuxa+0=")</f>
        <v>#VALUE!</v>
      </c>
      <c r="IE3" t="e">
        <f>AND(icf.157!W29,"AAAAAHuxa+4=")</f>
        <v>#VALUE!</v>
      </c>
      <c r="IF3" t="e">
        <f>AND(icf.157!Y29,"AAAAAHuxa+8=")</f>
        <v>#VALUE!</v>
      </c>
      <c r="IG3" t="e">
        <f>AND(icf.157!Z29,"AAAAAHuxa/A=")</f>
        <v>#VALUE!</v>
      </c>
      <c r="IH3" t="e">
        <f>AND(icf.157!AA29,"AAAAAHuxa/E=")</f>
        <v>#VALUE!</v>
      </c>
      <c r="II3">
        <f>IF(icf.157!30:30,"AAAAAHuxa/I=",0)</f>
        <v>0</v>
      </c>
      <c r="IJ3" t="e">
        <f>AND(icf.157!A30,"AAAAAHuxa/M=")</f>
        <v>#VALUE!</v>
      </c>
      <c r="IK3" t="e">
        <f>AND(icf.157!#REF!,"AAAAAHuxa/Q=")</f>
        <v>#REF!</v>
      </c>
      <c r="IL3" t="e">
        <f>AND(icf.157!C30,"AAAAAHuxa/U=")</f>
        <v>#VALUE!</v>
      </c>
      <c r="IM3" t="e">
        <f>AND(icf.157!D30,"AAAAAHuxa/Y=")</f>
        <v>#VALUE!</v>
      </c>
      <c r="IN3" t="e">
        <f>AND(icf.157!E30,"AAAAAHuxa/c=")</f>
        <v>#VALUE!</v>
      </c>
      <c r="IO3" t="e">
        <f>AND(icf.157!F30,"AAAAAHuxa/g=")</f>
        <v>#VALUE!</v>
      </c>
      <c r="IP3" t="e">
        <f>AND(icf.157!G30,"AAAAAHuxa/k=")</f>
        <v>#VALUE!</v>
      </c>
      <c r="IQ3" t="e">
        <f>AND(icf.157!H30,"AAAAAHuxa/o=")</f>
        <v>#VALUE!</v>
      </c>
      <c r="IR3" t="e">
        <f>AND(icf.157!I30,"AAAAAHuxa/s=")</f>
        <v>#VALUE!</v>
      </c>
      <c r="IS3" t="e">
        <f>AND(icf.157!J30,"AAAAAHuxa/w=")</f>
        <v>#VALUE!</v>
      </c>
      <c r="IT3" t="e">
        <f>AND(icf.157!L30,"AAAAAHuxa/0=")</f>
        <v>#VALUE!</v>
      </c>
      <c r="IU3" t="e">
        <f>AND(icf.157!M30,"AAAAAHuxa/4=")</f>
        <v>#VALUE!</v>
      </c>
      <c r="IV3" t="e">
        <f>AND(icf.157!N30,"AAAAAHuxa/8=")</f>
        <v>#VALUE!</v>
      </c>
    </row>
    <row r="4" spans="1:256" x14ac:dyDescent="0.2">
      <c r="A4" t="e">
        <f>AND(icf.157!O30,"AAAAAHH/uwA=")</f>
        <v>#VALUE!</v>
      </c>
      <c r="B4" t="e">
        <f>AND(icf.157!P30,"AAAAAHH/uwE=")</f>
        <v>#VALUE!</v>
      </c>
      <c r="C4" t="e">
        <f>AND(icf.157!Q30,"AAAAAHH/uwI=")</f>
        <v>#VALUE!</v>
      </c>
      <c r="D4" t="e">
        <f>AND(icf.157!R30,"AAAAAHH/uwM=")</f>
        <v>#VALUE!</v>
      </c>
      <c r="E4" t="e">
        <f>AND(icf.157!S30,"AAAAAHH/uwQ=")</f>
        <v>#VALUE!</v>
      </c>
      <c r="F4" t="e">
        <f>AND(icf.157!T30,"AAAAAHH/uwU=")</f>
        <v>#VALUE!</v>
      </c>
      <c r="G4" t="e">
        <f>AND(icf.157!#REF!,"AAAAAHH/uwY=")</f>
        <v>#REF!</v>
      </c>
      <c r="H4" t="e">
        <f>AND(icf.157!V30,"AAAAAHH/uwc=")</f>
        <v>#VALUE!</v>
      </c>
      <c r="I4" t="e">
        <f>AND(icf.157!W30,"AAAAAHH/uwg=")</f>
        <v>#VALUE!</v>
      </c>
      <c r="J4" t="e">
        <f>AND(icf.157!Y30,"AAAAAHH/uwk=")</f>
        <v>#VALUE!</v>
      </c>
      <c r="K4" t="e">
        <f>AND(icf.157!Z30,"AAAAAHH/uwo=")</f>
        <v>#VALUE!</v>
      </c>
      <c r="L4" t="e">
        <f>AND(icf.157!AA30,"AAAAAHH/uws=")</f>
        <v>#VALUE!</v>
      </c>
      <c r="M4">
        <f>IF(icf.157!31:31,"AAAAAHH/uww=",0)</f>
        <v>0</v>
      </c>
      <c r="N4" t="e">
        <f>AND(icf.157!A31,"AAAAAHH/uw0=")</f>
        <v>#VALUE!</v>
      </c>
      <c r="O4" t="e">
        <f>AND(icf.157!#REF!,"AAAAAHH/uw4=")</f>
        <v>#REF!</v>
      </c>
      <c r="P4" t="e">
        <f>AND(icf.157!C31,"AAAAAHH/uw8=")</f>
        <v>#VALUE!</v>
      </c>
      <c r="Q4" t="e">
        <f>AND(icf.157!D31,"AAAAAHH/uxA=")</f>
        <v>#VALUE!</v>
      </c>
      <c r="R4" t="e">
        <f>AND(icf.157!E31,"AAAAAHH/uxE=")</f>
        <v>#VALUE!</v>
      </c>
      <c r="S4" t="e">
        <f>AND(icf.157!F31,"AAAAAHH/uxI=")</f>
        <v>#VALUE!</v>
      </c>
      <c r="T4" t="e">
        <f>AND(icf.157!G31,"AAAAAHH/uxM=")</f>
        <v>#VALUE!</v>
      </c>
      <c r="U4" t="e">
        <f>AND(icf.157!H31,"AAAAAHH/uxQ=")</f>
        <v>#VALUE!</v>
      </c>
      <c r="V4" t="e">
        <f>AND(icf.157!I31,"AAAAAHH/uxU=")</f>
        <v>#VALUE!</v>
      </c>
      <c r="W4" t="e">
        <f>AND(icf.157!J31,"AAAAAHH/uxY=")</f>
        <v>#VALUE!</v>
      </c>
      <c r="X4" t="e">
        <f>AND(icf.157!L31,"AAAAAHH/uxc=")</f>
        <v>#VALUE!</v>
      </c>
      <c r="Y4" t="e">
        <f>AND(icf.157!M31,"AAAAAHH/uxg=")</f>
        <v>#VALUE!</v>
      </c>
      <c r="Z4" t="e">
        <f>AND(icf.157!N31,"AAAAAHH/uxk=")</f>
        <v>#VALUE!</v>
      </c>
      <c r="AA4" t="e">
        <f>AND(icf.157!O31,"AAAAAHH/uxo=")</f>
        <v>#VALUE!</v>
      </c>
      <c r="AB4" t="e">
        <f>AND(icf.157!P31,"AAAAAHH/uxs=")</f>
        <v>#VALUE!</v>
      </c>
      <c r="AC4" t="e">
        <f>AND(icf.157!Q31,"AAAAAHH/uxw=")</f>
        <v>#VALUE!</v>
      </c>
      <c r="AD4" t="e">
        <f>AND(icf.157!R31,"AAAAAHH/ux0=")</f>
        <v>#VALUE!</v>
      </c>
      <c r="AE4" t="e">
        <f>AND(icf.157!S31,"AAAAAHH/ux4=")</f>
        <v>#VALUE!</v>
      </c>
      <c r="AF4" t="e">
        <f>AND(icf.157!T31,"AAAAAHH/ux8=")</f>
        <v>#VALUE!</v>
      </c>
      <c r="AG4" t="e">
        <f>AND(icf.157!#REF!,"AAAAAHH/uyA=")</f>
        <v>#REF!</v>
      </c>
      <c r="AH4" t="e">
        <f>AND(icf.157!V31,"AAAAAHH/uyE=")</f>
        <v>#VALUE!</v>
      </c>
      <c r="AI4" t="e">
        <f>AND(icf.157!W31,"AAAAAHH/uyI=")</f>
        <v>#VALUE!</v>
      </c>
      <c r="AJ4" t="e">
        <f>AND(icf.157!Y31,"AAAAAHH/uyM=")</f>
        <v>#VALUE!</v>
      </c>
      <c r="AK4" t="e">
        <f>AND(icf.157!Z31,"AAAAAHH/uyQ=")</f>
        <v>#VALUE!</v>
      </c>
      <c r="AL4" t="e">
        <f>AND(icf.157!AA31,"AAAAAHH/uyU=")</f>
        <v>#VALUE!</v>
      </c>
      <c r="AM4">
        <f>IF(icf.157!32:32,"AAAAAHH/uyY=",0)</f>
        <v>0</v>
      </c>
      <c r="AN4" t="e">
        <f>AND(icf.157!A32,"AAAAAHH/uyc=")</f>
        <v>#VALUE!</v>
      </c>
      <c r="AO4" t="e">
        <f>AND(icf.157!#REF!,"AAAAAHH/uyg=")</f>
        <v>#REF!</v>
      </c>
      <c r="AP4" t="e">
        <f>AND(icf.157!C32,"AAAAAHH/uyk=")</f>
        <v>#VALUE!</v>
      </c>
      <c r="AQ4" t="e">
        <f>AND(icf.157!D32,"AAAAAHH/uyo=")</f>
        <v>#VALUE!</v>
      </c>
      <c r="AR4" t="e">
        <f>AND(icf.157!E32,"AAAAAHH/uys=")</f>
        <v>#VALUE!</v>
      </c>
      <c r="AS4" t="e">
        <f>AND(icf.157!F32,"AAAAAHH/uyw=")</f>
        <v>#VALUE!</v>
      </c>
      <c r="AT4" t="e">
        <f>AND(icf.157!G32,"AAAAAHH/uy0=")</f>
        <v>#VALUE!</v>
      </c>
      <c r="AU4" t="e">
        <f>AND(icf.157!H32,"AAAAAHH/uy4=")</f>
        <v>#VALUE!</v>
      </c>
      <c r="AV4" t="e">
        <f>AND(icf.157!I32,"AAAAAHH/uy8=")</f>
        <v>#VALUE!</v>
      </c>
      <c r="AW4" t="e">
        <f>AND(icf.157!J32,"AAAAAHH/uzA=")</f>
        <v>#VALUE!</v>
      </c>
      <c r="AX4" t="e">
        <f>AND(icf.157!L32,"AAAAAHH/uzE=")</f>
        <v>#VALUE!</v>
      </c>
      <c r="AY4" t="e">
        <f>AND(icf.157!M32,"AAAAAHH/uzI=")</f>
        <v>#VALUE!</v>
      </c>
      <c r="AZ4" t="e">
        <f>AND(icf.157!N32,"AAAAAHH/uzM=")</f>
        <v>#VALUE!</v>
      </c>
      <c r="BA4" t="e">
        <f>AND(icf.157!O32,"AAAAAHH/uzQ=")</f>
        <v>#VALUE!</v>
      </c>
      <c r="BB4" t="e">
        <f>AND(icf.157!P32,"AAAAAHH/uzU=")</f>
        <v>#VALUE!</v>
      </c>
      <c r="BC4" t="e">
        <f>AND(icf.157!Q32,"AAAAAHH/uzY=")</f>
        <v>#VALUE!</v>
      </c>
      <c r="BD4" t="e">
        <f>AND(icf.157!R32,"AAAAAHH/uzc=")</f>
        <v>#VALUE!</v>
      </c>
      <c r="BE4" t="e">
        <f>AND(icf.157!S32,"AAAAAHH/uzg=")</f>
        <v>#VALUE!</v>
      </c>
      <c r="BF4" t="e">
        <f>AND(icf.157!T32,"AAAAAHH/uzk=")</f>
        <v>#VALUE!</v>
      </c>
      <c r="BG4" t="e">
        <f>AND(icf.157!#REF!,"AAAAAHH/uzo=")</f>
        <v>#REF!</v>
      </c>
      <c r="BH4" t="e">
        <f>AND(icf.157!V32,"AAAAAHH/uzs=")</f>
        <v>#VALUE!</v>
      </c>
      <c r="BI4" t="e">
        <f>AND(icf.157!W32,"AAAAAHH/uzw=")</f>
        <v>#VALUE!</v>
      </c>
      <c r="BJ4" t="e">
        <f>AND(icf.157!Y32,"AAAAAHH/uz0=")</f>
        <v>#VALUE!</v>
      </c>
      <c r="BK4" t="e">
        <f>AND(icf.157!Z32,"AAAAAHH/uz4=")</f>
        <v>#VALUE!</v>
      </c>
      <c r="BL4" t="e">
        <f>AND(icf.157!AA32,"AAAAAHH/uz8=")</f>
        <v>#VALUE!</v>
      </c>
      <c r="BM4">
        <f>IF(icf.157!33:33,"AAAAAHH/u0A=",0)</f>
        <v>0</v>
      </c>
      <c r="BN4" t="e">
        <f>AND(icf.157!A33,"AAAAAHH/u0E=")</f>
        <v>#VALUE!</v>
      </c>
      <c r="BO4" t="e">
        <f>AND(icf.157!#REF!,"AAAAAHH/u0I=")</f>
        <v>#REF!</v>
      </c>
      <c r="BP4" t="e">
        <f>AND(icf.157!C33,"AAAAAHH/u0M=")</f>
        <v>#VALUE!</v>
      </c>
      <c r="BQ4" t="e">
        <f>AND(icf.157!D33,"AAAAAHH/u0Q=")</f>
        <v>#VALUE!</v>
      </c>
      <c r="BR4" t="e">
        <f>AND(icf.157!E33,"AAAAAHH/u0U=")</f>
        <v>#VALUE!</v>
      </c>
      <c r="BS4" t="e">
        <f>AND(icf.157!F33,"AAAAAHH/u0Y=")</f>
        <v>#VALUE!</v>
      </c>
      <c r="BT4" t="e">
        <f>AND(icf.157!G33,"AAAAAHH/u0c=")</f>
        <v>#VALUE!</v>
      </c>
      <c r="BU4" t="e">
        <f>AND(icf.157!H33,"AAAAAHH/u0g=")</f>
        <v>#VALUE!</v>
      </c>
      <c r="BV4" t="e">
        <f>AND(icf.157!I33,"AAAAAHH/u0k=")</f>
        <v>#VALUE!</v>
      </c>
      <c r="BW4" t="e">
        <f>AND(icf.157!J33,"AAAAAHH/u0o=")</f>
        <v>#VALUE!</v>
      </c>
      <c r="BX4" t="e">
        <f>AND(icf.157!L33,"AAAAAHH/u0s=")</f>
        <v>#VALUE!</v>
      </c>
      <c r="BY4" t="e">
        <f>AND(icf.157!M33,"AAAAAHH/u0w=")</f>
        <v>#VALUE!</v>
      </c>
      <c r="BZ4" t="e">
        <f>AND(icf.157!N33,"AAAAAHH/u00=")</f>
        <v>#VALUE!</v>
      </c>
      <c r="CA4" t="e">
        <f>AND(icf.157!O33,"AAAAAHH/u04=")</f>
        <v>#VALUE!</v>
      </c>
      <c r="CB4" t="e">
        <f>AND(icf.157!P33,"AAAAAHH/u08=")</f>
        <v>#VALUE!</v>
      </c>
      <c r="CC4" t="e">
        <f>AND(icf.157!Q33,"AAAAAHH/u1A=")</f>
        <v>#VALUE!</v>
      </c>
      <c r="CD4" t="e">
        <f>AND(icf.157!R33,"AAAAAHH/u1E=")</f>
        <v>#VALUE!</v>
      </c>
      <c r="CE4" t="e">
        <f>AND(icf.157!S33,"AAAAAHH/u1I=")</f>
        <v>#VALUE!</v>
      </c>
      <c r="CF4" t="e">
        <f>AND(icf.157!T33,"AAAAAHH/u1M=")</f>
        <v>#VALUE!</v>
      </c>
      <c r="CG4" t="e">
        <f>AND(icf.157!#REF!,"AAAAAHH/u1Q=")</f>
        <v>#REF!</v>
      </c>
      <c r="CH4" t="e">
        <f>AND(icf.157!V33,"AAAAAHH/u1U=")</f>
        <v>#VALUE!</v>
      </c>
      <c r="CI4" t="e">
        <f>AND(icf.157!W33,"AAAAAHH/u1Y=")</f>
        <v>#VALUE!</v>
      </c>
      <c r="CJ4" t="e">
        <f>AND(icf.157!Y33,"AAAAAHH/u1c=")</f>
        <v>#VALUE!</v>
      </c>
      <c r="CK4" t="e">
        <f>AND(icf.157!Z33,"AAAAAHH/u1g=")</f>
        <v>#VALUE!</v>
      </c>
      <c r="CL4" t="e">
        <f>AND(icf.157!AA33,"AAAAAHH/u1k=")</f>
        <v>#VALUE!</v>
      </c>
      <c r="CM4">
        <f>IF(icf.157!34:34,"AAAAAHH/u1o=",0)</f>
        <v>0</v>
      </c>
      <c r="CN4" t="e">
        <f>AND(icf.157!A34,"AAAAAHH/u1s=")</f>
        <v>#VALUE!</v>
      </c>
      <c r="CO4" t="e">
        <f>AND(icf.157!#REF!,"AAAAAHH/u1w=")</f>
        <v>#REF!</v>
      </c>
      <c r="CP4" t="e">
        <f>AND(icf.157!C34,"AAAAAHH/u10=")</f>
        <v>#VALUE!</v>
      </c>
      <c r="CQ4" t="e">
        <f>AND(icf.157!D34,"AAAAAHH/u14=")</f>
        <v>#VALUE!</v>
      </c>
      <c r="CR4" t="e">
        <f>AND(icf.157!E34,"AAAAAHH/u18=")</f>
        <v>#VALUE!</v>
      </c>
      <c r="CS4" t="e">
        <f>AND(icf.157!F34,"AAAAAHH/u2A=")</f>
        <v>#VALUE!</v>
      </c>
      <c r="CT4" t="e">
        <f>AND(icf.157!G34,"AAAAAHH/u2E=")</f>
        <v>#VALUE!</v>
      </c>
      <c r="CU4" t="e">
        <f>AND(icf.157!H34,"AAAAAHH/u2I=")</f>
        <v>#VALUE!</v>
      </c>
      <c r="CV4" t="e">
        <f>AND(icf.157!I34,"AAAAAHH/u2M=")</f>
        <v>#VALUE!</v>
      </c>
      <c r="CW4" t="e">
        <f>AND(icf.157!J34,"AAAAAHH/u2Q=")</f>
        <v>#VALUE!</v>
      </c>
      <c r="CX4" t="e">
        <f>AND(icf.157!L34,"AAAAAHH/u2U=")</f>
        <v>#VALUE!</v>
      </c>
      <c r="CY4" t="e">
        <f>AND(icf.157!M34,"AAAAAHH/u2Y=")</f>
        <v>#VALUE!</v>
      </c>
      <c r="CZ4" t="e">
        <f>AND(icf.157!N34,"AAAAAHH/u2c=")</f>
        <v>#VALUE!</v>
      </c>
      <c r="DA4" t="e">
        <f>AND(icf.157!O34,"AAAAAHH/u2g=")</f>
        <v>#VALUE!</v>
      </c>
      <c r="DB4" t="e">
        <f>AND(icf.157!P34,"AAAAAHH/u2k=")</f>
        <v>#VALUE!</v>
      </c>
      <c r="DC4" t="e">
        <f>AND(icf.157!Q34,"AAAAAHH/u2o=")</f>
        <v>#VALUE!</v>
      </c>
      <c r="DD4" t="e">
        <f>AND(icf.157!R34,"AAAAAHH/u2s=")</f>
        <v>#VALUE!</v>
      </c>
      <c r="DE4" t="e">
        <f>AND(icf.157!S34,"AAAAAHH/u2w=")</f>
        <v>#VALUE!</v>
      </c>
      <c r="DF4" t="e">
        <f>AND(icf.157!T34,"AAAAAHH/u20=")</f>
        <v>#VALUE!</v>
      </c>
      <c r="DG4" t="e">
        <f>AND(icf.157!#REF!,"AAAAAHH/u24=")</f>
        <v>#REF!</v>
      </c>
      <c r="DH4" t="e">
        <f>AND(icf.157!V34,"AAAAAHH/u28=")</f>
        <v>#VALUE!</v>
      </c>
      <c r="DI4" t="e">
        <f>AND(icf.157!W34,"AAAAAHH/u3A=")</f>
        <v>#VALUE!</v>
      </c>
      <c r="DJ4" t="e">
        <f>AND(icf.157!Y34,"AAAAAHH/u3E=")</f>
        <v>#VALUE!</v>
      </c>
      <c r="DK4" t="e">
        <f>AND(icf.157!Z34,"AAAAAHH/u3I=")</f>
        <v>#VALUE!</v>
      </c>
      <c r="DL4" t="e">
        <f>AND(icf.157!AA34,"AAAAAHH/u3M=")</f>
        <v>#VALUE!</v>
      </c>
      <c r="DM4">
        <f>IF(icf.157!35:35,"AAAAAHH/u3Q=",0)</f>
        <v>0</v>
      </c>
      <c r="DN4" t="e">
        <f>AND(icf.157!A35,"AAAAAHH/u3U=")</f>
        <v>#VALUE!</v>
      </c>
      <c r="DO4" t="e">
        <f>AND(icf.157!#REF!,"AAAAAHH/u3Y=")</f>
        <v>#REF!</v>
      </c>
      <c r="DP4" t="e">
        <f>AND(icf.157!C35,"AAAAAHH/u3c=")</f>
        <v>#VALUE!</v>
      </c>
      <c r="DQ4" t="e">
        <f>AND(icf.157!D35,"AAAAAHH/u3g=")</f>
        <v>#VALUE!</v>
      </c>
      <c r="DR4" t="e">
        <f>AND(icf.157!E35,"AAAAAHH/u3k=")</f>
        <v>#VALUE!</v>
      </c>
      <c r="DS4" t="e">
        <f>AND(icf.157!F35,"AAAAAHH/u3o=")</f>
        <v>#VALUE!</v>
      </c>
      <c r="DT4" t="e">
        <f>AND(icf.157!G35,"AAAAAHH/u3s=")</f>
        <v>#VALUE!</v>
      </c>
      <c r="DU4" t="e">
        <f>AND(icf.157!H35,"AAAAAHH/u3w=")</f>
        <v>#VALUE!</v>
      </c>
      <c r="DV4" t="e">
        <f>AND(icf.157!I35,"AAAAAHH/u30=")</f>
        <v>#VALUE!</v>
      </c>
      <c r="DW4" t="e">
        <f>AND(icf.157!J35,"AAAAAHH/u34=")</f>
        <v>#VALUE!</v>
      </c>
      <c r="DX4" t="e">
        <f>AND(icf.157!L35,"AAAAAHH/u38=")</f>
        <v>#VALUE!</v>
      </c>
      <c r="DY4" t="e">
        <f>AND(icf.157!M35,"AAAAAHH/u4A=")</f>
        <v>#VALUE!</v>
      </c>
      <c r="DZ4" t="e">
        <f>AND(icf.157!N35,"AAAAAHH/u4E=")</f>
        <v>#VALUE!</v>
      </c>
      <c r="EA4" t="e">
        <f>AND(icf.157!O35,"AAAAAHH/u4I=")</f>
        <v>#VALUE!</v>
      </c>
      <c r="EB4" t="e">
        <f>AND(icf.157!P35,"AAAAAHH/u4M=")</f>
        <v>#VALUE!</v>
      </c>
      <c r="EC4" t="e">
        <f>AND(icf.157!Q35,"AAAAAHH/u4Q=")</f>
        <v>#VALUE!</v>
      </c>
      <c r="ED4" t="e">
        <f>AND(icf.157!R35,"AAAAAHH/u4U=")</f>
        <v>#VALUE!</v>
      </c>
      <c r="EE4" t="e">
        <f>AND(icf.157!S35,"AAAAAHH/u4Y=")</f>
        <v>#VALUE!</v>
      </c>
      <c r="EF4" t="e">
        <f>AND(icf.157!T35,"AAAAAHH/u4c=")</f>
        <v>#VALUE!</v>
      </c>
      <c r="EG4" t="e">
        <f>AND(icf.157!#REF!,"AAAAAHH/u4g=")</f>
        <v>#REF!</v>
      </c>
      <c r="EH4" t="e">
        <f>AND(icf.157!V35,"AAAAAHH/u4k=")</f>
        <v>#VALUE!</v>
      </c>
      <c r="EI4" t="e">
        <f>AND(icf.157!W35,"AAAAAHH/u4o=")</f>
        <v>#VALUE!</v>
      </c>
      <c r="EJ4" t="e">
        <f>AND(icf.157!Y35,"AAAAAHH/u4s=")</f>
        <v>#VALUE!</v>
      </c>
      <c r="EK4" t="e">
        <f>AND(icf.157!Z35,"AAAAAHH/u4w=")</f>
        <v>#VALUE!</v>
      </c>
      <c r="EL4" t="e">
        <f>AND(icf.157!AA35,"AAAAAHH/u40=")</f>
        <v>#VALUE!</v>
      </c>
      <c r="EM4">
        <f>IF(icf.157!36:36,"AAAAAHH/u44=",0)</f>
        <v>0</v>
      </c>
      <c r="EN4" t="e">
        <f>AND(icf.157!A36,"AAAAAHH/u48=")</f>
        <v>#VALUE!</v>
      </c>
      <c r="EO4" t="e">
        <f>AND(icf.157!#REF!,"AAAAAHH/u5A=")</f>
        <v>#REF!</v>
      </c>
      <c r="EP4" t="e">
        <f>AND(icf.157!C36,"AAAAAHH/u5E=")</f>
        <v>#VALUE!</v>
      </c>
      <c r="EQ4" t="e">
        <f>AND(icf.157!D36,"AAAAAHH/u5I=")</f>
        <v>#VALUE!</v>
      </c>
      <c r="ER4" t="e">
        <f>AND(icf.157!E36,"AAAAAHH/u5M=")</f>
        <v>#VALUE!</v>
      </c>
      <c r="ES4" t="e">
        <f>AND(icf.157!F36,"AAAAAHH/u5Q=")</f>
        <v>#VALUE!</v>
      </c>
      <c r="ET4" t="e">
        <f>AND(icf.157!G36,"AAAAAHH/u5U=")</f>
        <v>#VALUE!</v>
      </c>
      <c r="EU4" t="e">
        <f>AND(icf.157!H36,"AAAAAHH/u5Y=")</f>
        <v>#VALUE!</v>
      </c>
      <c r="EV4" t="e">
        <f>AND(icf.157!I36,"AAAAAHH/u5c=")</f>
        <v>#VALUE!</v>
      </c>
      <c r="EW4" t="e">
        <f>AND(icf.157!J36,"AAAAAHH/u5g=")</f>
        <v>#VALUE!</v>
      </c>
      <c r="EX4" t="e">
        <f>AND(icf.157!L36,"AAAAAHH/u5k=")</f>
        <v>#VALUE!</v>
      </c>
      <c r="EY4" t="e">
        <f>AND(icf.157!M36,"AAAAAHH/u5o=")</f>
        <v>#VALUE!</v>
      </c>
      <c r="EZ4" t="e">
        <f>AND(icf.157!N36,"AAAAAHH/u5s=")</f>
        <v>#VALUE!</v>
      </c>
      <c r="FA4" t="e">
        <f>AND(icf.157!O36,"AAAAAHH/u5w=")</f>
        <v>#VALUE!</v>
      </c>
      <c r="FB4" t="e">
        <f>AND(icf.157!P36,"AAAAAHH/u50=")</f>
        <v>#VALUE!</v>
      </c>
      <c r="FC4" t="e">
        <f>AND(icf.157!Q36,"AAAAAHH/u54=")</f>
        <v>#VALUE!</v>
      </c>
      <c r="FD4" t="e">
        <f>AND(icf.157!R36,"AAAAAHH/u58=")</f>
        <v>#VALUE!</v>
      </c>
      <c r="FE4" t="e">
        <f>AND(icf.157!S36,"AAAAAHH/u6A=")</f>
        <v>#VALUE!</v>
      </c>
      <c r="FF4" t="e">
        <f>AND(icf.157!T36,"AAAAAHH/u6E=")</f>
        <v>#VALUE!</v>
      </c>
      <c r="FG4" t="e">
        <f>AND(icf.157!#REF!,"AAAAAHH/u6I=")</f>
        <v>#REF!</v>
      </c>
      <c r="FH4" t="e">
        <f>AND(icf.157!V36,"AAAAAHH/u6M=")</f>
        <v>#VALUE!</v>
      </c>
      <c r="FI4" t="e">
        <f>AND(icf.157!W36,"AAAAAHH/u6Q=")</f>
        <v>#VALUE!</v>
      </c>
      <c r="FJ4" t="e">
        <f>AND(icf.157!Y36,"AAAAAHH/u6U=")</f>
        <v>#VALUE!</v>
      </c>
      <c r="FK4" t="e">
        <f>AND(icf.157!Z36,"AAAAAHH/u6Y=")</f>
        <v>#VALUE!</v>
      </c>
      <c r="FL4" t="e">
        <f>AND(icf.157!AA36,"AAAAAHH/u6c=")</f>
        <v>#VALUE!</v>
      </c>
      <c r="FM4">
        <f>IF(icf.157!37:37,"AAAAAHH/u6g=",0)</f>
        <v>0</v>
      </c>
      <c r="FN4" t="e">
        <f>AND(icf.157!A37,"AAAAAHH/u6k=")</f>
        <v>#VALUE!</v>
      </c>
      <c r="FO4" t="e">
        <f>AND(icf.157!#REF!,"AAAAAHH/u6o=")</f>
        <v>#REF!</v>
      </c>
      <c r="FP4" t="e">
        <f>AND(icf.157!C37,"AAAAAHH/u6s=")</f>
        <v>#VALUE!</v>
      </c>
      <c r="FQ4" t="e">
        <f>AND(icf.157!D37,"AAAAAHH/u6w=")</f>
        <v>#VALUE!</v>
      </c>
      <c r="FR4" t="e">
        <f>AND(icf.157!E37,"AAAAAHH/u60=")</f>
        <v>#VALUE!</v>
      </c>
      <c r="FS4" t="e">
        <f>AND(icf.157!F37,"AAAAAHH/u64=")</f>
        <v>#VALUE!</v>
      </c>
      <c r="FT4" t="e">
        <f>AND(icf.157!G37,"AAAAAHH/u68=")</f>
        <v>#VALUE!</v>
      </c>
      <c r="FU4" t="e">
        <f>AND(icf.157!H37,"AAAAAHH/u7A=")</f>
        <v>#VALUE!</v>
      </c>
      <c r="FV4" t="e">
        <f>AND(icf.157!I37,"AAAAAHH/u7E=")</f>
        <v>#VALUE!</v>
      </c>
      <c r="FW4" t="e">
        <f>AND(icf.157!J37,"AAAAAHH/u7I=")</f>
        <v>#VALUE!</v>
      </c>
      <c r="FX4" t="e">
        <f>AND(icf.157!L37,"AAAAAHH/u7M=")</f>
        <v>#VALUE!</v>
      </c>
      <c r="FY4" t="e">
        <f>AND(icf.157!M37,"AAAAAHH/u7Q=")</f>
        <v>#VALUE!</v>
      </c>
      <c r="FZ4" t="e">
        <f>AND(icf.157!N37,"AAAAAHH/u7U=")</f>
        <v>#VALUE!</v>
      </c>
      <c r="GA4" t="e">
        <f>AND(icf.157!O37,"AAAAAHH/u7Y=")</f>
        <v>#VALUE!</v>
      </c>
      <c r="GB4" t="e">
        <f>AND(icf.157!P37,"AAAAAHH/u7c=")</f>
        <v>#VALUE!</v>
      </c>
      <c r="GC4" t="e">
        <f>AND(icf.157!Q37,"AAAAAHH/u7g=")</f>
        <v>#VALUE!</v>
      </c>
      <c r="GD4" t="e">
        <f>AND(icf.157!R37,"AAAAAHH/u7k=")</f>
        <v>#VALUE!</v>
      </c>
      <c r="GE4" t="e">
        <f>AND(icf.157!S37,"AAAAAHH/u7o=")</f>
        <v>#VALUE!</v>
      </c>
      <c r="GF4" t="e">
        <f>AND(icf.157!T37,"AAAAAHH/u7s=")</f>
        <v>#VALUE!</v>
      </c>
      <c r="GG4" t="e">
        <f>AND(icf.157!#REF!,"AAAAAHH/u7w=")</f>
        <v>#REF!</v>
      </c>
      <c r="GH4" t="e">
        <f>AND(icf.157!V37,"AAAAAHH/u70=")</f>
        <v>#VALUE!</v>
      </c>
      <c r="GI4" t="e">
        <f>AND(icf.157!W37,"AAAAAHH/u74=")</f>
        <v>#VALUE!</v>
      </c>
      <c r="GJ4" t="e">
        <f>AND(icf.157!Y37,"AAAAAHH/u78=")</f>
        <v>#VALUE!</v>
      </c>
      <c r="GK4" t="e">
        <f>AND(icf.157!Z37,"AAAAAHH/u8A=")</f>
        <v>#VALUE!</v>
      </c>
      <c r="GL4" t="e">
        <f>AND(icf.157!AA37,"AAAAAHH/u8E=")</f>
        <v>#VALUE!</v>
      </c>
      <c r="GM4">
        <f>IF(icf.157!38:38,"AAAAAHH/u8I=",0)</f>
        <v>0</v>
      </c>
      <c r="GN4" t="e">
        <f>AND(icf.157!A38,"AAAAAHH/u8M=")</f>
        <v>#VALUE!</v>
      </c>
      <c r="GO4" t="e">
        <f>AND(icf.157!#REF!,"AAAAAHH/u8Q=")</f>
        <v>#REF!</v>
      </c>
      <c r="GP4" t="e">
        <f>AND(icf.157!C38,"AAAAAHH/u8U=")</f>
        <v>#VALUE!</v>
      </c>
      <c r="GQ4" t="e">
        <f>AND(icf.157!D38,"AAAAAHH/u8Y=")</f>
        <v>#VALUE!</v>
      </c>
      <c r="GR4" t="e">
        <f>AND(icf.157!E38,"AAAAAHH/u8c=")</f>
        <v>#VALUE!</v>
      </c>
      <c r="GS4" t="e">
        <f>AND(icf.157!F38,"AAAAAHH/u8g=")</f>
        <v>#VALUE!</v>
      </c>
      <c r="GT4" t="e">
        <f>AND(icf.157!G38,"AAAAAHH/u8k=")</f>
        <v>#VALUE!</v>
      </c>
      <c r="GU4" t="e">
        <f>AND(icf.157!H38,"AAAAAHH/u8o=")</f>
        <v>#VALUE!</v>
      </c>
      <c r="GV4" t="e">
        <f>AND(icf.157!I38,"AAAAAHH/u8s=")</f>
        <v>#VALUE!</v>
      </c>
      <c r="GW4" t="e">
        <f>AND(icf.157!J38,"AAAAAHH/u8w=")</f>
        <v>#VALUE!</v>
      </c>
      <c r="GX4" t="e">
        <f>AND(icf.157!L38,"AAAAAHH/u80=")</f>
        <v>#VALUE!</v>
      </c>
      <c r="GY4" t="e">
        <f>AND(icf.157!M38,"AAAAAHH/u84=")</f>
        <v>#VALUE!</v>
      </c>
      <c r="GZ4" t="e">
        <f>AND(icf.157!N38,"AAAAAHH/u88=")</f>
        <v>#VALUE!</v>
      </c>
      <c r="HA4" t="e">
        <f>AND(icf.157!O38,"AAAAAHH/u9A=")</f>
        <v>#VALUE!</v>
      </c>
      <c r="HB4" t="e">
        <f>AND(icf.157!P38,"AAAAAHH/u9E=")</f>
        <v>#VALUE!</v>
      </c>
      <c r="HC4" t="e">
        <f>AND(icf.157!Q38,"AAAAAHH/u9I=")</f>
        <v>#VALUE!</v>
      </c>
      <c r="HD4" t="e">
        <f>AND(icf.157!R38,"AAAAAHH/u9M=")</f>
        <v>#VALUE!</v>
      </c>
      <c r="HE4" t="e">
        <f>AND(icf.157!S38,"AAAAAHH/u9Q=")</f>
        <v>#VALUE!</v>
      </c>
      <c r="HF4" t="e">
        <f>AND(icf.157!T38,"AAAAAHH/u9U=")</f>
        <v>#VALUE!</v>
      </c>
      <c r="HG4" t="e">
        <f>AND(icf.157!#REF!,"AAAAAHH/u9Y=")</f>
        <v>#REF!</v>
      </c>
      <c r="HH4" t="e">
        <f>AND(icf.157!V38,"AAAAAHH/u9c=")</f>
        <v>#VALUE!</v>
      </c>
      <c r="HI4" t="e">
        <f>AND(icf.157!W38,"AAAAAHH/u9g=")</f>
        <v>#VALUE!</v>
      </c>
      <c r="HJ4" t="e">
        <f>AND(icf.157!Y38,"AAAAAHH/u9k=")</f>
        <v>#VALUE!</v>
      </c>
      <c r="HK4" t="e">
        <f>AND(icf.157!Z38,"AAAAAHH/u9o=")</f>
        <v>#VALUE!</v>
      </c>
      <c r="HL4" t="e">
        <f>AND(icf.157!AA38,"AAAAAHH/u9s=")</f>
        <v>#VALUE!</v>
      </c>
      <c r="HM4">
        <f>IF(icf.157!39:39,"AAAAAHH/u9w=",0)</f>
        <v>0</v>
      </c>
      <c r="HN4" t="e">
        <f>AND(icf.157!A39,"AAAAAHH/u90=")</f>
        <v>#VALUE!</v>
      </c>
      <c r="HO4" t="e">
        <f>AND(icf.157!#REF!,"AAAAAHH/u94=")</f>
        <v>#REF!</v>
      </c>
      <c r="HP4" t="e">
        <f>AND(icf.157!C39,"AAAAAHH/u98=")</f>
        <v>#VALUE!</v>
      </c>
      <c r="HQ4" t="e">
        <f>AND(icf.157!D39,"AAAAAHH/u+A=")</f>
        <v>#VALUE!</v>
      </c>
      <c r="HR4" t="e">
        <f>AND(icf.157!E39,"AAAAAHH/u+E=")</f>
        <v>#VALUE!</v>
      </c>
      <c r="HS4" t="e">
        <f>AND(icf.157!F39,"AAAAAHH/u+I=")</f>
        <v>#VALUE!</v>
      </c>
      <c r="HT4" t="e">
        <f>AND(icf.157!G39,"AAAAAHH/u+M=")</f>
        <v>#VALUE!</v>
      </c>
      <c r="HU4" t="e">
        <f>AND(icf.157!H39,"AAAAAHH/u+Q=")</f>
        <v>#VALUE!</v>
      </c>
      <c r="HV4" t="e">
        <f>AND(icf.157!I39,"AAAAAHH/u+U=")</f>
        <v>#VALUE!</v>
      </c>
      <c r="HW4" t="e">
        <f>AND(icf.157!J39,"AAAAAHH/u+Y=")</f>
        <v>#VALUE!</v>
      </c>
      <c r="HX4" t="e">
        <f>AND(icf.157!L39,"AAAAAHH/u+c=")</f>
        <v>#VALUE!</v>
      </c>
      <c r="HY4" t="e">
        <f>AND(icf.157!M39,"AAAAAHH/u+g=")</f>
        <v>#VALUE!</v>
      </c>
      <c r="HZ4" t="e">
        <f>AND(icf.157!N39,"AAAAAHH/u+k=")</f>
        <v>#VALUE!</v>
      </c>
      <c r="IA4" t="e">
        <f>AND(icf.157!O39,"AAAAAHH/u+o=")</f>
        <v>#VALUE!</v>
      </c>
      <c r="IB4" t="e">
        <f>AND(icf.157!P39,"AAAAAHH/u+s=")</f>
        <v>#VALUE!</v>
      </c>
      <c r="IC4" t="e">
        <f>AND(icf.157!Q39,"AAAAAHH/u+w=")</f>
        <v>#VALUE!</v>
      </c>
      <c r="ID4" t="e">
        <f>AND(icf.157!R39,"AAAAAHH/u+0=")</f>
        <v>#VALUE!</v>
      </c>
      <c r="IE4" t="e">
        <f>AND(icf.157!S39,"AAAAAHH/u+4=")</f>
        <v>#VALUE!</v>
      </c>
      <c r="IF4" t="e">
        <f>AND(icf.157!T39,"AAAAAHH/u+8=")</f>
        <v>#VALUE!</v>
      </c>
      <c r="IG4" t="e">
        <f>AND(icf.157!#REF!,"AAAAAHH/u/A=")</f>
        <v>#REF!</v>
      </c>
      <c r="IH4" t="e">
        <f>AND(icf.157!V39,"AAAAAHH/u/E=")</f>
        <v>#VALUE!</v>
      </c>
      <c r="II4" t="e">
        <f>AND(icf.157!W39,"AAAAAHH/u/I=")</f>
        <v>#VALUE!</v>
      </c>
      <c r="IJ4" t="e">
        <f>AND(icf.157!Y39,"AAAAAHH/u/M=")</f>
        <v>#VALUE!</v>
      </c>
      <c r="IK4" t="e">
        <f>AND(icf.157!Z39,"AAAAAHH/u/Q=")</f>
        <v>#VALUE!</v>
      </c>
      <c r="IL4" t="e">
        <f>AND(icf.157!AA39,"AAAAAHH/u/U=")</f>
        <v>#VALUE!</v>
      </c>
      <c r="IM4">
        <f>IF(icf.157!40:40,"AAAAAHH/u/Y=",0)</f>
        <v>0</v>
      </c>
      <c r="IN4" t="e">
        <f>AND(icf.157!A40,"AAAAAHH/u/c=")</f>
        <v>#VALUE!</v>
      </c>
      <c r="IO4" t="e">
        <f>AND(icf.157!#REF!,"AAAAAHH/u/g=")</f>
        <v>#REF!</v>
      </c>
      <c r="IP4" t="e">
        <f>AND(icf.157!C40,"AAAAAHH/u/k=")</f>
        <v>#VALUE!</v>
      </c>
      <c r="IQ4" t="e">
        <f>AND(icf.157!D40,"AAAAAHH/u/o=")</f>
        <v>#VALUE!</v>
      </c>
      <c r="IR4" t="e">
        <f>AND(icf.157!E40,"AAAAAHH/u/s=")</f>
        <v>#VALUE!</v>
      </c>
      <c r="IS4" t="e">
        <f>AND(icf.157!F40,"AAAAAHH/u/w=")</f>
        <v>#VALUE!</v>
      </c>
      <c r="IT4" t="e">
        <f>AND(icf.157!G40,"AAAAAHH/u/0=")</f>
        <v>#VALUE!</v>
      </c>
      <c r="IU4" t="e">
        <f>AND(icf.157!H40,"AAAAAHH/u/4=")</f>
        <v>#VALUE!</v>
      </c>
      <c r="IV4" t="e">
        <f>AND(icf.157!I40,"AAAAAHH/u/8=")</f>
        <v>#VALUE!</v>
      </c>
    </row>
    <row r="5" spans="1:256" x14ac:dyDescent="0.2">
      <c r="A5" t="e">
        <f>AND(icf.157!J40,"AAAAAH/s2QA=")</f>
        <v>#VALUE!</v>
      </c>
      <c r="B5" t="e">
        <f>AND(icf.157!L40,"AAAAAH/s2QE=")</f>
        <v>#VALUE!</v>
      </c>
      <c r="C5" t="e">
        <f>AND(icf.157!M40,"AAAAAH/s2QI=")</f>
        <v>#VALUE!</v>
      </c>
      <c r="D5" t="e">
        <f>AND(icf.157!N40,"AAAAAH/s2QM=")</f>
        <v>#VALUE!</v>
      </c>
      <c r="E5" t="e">
        <f>AND(icf.157!O40,"AAAAAH/s2QQ=")</f>
        <v>#VALUE!</v>
      </c>
      <c r="F5" t="e">
        <f>AND(icf.157!P40,"AAAAAH/s2QU=")</f>
        <v>#VALUE!</v>
      </c>
      <c r="G5" t="e">
        <f>AND(icf.157!Q40,"AAAAAH/s2QY=")</f>
        <v>#VALUE!</v>
      </c>
      <c r="H5" t="e">
        <f>AND(icf.157!R40,"AAAAAH/s2Qc=")</f>
        <v>#VALUE!</v>
      </c>
      <c r="I5" t="e">
        <f>AND(icf.157!S40,"AAAAAH/s2Qg=")</f>
        <v>#VALUE!</v>
      </c>
      <c r="J5" t="e">
        <f>AND(icf.157!T40,"AAAAAH/s2Qk=")</f>
        <v>#VALUE!</v>
      </c>
      <c r="K5" t="e">
        <f>AND(icf.157!#REF!,"AAAAAH/s2Qo=")</f>
        <v>#REF!</v>
      </c>
      <c r="L5" t="e">
        <f>AND(icf.157!V40,"AAAAAH/s2Qs=")</f>
        <v>#VALUE!</v>
      </c>
      <c r="M5" t="e">
        <f>AND(icf.157!W40,"AAAAAH/s2Qw=")</f>
        <v>#VALUE!</v>
      </c>
      <c r="N5" t="e">
        <f>AND(icf.157!Y40,"AAAAAH/s2Q0=")</f>
        <v>#VALUE!</v>
      </c>
      <c r="O5" t="e">
        <f>AND(icf.157!Z40,"AAAAAH/s2Q4=")</f>
        <v>#VALUE!</v>
      </c>
      <c r="P5" t="e">
        <f>AND(icf.157!AA40,"AAAAAH/s2Q8=")</f>
        <v>#VALUE!</v>
      </c>
      <c r="Q5" t="e">
        <f>IF(icf.157!41:41,"AAAAAH/s2RA=",0)</f>
        <v>#VALUE!</v>
      </c>
      <c r="R5" t="e">
        <f>AND(icf.157!A41,"AAAAAH/s2RE=")</f>
        <v>#VALUE!</v>
      </c>
      <c r="S5" t="e">
        <f>AND(icf.157!#REF!,"AAAAAH/s2RI=")</f>
        <v>#REF!</v>
      </c>
      <c r="T5" t="e">
        <f>AND(icf.157!C41,"AAAAAH/s2RM=")</f>
        <v>#VALUE!</v>
      </c>
      <c r="U5" t="e">
        <f>AND(icf.157!D41,"AAAAAH/s2RQ=")</f>
        <v>#VALUE!</v>
      </c>
      <c r="V5" t="e">
        <f>AND(icf.157!E41,"AAAAAH/s2RU=")</f>
        <v>#VALUE!</v>
      </c>
      <c r="W5" t="e">
        <f>AND(icf.157!F41,"AAAAAH/s2RY=")</f>
        <v>#VALUE!</v>
      </c>
      <c r="X5" t="e">
        <f>AND(icf.157!G41,"AAAAAH/s2Rc=")</f>
        <v>#VALUE!</v>
      </c>
      <c r="Y5" t="e">
        <f>AND(icf.157!H41,"AAAAAH/s2Rg=")</f>
        <v>#VALUE!</v>
      </c>
      <c r="Z5" t="e">
        <f>AND(icf.157!I41,"AAAAAH/s2Rk=")</f>
        <v>#VALUE!</v>
      </c>
      <c r="AA5" t="e">
        <f>AND(icf.157!J41,"AAAAAH/s2Ro=")</f>
        <v>#VALUE!</v>
      </c>
      <c r="AB5" t="e">
        <f>AND(icf.157!L41,"AAAAAH/s2Rs=")</f>
        <v>#VALUE!</v>
      </c>
      <c r="AC5" t="e">
        <f>AND(icf.157!M41,"AAAAAH/s2Rw=")</f>
        <v>#VALUE!</v>
      </c>
      <c r="AD5" t="e">
        <f>AND(icf.157!N41,"AAAAAH/s2R0=")</f>
        <v>#VALUE!</v>
      </c>
      <c r="AE5" t="e">
        <f>AND(icf.157!O41,"AAAAAH/s2R4=")</f>
        <v>#VALUE!</v>
      </c>
      <c r="AF5" t="e">
        <f>AND(icf.157!P41,"AAAAAH/s2R8=")</f>
        <v>#VALUE!</v>
      </c>
      <c r="AG5" t="e">
        <f>AND(icf.157!Q41,"AAAAAH/s2SA=")</f>
        <v>#VALUE!</v>
      </c>
      <c r="AH5" t="e">
        <f>AND(icf.157!R41,"AAAAAH/s2SE=")</f>
        <v>#VALUE!</v>
      </c>
      <c r="AI5" t="e">
        <f>AND(icf.157!S41,"AAAAAH/s2SI=")</f>
        <v>#VALUE!</v>
      </c>
      <c r="AJ5" t="e">
        <f>AND(icf.157!T41,"AAAAAH/s2SM=")</f>
        <v>#VALUE!</v>
      </c>
      <c r="AK5" t="e">
        <f>AND(icf.157!#REF!,"AAAAAH/s2SQ=")</f>
        <v>#REF!</v>
      </c>
      <c r="AL5" t="e">
        <f>AND(icf.157!V41,"AAAAAH/s2SU=")</f>
        <v>#VALUE!</v>
      </c>
      <c r="AM5" t="e">
        <f>AND(icf.157!W41,"AAAAAH/s2SY=")</f>
        <v>#VALUE!</v>
      </c>
      <c r="AN5" t="e">
        <f>AND(icf.157!Y41,"AAAAAH/s2Sc=")</f>
        <v>#VALUE!</v>
      </c>
      <c r="AO5" t="e">
        <f>AND(icf.157!Z41,"AAAAAH/s2Sg=")</f>
        <v>#VALUE!</v>
      </c>
      <c r="AP5" t="e">
        <f>AND(icf.157!AA41,"AAAAAH/s2Sk=")</f>
        <v>#VALUE!</v>
      </c>
      <c r="AQ5" t="str">
        <f>IF(icf.157!42:42,"AAAAAH/s2So=",0)</f>
        <v>AAAAAH/s2So=</v>
      </c>
      <c r="AR5" t="e">
        <f>AND(icf.157!A42,"AAAAAH/s2Ss=")</f>
        <v>#VALUE!</v>
      </c>
      <c r="AS5" t="e">
        <f>AND(icf.157!#REF!,"AAAAAH/s2Sw=")</f>
        <v>#REF!</v>
      </c>
      <c r="AT5" t="e">
        <f>AND(icf.157!C42,"AAAAAH/s2S0=")</f>
        <v>#VALUE!</v>
      </c>
      <c r="AU5" t="e">
        <f>AND(icf.157!D42,"AAAAAH/s2S4=")</f>
        <v>#VALUE!</v>
      </c>
      <c r="AV5" t="e">
        <f>AND(icf.157!E42,"AAAAAH/s2S8=")</f>
        <v>#VALUE!</v>
      </c>
      <c r="AW5" t="e">
        <f>AND(icf.157!F42,"AAAAAH/s2TA=")</f>
        <v>#VALUE!</v>
      </c>
      <c r="AX5" t="e">
        <f>AND(icf.157!G42,"AAAAAH/s2TE=")</f>
        <v>#VALUE!</v>
      </c>
      <c r="AY5" t="e">
        <f>AND(icf.157!H42,"AAAAAH/s2TI=")</f>
        <v>#VALUE!</v>
      </c>
      <c r="AZ5" t="e">
        <f>AND(icf.157!I42,"AAAAAH/s2TM=")</f>
        <v>#VALUE!</v>
      </c>
      <c r="BA5" t="e">
        <f>AND(icf.157!J42,"AAAAAH/s2TQ=")</f>
        <v>#VALUE!</v>
      </c>
      <c r="BB5" t="e">
        <f>AND(icf.157!L42,"AAAAAH/s2TU=")</f>
        <v>#VALUE!</v>
      </c>
      <c r="BC5" t="e">
        <f>AND(icf.157!M42,"AAAAAH/s2TY=")</f>
        <v>#VALUE!</v>
      </c>
      <c r="BD5" t="e">
        <f>AND(icf.157!N42,"AAAAAH/s2Tc=")</f>
        <v>#VALUE!</v>
      </c>
      <c r="BE5" t="e">
        <f>AND(icf.157!O42,"AAAAAH/s2Tg=")</f>
        <v>#VALUE!</v>
      </c>
      <c r="BF5" t="e">
        <f>AND(icf.157!P42,"AAAAAH/s2Tk=")</f>
        <v>#VALUE!</v>
      </c>
      <c r="BG5" t="e">
        <f>AND(icf.157!Q42,"AAAAAH/s2To=")</f>
        <v>#VALUE!</v>
      </c>
      <c r="BH5" t="e">
        <f>AND(icf.157!R42,"AAAAAH/s2Ts=")</f>
        <v>#VALUE!</v>
      </c>
      <c r="BI5" t="e">
        <f>AND(icf.157!S42,"AAAAAH/s2Tw=")</f>
        <v>#VALUE!</v>
      </c>
      <c r="BJ5" t="e">
        <f>AND(icf.157!T42,"AAAAAH/s2T0=")</f>
        <v>#VALUE!</v>
      </c>
      <c r="BK5" t="e">
        <f>AND(icf.157!#REF!,"AAAAAH/s2T4=")</f>
        <v>#REF!</v>
      </c>
      <c r="BL5" t="e">
        <f>AND(icf.157!V42,"AAAAAH/s2T8=")</f>
        <v>#VALUE!</v>
      </c>
      <c r="BM5" t="e">
        <f>AND(icf.157!W42,"AAAAAH/s2UA=")</f>
        <v>#VALUE!</v>
      </c>
      <c r="BN5" t="e">
        <f>AND(icf.157!Y42,"AAAAAH/s2UE=")</f>
        <v>#VALUE!</v>
      </c>
      <c r="BO5" t="e">
        <f>AND(icf.157!Z42,"AAAAAH/s2UI=")</f>
        <v>#VALUE!</v>
      </c>
      <c r="BP5" t="e">
        <f>AND(icf.157!AA42,"AAAAAH/s2UM=")</f>
        <v>#VALUE!</v>
      </c>
      <c r="BQ5">
        <f>IF(icf.157!43:43,"AAAAAH/s2UQ=",0)</f>
        <v>0</v>
      </c>
      <c r="BR5" t="e">
        <f>AND(icf.157!A43,"AAAAAH/s2UU=")</f>
        <v>#VALUE!</v>
      </c>
      <c r="BS5" t="e">
        <f>AND(icf.157!#REF!,"AAAAAH/s2UY=")</f>
        <v>#REF!</v>
      </c>
      <c r="BT5" t="e">
        <f>AND(icf.157!C43,"AAAAAH/s2Uc=")</f>
        <v>#VALUE!</v>
      </c>
      <c r="BU5" t="e">
        <f>AND(icf.157!D43,"AAAAAH/s2Ug=")</f>
        <v>#VALUE!</v>
      </c>
      <c r="BV5" t="e">
        <f>AND(icf.157!E43,"AAAAAH/s2Uk=")</f>
        <v>#VALUE!</v>
      </c>
      <c r="BW5" t="e">
        <f>AND(icf.157!F43,"AAAAAH/s2Uo=")</f>
        <v>#VALUE!</v>
      </c>
      <c r="BX5" t="e">
        <f>AND(icf.157!G43,"AAAAAH/s2Us=")</f>
        <v>#VALUE!</v>
      </c>
      <c r="BY5" t="e">
        <f>AND(icf.157!H43,"AAAAAH/s2Uw=")</f>
        <v>#VALUE!</v>
      </c>
      <c r="BZ5" t="e">
        <f>AND(icf.157!I43,"AAAAAH/s2U0=")</f>
        <v>#VALUE!</v>
      </c>
      <c r="CA5" t="e">
        <f>AND(icf.157!J43,"AAAAAH/s2U4=")</f>
        <v>#VALUE!</v>
      </c>
      <c r="CB5" t="e">
        <f>AND(icf.157!L43,"AAAAAH/s2U8=")</f>
        <v>#VALUE!</v>
      </c>
      <c r="CC5" t="e">
        <f>AND(icf.157!M43,"AAAAAH/s2VA=")</f>
        <v>#VALUE!</v>
      </c>
      <c r="CD5" t="e">
        <f>AND(icf.157!N43,"AAAAAH/s2VE=")</f>
        <v>#VALUE!</v>
      </c>
      <c r="CE5" t="e">
        <f>AND(icf.157!O43,"AAAAAH/s2VI=")</f>
        <v>#VALUE!</v>
      </c>
      <c r="CF5" t="e">
        <f>AND(icf.157!P43,"AAAAAH/s2VM=")</f>
        <v>#VALUE!</v>
      </c>
      <c r="CG5" t="e">
        <f>AND(icf.157!Q43,"AAAAAH/s2VQ=")</f>
        <v>#VALUE!</v>
      </c>
      <c r="CH5" t="e">
        <f>AND(icf.157!R43,"AAAAAH/s2VU=")</f>
        <v>#VALUE!</v>
      </c>
      <c r="CI5" t="e">
        <f>AND(icf.157!S43,"AAAAAH/s2VY=")</f>
        <v>#VALUE!</v>
      </c>
      <c r="CJ5" t="e">
        <f>AND(icf.157!T43,"AAAAAH/s2Vc=")</f>
        <v>#VALUE!</v>
      </c>
      <c r="CK5" t="e">
        <f>AND(icf.157!#REF!,"AAAAAH/s2Vg=")</f>
        <v>#REF!</v>
      </c>
      <c r="CL5" t="e">
        <f>AND(icf.157!V43,"AAAAAH/s2Vk=")</f>
        <v>#VALUE!</v>
      </c>
      <c r="CM5" t="e">
        <f>AND(icf.157!W43,"AAAAAH/s2Vo=")</f>
        <v>#VALUE!</v>
      </c>
      <c r="CN5" t="e">
        <f>AND(icf.157!Y43,"AAAAAH/s2Vs=")</f>
        <v>#VALUE!</v>
      </c>
      <c r="CO5" t="e">
        <f>AND(icf.157!Z43,"AAAAAH/s2Vw=")</f>
        <v>#VALUE!</v>
      </c>
      <c r="CP5" t="e">
        <f>AND(icf.157!AA43,"AAAAAH/s2V0=")</f>
        <v>#VALUE!</v>
      </c>
      <c r="CQ5">
        <f>IF(icf.157!44:44,"AAAAAH/s2V4=",0)</f>
        <v>0</v>
      </c>
      <c r="CR5" t="e">
        <f>AND(icf.157!A44,"AAAAAH/s2V8=")</f>
        <v>#VALUE!</v>
      </c>
      <c r="CS5" t="e">
        <f>AND(icf.157!#REF!,"AAAAAH/s2WA=")</f>
        <v>#REF!</v>
      </c>
      <c r="CT5" t="e">
        <f>AND(icf.157!C44,"AAAAAH/s2WE=")</f>
        <v>#VALUE!</v>
      </c>
      <c r="CU5" t="e">
        <f>AND(icf.157!D44,"AAAAAH/s2WI=")</f>
        <v>#VALUE!</v>
      </c>
      <c r="CV5" t="e">
        <f>AND(icf.157!E44,"AAAAAH/s2WM=")</f>
        <v>#VALUE!</v>
      </c>
      <c r="CW5" t="e">
        <f>AND(icf.157!F44,"AAAAAH/s2WQ=")</f>
        <v>#VALUE!</v>
      </c>
      <c r="CX5" t="e">
        <f>AND(icf.157!G44,"AAAAAH/s2WU=")</f>
        <v>#VALUE!</v>
      </c>
      <c r="CY5" t="e">
        <f>AND(icf.157!H44,"AAAAAH/s2WY=")</f>
        <v>#VALUE!</v>
      </c>
      <c r="CZ5" t="e">
        <f>AND(icf.157!I44,"AAAAAH/s2Wc=")</f>
        <v>#VALUE!</v>
      </c>
      <c r="DA5" t="e">
        <f>AND(icf.157!J44,"AAAAAH/s2Wg=")</f>
        <v>#VALUE!</v>
      </c>
      <c r="DB5" t="e">
        <f>AND(icf.157!L44,"AAAAAH/s2Wk=")</f>
        <v>#VALUE!</v>
      </c>
      <c r="DC5" t="e">
        <f>AND(icf.157!M44,"AAAAAH/s2Wo=")</f>
        <v>#VALUE!</v>
      </c>
      <c r="DD5" t="e">
        <f>AND(icf.157!N44,"AAAAAH/s2Ws=")</f>
        <v>#VALUE!</v>
      </c>
      <c r="DE5" t="e">
        <f>AND(icf.157!O44,"AAAAAH/s2Ww=")</f>
        <v>#VALUE!</v>
      </c>
      <c r="DF5" t="e">
        <f>AND(icf.157!P44,"AAAAAH/s2W0=")</f>
        <v>#VALUE!</v>
      </c>
      <c r="DG5" t="e">
        <f>AND(icf.157!Q44,"AAAAAH/s2W4=")</f>
        <v>#VALUE!</v>
      </c>
      <c r="DH5" t="e">
        <f>AND(icf.157!R44,"AAAAAH/s2W8=")</f>
        <v>#VALUE!</v>
      </c>
      <c r="DI5" t="e">
        <f>AND(icf.157!S44,"AAAAAH/s2XA=")</f>
        <v>#VALUE!</v>
      </c>
      <c r="DJ5" t="e">
        <f>AND(icf.157!T44,"AAAAAH/s2XE=")</f>
        <v>#VALUE!</v>
      </c>
      <c r="DK5" t="e">
        <f>AND(icf.157!#REF!,"AAAAAH/s2XI=")</f>
        <v>#REF!</v>
      </c>
      <c r="DL5" t="e">
        <f>AND(icf.157!V44,"AAAAAH/s2XM=")</f>
        <v>#VALUE!</v>
      </c>
      <c r="DM5" t="e">
        <f>AND(icf.157!W44,"AAAAAH/s2XQ=")</f>
        <v>#VALUE!</v>
      </c>
      <c r="DN5" t="e">
        <f>AND(icf.157!Y44,"AAAAAH/s2XU=")</f>
        <v>#VALUE!</v>
      </c>
      <c r="DO5" t="e">
        <f>AND(icf.157!Z44,"AAAAAH/s2XY=")</f>
        <v>#VALUE!</v>
      </c>
      <c r="DP5" t="e">
        <f>AND(icf.157!AA44,"AAAAAH/s2Xc=")</f>
        <v>#VALUE!</v>
      </c>
      <c r="DQ5">
        <f>IF(icf.157!45:45,"AAAAAH/s2Xg=",0)</f>
        <v>0</v>
      </c>
      <c r="DR5" t="e">
        <f>AND(icf.157!A45,"AAAAAH/s2Xk=")</f>
        <v>#VALUE!</v>
      </c>
      <c r="DS5" t="e">
        <f>AND(icf.157!#REF!,"AAAAAH/s2Xo=")</f>
        <v>#REF!</v>
      </c>
      <c r="DT5" t="e">
        <f>AND(icf.157!C45,"AAAAAH/s2Xs=")</f>
        <v>#VALUE!</v>
      </c>
      <c r="DU5" t="e">
        <f>AND(icf.157!D45,"AAAAAH/s2Xw=")</f>
        <v>#VALUE!</v>
      </c>
      <c r="DV5" t="e">
        <f>AND(icf.157!E45,"AAAAAH/s2X0=")</f>
        <v>#VALUE!</v>
      </c>
      <c r="DW5" t="e">
        <f>AND(icf.157!F45,"AAAAAH/s2X4=")</f>
        <v>#VALUE!</v>
      </c>
      <c r="DX5" t="e">
        <f>AND(icf.157!G45,"AAAAAH/s2X8=")</f>
        <v>#VALUE!</v>
      </c>
      <c r="DY5" t="e">
        <f>AND(icf.157!H45,"AAAAAH/s2YA=")</f>
        <v>#VALUE!</v>
      </c>
      <c r="DZ5" t="e">
        <f>AND(icf.157!I45,"AAAAAH/s2YE=")</f>
        <v>#VALUE!</v>
      </c>
      <c r="EA5" t="e">
        <f>AND(icf.157!J45,"AAAAAH/s2YI=")</f>
        <v>#VALUE!</v>
      </c>
      <c r="EB5" t="e">
        <f>AND(icf.157!L45,"AAAAAH/s2YM=")</f>
        <v>#VALUE!</v>
      </c>
      <c r="EC5" t="e">
        <f>AND(icf.157!M45,"AAAAAH/s2YQ=")</f>
        <v>#VALUE!</v>
      </c>
      <c r="ED5" t="e">
        <f>AND(icf.157!N45,"AAAAAH/s2YU=")</f>
        <v>#VALUE!</v>
      </c>
      <c r="EE5" t="e">
        <f>AND(icf.157!O45,"AAAAAH/s2YY=")</f>
        <v>#VALUE!</v>
      </c>
      <c r="EF5" t="e">
        <f>AND(icf.157!P45,"AAAAAH/s2Yc=")</f>
        <v>#VALUE!</v>
      </c>
      <c r="EG5" t="e">
        <f>AND(icf.157!Q45,"AAAAAH/s2Yg=")</f>
        <v>#VALUE!</v>
      </c>
      <c r="EH5" t="e">
        <f>AND(icf.157!R45,"AAAAAH/s2Yk=")</f>
        <v>#VALUE!</v>
      </c>
      <c r="EI5" t="e">
        <f>AND(icf.157!S45,"AAAAAH/s2Yo=")</f>
        <v>#VALUE!</v>
      </c>
      <c r="EJ5" t="e">
        <f>AND(icf.157!T45,"AAAAAH/s2Ys=")</f>
        <v>#VALUE!</v>
      </c>
      <c r="EK5" t="e">
        <f>AND(icf.157!#REF!,"AAAAAH/s2Yw=")</f>
        <v>#REF!</v>
      </c>
      <c r="EL5" t="e">
        <f>AND(icf.157!V45,"AAAAAH/s2Y0=")</f>
        <v>#VALUE!</v>
      </c>
      <c r="EM5" t="e">
        <f>AND(icf.157!W45,"AAAAAH/s2Y4=")</f>
        <v>#VALUE!</v>
      </c>
      <c r="EN5" t="e">
        <f>AND(icf.157!Y45,"AAAAAH/s2Y8=")</f>
        <v>#VALUE!</v>
      </c>
      <c r="EO5" t="e">
        <f>AND(icf.157!Z45,"AAAAAH/s2ZA=")</f>
        <v>#VALUE!</v>
      </c>
      <c r="EP5" t="e">
        <f>AND(icf.157!AA45,"AAAAAH/s2ZE=")</f>
        <v>#VALUE!</v>
      </c>
      <c r="EQ5">
        <f>IF(icf.157!46:46,"AAAAAH/s2ZI=",0)</f>
        <v>0</v>
      </c>
      <c r="ER5" t="e">
        <f>AND(icf.157!A46,"AAAAAH/s2ZM=")</f>
        <v>#VALUE!</v>
      </c>
      <c r="ES5" t="e">
        <f>AND(icf.157!#REF!,"AAAAAH/s2ZQ=")</f>
        <v>#REF!</v>
      </c>
      <c r="ET5" t="e">
        <f>AND(icf.157!C46,"AAAAAH/s2ZU=")</f>
        <v>#VALUE!</v>
      </c>
      <c r="EU5" t="e">
        <f>AND(icf.157!D46,"AAAAAH/s2ZY=")</f>
        <v>#VALUE!</v>
      </c>
      <c r="EV5" t="e">
        <f>AND(icf.157!E46,"AAAAAH/s2Zc=")</f>
        <v>#VALUE!</v>
      </c>
      <c r="EW5" t="e">
        <f>AND(icf.157!F46,"AAAAAH/s2Zg=")</f>
        <v>#VALUE!</v>
      </c>
      <c r="EX5" t="e">
        <f>AND(icf.157!G46,"AAAAAH/s2Zk=")</f>
        <v>#VALUE!</v>
      </c>
      <c r="EY5" t="e">
        <f>AND(icf.157!H46,"AAAAAH/s2Zo=")</f>
        <v>#VALUE!</v>
      </c>
      <c r="EZ5" t="e">
        <f>AND(icf.157!I46,"AAAAAH/s2Zs=")</f>
        <v>#VALUE!</v>
      </c>
      <c r="FA5" t="e">
        <f>AND(icf.157!J46,"AAAAAH/s2Zw=")</f>
        <v>#VALUE!</v>
      </c>
      <c r="FB5" t="e">
        <f>AND(icf.157!L46,"AAAAAH/s2Z0=")</f>
        <v>#VALUE!</v>
      </c>
      <c r="FC5" t="e">
        <f>AND(icf.157!M46,"AAAAAH/s2Z4=")</f>
        <v>#VALUE!</v>
      </c>
      <c r="FD5" t="e">
        <f>AND(icf.157!N46,"AAAAAH/s2Z8=")</f>
        <v>#VALUE!</v>
      </c>
      <c r="FE5" t="e">
        <f>AND(icf.157!O46,"AAAAAH/s2aA=")</f>
        <v>#VALUE!</v>
      </c>
      <c r="FF5" t="e">
        <f>AND(icf.157!P46,"AAAAAH/s2aE=")</f>
        <v>#VALUE!</v>
      </c>
      <c r="FG5" t="e">
        <f>AND(icf.157!Q46,"AAAAAH/s2aI=")</f>
        <v>#VALUE!</v>
      </c>
      <c r="FH5" t="e">
        <f>AND(icf.157!R46,"AAAAAH/s2aM=")</f>
        <v>#VALUE!</v>
      </c>
      <c r="FI5" t="e">
        <f>AND(icf.157!S46,"AAAAAH/s2aQ=")</f>
        <v>#VALUE!</v>
      </c>
      <c r="FJ5" t="e">
        <f>AND(icf.157!T46,"AAAAAH/s2aU=")</f>
        <v>#VALUE!</v>
      </c>
      <c r="FK5" t="e">
        <f>AND(icf.157!#REF!,"AAAAAH/s2aY=")</f>
        <v>#REF!</v>
      </c>
      <c r="FL5" t="e">
        <f>AND(icf.157!V46,"AAAAAH/s2ac=")</f>
        <v>#VALUE!</v>
      </c>
      <c r="FM5" t="e">
        <f>AND(icf.157!W46,"AAAAAH/s2ag=")</f>
        <v>#VALUE!</v>
      </c>
      <c r="FN5" t="e">
        <f>AND(icf.157!Y46,"AAAAAH/s2ak=")</f>
        <v>#VALUE!</v>
      </c>
      <c r="FO5" t="e">
        <f>AND(icf.157!Z46,"AAAAAH/s2ao=")</f>
        <v>#VALUE!</v>
      </c>
      <c r="FP5" t="e">
        <f>AND(icf.157!AA46,"AAAAAH/s2as=")</f>
        <v>#VALUE!</v>
      </c>
      <c r="FQ5">
        <f>IF(icf.157!47:47,"AAAAAH/s2aw=",0)</f>
        <v>0</v>
      </c>
      <c r="FR5" t="e">
        <f>AND(icf.157!A47,"AAAAAH/s2a0=")</f>
        <v>#VALUE!</v>
      </c>
      <c r="FS5" t="e">
        <f>AND(icf.157!#REF!,"AAAAAH/s2a4=")</f>
        <v>#REF!</v>
      </c>
      <c r="FT5" t="e">
        <f>AND(icf.157!C47,"AAAAAH/s2a8=")</f>
        <v>#VALUE!</v>
      </c>
      <c r="FU5" t="e">
        <f>AND(icf.157!D47,"AAAAAH/s2bA=")</f>
        <v>#VALUE!</v>
      </c>
      <c r="FV5" t="e">
        <f>AND(icf.157!E47,"AAAAAH/s2bE=")</f>
        <v>#VALUE!</v>
      </c>
      <c r="FW5" t="e">
        <f>AND(icf.157!F47,"AAAAAH/s2bI=")</f>
        <v>#VALUE!</v>
      </c>
      <c r="FX5" t="e">
        <f>AND(icf.157!G47,"AAAAAH/s2bM=")</f>
        <v>#VALUE!</v>
      </c>
      <c r="FY5" t="e">
        <f>AND(icf.157!H47,"AAAAAH/s2bQ=")</f>
        <v>#VALUE!</v>
      </c>
      <c r="FZ5" t="e">
        <f>AND(icf.157!I47,"AAAAAH/s2bU=")</f>
        <v>#VALUE!</v>
      </c>
      <c r="GA5" t="e">
        <f>AND(icf.157!J47,"AAAAAH/s2bY=")</f>
        <v>#VALUE!</v>
      </c>
      <c r="GB5" t="e">
        <f>AND(icf.157!L47,"AAAAAH/s2bc=")</f>
        <v>#VALUE!</v>
      </c>
      <c r="GC5" t="e">
        <f>AND(icf.157!M47,"AAAAAH/s2bg=")</f>
        <v>#VALUE!</v>
      </c>
      <c r="GD5" t="e">
        <f>AND(icf.157!N47,"AAAAAH/s2bk=")</f>
        <v>#VALUE!</v>
      </c>
      <c r="GE5" t="e">
        <f>AND(icf.157!O47,"AAAAAH/s2bo=")</f>
        <v>#VALUE!</v>
      </c>
      <c r="GF5" t="e">
        <f>AND(icf.157!P47,"AAAAAH/s2bs=")</f>
        <v>#VALUE!</v>
      </c>
      <c r="GG5" t="e">
        <f>AND(icf.157!Q47,"AAAAAH/s2bw=")</f>
        <v>#VALUE!</v>
      </c>
      <c r="GH5" t="e">
        <f>AND(icf.157!R47,"AAAAAH/s2b0=")</f>
        <v>#VALUE!</v>
      </c>
      <c r="GI5" t="e">
        <f>AND(icf.157!S47,"AAAAAH/s2b4=")</f>
        <v>#VALUE!</v>
      </c>
      <c r="GJ5" t="e">
        <f>AND(icf.157!T47,"AAAAAH/s2b8=")</f>
        <v>#VALUE!</v>
      </c>
      <c r="GK5" t="e">
        <f>AND(icf.157!#REF!,"AAAAAH/s2cA=")</f>
        <v>#REF!</v>
      </c>
      <c r="GL5" t="e">
        <f>AND(icf.157!V47,"AAAAAH/s2cE=")</f>
        <v>#VALUE!</v>
      </c>
      <c r="GM5" t="e">
        <f>AND(icf.157!W47,"AAAAAH/s2cI=")</f>
        <v>#VALUE!</v>
      </c>
      <c r="GN5" t="e">
        <f>AND(icf.157!Y47,"AAAAAH/s2cM=")</f>
        <v>#VALUE!</v>
      </c>
      <c r="GO5" t="e">
        <f>AND(icf.157!Z47,"AAAAAH/s2cQ=")</f>
        <v>#VALUE!</v>
      </c>
      <c r="GP5" t="e">
        <f>AND(icf.157!AA47,"AAAAAH/s2cU=")</f>
        <v>#VALUE!</v>
      </c>
      <c r="GQ5">
        <f>IF(icf.157!48:48,"AAAAAH/s2cY=",0)</f>
        <v>0</v>
      </c>
      <c r="GR5" t="e">
        <f>AND(icf.157!A48,"AAAAAH/s2cc=")</f>
        <v>#VALUE!</v>
      </c>
      <c r="GS5" t="e">
        <f>AND(icf.157!#REF!,"AAAAAH/s2cg=")</f>
        <v>#REF!</v>
      </c>
      <c r="GT5" t="e">
        <f>AND(icf.157!C48,"AAAAAH/s2ck=")</f>
        <v>#VALUE!</v>
      </c>
      <c r="GU5" t="e">
        <f>AND(icf.157!D48,"AAAAAH/s2co=")</f>
        <v>#VALUE!</v>
      </c>
      <c r="GV5" t="e">
        <f>AND(icf.157!E48,"AAAAAH/s2cs=")</f>
        <v>#VALUE!</v>
      </c>
      <c r="GW5" t="e">
        <f>AND(icf.157!F48,"AAAAAH/s2cw=")</f>
        <v>#VALUE!</v>
      </c>
      <c r="GX5" t="e">
        <f>AND(icf.157!G48,"AAAAAH/s2c0=")</f>
        <v>#VALUE!</v>
      </c>
      <c r="GY5" t="e">
        <f>AND(icf.157!H48,"AAAAAH/s2c4=")</f>
        <v>#VALUE!</v>
      </c>
      <c r="GZ5" t="e">
        <f>AND(icf.157!I48,"AAAAAH/s2c8=")</f>
        <v>#VALUE!</v>
      </c>
      <c r="HA5" t="e">
        <f>AND(icf.157!J48,"AAAAAH/s2dA=")</f>
        <v>#VALUE!</v>
      </c>
      <c r="HB5" t="e">
        <f>AND(icf.157!L48,"AAAAAH/s2dE=")</f>
        <v>#VALUE!</v>
      </c>
      <c r="HC5" t="e">
        <f>AND(icf.157!M48,"AAAAAH/s2dI=")</f>
        <v>#VALUE!</v>
      </c>
      <c r="HD5" t="e">
        <f>AND(icf.157!N48,"AAAAAH/s2dM=")</f>
        <v>#VALUE!</v>
      </c>
      <c r="HE5" t="e">
        <f>AND(icf.157!O48,"AAAAAH/s2dQ=")</f>
        <v>#VALUE!</v>
      </c>
      <c r="HF5" t="e">
        <f>AND(icf.157!P48,"AAAAAH/s2dU=")</f>
        <v>#VALUE!</v>
      </c>
      <c r="HG5" t="e">
        <f>AND(icf.157!Q48,"AAAAAH/s2dY=")</f>
        <v>#VALUE!</v>
      </c>
      <c r="HH5" t="e">
        <f>AND(icf.157!R48,"AAAAAH/s2dc=")</f>
        <v>#VALUE!</v>
      </c>
      <c r="HI5" t="e">
        <f>AND(icf.157!S48,"AAAAAH/s2dg=")</f>
        <v>#VALUE!</v>
      </c>
      <c r="HJ5" t="e">
        <f>AND(icf.157!T48,"AAAAAH/s2dk=")</f>
        <v>#VALUE!</v>
      </c>
      <c r="HK5" t="e">
        <f>AND(icf.157!#REF!,"AAAAAH/s2do=")</f>
        <v>#REF!</v>
      </c>
      <c r="HL5" t="e">
        <f>AND(icf.157!V48,"AAAAAH/s2ds=")</f>
        <v>#VALUE!</v>
      </c>
      <c r="HM5" t="e">
        <f>AND(icf.157!W48,"AAAAAH/s2dw=")</f>
        <v>#VALUE!</v>
      </c>
      <c r="HN5" t="e">
        <f>AND(icf.157!Y48,"AAAAAH/s2d0=")</f>
        <v>#VALUE!</v>
      </c>
      <c r="HO5" t="e">
        <f>AND(icf.157!Z48,"AAAAAH/s2d4=")</f>
        <v>#VALUE!</v>
      </c>
      <c r="HP5" t="e">
        <f>AND(icf.157!AA48,"AAAAAH/s2d8=")</f>
        <v>#VALUE!</v>
      </c>
      <c r="HQ5">
        <f>IF(icf.157!49:49,"AAAAAH/s2eA=",0)</f>
        <v>0</v>
      </c>
      <c r="HR5" t="e">
        <f>AND(icf.157!A49,"AAAAAH/s2eE=")</f>
        <v>#VALUE!</v>
      </c>
      <c r="HS5" t="e">
        <f>AND(icf.157!#REF!,"AAAAAH/s2eI=")</f>
        <v>#REF!</v>
      </c>
      <c r="HT5" t="e">
        <f>AND(icf.157!C49,"AAAAAH/s2eM=")</f>
        <v>#VALUE!</v>
      </c>
      <c r="HU5" t="e">
        <f>AND(icf.157!D49,"AAAAAH/s2eQ=")</f>
        <v>#VALUE!</v>
      </c>
      <c r="HV5" t="e">
        <f>AND(icf.157!E49,"AAAAAH/s2eU=")</f>
        <v>#VALUE!</v>
      </c>
      <c r="HW5" t="e">
        <f>AND(icf.157!F49,"AAAAAH/s2eY=")</f>
        <v>#VALUE!</v>
      </c>
      <c r="HX5" t="e">
        <f>AND(icf.157!G49,"AAAAAH/s2ec=")</f>
        <v>#VALUE!</v>
      </c>
      <c r="HY5" t="e">
        <f>AND(icf.157!H49,"AAAAAH/s2eg=")</f>
        <v>#VALUE!</v>
      </c>
      <c r="HZ5" t="e">
        <f>AND(icf.157!I49,"AAAAAH/s2ek=")</f>
        <v>#VALUE!</v>
      </c>
      <c r="IA5" t="e">
        <f>AND(icf.157!J49,"AAAAAH/s2eo=")</f>
        <v>#VALUE!</v>
      </c>
      <c r="IB5" t="e">
        <f>AND(icf.157!L49,"AAAAAH/s2es=")</f>
        <v>#VALUE!</v>
      </c>
      <c r="IC5" t="e">
        <f>AND(icf.157!M49,"AAAAAH/s2ew=")</f>
        <v>#VALUE!</v>
      </c>
      <c r="ID5" t="e">
        <f>AND(icf.157!N49,"AAAAAH/s2e0=")</f>
        <v>#VALUE!</v>
      </c>
      <c r="IE5" t="e">
        <f>AND(icf.157!O49,"AAAAAH/s2e4=")</f>
        <v>#VALUE!</v>
      </c>
      <c r="IF5" t="e">
        <f>AND(icf.157!P49,"AAAAAH/s2e8=")</f>
        <v>#VALUE!</v>
      </c>
      <c r="IG5" t="e">
        <f>AND(icf.157!Q49,"AAAAAH/s2fA=")</f>
        <v>#VALUE!</v>
      </c>
      <c r="IH5" t="e">
        <f>AND(icf.157!R49,"AAAAAH/s2fE=")</f>
        <v>#VALUE!</v>
      </c>
      <c r="II5" t="e">
        <f>AND(icf.157!S49,"AAAAAH/s2fI=")</f>
        <v>#VALUE!</v>
      </c>
      <c r="IJ5" t="e">
        <f>AND(icf.157!T49,"AAAAAH/s2fM=")</f>
        <v>#VALUE!</v>
      </c>
      <c r="IK5" t="e">
        <f>AND(icf.157!#REF!,"AAAAAH/s2fQ=")</f>
        <v>#REF!</v>
      </c>
      <c r="IL5" t="e">
        <f>AND(icf.157!V49,"AAAAAH/s2fU=")</f>
        <v>#VALUE!</v>
      </c>
      <c r="IM5" t="e">
        <f>AND(icf.157!W49,"AAAAAH/s2fY=")</f>
        <v>#VALUE!</v>
      </c>
      <c r="IN5" t="e">
        <f>AND(icf.157!Y49,"AAAAAH/s2fc=")</f>
        <v>#VALUE!</v>
      </c>
      <c r="IO5" t="e">
        <f>AND(icf.157!Z49,"AAAAAH/s2fg=")</f>
        <v>#VALUE!</v>
      </c>
      <c r="IP5" t="e">
        <f>AND(icf.157!AA49,"AAAAAH/s2fk=")</f>
        <v>#VALUE!</v>
      </c>
      <c r="IQ5">
        <f>IF(icf.157!50:50,"AAAAAH/s2fo=",0)</f>
        <v>0</v>
      </c>
      <c r="IR5" t="e">
        <f>AND(icf.157!A50,"AAAAAH/s2fs=")</f>
        <v>#VALUE!</v>
      </c>
      <c r="IS5" t="e">
        <f>AND(icf.157!#REF!,"AAAAAH/s2fw=")</f>
        <v>#REF!</v>
      </c>
      <c r="IT5" t="e">
        <f>AND(icf.157!C50,"AAAAAH/s2f0=")</f>
        <v>#VALUE!</v>
      </c>
      <c r="IU5" t="e">
        <f>AND(icf.157!D50,"AAAAAH/s2f4=")</f>
        <v>#VALUE!</v>
      </c>
      <c r="IV5" t="e">
        <f>AND(icf.157!E50,"AAAAAH/s2f8=")</f>
        <v>#VALUE!</v>
      </c>
    </row>
    <row r="6" spans="1:256" x14ac:dyDescent="0.2">
      <c r="A6" t="e">
        <f>AND(icf.157!F50,"AAAAAGz/lgA=")</f>
        <v>#VALUE!</v>
      </c>
      <c r="B6" t="e">
        <f>AND(icf.157!G50,"AAAAAGz/lgE=")</f>
        <v>#VALUE!</v>
      </c>
      <c r="C6" t="e">
        <f>AND(icf.157!H50,"AAAAAGz/lgI=")</f>
        <v>#VALUE!</v>
      </c>
      <c r="D6" t="e">
        <f>AND(icf.157!I50,"AAAAAGz/lgM=")</f>
        <v>#VALUE!</v>
      </c>
      <c r="E6" t="e">
        <f>AND(icf.157!J50,"AAAAAGz/lgQ=")</f>
        <v>#VALUE!</v>
      </c>
      <c r="F6" t="e">
        <f>AND(icf.157!L50,"AAAAAGz/lgU=")</f>
        <v>#VALUE!</v>
      </c>
      <c r="G6" t="e">
        <f>AND(icf.157!M50,"AAAAAGz/lgY=")</f>
        <v>#VALUE!</v>
      </c>
      <c r="H6" t="e">
        <f>AND(icf.157!N50,"AAAAAGz/lgc=")</f>
        <v>#VALUE!</v>
      </c>
      <c r="I6" t="e">
        <f>AND(icf.157!O50,"AAAAAGz/lgg=")</f>
        <v>#VALUE!</v>
      </c>
      <c r="J6" t="e">
        <f>AND(icf.157!P50,"AAAAAGz/lgk=")</f>
        <v>#VALUE!</v>
      </c>
      <c r="K6" t="e">
        <f>AND(icf.157!Q50,"AAAAAGz/lgo=")</f>
        <v>#VALUE!</v>
      </c>
      <c r="L6" t="e">
        <f>AND(icf.157!R50,"AAAAAGz/lgs=")</f>
        <v>#VALUE!</v>
      </c>
      <c r="M6" t="e">
        <f>AND(icf.157!S50,"AAAAAGz/lgw=")</f>
        <v>#VALUE!</v>
      </c>
      <c r="N6" t="e">
        <f>AND(icf.157!T50,"AAAAAGz/lg0=")</f>
        <v>#VALUE!</v>
      </c>
      <c r="O6" t="e">
        <f>AND(icf.157!#REF!,"AAAAAGz/lg4=")</f>
        <v>#REF!</v>
      </c>
      <c r="P6" t="e">
        <f>AND(icf.157!V50,"AAAAAGz/lg8=")</f>
        <v>#VALUE!</v>
      </c>
      <c r="Q6" t="e">
        <f>AND(icf.157!W50,"AAAAAGz/lhA=")</f>
        <v>#VALUE!</v>
      </c>
      <c r="R6" t="e">
        <f>AND(icf.157!Y50,"AAAAAGz/lhE=")</f>
        <v>#VALUE!</v>
      </c>
      <c r="S6" t="e">
        <f>AND(icf.157!Z50,"AAAAAGz/lhI=")</f>
        <v>#VALUE!</v>
      </c>
      <c r="T6" t="e">
        <f>AND(icf.157!AA50,"AAAAAGz/lhM=")</f>
        <v>#VALUE!</v>
      </c>
      <c r="U6" t="str">
        <f>IF(icf.157!51:51,"AAAAAGz/lhQ=",0)</f>
        <v>AAAAAGz/lhQ=</v>
      </c>
      <c r="V6" t="e">
        <f>AND(icf.157!A51,"AAAAAGz/lhU=")</f>
        <v>#VALUE!</v>
      </c>
      <c r="W6" t="e">
        <f>AND(icf.157!#REF!,"AAAAAGz/lhY=")</f>
        <v>#REF!</v>
      </c>
      <c r="X6" t="e">
        <f>AND(icf.157!C51,"AAAAAGz/lhc=")</f>
        <v>#VALUE!</v>
      </c>
      <c r="Y6" t="e">
        <f>AND(icf.157!D51,"AAAAAGz/lhg=")</f>
        <v>#VALUE!</v>
      </c>
      <c r="Z6" t="e">
        <f>AND(icf.157!E51,"AAAAAGz/lhk=")</f>
        <v>#VALUE!</v>
      </c>
      <c r="AA6" t="e">
        <f>AND(icf.157!F51,"AAAAAGz/lho=")</f>
        <v>#VALUE!</v>
      </c>
      <c r="AB6" t="e">
        <f>AND(icf.157!G51,"AAAAAGz/lhs=")</f>
        <v>#VALUE!</v>
      </c>
      <c r="AC6" t="e">
        <f>AND(icf.157!H51,"AAAAAGz/lhw=")</f>
        <v>#VALUE!</v>
      </c>
      <c r="AD6" t="e">
        <f>AND(icf.157!I51,"AAAAAGz/lh0=")</f>
        <v>#VALUE!</v>
      </c>
      <c r="AE6" t="e">
        <f>AND(icf.157!J51,"AAAAAGz/lh4=")</f>
        <v>#VALUE!</v>
      </c>
      <c r="AF6" t="e">
        <f>AND(icf.157!L51,"AAAAAGz/lh8=")</f>
        <v>#VALUE!</v>
      </c>
      <c r="AG6" t="e">
        <f>AND(icf.157!M51,"AAAAAGz/liA=")</f>
        <v>#VALUE!</v>
      </c>
      <c r="AH6" t="e">
        <f>AND(icf.157!N51,"AAAAAGz/liE=")</f>
        <v>#VALUE!</v>
      </c>
      <c r="AI6" t="e">
        <f>AND(icf.157!O51,"AAAAAGz/liI=")</f>
        <v>#VALUE!</v>
      </c>
      <c r="AJ6" t="e">
        <f>AND(icf.157!P51,"AAAAAGz/liM=")</f>
        <v>#VALUE!</v>
      </c>
      <c r="AK6" t="e">
        <f>AND(icf.157!Q51,"AAAAAGz/liQ=")</f>
        <v>#VALUE!</v>
      </c>
      <c r="AL6" t="e">
        <f>AND(icf.157!R51,"AAAAAGz/liU=")</f>
        <v>#VALUE!</v>
      </c>
      <c r="AM6" t="e">
        <f>AND(icf.157!S51,"AAAAAGz/liY=")</f>
        <v>#VALUE!</v>
      </c>
      <c r="AN6" t="e">
        <f>AND(icf.157!T51,"AAAAAGz/lic=")</f>
        <v>#VALUE!</v>
      </c>
      <c r="AO6" t="e">
        <f>AND(icf.157!#REF!,"AAAAAGz/lig=")</f>
        <v>#REF!</v>
      </c>
      <c r="AP6" t="e">
        <f>AND(icf.157!V51,"AAAAAGz/lik=")</f>
        <v>#VALUE!</v>
      </c>
      <c r="AQ6" t="e">
        <f>AND(icf.157!W51,"AAAAAGz/lio=")</f>
        <v>#VALUE!</v>
      </c>
      <c r="AR6" t="e">
        <f>AND(icf.157!Y51,"AAAAAGz/lis=")</f>
        <v>#VALUE!</v>
      </c>
      <c r="AS6" t="e">
        <f>AND(icf.157!Z51,"AAAAAGz/liw=")</f>
        <v>#VALUE!</v>
      </c>
      <c r="AT6" t="e">
        <f>AND(icf.157!AA51,"AAAAAGz/li0=")</f>
        <v>#VALUE!</v>
      </c>
      <c r="AU6" t="str">
        <f>IF(icf.157!52:52,"AAAAAGz/li4=",0)</f>
        <v>AAAAAGz/li4=</v>
      </c>
      <c r="AV6" t="e">
        <f>AND(icf.157!A52,"AAAAAGz/li8=")</f>
        <v>#VALUE!</v>
      </c>
      <c r="AW6" t="e">
        <f>AND(icf.157!#REF!,"AAAAAGz/ljA=")</f>
        <v>#REF!</v>
      </c>
      <c r="AX6" t="e">
        <f>AND(icf.157!C52,"AAAAAGz/ljE=")</f>
        <v>#VALUE!</v>
      </c>
      <c r="AY6" t="e">
        <f>AND(icf.157!D52,"AAAAAGz/ljI=")</f>
        <v>#VALUE!</v>
      </c>
      <c r="AZ6" t="e">
        <f>AND(icf.157!E52,"AAAAAGz/ljM=")</f>
        <v>#VALUE!</v>
      </c>
      <c r="BA6" t="e">
        <f>AND(icf.157!F52,"AAAAAGz/ljQ=")</f>
        <v>#VALUE!</v>
      </c>
      <c r="BB6" t="e">
        <f>AND(icf.157!G52,"AAAAAGz/ljU=")</f>
        <v>#VALUE!</v>
      </c>
      <c r="BC6" t="e">
        <f>AND(icf.157!H52,"AAAAAGz/ljY=")</f>
        <v>#VALUE!</v>
      </c>
      <c r="BD6" t="e">
        <f>AND(icf.157!I52,"AAAAAGz/ljc=")</f>
        <v>#VALUE!</v>
      </c>
      <c r="BE6" t="e">
        <f>AND(icf.157!J52,"AAAAAGz/ljg=")</f>
        <v>#VALUE!</v>
      </c>
      <c r="BF6" t="e">
        <f>AND(icf.157!L52,"AAAAAGz/ljk=")</f>
        <v>#VALUE!</v>
      </c>
      <c r="BG6" t="e">
        <f>AND(icf.157!M52,"AAAAAGz/ljo=")</f>
        <v>#VALUE!</v>
      </c>
      <c r="BH6" t="e">
        <f>AND(icf.157!N52,"AAAAAGz/ljs=")</f>
        <v>#VALUE!</v>
      </c>
      <c r="BI6" t="e">
        <f>AND(icf.157!O52,"AAAAAGz/ljw=")</f>
        <v>#VALUE!</v>
      </c>
      <c r="BJ6" t="e">
        <f>AND(icf.157!P52,"AAAAAGz/lj0=")</f>
        <v>#VALUE!</v>
      </c>
      <c r="BK6" t="e">
        <f>AND(icf.157!Q52,"AAAAAGz/lj4=")</f>
        <v>#VALUE!</v>
      </c>
      <c r="BL6" t="e">
        <f>AND(icf.157!R52,"AAAAAGz/lj8=")</f>
        <v>#VALUE!</v>
      </c>
      <c r="BM6" t="e">
        <f>AND(icf.157!S52,"AAAAAGz/lkA=")</f>
        <v>#VALUE!</v>
      </c>
      <c r="BN6" t="e">
        <f>AND(icf.157!T52,"AAAAAGz/lkE=")</f>
        <v>#VALUE!</v>
      </c>
      <c r="BO6" t="e">
        <f>AND(icf.157!#REF!,"AAAAAGz/lkI=")</f>
        <v>#REF!</v>
      </c>
      <c r="BP6" t="e">
        <f>AND(icf.157!V52,"AAAAAGz/lkM=")</f>
        <v>#VALUE!</v>
      </c>
      <c r="BQ6" t="e">
        <f>AND(icf.157!W52,"AAAAAGz/lkQ=")</f>
        <v>#VALUE!</v>
      </c>
      <c r="BR6" t="e">
        <f>AND(icf.157!Y52,"AAAAAGz/lkU=")</f>
        <v>#VALUE!</v>
      </c>
      <c r="BS6" t="e">
        <f>AND(icf.157!Z52,"AAAAAGz/lkY=")</f>
        <v>#VALUE!</v>
      </c>
      <c r="BT6" t="e">
        <f>AND(icf.157!AA52,"AAAAAGz/lkc=")</f>
        <v>#VALUE!</v>
      </c>
      <c r="BU6">
        <f>IF(icf.157!53:53,"AAAAAGz/lkg=",0)</f>
        <v>0</v>
      </c>
      <c r="BV6" t="e">
        <f>AND(icf.157!A53,"AAAAAGz/lkk=")</f>
        <v>#VALUE!</v>
      </c>
      <c r="BW6" t="e">
        <f>AND(icf.157!#REF!,"AAAAAGz/lko=")</f>
        <v>#REF!</v>
      </c>
      <c r="BX6" t="e">
        <f>AND(icf.157!C53,"AAAAAGz/lks=")</f>
        <v>#VALUE!</v>
      </c>
      <c r="BY6" t="e">
        <f>AND(icf.157!D53,"AAAAAGz/lkw=")</f>
        <v>#VALUE!</v>
      </c>
      <c r="BZ6" t="e">
        <f>AND(icf.157!E53,"AAAAAGz/lk0=")</f>
        <v>#VALUE!</v>
      </c>
      <c r="CA6" t="e">
        <f>AND(icf.157!F53,"AAAAAGz/lk4=")</f>
        <v>#VALUE!</v>
      </c>
      <c r="CB6" t="e">
        <f>AND(icf.157!G53,"AAAAAGz/lk8=")</f>
        <v>#VALUE!</v>
      </c>
      <c r="CC6" t="e">
        <f>AND(icf.157!H53,"AAAAAGz/llA=")</f>
        <v>#VALUE!</v>
      </c>
      <c r="CD6" t="e">
        <f>AND(icf.157!I53,"AAAAAGz/llE=")</f>
        <v>#VALUE!</v>
      </c>
      <c r="CE6" t="e">
        <f>AND(icf.157!J53,"AAAAAGz/llI=")</f>
        <v>#VALUE!</v>
      </c>
      <c r="CF6" t="e">
        <f>AND(icf.157!L53,"AAAAAGz/llM=")</f>
        <v>#VALUE!</v>
      </c>
      <c r="CG6" t="e">
        <f>AND(icf.157!M53,"AAAAAGz/llQ=")</f>
        <v>#VALUE!</v>
      </c>
      <c r="CH6" t="e">
        <f>AND(icf.157!N53,"AAAAAGz/llU=")</f>
        <v>#VALUE!</v>
      </c>
      <c r="CI6" t="e">
        <f>AND(icf.157!O53,"AAAAAGz/llY=")</f>
        <v>#VALUE!</v>
      </c>
      <c r="CJ6" t="e">
        <f>AND(icf.157!P53,"AAAAAGz/llc=")</f>
        <v>#VALUE!</v>
      </c>
      <c r="CK6" t="e">
        <f>AND(icf.157!Q53,"AAAAAGz/llg=")</f>
        <v>#VALUE!</v>
      </c>
      <c r="CL6" t="e">
        <f>AND(icf.157!R53,"AAAAAGz/llk=")</f>
        <v>#VALUE!</v>
      </c>
      <c r="CM6" t="e">
        <f>AND(icf.157!S53,"AAAAAGz/llo=")</f>
        <v>#VALUE!</v>
      </c>
      <c r="CN6" t="e">
        <f>AND(icf.157!T53,"AAAAAGz/lls=")</f>
        <v>#VALUE!</v>
      </c>
      <c r="CO6" t="e">
        <f>AND(icf.157!#REF!,"AAAAAGz/llw=")</f>
        <v>#REF!</v>
      </c>
      <c r="CP6" t="e">
        <f>AND(icf.157!V53,"AAAAAGz/ll0=")</f>
        <v>#VALUE!</v>
      </c>
      <c r="CQ6" t="e">
        <f>AND(icf.157!W53,"AAAAAGz/ll4=")</f>
        <v>#VALUE!</v>
      </c>
      <c r="CR6" t="e">
        <f>AND(icf.157!Y53,"AAAAAGz/ll8=")</f>
        <v>#VALUE!</v>
      </c>
      <c r="CS6" t="e">
        <f>AND(icf.157!Z53,"AAAAAGz/lmA=")</f>
        <v>#VALUE!</v>
      </c>
      <c r="CT6" t="e">
        <f>AND(icf.157!AA53,"AAAAAGz/lmE=")</f>
        <v>#VALUE!</v>
      </c>
      <c r="CU6">
        <f>IF(icf.157!54:54,"AAAAAGz/lmI=",0)</f>
        <v>0</v>
      </c>
      <c r="CV6" t="e">
        <f>AND(icf.157!A54,"AAAAAGz/lmM=")</f>
        <v>#VALUE!</v>
      </c>
      <c r="CW6" t="str">
        <f>IF(icf.157!A:A,"AAAAAGz/lmQ=",0)</f>
        <v>AAAAAGz/lmQ=</v>
      </c>
      <c r="CX6" t="e">
        <f>IF(icf.157!#REF!,"AAAAAGz/lmU=",0)</f>
        <v>#REF!</v>
      </c>
      <c r="CY6" t="str">
        <f>IF(icf.157!C:C,"AAAAAGz/lmY=",0)</f>
        <v>AAAAAGz/lmY=</v>
      </c>
      <c r="CZ6" t="str">
        <f>IF(icf.157!D:D,"AAAAAGz/lmc=",0)</f>
        <v>AAAAAGz/lmc=</v>
      </c>
      <c r="DA6" t="str">
        <f>IF(icf.157!E:E,"AAAAAGz/lmg=",0)</f>
        <v>AAAAAGz/lmg=</v>
      </c>
      <c r="DB6" t="str">
        <f>IF(icf.157!F:F,"AAAAAGz/lmk=",0)</f>
        <v>AAAAAGz/lmk=</v>
      </c>
      <c r="DC6" t="str">
        <f>IF(icf.157!G:G,"AAAAAGz/lmo=",0)</f>
        <v>AAAAAGz/lmo=</v>
      </c>
      <c r="DD6" t="str">
        <f>IF(icf.157!H:H,"AAAAAGz/lms=",0)</f>
        <v>AAAAAGz/lms=</v>
      </c>
      <c r="DE6" t="str">
        <f>IF(icf.157!I:I,"AAAAAGz/lmw=",0)</f>
        <v>AAAAAGz/lmw=</v>
      </c>
      <c r="DF6" t="str">
        <f>IF(icf.157!J:J,"AAAAAGz/lm0=",0)</f>
        <v>AAAAAGz/lm0=</v>
      </c>
      <c r="DG6" t="str">
        <f>IF(icf.157!L:L,"AAAAAGz/lm4=",0)</f>
        <v>AAAAAGz/lm4=</v>
      </c>
      <c r="DH6" t="str">
        <f>IF(icf.157!M:M,"AAAAAGz/lm8=",0)</f>
        <v>AAAAAGz/lm8=</v>
      </c>
      <c r="DI6" t="str">
        <f>IF(icf.157!N:N,"AAAAAGz/lnA=",0)</f>
        <v>AAAAAGz/lnA=</v>
      </c>
      <c r="DJ6" t="str">
        <f>IF(icf.157!O:O,"AAAAAGz/lnE=",0)</f>
        <v>AAAAAGz/lnE=</v>
      </c>
      <c r="DK6" t="str">
        <f>IF(icf.157!P:P,"AAAAAGz/lnI=",0)</f>
        <v>AAAAAGz/lnI=</v>
      </c>
      <c r="DL6" t="str">
        <f>IF(icf.157!Q:Q,"AAAAAGz/lnM=",0)</f>
        <v>AAAAAGz/lnM=</v>
      </c>
      <c r="DM6" t="str">
        <f>IF(icf.157!R:R,"AAAAAGz/lnQ=",0)</f>
        <v>AAAAAGz/lnQ=</v>
      </c>
      <c r="DN6" t="str">
        <f>IF(icf.157!S:S,"AAAAAGz/lnU=",0)</f>
        <v>AAAAAGz/lnU=</v>
      </c>
      <c r="DO6" t="str">
        <f>IF(icf.157!T:T,"AAAAAGz/lnY=",0)</f>
        <v>AAAAAGz/lnY=</v>
      </c>
      <c r="DP6" t="e">
        <f>IF(icf.157!#REF!,"AAAAAGz/lnc=",0)</f>
        <v>#REF!</v>
      </c>
      <c r="DQ6" t="str">
        <f>IF(icf.157!V:V,"AAAAAGz/lng=",0)</f>
        <v>AAAAAGz/lng=</v>
      </c>
      <c r="DR6" t="str">
        <f>IF(icf.157!W:W,"AAAAAGz/lnk=",0)</f>
        <v>AAAAAGz/lnk=</v>
      </c>
      <c r="DS6" t="str">
        <f>IF(icf.157!Y:Y,"AAAAAGz/lno=",0)</f>
        <v>AAAAAGz/lno=</v>
      </c>
      <c r="DT6" t="str">
        <f>IF(icf.157!Z:Z,"AAAAAGz/lns=",0)</f>
        <v>AAAAAGz/lns=</v>
      </c>
      <c r="DU6" t="str">
        <f>IF(icf.157!AA:AA,"AAAAAGz/lnw=",0)</f>
        <v>AAAAAGz/lnw=</v>
      </c>
      <c r="DV6">
        <f>IF(Eventos.157!1:1,"AAAAAGz/ln0=",0)</f>
        <v>0</v>
      </c>
      <c r="DW6" t="e">
        <f>AND(Eventos.157!A1,"AAAAAGz/ln4=")</f>
        <v>#VALUE!</v>
      </c>
      <c r="DX6" t="e">
        <f>AND(Eventos.157!B1,"AAAAAGz/ln8=")</f>
        <v>#VALUE!</v>
      </c>
      <c r="DY6" t="e">
        <f>AND(Eventos.157!C1,"AAAAAGz/loA=")</f>
        <v>#VALUE!</v>
      </c>
      <c r="DZ6" t="e">
        <f>AND(Eventos.157!D1,"AAAAAGz/loE=")</f>
        <v>#VALUE!</v>
      </c>
      <c r="EA6" t="e">
        <f>AND(Eventos.157!E1,"AAAAAGz/loI=")</f>
        <v>#VALUE!</v>
      </c>
      <c r="EB6">
        <f>IF(Eventos.157!2:2,"AAAAAGz/loM=",0)</f>
        <v>0</v>
      </c>
      <c r="EC6" t="e">
        <f>AND(Eventos.157!A2,"AAAAAGz/loQ=")</f>
        <v>#VALUE!</v>
      </c>
      <c r="ED6" t="e">
        <f>AND(Eventos.157!B2,"AAAAAGz/loU=")</f>
        <v>#VALUE!</v>
      </c>
      <c r="EE6" t="e">
        <f>AND(Eventos.157!C2,"AAAAAGz/loY=")</f>
        <v>#VALUE!</v>
      </c>
      <c r="EF6" t="e">
        <f>AND(Eventos.157!D2,"AAAAAGz/loc=")</f>
        <v>#VALUE!</v>
      </c>
      <c r="EG6" t="e">
        <f>AND(Eventos.157!E2,"AAAAAGz/log=")</f>
        <v>#VALUE!</v>
      </c>
      <c r="EH6">
        <f>IF(Eventos.157!3:3,"AAAAAGz/lok=",0)</f>
        <v>0</v>
      </c>
      <c r="EI6" t="e">
        <f>AND(Eventos.157!A3,"AAAAAGz/loo=")</f>
        <v>#VALUE!</v>
      </c>
      <c r="EJ6" t="e">
        <f>AND(Eventos.157!B3,"AAAAAGz/los=")</f>
        <v>#VALUE!</v>
      </c>
      <c r="EK6" t="e">
        <f>AND(Eventos.157!C3,"AAAAAGz/low=")</f>
        <v>#VALUE!</v>
      </c>
      <c r="EL6" t="e">
        <f>AND(Eventos.157!D3,"AAAAAGz/lo0=")</f>
        <v>#VALUE!</v>
      </c>
      <c r="EM6" t="e">
        <f>AND(Eventos.157!E3,"AAAAAGz/lo4=")</f>
        <v>#VALUE!</v>
      </c>
      <c r="EN6">
        <f>IF(Eventos.157!4:4,"AAAAAGz/lo8=",0)</f>
        <v>0</v>
      </c>
      <c r="EO6" t="e">
        <f>AND(Eventos.157!A4,"AAAAAGz/lpA=")</f>
        <v>#VALUE!</v>
      </c>
      <c r="EP6" t="e">
        <f>AND(Eventos.157!B4,"AAAAAGz/lpE=")</f>
        <v>#VALUE!</v>
      </c>
      <c r="EQ6" t="e">
        <f>AND(Eventos.157!C4,"AAAAAGz/lpI=")</f>
        <v>#VALUE!</v>
      </c>
      <c r="ER6" t="e">
        <f>AND(Eventos.157!D4,"AAAAAGz/lpM=")</f>
        <v>#VALUE!</v>
      </c>
      <c r="ES6" t="e">
        <f>AND(Eventos.157!E4,"AAAAAGz/lpQ=")</f>
        <v>#VALUE!</v>
      </c>
      <c r="ET6">
        <f>IF(Eventos.157!5:5,"AAAAAGz/lpU=",0)</f>
        <v>0</v>
      </c>
      <c r="EU6" t="e">
        <f>AND(Eventos.157!A5,"AAAAAGz/lpY=")</f>
        <v>#VALUE!</v>
      </c>
      <c r="EV6" t="e">
        <f>AND(Eventos.157!B5,"AAAAAGz/lpc=")</f>
        <v>#VALUE!</v>
      </c>
      <c r="EW6" t="e">
        <f>AND(Eventos.157!C5,"AAAAAGz/lpg=")</f>
        <v>#VALUE!</v>
      </c>
      <c r="EX6" t="e">
        <f>AND(Eventos.157!D5,"AAAAAGz/lpk=")</f>
        <v>#VALUE!</v>
      </c>
      <c r="EY6" t="e">
        <f>AND(Eventos.157!E5,"AAAAAGz/lpo=")</f>
        <v>#VALUE!</v>
      </c>
      <c r="EZ6">
        <f>IF(Eventos.157!6:6,"AAAAAGz/lps=",0)</f>
        <v>0</v>
      </c>
      <c r="FA6" t="e">
        <f>AND(Eventos.157!A6,"AAAAAGz/lpw=")</f>
        <v>#VALUE!</v>
      </c>
      <c r="FB6" t="e">
        <f>AND(Eventos.157!B6,"AAAAAGz/lp0=")</f>
        <v>#VALUE!</v>
      </c>
      <c r="FC6" t="e">
        <f>AND(Eventos.157!C6,"AAAAAGz/lp4=")</f>
        <v>#VALUE!</v>
      </c>
      <c r="FD6" t="e">
        <f>AND(Eventos.157!D6,"AAAAAGz/lp8=")</f>
        <v>#VALUE!</v>
      </c>
      <c r="FE6" t="e">
        <f>AND(Eventos.157!E6,"AAAAAGz/lqA=")</f>
        <v>#VALUE!</v>
      </c>
      <c r="FF6">
        <f>IF(Eventos.157!7:7,"AAAAAGz/lqE=",0)</f>
        <v>0</v>
      </c>
      <c r="FG6" t="e">
        <f>AND(Eventos.157!A7,"AAAAAGz/lqI=")</f>
        <v>#VALUE!</v>
      </c>
      <c r="FH6" t="e">
        <f>AND(Eventos.157!B7,"AAAAAGz/lqM=")</f>
        <v>#VALUE!</v>
      </c>
      <c r="FI6" t="e">
        <f>AND(Eventos.157!C7,"AAAAAGz/lqQ=")</f>
        <v>#VALUE!</v>
      </c>
      <c r="FJ6" t="e">
        <f>AND(Eventos.157!D7,"AAAAAGz/lqU=")</f>
        <v>#VALUE!</v>
      </c>
      <c r="FK6" t="e">
        <f>AND(Eventos.157!E7,"AAAAAGz/lqY=")</f>
        <v>#VALUE!</v>
      </c>
      <c r="FL6">
        <f>IF(Eventos.157!8:8,"AAAAAGz/lqc=",0)</f>
        <v>0</v>
      </c>
      <c r="FM6" t="e">
        <f>AND(Eventos.157!A8,"AAAAAGz/lqg=")</f>
        <v>#VALUE!</v>
      </c>
      <c r="FN6" t="e">
        <f>AND(Eventos.157!B8,"AAAAAGz/lqk=")</f>
        <v>#VALUE!</v>
      </c>
      <c r="FO6" t="e">
        <f>AND(Eventos.157!C8,"AAAAAGz/lqo=")</f>
        <v>#VALUE!</v>
      </c>
      <c r="FP6" t="e">
        <f>AND(Eventos.157!D8,"AAAAAGz/lqs=")</f>
        <v>#VALUE!</v>
      </c>
      <c r="FQ6" t="e">
        <f>AND(Eventos.157!E8,"AAAAAGz/lqw=")</f>
        <v>#VALUE!</v>
      </c>
      <c r="FR6">
        <f>IF(Eventos.157!10:10,"AAAAAGz/lq0=",0)</f>
        <v>0</v>
      </c>
      <c r="FS6" t="e">
        <f>AND(Eventos.157!A10,"AAAAAGz/lq4=")</f>
        <v>#VALUE!</v>
      </c>
      <c r="FT6" t="e">
        <f>AND(Eventos.157!B10,"AAAAAGz/lq8=")</f>
        <v>#VALUE!</v>
      </c>
      <c r="FU6" t="e">
        <f>AND(Eventos.157!C10,"AAAAAGz/lrA=")</f>
        <v>#VALUE!</v>
      </c>
      <c r="FV6" t="e">
        <f>AND(Eventos.157!D10,"AAAAAGz/lrE=")</f>
        <v>#VALUE!</v>
      </c>
      <c r="FW6" t="e">
        <f>AND(Eventos.157!E10,"AAAAAGz/lrI=")</f>
        <v>#VALUE!</v>
      </c>
      <c r="FX6">
        <f>IF(Eventos.157!11:11,"AAAAAGz/lrM=",0)</f>
        <v>0</v>
      </c>
      <c r="FY6" t="e">
        <f>AND(Eventos.157!A11,"AAAAAGz/lrQ=")</f>
        <v>#VALUE!</v>
      </c>
      <c r="FZ6" t="e">
        <f>AND(Eventos.157!B11,"AAAAAGz/lrU=")</f>
        <v>#VALUE!</v>
      </c>
      <c r="GA6" t="e">
        <f>AND(Eventos.157!C11,"AAAAAGz/lrY=")</f>
        <v>#VALUE!</v>
      </c>
      <c r="GB6" t="e">
        <f>AND(Eventos.157!D11,"AAAAAGz/lrc=")</f>
        <v>#VALUE!</v>
      </c>
      <c r="GC6" t="e">
        <f>AND(Eventos.157!E11,"AAAAAGz/lrg=")</f>
        <v>#VALUE!</v>
      </c>
      <c r="GD6">
        <f>IF(Eventos.157!13:13,"AAAAAGz/lrk=",0)</f>
        <v>0</v>
      </c>
      <c r="GE6" t="e">
        <f>AND(Eventos.157!A13,"AAAAAGz/lro=")</f>
        <v>#VALUE!</v>
      </c>
      <c r="GF6" t="e">
        <f>AND(Eventos.157!B13,"AAAAAGz/lrs=")</f>
        <v>#VALUE!</v>
      </c>
      <c r="GG6" t="e">
        <f>AND(Eventos.157!C13,"AAAAAGz/lrw=")</f>
        <v>#VALUE!</v>
      </c>
      <c r="GH6" t="e">
        <f>AND(Eventos.157!D13,"AAAAAGz/lr0=")</f>
        <v>#VALUE!</v>
      </c>
      <c r="GI6" t="e">
        <f>AND(Eventos.157!E13,"AAAAAGz/lr4=")</f>
        <v>#VALUE!</v>
      </c>
      <c r="GJ6">
        <f>IF(Eventos.157!14:14,"AAAAAGz/lr8=",0)</f>
        <v>0</v>
      </c>
      <c r="GK6" t="e">
        <f>AND(Eventos.157!A14,"AAAAAGz/lsA=")</f>
        <v>#VALUE!</v>
      </c>
      <c r="GL6" t="e">
        <f>AND(Eventos.157!B14,"AAAAAGz/lsE=")</f>
        <v>#VALUE!</v>
      </c>
      <c r="GM6" t="e">
        <f>AND(Eventos.157!C14,"AAAAAGz/lsI=")</f>
        <v>#VALUE!</v>
      </c>
      <c r="GN6" t="e">
        <f>AND(Eventos.157!D14,"AAAAAGz/lsM=")</f>
        <v>#VALUE!</v>
      </c>
      <c r="GO6" t="e">
        <f>AND(Eventos.157!E14,"AAAAAGz/lsQ=")</f>
        <v>#VALUE!</v>
      </c>
      <c r="GP6">
        <f>IF(Eventos.157!15:15,"AAAAAGz/lsU=",0)</f>
        <v>0</v>
      </c>
      <c r="GQ6" t="e">
        <f>AND(Eventos.157!A15,"AAAAAGz/lsY=")</f>
        <v>#VALUE!</v>
      </c>
      <c r="GR6" t="e">
        <f>AND(Eventos.157!B15,"AAAAAGz/lsc=")</f>
        <v>#VALUE!</v>
      </c>
      <c r="GS6" t="e">
        <f>AND(Eventos.157!C15,"AAAAAGz/lsg=")</f>
        <v>#VALUE!</v>
      </c>
      <c r="GT6" t="e">
        <f>AND(Eventos.157!D15,"AAAAAGz/lsk=")</f>
        <v>#VALUE!</v>
      </c>
      <c r="GU6" t="e">
        <f>AND(Eventos.157!E15,"AAAAAGz/lso=")</f>
        <v>#VALUE!</v>
      </c>
      <c r="GV6">
        <f>IF(Eventos.157!16:16,"AAAAAGz/lss=",0)</f>
        <v>0</v>
      </c>
      <c r="GW6" t="e">
        <f>AND(Eventos.157!A16,"AAAAAGz/lsw=")</f>
        <v>#VALUE!</v>
      </c>
      <c r="GX6" t="e">
        <f>AND(Eventos.157!B16,"AAAAAGz/ls0=")</f>
        <v>#VALUE!</v>
      </c>
      <c r="GY6" t="e">
        <f>AND(Eventos.157!C16,"AAAAAGz/ls4=")</f>
        <v>#VALUE!</v>
      </c>
      <c r="GZ6" t="e">
        <f>AND(Eventos.157!D16,"AAAAAGz/ls8=")</f>
        <v>#VALUE!</v>
      </c>
      <c r="HA6" t="e">
        <f>AND(Eventos.157!E16,"AAAAAGz/ltA=")</f>
        <v>#VALUE!</v>
      </c>
      <c r="HB6">
        <f>IF(Eventos.157!17:17,"AAAAAGz/ltE=",0)</f>
        <v>0</v>
      </c>
      <c r="HC6" t="e">
        <f>AND(Eventos.157!A17,"AAAAAGz/ltI=")</f>
        <v>#VALUE!</v>
      </c>
      <c r="HD6" t="e">
        <f>AND(Eventos.157!B17,"AAAAAGz/ltM=")</f>
        <v>#VALUE!</v>
      </c>
      <c r="HE6" t="e">
        <f>AND(Eventos.157!C17,"AAAAAGz/ltQ=")</f>
        <v>#VALUE!</v>
      </c>
      <c r="HF6" t="e">
        <f>AND(Eventos.157!D17,"AAAAAGz/ltU=")</f>
        <v>#VALUE!</v>
      </c>
      <c r="HG6" t="e">
        <f>AND(Eventos.157!E17,"AAAAAGz/ltY=")</f>
        <v>#VALUE!</v>
      </c>
      <c r="HH6">
        <f>IF(Eventos.157!18:18,"AAAAAGz/ltc=",0)</f>
        <v>0</v>
      </c>
      <c r="HI6" t="e">
        <f>AND(Eventos.157!A18,"AAAAAGz/ltg=")</f>
        <v>#VALUE!</v>
      </c>
      <c r="HJ6" t="e">
        <f>AND(Eventos.157!B18,"AAAAAGz/ltk=")</f>
        <v>#VALUE!</v>
      </c>
      <c r="HK6" t="e">
        <f>AND(Eventos.157!C18,"AAAAAGz/lto=")</f>
        <v>#VALUE!</v>
      </c>
      <c r="HL6" t="e">
        <f>AND(Eventos.157!D18,"AAAAAGz/lts=")</f>
        <v>#VALUE!</v>
      </c>
      <c r="HM6" t="e">
        <f>AND(Eventos.157!E18,"AAAAAGz/ltw=")</f>
        <v>#VALUE!</v>
      </c>
      <c r="HN6">
        <f>IF(Eventos.157!19:19,"AAAAAGz/lt0=",0)</f>
        <v>0</v>
      </c>
      <c r="HO6" t="e">
        <f>AND(Eventos.157!A19,"AAAAAGz/lt4=")</f>
        <v>#VALUE!</v>
      </c>
      <c r="HP6" t="e">
        <f>AND(Eventos.157!B19,"AAAAAGz/lt8=")</f>
        <v>#VALUE!</v>
      </c>
      <c r="HQ6" t="e">
        <f>AND(Eventos.157!C19,"AAAAAGz/luA=")</f>
        <v>#VALUE!</v>
      </c>
      <c r="HR6" t="e">
        <f>AND(Eventos.157!D19,"AAAAAGz/luE=")</f>
        <v>#VALUE!</v>
      </c>
      <c r="HS6" t="e">
        <f>AND(Eventos.157!E19,"AAAAAGz/luI=")</f>
        <v>#VALUE!</v>
      </c>
      <c r="HT6">
        <f>IF(Eventos.157!20:20,"AAAAAGz/luM=",0)</f>
        <v>0</v>
      </c>
      <c r="HU6" t="e">
        <f>AND(Eventos.157!A20,"AAAAAGz/luQ=")</f>
        <v>#VALUE!</v>
      </c>
      <c r="HV6" t="e">
        <f>AND(Eventos.157!B20,"AAAAAGz/luU=")</f>
        <v>#VALUE!</v>
      </c>
      <c r="HW6" t="e">
        <f>AND(Eventos.157!C20,"AAAAAGz/luY=")</f>
        <v>#VALUE!</v>
      </c>
      <c r="HX6" t="e">
        <f>AND(Eventos.157!D20,"AAAAAGz/luc=")</f>
        <v>#VALUE!</v>
      </c>
      <c r="HY6" t="e">
        <f>AND(Eventos.157!E20,"AAAAAGz/lug=")</f>
        <v>#VALUE!</v>
      </c>
      <c r="HZ6">
        <f>IF(Eventos.157!21:21,"AAAAAGz/luk=",0)</f>
        <v>0</v>
      </c>
      <c r="IA6" t="e">
        <f>AND(Eventos.157!A21,"AAAAAGz/luo=")</f>
        <v>#VALUE!</v>
      </c>
      <c r="IB6" t="e">
        <f>AND(Eventos.157!B21,"AAAAAGz/lus=")</f>
        <v>#VALUE!</v>
      </c>
      <c r="IC6" t="e">
        <f>AND(Eventos.157!C21,"AAAAAGz/luw=")</f>
        <v>#VALUE!</v>
      </c>
      <c r="ID6" t="e">
        <f>AND(Eventos.157!D21,"AAAAAGz/lu0=")</f>
        <v>#VALUE!</v>
      </c>
      <c r="IE6" t="e">
        <f>AND(Eventos.157!E21,"AAAAAGz/lu4=")</f>
        <v>#VALUE!</v>
      </c>
      <c r="IF6">
        <f>IF(Eventos.157!22:22,"AAAAAGz/lu8=",0)</f>
        <v>0</v>
      </c>
      <c r="IG6" t="e">
        <f>AND(Eventos.157!A22,"AAAAAGz/lvA=")</f>
        <v>#VALUE!</v>
      </c>
      <c r="IH6" t="e">
        <f>AND(Eventos.157!B22,"AAAAAGz/lvE=")</f>
        <v>#VALUE!</v>
      </c>
      <c r="II6" t="e">
        <f>AND(Eventos.157!C22,"AAAAAGz/lvI=")</f>
        <v>#VALUE!</v>
      </c>
      <c r="IJ6" t="e">
        <f>AND(Eventos.157!D22,"AAAAAGz/lvM=")</f>
        <v>#VALUE!</v>
      </c>
      <c r="IK6" t="e">
        <f>AND(Eventos.157!E22,"AAAAAGz/lvQ=")</f>
        <v>#VALUE!</v>
      </c>
      <c r="IL6">
        <f>IF(Eventos.157!24:24,"AAAAAGz/lvU=",0)</f>
        <v>0</v>
      </c>
      <c r="IM6" t="e">
        <f>AND(Eventos.157!A24,"AAAAAGz/lvY=")</f>
        <v>#VALUE!</v>
      </c>
      <c r="IN6" t="e">
        <f>AND(Eventos.157!B24,"AAAAAGz/lvc=")</f>
        <v>#VALUE!</v>
      </c>
      <c r="IO6" t="e">
        <f>AND(Eventos.157!C24,"AAAAAGz/lvg=")</f>
        <v>#VALUE!</v>
      </c>
      <c r="IP6" t="e">
        <f>AND(Eventos.157!D24,"AAAAAGz/lvk=")</f>
        <v>#VALUE!</v>
      </c>
      <c r="IQ6" t="e">
        <f>AND(Eventos.157!E24,"AAAAAGz/lvo=")</f>
        <v>#VALUE!</v>
      </c>
      <c r="IR6">
        <f>IF(Eventos.157!25:25,"AAAAAGz/lvs=",0)</f>
        <v>0</v>
      </c>
      <c r="IS6" t="e">
        <f>AND(Eventos.157!A25,"AAAAAGz/lvw=")</f>
        <v>#VALUE!</v>
      </c>
      <c r="IT6" t="e">
        <f>AND(Eventos.157!B25,"AAAAAGz/lv0=")</f>
        <v>#VALUE!</v>
      </c>
      <c r="IU6" t="e">
        <f>AND(Eventos.157!C25,"AAAAAGz/lv4=")</f>
        <v>#VALUE!</v>
      </c>
      <c r="IV6" t="e">
        <f>AND(Eventos.157!D25,"AAAAAGz/lv8=")</f>
        <v>#VALUE!</v>
      </c>
    </row>
    <row r="7" spans="1:256" x14ac:dyDescent="0.2">
      <c r="A7" t="e">
        <f>AND(Eventos.157!E25,"AAAAAD/WcQA=")</f>
        <v>#VALUE!</v>
      </c>
      <c r="B7" t="str">
        <f>IF(Eventos.157!26:26,"AAAAAD/WcQE=",0)</f>
        <v>AAAAAD/WcQE=</v>
      </c>
      <c r="C7" t="e">
        <f>AND(Eventos.157!A26,"AAAAAD/WcQI=")</f>
        <v>#VALUE!</v>
      </c>
      <c r="D7" t="e">
        <f>AND(Eventos.157!B26,"AAAAAD/WcQM=")</f>
        <v>#VALUE!</v>
      </c>
      <c r="E7" t="e">
        <f>AND(Eventos.157!C26,"AAAAAD/WcQQ=")</f>
        <v>#VALUE!</v>
      </c>
      <c r="F7" t="e">
        <f>AND(Eventos.157!D26,"AAAAAD/WcQU=")</f>
        <v>#VALUE!</v>
      </c>
      <c r="G7" t="e">
        <f>AND(Eventos.157!E26,"AAAAAD/WcQY=")</f>
        <v>#VALUE!</v>
      </c>
      <c r="H7" t="str">
        <f>IF(Eventos.157!A:A,"AAAAAD/WcQc=",0)</f>
        <v>AAAAAD/WcQc=</v>
      </c>
      <c r="I7" t="str">
        <f>IF(Eventos.157!B:B,"AAAAAD/WcQg=",0)</f>
        <v>AAAAAD/WcQg=</v>
      </c>
      <c r="J7" t="e">
        <f>IF(Eventos.157!C:C,"AAAAAD/WcQk=",0)</f>
        <v>#VALUE!</v>
      </c>
      <c r="K7" t="e">
        <f>IF(Eventos.157!D:D,"AAAAAD/WcQo=",0)</f>
        <v>#VALUE!</v>
      </c>
      <c r="L7" t="str">
        <f>IF(Eventos.157!E:E,"AAAAAD/WcQs=",0)</f>
        <v>AAAAAD/WcQs=</v>
      </c>
      <c r="M7" t="e">
        <f>IF(Incidencias.157!#REF!,"AAAAAD/WcQw=",0)</f>
        <v>#REF!</v>
      </c>
      <c r="N7" t="e">
        <f>AND(Incidencias.157!#REF!,"AAAAAD/WcQ0=")</f>
        <v>#REF!</v>
      </c>
      <c r="O7" t="e">
        <f>AND(Incidencias.157!#REF!,"AAAAAD/WcQ4=")</f>
        <v>#REF!</v>
      </c>
      <c r="P7" t="e">
        <f>AND(Incidencias.157!#REF!,"AAAAAD/WcQ8=")</f>
        <v>#REF!</v>
      </c>
      <c r="Q7" t="e">
        <f>IF(Incidencias.157!#REF!,"AAAAAD/WcRA=",0)</f>
        <v>#REF!</v>
      </c>
      <c r="R7" t="e">
        <f>AND(Incidencias.157!#REF!,"AAAAAD/WcRE=")</f>
        <v>#REF!</v>
      </c>
      <c r="S7" t="e">
        <f>AND(Incidencias.157!#REF!,"AAAAAD/WcRI=")</f>
        <v>#REF!</v>
      </c>
      <c r="T7" t="e">
        <f>AND(Incidencias.157!#REF!,"AAAAAD/WcRM=")</f>
        <v>#REF!</v>
      </c>
      <c r="U7" t="e">
        <f>IF(Incidencias.157!#REF!,"AAAAAD/WcRQ=",0)</f>
        <v>#REF!</v>
      </c>
      <c r="V7" t="e">
        <f>AND(Incidencias.157!#REF!,"AAAAAD/WcRU=")</f>
        <v>#REF!</v>
      </c>
      <c r="W7" t="e">
        <f>AND(Incidencias.157!#REF!,"AAAAAD/WcRY=")</f>
        <v>#REF!</v>
      </c>
      <c r="X7" t="e">
        <f>AND(Incidencias.157!#REF!,"AAAAAD/WcRc=")</f>
        <v>#REF!</v>
      </c>
      <c r="Y7" t="e">
        <f>IF(Incidencias.157!#REF!,"AAAAAD/WcRg=",0)</f>
        <v>#REF!</v>
      </c>
      <c r="Z7" t="e">
        <f>AND(Incidencias.157!#REF!,"AAAAAD/WcRk=")</f>
        <v>#REF!</v>
      </c>
      <c r="AA7" t="e">
        <f>AND(Incidencias.157!#REF!,"AAAAAD/WcRo=")</f>
        <v>#REF!</v>
      </c>
      <c r="AB7" t="e">
        <f>AND(Incidencias.157!#REF!,"AAAAAD/WcRs=")</f>
        <v>#REF!</v>
      </c>
      <c r="AC7">
        <f>IF(Incidencias.157!1:1,"AAAAAD/WcRw=",0)</f>
        <v>0</v>
      </c>
      <c r="AD7" t="e">
        <f>AND(Incidencias.157!A1,"AAAAAD/WcR0=")</f>
        <v>#VALUE!</v>
      </c>
      <c r="AE7" t="e">
        <f>AND(Incidencias.157!B1,"AAAAAD/WcR4=")</f>
        <v>#VALUE!</v>
      </c>
      <c r="AF7" t="e">
        <f>AND(Incidencias.157!C1,"AAAAAD/WcR8=")</f>
        <v>#VALUE!</v>
      </c>
      <c r="AG7" t="e">
        <f>IF(Incidencias.157!#REF!,"AAAAAD/WcSA=",0)</f>
        <v>#REF!</v>
      </c>
      <c r="AH7" t="e">
        <f>AND(Incidencias.157!#REF!,"AAAAAD/WcSE=")</f>
        <v>#REF!</v>
      </c>
      <c r="AI7" t="e">
        <f>AND(Incidencias.157!#REF!,"AAAAAD/WcSI=")</f>
        <v>#REF!</v>
      </c>
      <c r="AJ7" t="e">
        <f>AND(Incidencias.157!#REF!,"AAAAAD/WcSM=")</f>
        <v>#REF!</v>
      </c>
      <c r="AK7" t="e">
        <f>IF(Incidencias.157!#REF!,"AAAAAD/WcSQ=",0)</f>
        <v>#REF!</v>
      </c>
      <c r="AL7" t="e">
        <f>AND(Incidencias.157!#REF!,"AAAAAD/WcSU=")</f>
        <v>#REF!</v>
      </c>
      <c r="AM7" t="e">
        <f>AND(Incidencias.157!#REF!,"AAAAAD/WcSY=")</f>
        <v>#REF!</v>
      </c>
      <c r="AN7" t="e">
        <f>AND(Incidencias.157!#REF!,"AAAAAD/WcSc=")</f>
        <v>#REF!</v>
      </c>
      <c r="AO7">
        <f>IF(Incidencias.157!4:4,"AAAAAD/WcSg=",0)</f>
        <v>0</v>
      </c>
      <c r="AP7" t="e">
        <f>AND(Incidencias.157!A4,"AAAAAD/WcSk=")</f>
        <v>#VALUE!</v>
      </c>
      <c r="AQ7" t="e">
        <f>AND(Incidencias.157!B4,"AAAAAD/WcSo=")</f>
        <v>#VALUE!</v>
      </c>
      <c r="AR7" t="e">
        <f>AND(Incidencias.157!C4,"AAAAAD/WcSs=")</f>
        <v>#VALUE!</v>
      </c>
      <c r="AS7">
        <f>IF(Incidencias.157!14:14,"AAAAAD/WcSw=",0)</f>
        <v>0</v>
      </c>
      <c r="AT7" t="e">
        <f>AND(Incidencias.157!A14,"AAAAAD/WcS0=")</f>
        <v>#VALUE!</v>
      </c>
      <c r="AU7" t="e">
        <f>AND(Incidencias.157!B14,"AAAAAD/WcS4=")</f>
        <v>#VALUE!</v>
      </c>
      <c r="AV7" t="e">
        <f>AND(Incidencias.157!C14,"AAAAAD/WcS8=")</f>
        <v>#VALUE!</v>
      </c>
      <c r="AW7">
        <f>IF(Incidencias.157!15:15,"AAAAAD/WcTA=",0)</f>
        <v>0</v>
      </c>
      <c r="AX7" t="e">
        <f>AND(Incidencias.157!A15,"AAAAAD/WcTE=")</f>
        <v>#VALUE!</v>
      </c>
      <c r="AY7" t="e">
        <f>AND(Incidencias.157!B15,"AAAAAD/WcTI=")</f>
        <v>#VALUE!</v>
      </c>
      <c r="AZ7" t="e">
        <f>AND(Incidencias.157!C15,"AAAAAD/WcTM=")</f>
        <v>#VALUE!</v>
      </c>
      <c r="BA7">
        <f>IF(Incidencias.157!16:16,"AAAAAD/WcTQ=",0)</f>
        <v>0</v>
      </c>
      <c r="BB7" t="e">
        <f>AND(Incidencias.157!A16,"AAAAAD/WcTU=")</f>
        <v>#VALUE!</v>
      </c>
      <c r="BC7" t="e">
        <f>AND(Incidencias.157!B16,"AAAAAD/WcTY=")</f>
        <v>#VALUE!</v>
      </c>
      <c r="BD7" t="e">
        <f>AND(Incidencias.157!C16,"AAAAAD/WcTc=")</f>
        <v>#VALUE!</v>
      </c>
      <c r="BE7">
        <f>IF(Incidencias.157!17:17,"AAAAAD/WcTg=",0)</f>
        <v>0</v>
      </c>
      <c r="BF7" t="e">
        <f>AND(Incidencias.157!A17,"AAAAAD/WcTk=")</f>
        <v>#VALUE!</v>
      </c>
      <c r="BG7" t="e">
        <f>AND(Incidencias.157!B17,"AAAAAD/WcTo=")</f>
        <v>#VALUE!</v>
      </c>
      <c r="BH7" t="e">
        <f>AND(Incidencias.157!C17,"AAAAAD/WcTs=")</f>
        <v>#VALUE!</v>
      </c>
      <c r="BI7">
        <f>IF(Incidencias.157!18:18,"AAAAAD/WcTw=",0)</f>
        <v>0</v>
      </c>
      <c r="BJ7" t="e">
        <f>AND(Incidencias.157!A18,"AAAAAD/WcT0=")</f>
        <v>#VALUE!</v>
      </c>
      <c r="BK7" t="e">
        <f>AND(Incidencias.157!B18,"AAAAAD/WcT4=")</f>
        <v>#VALUE!</v>
      </c>
      <c r="BL7" t="e">
        <f>AND(Incidencias.157!C18,"AAAAAD/WcT8=")</f>
        <v>#VALUE!</v>
      </c>
      <c r="BM7">
        <f>IF(Incidencias.157!19:19,"AAAAAD/WcUA=",0)</f>
        <v>0</v>
      </c>
      <c r="BN7" t="e">
        <f>AND(Incidencias.157!A19,"AAAAAD/WcUE=")</f>
        <v>#VALUE!</v>
      </c>
      <c r="BO7" t="e">
        <f>AND(Incidencias.157!B19,"AAAAAD/WcUI=")</f>
        <v>#VALUE!</v>
      </c>
      <c r="BP7">
        <f>IF(Incidencias.157!21:21,"AAAAAD/WcUM=",0)</f>
        <v>0</v>
      </c>
      <c r="BQ7" t="e">
        <f>AND(Incidencias.157!A21,"AAAAAD/WcUQ=")</f>
        <v>#VALUE!</v>
      </c>
      <c r="BR7" t="e">
        <f>AND(Incidencias.157!B21,"AAAAAD/WcUU=")</f>
        <v>#VALUE!</v>
      </c>
      <c r="BS7" t="str">
        <f>IF(Incidencias.157!A:A,"AAAAAD/WcUY=",0)</f>
        <v>AAAAAD/WcUY=</v>
      </c>
      <c r="BT7" t="e">
        <f>IF(Incidencias.157!B:B,"AAAAAD/WcUc=",0)</f>
        <v>#VALUE!</v>
      </c>
      <c r="BU7" t="e">
        <f>IF(Incidencias.157!C:C,"AAAAAD/WcUg=",0)</f>
        <v>#VALUE!</v>
      </c>
      <c r="BV7" t="s">
        <v>17</v>
      </c>
    </row>
    <row r="8" spans="1:256" x14ac:dyDescent="0.2">
      <c r="A8" t="str">
        <f>IF(Incidencias.157!20:20,"AAAAAEe//wA=",0)</f>
        <v>AAAAAEe//wA=</v>
      </c>
      <c r="B8" t="e">
        <f>AND(Incidencias.157!A20,"AAAAAEe//wE=")</f>
        <v>#VALUE!</v>
      </c>
      <c r="C8" t="e">
        <f>AND(Incidencias.157!B20,"AAAAAEe//wI=")</f>
        <v>#VALUE!</v>
      </c>
    </row>
    <row r="9" spans="1:256" x14ac:dyDescent="0.2">
      <c r="A9" t="e">
        <f>AND(icf.157!#REF!,"AAAAAH88fgA=")</f>
        <v>#REF!</v>
      </c>
      <c r="B9" t="e">
        <f>AND(icf.157!#REF!,"AAAAAH88fgE=")</f>
        <v>#REF!</v>
      </c>
      <c r="C9" t="e">
        <f>AND(icf.157!#REF!,"AAAAAH88fgI=")</f>
        <v>#REF!</v>
      </c>
      <c r="D9" t="e">
        <f>AND(icf.157!#REF!,"AAAAAH88fgM=")</f>
        <v>#REF!</v>
      </c>
      <c r="E9" t="e">
        <f>AND(icf.157!#REF!,"AAAAAH88fgQ=")</f>
        <v>#REF!</v>
      </c>
      <c r="F9" t="e">
        <f>AND(icf.157!#REF!,"AAAAAH88fgU=")</f>
        <v>#REF!</v>
      </c>
      <c r="G9" t="e">
        <f>AND(icf.157!#REF!,"AAAAAH88fgY=")</f>
        <v>#REF!</v>
      </c>
      <c r="H9" t="e">
        <f>AND(icf.157!#REF!,"AAAAAH88fgc=")</f>
        <v>#REF!</v>
      </c>
      <c r="I9" t="e">
        <f>AND(icf.157!#REF!,"AAAAAH88fgg=")</f>
        <v>#REF!</v>
      </c>
      <c r="J9" t="e">
        <f>AND(icf.157!#REF!,"AAAAAH88fgk=")</f>
        <v>#REF!</v>
      </c>
      <c r="K9" t="e">
        <f>AND(icf.157!#REF!,"AAAAAH88fgo=")</f>
        <v>#REF!</v>
      </c>
      <c r="L9" t="e">
        <f>AND(icf.157!#REF!,"AAAAAH88fgs=")</f>
        <v>#REF!</v>
      </c>
      <c r="M9" t="e">
        <f>AND(icf.157!#REF!,"AAAAAH88fgw=")</f>
        <v>#REF!</v>
      </c>
      <c r="N9" t="e">
        <f>AND(icf.157!#REF!,"AAAAAH88fg0=")</f>
        <v>#REF!</v>
      </c>
      <c r="O9" t="e">
        <f>AND(icf.157!#REF!,"AAAAAH88fg4=")</f>
        <v>#REF!</v>
      </c>
      <c r="P9" t="e">
        <f>AND(icf.157!#REF!,"AAAAAH88fg8=")</f>
        <v>#REF!</v>
      </c>
      <c r="Q9" t="e">
        <f>AND(icf.157!#REF!,"AAAAAH88fhA=")</f>
        <v>#REF!</v>
      </c>
      <c r="R9" t="e">
        <f>AND(icf.157!#REF!,"AAAAAH88fhE=")</f>
        <v>#REF!</v>
      </c>
      <c r="S9" t="e">
        <f>AND(icf.157!#REF!,"AAAAAH88fhI=")</f>
        <v>#REF!</v>
      </c>
      <c r="T9" t="e">
        <f>AND(icf.157!#REF!,"AAAAAH88fhM=")</f>
        <v>#REF!</v>
      </c>
      <c r="U9" t="e">
        <f>AND(icf.157!#REF!,"AAAAAH88fhQ=")</f>
        <v>#REF!</v>
      </c>
      <c r="V9" t="e">
        <f>AND(icf.157!#REF!,"AAAAAH88fhU=")</f>
        <v>#REF!</v>
      </c>
      <c r="W9" t="e">
        <f>AND(icf.157!#REF!,"AAAAAH88fhY=")</f>
        <v>#REF!</v>
      </c>
      <c r="X9" t="e">
        <f>AND(icf.157!#REF!,"AAAAAH88fhc=")</f>
        <v>#REF!</v>
      </c>
      <c r="Y9" t="e">
        <f>AND(icf.157!#REF!,"AAAAAH88fhg=")</f>
        <v>#REF!</v>
      </c>
      <c r="Z9" t="e">
        <f>AND(icf.157!#REF!,"AAAAAH88fhk=")</f>
        <v>#REF!</v>
      </c>
      <c r="AA9" t="e">
        <f>AND(icf.157!#REF!,"AAAAAH88fho=")</f>
        <v>#REF!</v>
      </c>
      <c r="AB9" t="e">
        <f>AND(icf.157!#REF!,"AAAAAH88fhs=")</f>
        <v>#REF!</v>
      </c>
      <c r="AC9" t="e">
        <f>AND(icf.157!#REF!,"AAAAAH88fhw=")</f>
        <v>#REF!</v>
      </c>
      <c r="AD9" t="e">
        <f>AND(icf.157!#REF!,"AAAAAH88fh0=")</f>
        <v>#REF!</v>
      </c>
      <c r="AE9" t="e">
        <f>AND(icf.157!#REF!,"AAAAAH88fh4=")</f>
        <v>#REF!</v>
      </c>
      <c r="AF9" t="e">
        <f>AND(icf.157!#REF!,"AAAAAH88fh8=")</f>
        <v>#REF!</v>
      </c>
      <c r="AG9" t="e">
        <f>AND(icf.157!#REF!,"AAAAAH88fiA=")</f>
        <v>#REF!</v>
      </c>
      <c r="AH9" t="e">
        <f>AND(icf.157!#REF!,"AAAAAH88fiE=")</f>
        <v>#REF!</v>
      </c>
      <c r="AI9" t="e">
        <f>AND(icf.157!#REF!,"AAAAAH88fiI=")</f>
        <v>#REF!</v>
      </c>
      <c r="AJ9" t="e">
        <f>AND(icf.157!#REF!,"AAAAAH88fiM=")</f>
        <v>#REF!</v>
      </c>
      <c r="AK9" t="e">
        <f>AND(icf.157!#REF!,"AAAAAH88fiQ=")</f>
        <v>#REF!</v>
      </c>
      <c r="AL9" t="e">
        <f>AND(icf.157!#REF!,"AAAAAH88fiU=")</f>
        <v>#REF!</v>
      </c>
      <c r="AM9" t="e">
        <f>AND(icf.157!#REF!,"AAAAAH88fiY=")</f>
        <v>#REF!</v>
      </c>
      <c r="AN9" t="e">
        <f>AND(icf.157!#REF!,"AAAAAH88fic=")</f>
        <v>#REF!</v>
      </c>
      <c r="AO9" t="e">
        <f>AND(icf.157!#REF!,"AAAAAH88fig=")</f>
        <v>#REF!</v>
      </c>
      <c r="AP9" t="e">
        <f>AND(icf.157!#REF!,"AAAAAH88fik=")</f>
        <v>#REF!</v>
      </c>
      <c r="AQ9" t="e">
        <f>AND(icf.157!#REF!,"AAAAAH88fio=")</f>
        <v>#REF!</v>
      </c>
      <c r="AR9" t="e">
        <f>AND(icf.157!#REF!,"AAAAAH88fis=")</f>
        <v>#REF!</v>
      </c>
      <c r="AS9" t="e">
        <f>AND(icf.157!#REF!,"AAAAAH88fiw=")</f>
        <v>#REF!</v>
      </c>
      <c r="AT9" t="e">
        <f>AND(icf.157!#REF!,"AAAAAH88fi0=")</f>
        <v>#REF!</v>
      </c>
      <c r="AU9" t="e">
        <f>AND(icf.157!#REF!,"AAAAAH88fi4=")</f>
        <v>#REF!</v>
      </c>
      <c r="AV9" t="e">
        <f>AND(icf.157!#REF!,"AAAAAH88fi8=")</f>
        <v>#REF!</v>
      </c>
      <c r="AW9" t="e">
        <f>AND(icf.157!#REF!,"AAAAAH88fjA=")</f>
        <v>#REF!</v>
      </c>
      <c r="AX9" t="e">
        <f>AND(icf.157!#REF!,"AAAAAH88fjE=")</f>
        <v>#REF!</v>
      </c>
      <c r="AY9" t="e">
        <f>AND(icf.157!#REF!,"AAAAAH88fjI=")</f>
        <v>#REF!</v>
      </c>
      <c r="AZ9" t="e">
        <f>AND(icf.157!#REF!,"AAAAAH88fjM=")</f>
        <v>#REF!</v>
      </c>
      <c r="BA9" t="e">
        <f>AND(icf.157!#REF!,"AAAAAH88fjQ=")</f>
        <v>#REF!</v>
      </c>
      <c r="BB9" t="e">
        <f>IF(icf.157!#REF!,"AAAAAH88fjU=",0)</f>
        <v>#REF!</v>
      </c>
    </row>
  </sheetData>
  <phoneticPr fontId="0" type="noConversion"/>
  <pageMargins left="0.75" right="0.75" top="1" bottom="1" header="0.3" footer="0.3"/>
  <customProperties>
    <customPr name="DVSECTIONID"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4"/>
  <sheetViews>
    <sheetView topLeftCell="A32" workbookViewId="0">
      <selection activeCell="D12" sqref="D12"/>
    </sheetView>
  </sheetViews>
  <sheetFormatPr baseColWidth="10" defaultRowHeight="15" x14ac:dyDescent="0.2"/>
  <cols>
    <col min="1" max="1" width="10.796875" style="10" customWidth="1"/>
    <col min="2" max="2" width="29.19921875" style="7" customWidth="1"/>
    <col min="3" max="3" width="8.59765625" bestFit="1" customWidth="1"/>
    <col min="4" max="4" width="10.3984375" customWidth="1"/>
    <col min="5" max="23" width="8.59765625" bestFit="1" customWidth="1"/>
    <col min="24" max="24" width="12.3984375" customWidth="1"/>
  </cols>
  <sheetData>
    <row r="1" spans="1:24" s="5" customFormat="1" x14ac:dyDescent="0.2">
      <c r="A1" s="35"/>
      <c r="B1" s="36"/>
      <c r="C1" s="5">
        <v>35431</v>
      </c>
      <c r="D1" s="5">
        <v>35945</v>
      </c>
      <c r="E1" s="5">
        <v>36409</v>
      </c>
      <c r="F1" s="5">
        <v>37149</v>
      </c>
      <c r="G1" s="5">
        <v>37507</v>
      </c>
      <c r="H1" s="5">
        <v>37877</v>
      </c>
      <c r="I1" s="5">
        <v>38503</v>
      </c>
      <c r="J1" s="5">
        <v>38615</v>
      </c>
      <c r="K1" s="5">
        <v>40060</v>
      </c>
      <c r="L1" s="5">
        <v>40238</v>
      </c>
      <c r="M1" s="5">
        <v>40445</v>
      </c>
      <c r="N1" s="5">
        <v>41157</v>
      </c>
      <c r="O1" s="5">
        <v>41394</v>
      </c>
      <c r="P1" s="5">
        <v>41682</v>
      </c>
      <c r="Q1" s="5">
        <v>41715</v>
      </c>
      <c r="R1" s="5">
        <v>41758</v>
      </c>
      <c r="S1" s="5">
        <v>41782</v>
      </c>
      <c r="T1" s="5">
        <v>41800</v>
      </c>
      <c r="U1" s="5">
        <v>41897</v>
      </c>
      <c r="V1" s="5">
        <v>41991</v>
      </c>
      <c r="W1" s="5">
        <v>42027</v>
      </c>
      <c r="X1" s="5">
        <v>42109</v>
      </c>
    </row>
    <row r="2" spans="1:24" x14ac:dyDescent="0.2">
      <c r="A2" s="6" t="s">
        <v>0</v>
      </c>
      <c r="B2" s="7" t="s">
        <v>1</v>
      </c>
      <c r="C2" s="34">
        <v>729391</v>
      </c>
      <c r="D2" s="34">
        <v>729905</v>
      </c>
      <c r="E2" s="34">
        <v>730369</v>
      </c>
      <c r="F2" s="34">
        <v>731109</v>
      </c>
      <c r="G2" s="34">
        <v>731467</v>
      </c>
      <c r="H2" s="34">
        <v>731837</v>
      </c>
      <c r="I2" s="34">
        <v>732463</v>
      </c>
      <c r="J2" s="34">
        <v>732575</v>
      </c>
      <c r="K2" s="34">
        <v>734020</v>
      </c>
      <c r="L2" s="34">
        <v>734198</v>
      </c>
      <c r="M2" s="34">
        <v>734405</v>
      </c>
      <c r="N2" s="34">
        <v>735117</v>
      </c>
      <c r="O2" s="34">
        <v>735354</v>
      </c>
      <c r="P2" s="34">
        <v>735642</v>
      </c>
      <c r="Q2" s="34">
        <v>735675</v>
      </c>
      <c r="R2" s="34">
        <v>735718</v>
      </c>
      <c r="S2" s="34">
        <v>735742</v>
      </c>
      <c r="T2" s="34">
        <v>735760</v>
      </c>
      <c r="U2" s="34">
        <v>735857</v>
      </c>
      <c r="V2" s="34">
        <v>735951</v>
      </c>
      <c r="W2" s="34">
        <v>735987</v>
      </c>
      <c r="X2" s="34">
        <v>736069</v>
      </c>
    </row>
    <row r="3" spans="1:24" x14ac:dyDescent="0.2">
      <c r="A3" s="6">
        <v>1</v>
      </c>
      <c r="B3" s="7" t="s">
        <v>21</v>
      </c>
      <c r="C3" s="34">
        <v>0</v>
      </c>
      <c r="D3" s="34">
        <v>0</v>
      </c>
      <c r="E3" s="34">
        <v>0</v>
      </c>
      <c r="F3" s="34">
        <v>0</v>
      </c>
      <c r="G3" s="34">
        <v>0</v>
      </c>
      <c r="H3" s="34">
        <v>0</v>
      </c>
      <c r="I3" s="34">
        <v>0</v>
      </c>
      <c r="J3" s="34">
        <v>0</v>
      </c>
      <c r="K3" s="34">
        <v>0</v>
      </c>
      <c r="L3" s="34">
        <v>0</v>
      </c>
      <c r="M3" s="34">
        <v>0</v>
      </c>
      <c r="N3" s="34">
        <v>0</v>
      </c>
      <c r="O3" s="34">
        <v>0</v>
      </c>
      <c r="P3" s="34">
        <v>0</v>
      </c>
      <c r="Q3" s="34">
        <v>0</v>
      </c>
      <c r="R3" s="34">
        <v>0</v>
      </c>
      <c r="S3" s="34">
        <v>0</v>
      </c>
      <c r="T3" s="34">
        <v>0</v>
      </c>
      <c r="U3" s="34">
        <v>0</v>
      </c>
      <c r="V3" s="34">
        <v>0</v>
      </c>
      <c r="W3" s="34">
        <v>0</v>
      </c>
      <c r="X3" s="34">
        <v>0</v>
      </c>
    </row>
    <row r="4" spans="1:24" x14ac:dyDescent="0.2">
      <c r="A4" s="6">
        <v>2</v>
      </c>
      <c r="B4" s="7" t="s">
        <v>22</v>
      </c>
      <c r="C4" s="34">
        <v>-0.17899999999999999</v>
      </c>
      <c r="D4" s="34">
        <v>-0.17899999999999999</v>
      </c>
      <c r="E4" s="34">
        <v>-0.17899999999999999</v>
      </c>
      <c r="F4" s="34">
        <v>-0.17899999999999999</v>
      </c>
      <c r="G4" s="34">
        <v>-0.17899999999999999</v>
      </c>
      <c r="H4" s="34">
        <v>-0.17899999999999999</v>
      </c>
      <c r="I4" s="34">
        <v>-0.17899999999999999</v>
      </c>
      <c r="J4" s="34">
        <v>-0.17899999999999999</v>
      </c>
      <c r="K4" s="34">
        <v>-0.17899999999999999</v>
      </c>
      <c r="L4" s="34">
        <v>-0.17899999999999999</v>
      </c>
      <c r="M4" s="34">
        <v>-0.17899999999999999</v>
      </c>
      <c r="N4" s="34">
        <v>-0.17899999999999999</v>
      </c>
      <c r="O4" s="34">
        <v>-0.17899999999999999</v>
      </c>
      <c r="P4" s="34">
        <v>-0.17899999999999999</v>
      </c>
      <c r="Q4" s="34">
        <v>-0.17899999999999999</v>
      </c>
      <c r="R4" s="34">
        <v>-0.17899999999999999</v>
      </c>
      <c r="S4" s="34">
        <v>-0.17899999999999999</v>
      </c>
      <c r="T4" s="34">
        <v>-0.17899999999999999</v>
      </c>
      <c r="U4" s="34">
        <v>-0.17899999999999999</v>
      </c>
      <c r="V4" s="34">
        <v>-0.17899999999999999</v>
      </c>
      <c r="W4" s="34">
        <v>-0.17899999999999999</v>
      </c>
      <c r="X4" s="34">
        <v>-0.17899999999999999</v>
      </c>
    </row>
    <row r="5" spans="1:24" x14ac:dyDescent="0.2">
      <c r="A5" s="6">
        <v>3</v>
      </c>
      <c r="B5" s="7" t="s">
        <v>23</v>
      </c>
      <c r="C5" s="34">
        <v>-0.33350000000000002</v>
      </c>
      <c r="D5" s="34">
        <v>-0.33350000000000002</v>
      </c>
      <c r="E5" s="34">
        <v>-0.33350000000000002</v>
      </c>
      <c r="F5" s="34">
        <v>-0.33350000000000002</v>
      </c>
      <c r="G5" s="34">
        <v>-0.33350000000000002</v>
      </c>
      <c r="H5" s="34">
        <v>-0.33350000000000002</v>
      </c>
      <c r="I5" s="34">
        <v>-0.33350000000000002</v>
      </c>
      <c r="J5" s="34">
        <v>-0.33350000000000002</v>
      </c>
      <c r="K5" s="34">
        <v>-0.33350000000000002</v>
      </c>
      <c r="L5" s="34">
        <v>-0.33350000000000002</v>
      </c>
      <c r="M5" s="34">
        <v>-0.33350000000000002</v>
      </c>
      <c r="N5" s="34">
        <v>-0.33350000000000002</v>
      </c>
      <c r="O5" s="34">
        <v>-0.33350000000000002</v>
      </c>
      <c r="P5" s="34">
        <v>-0.33350000000000002</v>
      </c>
      <c r="Q5" s="34">
        <v>-0.33350000000000002</v>
      </c>
      <c r="R5" s="34">
        <v>-0.33350000000000002</v>
      </c>
      <c r="S5" s="34">
        <v>-0.33350000000000002</v>
      </c>
      <c r="T5" s="34">
        <v>-0.33350000000000002</v>
      </c>
      <c r="U5" s="34">
        <v>-0.33350000000000002</v>
      </c>
      <c r="V5" s="34">
        <v>-0.33350000000000002</v>
      </c>
      <c r="W5" s="34">
        <v>-0.33350000000000002</v>
      </c>
      <c r="X5" s="34">
        <v>-0.33350000000000002</v>
      </c>
    </row>
    <row r="6" spans="1:24" x14ac:dyDescent="0.2">
      <c r="A6" s="6">
        <v>4</v>
      </c>
      <c r="B6" s="7" t="s">
        <v>24</v>
      </c>
      <c r="C6" s="34">
        <v>-0.21299999999999999</v>
      </c>
      <c r="D6" s="34">
        <v>-0.21299999999999999</v>
      </c>
      <c r="E6" s="34">
        <v>-0.21299999999999999</v>
      </c>
      <c r="F6" s="34">
        <v>-0.21299999999999999</v>
      </c>
      <c r="G6" s="34">
        <v>-0.21299999999999999</v>
      </c>
      <c r="H6" s="34">
        <v>-0.21299999999999999</v>
      </c>
      <c r="I6" s="34">
        <v>-0.21299999999999999</v>
      </c>
      <c r="J6" s="34">
        <v>-0.21299999999999999</v>
      </c>
      <c r="K6" s="34">
        <v>-0.21299999999999999</v>
      </c>
      <c r="L6" s="34">
        <v>-0.21299999999999999</v>
      </c>
      <c r="M6" s="34">
        <v>-0.21299999999999999</v>
      </c>
      <c r="N6" s="34">
        <v>-0.21299999999999999</v>
      </c>
      <c r="O6" s="34">
        <v>-0.21299999999999999</v>
      </c>
      <c r="P6" s="34">
        <v>-0.21299999999999999</v>
      </c>
      <c r="Q6" s="34">
        <v>-0.21299999999999999</v>
      </c>
      <c r="R6" s="34">
        <v>-0.21299999999999999</v>
      </c>
      <c r="S6" s="34">
        <v>-0.21299999999999999</v>
      </c>
      <c r="T6" s="34">
        <v>-0.21299999999999999</v>
      </c>
      <c r="U6" s="34">
        <v>-0.21299999999999999</v>
      </c>
      <c r="V6" s="34">
        <v>-0.21299999999999999</v>
      </c>
      <c r="W6" s="34">
        <v>-0.21299999999999999</v>
      </c>
      <c r="X6" s="34">
        <v>-0.21299999999999999</v>
      </c>
    </row>
    <row r="7" spans="1:24" x14ac:dyDescent="0.2">
      <c r="A7" s="6">
        <v>5</v>
      </c>
      <c r="B7" s="7" t="s">
        <v>25</v>
      </c>
      <c r="C7" s="34">
        <v>-0.5645</v>
      </c>
      <c r="D7" s="34">
        <v>-0.5645</v>
      </c>
      <c r="E7" s="34">
        <v>-0.5645</v>
      </c>
      <c r="F7" s="34">
        <v>-0.5645</v>
      </c>
      <c r="G7" s="34">
        <v>-0.5645</v>
      </c>
      <c r="H7" s="34">
        <v>-0.5645</v>
      </c>
      <c r="I7" s="34">
        <v>-0.5645</v>
      </c>
      <c r="J7" s="34">
        <v>-0.5645</v>
      </c>
      <c r="K7" s="34">
        <v>-0.5645</v>
      </c>
      <c r="L7" s="34">
        <v>-0.5645</v>
      </c>
      <c r="M7" s="34">
        <v>-0.5645</v>
      </c>
      <c r="N7" s="34">
        <v>-0.5645</v>
      </c>
      <c r="O7" s="34">
        <v>-0.5645</v>
      </c>
      <c r="P7" s="34">
        <v>-0.5645</v>
      </c>
      <c r="Q7" s="34">
        <v>-0.5645</v>
      </c>
      <c r="R7" s="34">
        <v>-0.5645</v>
      </c>
      <c r="S7" s="34">
        <v>-0.5645</v>
      </c>
      <c r="T7" s="34">
        <v>-0.5645</v>
      </c>
      <c r="U7" s="34">
        <v>-0.5645</v>
      </c>
      <c r="V7" s="34">
        <v>-0.5645</v>
      </c>
      <c r="W7" s="34">
        <v>-0.5645</v>
      </c>
      <c r="X7" s="34">
        <v>-0.5645</v>
      </c>
    </row>
    <row r="8" spans="1:24" x14ac:dyDescent="0.2">
      <c r="A8" s="6">
        <v>6</v>
      </c>
      <c r="B8" s="7" t="s">
        <v>26</v>
      </c>
      <c r="C8" s="34">
        <v>0</v>
      </c>
      <c r="D8" s="34">
        <v>0</v>
      </c>
      <c r="E8" s="34">
        <v>0</v>
      </c>
      <c r="F8" s="34">
        <v>0</v>
      </c>
      <c r="G8" s="34">
        <v>0</v>
      </c>
      <c r="H8" s="34">
        <v>0</v>
      </c>
      <c r="I8" s="34">
        <v>0</v>
      </c>
      <c r="J8" s="34">
        <v>0</v>
      </c>
      <c r="K8" s="34">
        <v>0</v>
      </c>
      <c r="L8" s="34">
        <v>0</v>
      </c>
      <c r="M8" s="34">
        <v>0</v>
      </c>
      <c r="N8" s="34">
        <v>0</v>
      </c>
      <c r="O8" s="34">
        <v>0</v>
      </c>
      <c r="P8" s="34">
        <v>0</v>
      </c>
      <c r="Q8" s="34">
        <v>0</v>
      </c>
      <c r="R8" s="34">
        <v>0</v>
      </c>
      <c r="S8" s="34">
        <v>0</v>
      </c>
      <c r="T8" s="34">
        <v>0</v>
      </c>
      <c r="U8" s="34">
        <v>0</v>
      </c>
      <c r="V8" s="34">
        <v>0</v>
      </c>
      <c r="W8" s="34">
        <v>0</v>
      </c>
      <c r="X8" s="34">
        <v>0</v>
      </c>
    </row>
    <row r="9" spans="1:24" x14ac:dyDescent="0.2">
      <c r="A9" s="6">
        <v>7</v>
      </c>
      <c r="B9" s="7" t="s">
        <v>27</v>
      </c>
      <c r="C9" s="34">
        <v>0.34129999999999999</v>
      </c>
      <c r="D9" s="37">
        <v>0.34200000000000003</v>
      </c>
      <c r="E9" s="34">
        <v>0.34200000000000003</v>
      </c>
      <c r="F9" s="34">
        <v>0.3397</v>
      </c>
      <c r="G9" s="34">
        <v>0.3397</v>
      </c>
      <c r="H9" s="34">
        <v>0.3397</v>
      </c>
      <c r="I9" s="34">
        <v>0.3397</v>
      </c>
      <c r="J9" s="34">
        <v>0.3397</v>
      </c>
      <c r="K9" s="34">
        <v>0.3397</v>
      </c>
      <c r="L9" s="34">
        <v>0.3397</v>
      </c>
      <c r="M9" s="34">
        <v>0.3397</v>
      </c>
      <c r="N9" s="34">
        <v>0.33800000000000002</v>
      </c>
      <c r="O9" s="34">
        <v>0.3397</v>
      </c>
      <c r="P9" s="34">
        <v>0.33750000000000002</v>
      </c>
      <c r="Q9" s="34">
        <v>0.33950000000000002</v>
      </c>
      <c r="R9" s="34">
        <v>0.33950000000000002</v>
      </c>
      <c r="S9" s="34">
        <v>0.33950000000000002</v>
      </c>
      <c r="T9" s="34">
        <v>0.34150000000000003</v>
      </c>
      <c r="U9" s="34">
        <v>0.34150000000000003</v>
      </c>
      <c r="V9" s="34">
        <v>0.33950000000000002</v>
      </c>
      <c r="W9" s="34">
        <v>0.33950000000000002</v>
      </c>
      <c r="X9" s="34">
        <v>0.33950000000000002</v>
      </c>
    </row>
    <row r="10" spans="1:24" x14ac:dyDescent="0.2">
      <c r="A10" s="6">
        <v>8</v>
      </c>
      <c r="B10" s="7" t="s">
        <v>28</v>
      </c>
      <c r="C10" s="34">
        <v>2.35</v>
      </c>
      <c r="D10" s="34">
        <v>2.35</v>
      </c>
      <c r="E10" s="34">
        <v>2.35</v>
      </c>
      <c r="F10" s="34">
        <v>2.35</v>
      </c>
      <c r="G10" s="34">
        <v>2.35</v>
      </c>
      <c r="H10" s="34">
        <v>2.35</v>
      </c>
      <c r="I10" s="34">
        <v>2.35</v>
      </c>
      <c r="J10" s="34">
        <v>2.35</v>
      </c>
      <c r="K10" s="34">
        <v>2.35</v>
      </c>
      <c r="L10" s="34">
        <v>2.35</v>
      </c>
      <c r="M10" s="34">
        <v>2.35</v>
      </c>
      <c r="N10" s="34">
        <v>2.35</v>
      </c>
      <c r="O10" s="34">
        <v>2.35</v>
      </c>
      <c r="P10" s="34">
        <v>2.35</v>
      </c>
      <c r="Q10" s="34">
        <v>2.35</v>
      </c>
      <c r="R10" s="34">
        <v>2.35</v>
      </c>
      <c r="S10" s="34">
        <v>2.35</v>
      </c>
      <c r="T10" s="34">
        <v>2.35</v>
      </c>
      <c r="U10" s="34">
        <v>2.35</v>
      </c>
      <c r="V10" s="34">
        <v>2.35</v>
      </c>
      <c r="W10" s="34">
        <v>2.35</v>
      </c>
      <c r="X10" s="34">
        <v>2.35</v>
      </c>
    </row>
    <row r="11" spans="1:24" x14ac:dyDescent="0.2">
      <c r="A11" s="6">
        <v>9</v>
      </c>
      <c r="B11" s="7" t="s">
        <v>29</v>
      </c>
      <c r="C11" s="34">
        <v>1.1499999999999999</v>
      </c>
      <c r="D11" s="34">
        <v>1.1499999999999999</v>
      </c>
      <c r="E11" s="34">
        <v>1.1499999999999999</v>
      </c>
      <c r="F11" s="34">
        <v>1.1499999999999999</v>
      </c>
      <c r="G11" s="34">
        <v>1.1499999999999999</v>
      </c>
      <c r="H11" s="34">
        <v>1.1499999999999999</v>
      </c>
      <c r="I11" s="34">
        <v>1.1499999999999999</v>
      </c>
      <c r="J11" s="34">
        <v>1.1499999999999999</v>
      </c>
      <c r="K11" s="34">
        <v>1.1499999999999999</v>
      </c>
      <c r="L11" s="34">
        <v>1.1499999999999999</v>
      </c>
      <c r="M11" s="34">
        <v>1.1499999999999999</v>
      </c>
      <c r="N11" s="34">
        <v>1.1499999999999999</v>
      </c>
      <c r="O11" s="34">
        <v>1.1499999999999999</v>
      </c>
      <c r="P11" s="34">
        <v>1.1499999999999999</v>
      </c>
      <c r="Q11" s="34">
        <v>1.1499999999999999</v>
      </c>
      <c r="R11" s="34">
        <v>1.1499999999999999</v>
      </c>
      <c r="S11" s="34">
        <v>1.1499999999999999</v>
      </c>
      <c r="T11" s="34">
        <v>1.1499999999999999</v>
      </c>
      <c r="U11" s="34">
        <v>1.1499999999999999</v>
      </c>
      <c r="V11" s="34">
        <v>1.1499999999999999</v>
      </c>
      <c r="W11" s="34">
        <v>1.1499999999999999</v>
      </c>
      <c r="X11" s="34">
        <v>1.1499999999999999</v>
      </c>
    </row>
    <row r="12" spans="1:24" x14ac:dyDescent="0.2">
      <c r="A12" s="6">
        <v>10</v>
      </c>
      <c r="B12" s="7" t="s">
        <v>30</v>
      </c>
      <c r="C12" s="34">
        <v>1583</v>
      </c>
      <c r="D12" s="37">
        <v>1551</v>
      </c>
      <c r="E12" s="34">
        <v>1565</v>
      </c>
      <c r="F12" s="34">
        <v>1575</v>
      </c>
      <c r="G12" s="34">
        <v>1575</v>
      </c>
      <c r="H12" s="34">
        <v>1584</v>
      </c>
      <c r="I12" s="34">
        <v>1605</v>
      </c>
      <c r="J12" s="34">
        <v>1605</v>
      </c>
      <c r="K12" s="34">
        <v>1605</v>
      </c>
      <c r="L12" s="34">
        <v>1600</v>
      </c>
      <c r="M12" s="34">
        <v>1605</v>
      </c>
      <c r="N12" s="34">
        <v>1615</v>
      </c>
      <c r="O12" s="34">
        <v>1600</v>
      </c>
      <c r="P12" s="34">
        <v>1590</v>
      </c>
      <c r="Q12" s="34">
        <v>1580</v>
      </c>
      <c r="R12" s="34">
        <v>1580</v>
      </c>
      <c r="S12" s="34">
        <v>1580</v>
      </c>
      <c r="T12" s="34">
        <v>1575</v>
      </c>
      <c r="U12" s="34">
        <v>1585</v>
      </c>
      <c r="V12" s="34">
        <v>1600</v>
      </c>
      <c r="W12" s="34">
        <v>1600</v>
      </c>
      <c r="X12" s="34">
        <v>1580</v>
      </c>
    </row>
    <row r="13" spans="1:24" x14ac:dyDescent="0.2">
      <c r="A13" s="6">
        <v>11</v>
      </c>
      <c r="B13" s="7" t="s">
        <v>31</v>
      </c>
      <c r="C13" s="34">
        <v>447</v>
      </c>
      <c r="D13" s="34">
        <v>185</v>
      </c>
      <c r="E13" s="34">
        <v>210</v>
      </c>
      <c r="F13" s="34">
        <v>210</v>
      </c>
      <c r="G13" s="34">
        <v>210</v>
      </c>
      <c r="H13" s="34">
        <v>210</v>
      </c>
      <c r="I13" s="34">
        <v>210</v>
      </c>
      <c r="J13" s="34">
        <v>243</v>
      </c>
      <c r="K13" s="34">
        <v>243</v>
      </c>
      <c r="L13" s="34">
        <v>243</v>
      </c>
      <c r="M13" s="34">
        <v>180</v>
      </c>
      <c r="N13" s="34">
        <v>225</v>
      </c>
      <c r="O13" s="34">
        <v>225</v>
      </c>
      <c r="P13" s="34">
        <v>225</v>
      </c>
      <c r="Q13" s="34">
        <v>225</v>
      </c>
      <c r="R13" s="34">
        <v>225</v>
      </c>
      <c r="S13" s="34">
        <v>225</v>
      </c>
      <c r="T13" s="34">
        <v>225</v>
      </c>
      <c r="U13" s="34">
        <v>225</v>
      </c>
      <c r="V13" s="34">
        <v>225</v>
      </c>
      <c r="W13" s="34">
        <v>225</v>
      </c>
      <c r="X13" s="34">
        <v>225</v>
      </c>
    </row>
    <row r="14" spans="1:24" x14ac:dyDescent="0.2">
      <c r="A14" s="6">
        <v>12</v>
      </c>
      <c r="B14" s="7" t="s">
        <v>32</v>
      </c>
      <c r="C14" s="34">
        <v>3.2000000000000002E-8</v>
      </c>
      <c r="D14" s="34">
        <v>3.2000000000000002E-8</v>
      </c>
      <c r="E14" s="34">
        <v>3.2000000000000002E-8</v>
      </c>
      <c r="F14" s="34">
        <v>3.2000000000000002E-8</v>
      </c>
      <c r="G14" s="34">
        <v>3.2000000000000002E-8</v>
      </c>
      <c r="H14" s="34">
        <v>3.2000000000000002E-8</v>
      </c>
      <c r="I14" s="34">
        <v>3.2000000000000002E-8</v>
      </c>
      <c r="J14" s="34">
        <v>3.2000000000000002E-8</v>
      </c>
      <c r="K14" s="34">
        <v>3.2000000000000002E-8</v>
      </c>
      <c r="L14" s="34">
        <v>3.2000000000000002E-8</v>
      </c>
      <c r="M14" s="34">
        <v>3.2000000000000002E-8</v>
      </c>
      <c r="N14" s="34">
        <v>3.2000000000000002E-8</v>
      </c>
      <c r="O14" s="34">
        <v>3.2000000000000002E-8</v>
      </c>
      <c r="P14" s="34">
        <v>2.7999999999999999E-8</v>
      </c>
      <c r="Q14" s="34">
        <v>2.7999999999999999E-8</v>
      </c>
      <c r="R14" s="34">
        <v>2.7999999999999999E-8</v>
      </c>
      <c r="S14" s="34">
        <v>2.7999999999999999E-8</v>
      </c>
      <c r="T14" s="34">
        <v>2.7999999999999999E-8</v>
      </c>
      <c r="U14" s="34">
        <v>2.7999999999999999E-8</v>
      </c>
      <c r="V14" s="34">
        <v>2.7999999999999999E-8</v>
      </c>
      <c r="W14" s="34">
        <v>2.7999999999999999E-8</v>
      </c>
      <c r="X14" s="34">
        <v>2.7999999999999999E-8</v>
      </c>
    </row>
    <row r="15" spans="1:24" x14ac:dyDescent="0.2">
      <c r="A15" s="6">
        <v>13</v>
      </c>
      <c r="B15" s="7" t="s">
        <v>33</v>
      </c>
      <c r="C15" s="34">
        <v>285</v>
      </c>
      <c r="D15" s="34">
        <v>285</v>
      </c>
      <c r="E15" s="34">
        <v>285</v>
      </c>
      <c r="F15" s="34">
        <v>1027</v>
      </c>
      <c r="G15" s="34">
        <v>1027</v>
      </c>
      <c r="H15" s="34">
        <v>1027</v>
      </c>
      <c r="I15" s="34">
        <v>1027</v>
      </c>
      <c r="J15" s="34">
        <v>1026</v>
      </c>
      <c r="K15" s="34">
        <v>1026</v>
      </c>
      <c r="L15" s="34">
        <v>1026</v>
      </c>
      <c r="M15" s="34">
        <v>1026</v>
      </c>
      <c r="N15" s="34">
        <v>1026</v>
      </c>
      <c r="O15" s="34">
        <v>1026</v>
      </c>
      <c r="P15" s="34">
        <v>1026</v>
      </c>
      <c r="Q15" s="34">
        <v>1026</v>
      </c>
      <c r="R15" s="34">
        <v>1026</v>
      </c>
      <c r="S15" s="34">
        <v>1026</v>
      </c>
      <c r="T15" s="34">
        <v>1026</v>
      </c>
      <c r="U15" s="34">
        <v>1026</v>
      </c>
      <c r="V15" s="34">
        <v>1026</v>
      </c>
      <c r="W15" s="34">
        <v>1026</v>
      </c>
      <c r="X15" s="34">
        <v>1026</v>
      </c>
    </row>
    <row r="16" spans="1:24" x14ac:dyDescent="0.2">
      <c r="A16" s="6">
        <v>14</v>
      </c>
      <c r="B16" s="7" t="s">
        <v>34</v>
      </c>
      <c r="C16" s="34">
        <v>96</v>
      </c>
      <c r="D16" s="34">
        <v>96</v>
      </c>
      <c r="E16" s="34">
        <v>96</v>
      </c>
      <c r="F16" s="34">
        <v>96</v>
      </c>
      <c r="G16" s="34">
        <v>96</v>
      </c>
      <c r="H16" s="34">
        <v>96</v>
      </c>
      <c r="I16" s="34">
        <v>96</v>
      </c>
      <c r="J16" s="34">
        <v>96</v>
      </c>
      <c r="K16" s="34">
        <v>96</v>
      </c>
      <c r="L16" s="34">
        <v>96</v>
      </c>
      <c r="M16" s="34">
        <v>96</v>
      </c>
      <c r="N16" s="34">
        <v>96</v>
      </c>
      <c r="O16" s="34">
        <v>96</v>
      </c>
      <c r="P16" s="34">
        <v>96</v>
      </c>
      <c r="Q16" s="34">
        <v>96</v>
      </c>
      <c r="R16" s="34">
        <v>96</v>
      </c>
      <c r="S16" s="34">
        <v>96</v>
      </c>
      <c r="T16" s="34">
        <v>96</v>
      </c>
      <c r="U16" s="34">
        <v>96</v>
      </c>
      <c r="V16" s="34">
        <v>96</v>
      </c>
      <c r="W16" s="34">
        <v>96</v>
      </c>
      <c r="X16" s="34">
        <v>96</v>
      </c>
    </row>
    <row r="17" spans="1:24" x14ac:dyDescent="0.2">
      <c r="A17" s="6">
        <v>15</v>
      </c>
      <c r="B17" s="7" t="s">
        <v>35</v>
      </c>
      <c r="C17" s="34">
        <v>1693</v>
      </c>
      <c r="D17" s="34">
        <v>1693</v>
      </c>
      <c r="E17" s="34">
        <v>1693</v>
      </c>
      <c r="F17" s="34">
        <v>2439</v>
      </c>
      <c r="G17" s="34">
        <v>2439</v>
      </c>
      <c r="H17" s="34">
        <v>2439</v>
      </c>
      <c r="I17" s="34">
        <v>2439</v>
      </c>
      <c r="J17" s="34">
        <v>2439</v>
      </c>
      <c r="K17" s="34">
        <v>2439</v>
      </c>
      <c r="L17" s="34">
        <v>2439</v>
      </c>
      <c r="M17" s="34">
        <v>2439</v>
      </c>
      <c r="N17" s="34">
        <v>2439</v>
      </c>
      <c r="O17" s="34">
        <v>2439</v>
      </c>
      <c r="P17" s="34">
        <v>2439</v>
      </c>
      <c r="Q17" s="34">
        <v>2439</v>
      </c>
      <c r="R17" s="34">
        <v>2439</v>
      </c>
      <c r="S17" s="34">
        <v>2439</v>
      </c>
      <c r="T17" s="34">
        <v>2439</v>
      </c>
      <c r="U17" s="34">
        <v>2439</v>
      </c>
      <c r="V17" s="34">
        <v>2439</v>
      </c>
      <c r="W17" s="34">
        <v>2439</v>
      </c>
      <c r="X17" s="34">
        <v>2439</v>
      </c>
    </row>
    <row r="18" spans="1:24" x14ac:dyDescent="0.2">
      <c r="A18" s="6">
        <v>16</v>
      </c>
      <c r="B18" s="7" t="s">
        <v>36</v>
      </c>
      <c r="C18" s="34">
        <v>0</v>
      </c>
      <c r="D18" s="34">
        <v>0</v>
      </c>
      <c r="E18" s="34">
        <v>0</v>
      </c>
      <c r="F18" s="34">
        <v>0</v>
      </c>
      <c r="G18" s="34">
        <v>0</v>
      </c>
      <c r="H18" s="34">
        <v>0</v>
      </c>
      <c r="I18" s="34">
        <v>0</v>
      </c>
      <c r="J18" s="34">
        <v>0</v>
      </c>
      <c r="K18" s="34">
        <v>0</v>
      </c>
      <c r="L18" s="34">
        <v>0</v>
      </c>
      <c r="M18" s="34">
        <v>0</v>
      </c>
      <c r="N18" s="34">
        <v>0</v>
      </c>
      <c r="O18" s="34">
        <v>0</v>
      </c>
      <c r="P18" s="34">
        <v>0</v>
      </c>
      <c r="Q18" s="34">
        <v>0</v>
      </c>
      <c r="R18" s="34">
        <v>0</v>
      </c>
      <c r="S18" s="34">
        <v>0</v>
      </c>
      <c r="T18" s="34">
        <v>0</v>
      </c>
      <c r="U18" s="34">
        <v>0</v>
      </c>
      <c r="V18" s="34">
        <v>0</v>
      </c>
      <c r="W18" s="34">
        <v>0</v>
      </c>
      <c r="X18" s="34">
        <v>0</v>
      </c>
    </row>
    <row r="19" spans="1:24" x14ac:dyDescent="0.2">
      <c r="A19" s="6">
        <v>17</v>
      </c>
      <c r="B19" s="7" t="s">
        <v>37</v>
      </c>
      <c r="C19" s="34">
        <v>5000</v>
      </c>
      <c r="D19" s="34">
        <v>4200</v>
      </c>
      <c r="E19" s="34">
        <v>4200</v>
      </c>
      <c r="F19" s="34">
        <v>4200</v>
      </c>
      <c r="G19" s="34">
        <v>4200</v>
      </c>
      <c r="H19" s="34">
        <v>4288</v>
      </c>
      <c r="I19" s="34">
        <v>4288</v>
      </c>
      <c r="J19" s="34">
        <v>4288</v>
      </c>
      <c r="K19" s="34">
        <v>4288</v>
      </c>
      <c r="L19" s="34">
        <v>4288</v>
      </c>
      <c r="M19" s="34">
        <v>4288</v>
      </c>
      <c r="N19" s="34">
        <v>4300</v>
      </c>
      <c r="O19" s="34">
        <v>4300</v>
      </c>
      <c r="P19" s="34">
        <v>4300</v>
      </c>
      <c r="Q19" s="34">
        <v>4300</v>
      </c>
      <c r="R19" s="34">
        <v>4300</v>
      </c>
      <c r="S19" s="34">
        <v>4300</v>
      </c>
      <c r="T19" s="34">
        <v>4300</v>
      </c>
      <c r="U19" s="34">
        <v>4300</v>
      </c>
      <c r="V19" s="34">
        <v>4300</v>
      </c>
      <c r="W19" s="34">
        <v>4300</v>
      </c>
      <c r="X19" s="34">
        <v>4300</v>
      </c>
    </row>
    <row r="20" spans="1:24" x14ac:dyDescent="0.2">
      <c r="A20" s="6">
        <v>18</v>
      </c>
      <c r="B20" s="7" t="s">
        <v>38</v>
      </c>
      <c r="C20" s="34">
        <v>10000</v>
      </c>
      <c r="D20" s="34">
        <v>9300</v>
      </c>
      <c r="E20" s="34">
        <v>9300</v>
      </c>
      <c r="F20" s="34">
        <v>9300</v>
      </c>
      <c r="G20" s="34">
        <v>9300</v>
      </c>
      <c r="H20" s="34">
        <v>9303</v>
      </c>
      <c r="I20" s="34">
        <v>9303</v>
      </c>
      <c r="J20" s="34">
        <v>9303</v>
      </c>
      <c r="K20" s="34">
        <v>9303</v>
      </c>
      <c r="L20" s="34">
        <v>9303</v>
      </c>
      <c r="M20" s="34">
        <v>9303</v>
      </c>
      <c r="N20" s="34">
        <v>9320</v>
      </c>
      <c r="O20" s="34">
        <v>9320</v>
      </c>
      <c r="P20" s="34">
        <v>9320</v>
      </c>
      <c r="Q20" s="34">
        <v>9320</v>
      </c>
      <c r="R20" s="34">
        <v>9320</v>
      </c>
      <c r="S20" s="34">
        <v>9320</v>
      </c>
      <c r="T20" s="34">
        <v>9320</v>
      </c>
      <c r="U20" s="34">
        <v>9320</v>
      </c>
      <c r="V20" s="34">
        <v>9320</v>
      </c>
      <c r="W20" s="34">
        <v>9320</v>
      </c>
      <c r="X20" s="34">
        <v>9320</v>
      </c>
    </row>
    <row r="21" spans="1:24" x14ac:dyDescent="0.2">
      <c r="A21" s="6">
        <v>19</v>
      </c>
      <c r="B21" s="7" t="s">
        <v>39</v>
      </c>
      <c r="C21" s="34">
        <v>15000</v>
      </c>
      <c r="D21" s="34">
        <v>13800</v>
      </c>
      <c r="E21" s="34">
        <v>13800</v>
      </c>
      <c r="F21" s="34">
        <v>13800</v>
      </c>
      <c r="G21" s="34">
        <v>13800</v>
      </c>
      <c r="H21" s="34">
        <v>13904</v>
      </c>
      <c r="I21" s="34">
        <v>13904</v>
      </c>
      <c r="J21" s="34">
        <v>13904</v>
      </c>
      <c r="K21" s="34">
        <v>13904</v>
      </c>
      <c r="L21" s="34">
        <v>13904</v>
      </c>
      <c r="M21" s="34">
        <v>13904</v>
      </c>
      <c r="N21" s="34">
        <v>13860</v>
      </c>
      <c r="O21" s="34">
        <v>13860</v>
      </c>
      <c r="P21" s="34">
        <v>13860</v>
      </c>
      <c r="Q21" s="34">
        <v>13860</v>
      </c>
      <c r="R21" s="34">
        <v>13860</v>
      </c>
      <c r="S21" s="34">
        <v>13860</v>
      </c>
      <c r="T21" s="34">
        <v>13860</v>
      </c>
      <c r="U21" s="34">
        <v>13860</v>
      </c>
      <c r="V21" s="34">
        <v>13860</v>
      </c>
      <c r="W21" s="34">
        <v>13860</v>
      </c>
      <c r="X21" s="34">
        <v>13860</v>
      </c>
    </row>
    <row r="22" spans="1:24" x14ac:dyDescent="0.2">
      <c r="A22" s="6">
        <v>20</v>
      </c>
      <c r="B22" s="7" t="s">
        <v>40</v>
      </c>
      <c r="C22" s="34">
        <v>20000</v>
      </c>
      <c r="D22" s="34">
        <v>20000</v>
      </c>
      <c r="E22" s="34">
        <v>20000</v>
      </c>
      <c r="F22" s="34">
        <v>20000</v>
      </c>
      <c r="G22" s="34">
        <v>20000</v>
      </c>
      <c r="H22" s="34">
        <v>21687</v>
      </c>
      <c r="I22" s="34">
        <v>21687</v>
      </c>
      <c r="J22" s="34">
        <v>21687</v>
      </c>
      <c r="K22" s="34">
        <v>21687</v>
      </c>
      <c r="L22" s="34">
        <v>21687</v>
      </c>
      <c r="M22" s="34">
        <v>21687</v>
      </c>
      <c r="N22" s="34">
        <v>21660</v>
      </c>
      <c r="O22" s="34">
        <v>21660</v>
      </c>
      <c r="P22" s="34">
        <v>21660</v>
      </c>
      <c r="Q22" s="34">
        <v>21660</v>
      </c>
      <c r="R22" s="34">
        <v>21660</v>
      </c>
      <c r="S22" s="34">
        <v>21660</v>
      </c>
      <c r="T22" s="34">
        <v>21660</v>
      </c>
      <c r="U22" s="34">
        <v>21660</v>
      </c>
      <c r="V22" s="34">
        <v>21660</v>
      </c>
      <c r="W22" s="34">
        <v>21660</v>
      </c>
      <c r="X22" s="34">
        <v>21660</v>
      </c>
    </row>
    <row r="23" spans="1:24" x14ac:dyDescent="0.2">
      <c r="A23" s="6">
        <v>21</v>
      </c>
      <c r="B23" s="7" t="s">
        <v>41</v>
      </c>
      <c r="C23" s="34">
        <v>25000</v>
      </c>
      <c r="D23" s="34">
        <v>25000</v>
      </c>
      <c r="E23" s="34">
        <v>25000</v>
      </c>
      <c r="F23" s="34">
        <v>25000</v>
      </c>
      <c r="G23" s="34">
        <v>25000</v>
      </c>
      <c r="H23" s="34">
        <v>25061</v>
      </c>
      <c r="I23" s="34">
        <v>25061</v>
      </c>
      <c r="J23" s="34">
        <v>25061</v>
      </c>
      <c r="K23" s="34">
        <v>25061</v>
      </c>
      <c r="L23" s="34">
        <v>25061</v>
      </c>
      <c r="M23" s="34">
        <v>25061</v>
      </c>
      <c r="N23" s="34">
        <v>25000</v>
      </c>
      <c r="O23" s="34">
        <v>25000</v>
      </c>
      <c r="P23" s="34">
        <v>25000</v>
      </c>
      <c r="Q23" s="34">
        <v>25000</v>
      </c>
      <c r="R23" s="34">
        <v>25000</v>
      </c>
      <c r="S23" s="34">
        <v>25000</v>
      </c>
      <c r="T23" s="34">
        <v>25000</v>
      </c>
      <c r="U23" s="34">
        <v>25000</v>
      </c>
      <c r="V23" s="34">
        <v>25000</v>
      </c>
      <c r="W23" s="34">
        <v>25000</v>
      </c>
      <c r="X23" s="34">
        <v>25000</v>
      </c>
    </row>
    <row r="24" spans="1:24" x14ac:dyDescent="0.2">
      <c r="A24" s="6">
        <v>22</v>
      </c>
      <c r="B24" s="7" t="s">
        <v>42</v>
      </c>
      <c r="C24" s="34">
        <v>2972</v>
      </c>
      <c r="D24" s="34">
        <v>2972</v>
      </c>
      <c r="E24" s="34">
        <v>2972</v>
      </c>
      <c r="F24" s="34">
        <v>2972</v>
      </c>
      <c r="G24" s="34">
        <v>2972</v>
      </c>
      <c r="H24" s="34">
        <v>2972</v>
      </c>
      <c r="I24" s="34">
        <v>2972</v>
      </c>
      <c r="J24" s="34">
        <v>2972</v>
      </c>
      <c r="K24" s="34">
        <v>2972</v>
      </c>
      <c r="L24" s="34">
        <v>2972</v>
      </c>
      <c r="M24" s="34">
        <v>2972</v>
      </c>
      <c r="N24" s="34">
        <v>2972</v>
      </c>
      <c r="O24" s="34">
        <v>2972</v>
      </c>
      <c r="P24" s="34">
        <v>2972</v>
      </c>
      <c r="Q24" s="34">
        <v>2972</v>
      </c>
      <c r="R24" s="34">
        <v>2972</v>
      </c>
      <c r="S24" s="34">
        <v>2972</v>
      </c>
      <c r="T24" s="34">
        <v>2972</v>
      </c>
      <c r="U24" s="34">
        <v>2972</v>
      </c>
      <c r="V24" s="34">
        <v>2972</v>
      </c>
      <c r="W24" s="34">
        <v>2972</v>
      </c>
      <c r="X24" s="34">
        <v>2972</v>
      </c>
    </row>
    <row r="25" spans="1:24" x14ac:dyDescent="0.2">
      <c r="A25" s="6">
        <v>23</v>
      </c>
      <c r="B25" s="7" t="s">
        <v>43</v>
      </c>
      <c r="C25" s="34">
        <v>3</v>
      </c>
      <c r="D25" s="34">
        <v>3</v>
      </c>
      <c r="E25" s="34">
        <v>3</v>
      </c>
      <c r="F25" s="34">
        <v>3</v>
      </c>
      <c r="G25" s="34">
        <v>3</v>
      </c>
      <c r="H25" s="34">
        <v>3</v>
      </c>
      <c r="I25" s="34">
        <v>3</v>
      </c>
      <c r="J25" s="34">
        <v>3</v>
      </c>
      <c r="K25" s="34">
        <v>3</v>
      </c>
      <c r="L25" s="34">
        <v>3</v>
      </c>
      <c r="M25" s="34">
        <v>3</v>
      </c>
      <c r="N25" s="34">
        <v>3</v>
      </c>
      <c r="O25" s="34">
        <v>3</v>
      </c>
      <c r="P25" s="34">
        <v>3</v>
      </c>
      <c r="Q25" s="34">
        <v>3</v>
      </c>
      <c r="R25" s="34">
        <v>3</v>
      </c>
      <c r="S25" s="34">
        <v>3</v>
      </c>
      <c r="T25" s="34">
        <v>3</v>
      </c>
      <c r="U25" s="34">
        <v>3</v>
      </c>
      <c r="V25" s="34">
        <v>3</v>
      </c>
      <c r="W25" s="34">
        <v>3</v>
      </c>
      <c r="X25" s="34">
        <v>3</v>
      </c>
    </row>
    <row r="26" spans="1:24" x14ac:dyDescent="0.2">
      <c r="A26" s="6">
        <v>24</v>
      </c>
      <c r="B26" s="7" t="s">
        <v>171</v>
      </c>
      <c r="C26" s="34">
        <v>0</v>
      </c>
      <c r="D26" s="34">
        <v>0</v>
      </c>
      <c r="E26" s="34">
        <v>0</v>
      </c>
      <c r="F26" s="34">
        <v>0</v>
      </c>
      <c r="G26" s="34">
        <v>0</v>
      </c>
      <c r="H26" s="34">
        <v>0</v>
      </c>
      <c r="I26" s="34">
        <v>0</v>
      </c>
      <c r="J26" s="34">
        <v>0</v>
      </c>
      <c r="K26" s="34">
        <v>0</v>
      </c>
      <c r="L26" s="34">
        <v>0</v>
      </c>
      <c r="M26" s="34">
        <v>0</v>
      </c>
      <c r="N26" s="34">
        <v>0</v>
      </c>
      <c r="O26" s="34">
        <v>0</v>
      </c>
      <c r="P26" s="34">
        <v>0</v>
      </c>
      <c r="Q26" s="34">
        <v>0</v>
      </c>
      <c r="R26" s="34">
        <v>0</v>
      </c>
      <c r="S26" s="34">
        <v>1</v>
      </c>
      <c r="T26" s="34">
        <v>0</v>
      </c>
      <c r="U26" s="34">
        <v>1</v>
      </c>
      <c r="V26" s="34">
        <v>1</v>
      </c>
      <c r="W26" s="34">
        <v>1</v>
      </c>
      <c r="X26" s="34">
        <v>0</v>
      </c>
    </row>
    <row r="27" spans="1:24" x14ac:dyDescent="0.2">
      <c r="A27" s="6">
        <v>25</v>
      </c>
      <c r="B27" s="7" t="s">
        <v>44</v>
      </c>
      <c r="C27" s="34">
        <v>0</v>
      </c>
      <c r="D27" s="34">
        <v>0</v>
      </c>
      <c r="E27" s="34">
        <v>0</v>
      </c>
      <c r="F27" s="34">
        <v>0</v>
      </c>
      <c r="G27" s="34">
        <v>0</v>
      </c>
      <c r="H27" s="34">
        <v>0</v>
      </c>
      <c r="I27" s="34">
        <v>0</v>
      </c>
      <c r="J27" s="34">
        <v>0</v>
      </c>
      <c r="K27" s="34">
        <v>0</v>
      </c>
      <c r="L27" s="34">
        <v>0</v>
      </c>
      <c r="M27" s="34">
        <v>0</v>
      </c>
      <c r="N27" s="34">
        <v>0</v>
      </c>
      <c r="O27" s="34">
        <v>0</v>
      </c>
      <c r="P27" s="34">
        <v>0</v>
      </c>
      <c r="Q27" s="34">
        <v>0</v>
      </c>
      <c r="R27" s="34">
        <v>0</v>
      </c>
      <c r="S27" s="34">
        <v>0</v>
      </c>
      <c r="T27" s="34">
        <v>0</v>
      </c>
      <c r="U27" s="34">
        <v>0</v>
      </c>
      <c r="V27" s="34">
        <v>0</v>
      </c>
      <c r="W27" s="34">
        <v>0</v>
      </c>
      <c r="X27" s="34">
        <v>0</v>
      </c>
    </row>
    <row r="28" spans="1:24" x14ac:dyDescent="0.2">
      <c r="A28" s="6">
        <v>26</v>
      </c>
      <c r="B28" s="7" t="s">
        <v>45</v>
      </c>
      <c r="C28" s="34">
        <v>300</v>
      </c>
      <c r="D28" s="34">
        <v>305</v>
      </c>
      <c r="E28" s="34">
        <v>325</v>
      </c>
      <c r="F28" s="34">
        <v>330</v>
      </c>
      <c r="G28" s="34">
        <v>340</v>
      </c>
      <c r="H28" s="34">
        <v>339</v>
      </c>
      <c r="I28" s="34">
        <v>339</v>
      </c>
      <c r="J28" s="34">
        <v>338</v>
      </c>
      <c r="K28" s="34">
        <v>345</v>
      </c>
      <c r="L28" s="34">
        <v>345</v>
      </c>
      <c r="M28" s="34">
        <v>350</v>
      </c>
      <c r="N28" s="34">
        <v>350</v>
      </c>
      <c r="O28" s="34">
        <v>350</v>
      </c>
      <c r="P28" s="34">
        <v>335</v>
      </c>
      <c r="Q28" s="34">
        <v>335</v>
      </c>
      <c r="R28" s="34">
        <v>343</v>
      </c>
      <c r="S28" s="34">
        <v>350</v>
      </c>
      <c r="T28" s="34">
        <v>350</v>
      </c>
      <c r="U28" s="34">
        <v>355</v>
      </c>
      <c r="V28" s="34">
        <v>355</v>
      </c>
      <c r="W28" s="34">
        <v>360</v>
      </c>
      <c r="X28" s="34">
        <v>342</v>
      </c>
    </row>
    <row r="29" spans="1:24" x14ac:dyDescent="0.2">
      <c r="A29" s="6">
        <v>27</v>
      </c>
      <c r="B29" s="7" t="s">
        <v>46</v>
      </c>
      <c r="C29" s="34">
        <v>0</v>
      </c>
      <c r="D29" s="34">
        <v>0</v>
      </c>
      <c r="E29" s="34">
        <v>0</v>
      </c>
      <c r="F29" s="34">
        <v>0</v>
      </c>
      <c r="G29" s="34">
        <v>0</v>
      </c>
      <c r="H29" s="34">
        <v>580</v>
      </c>
      <c r="I29" s="34">
        <v>575</v>
      </c>
      <c r="J29" s="34">
        <v>580</v>
      </c>
      <c r="K29" s="34">
        <v>580</v>
      </c>
      <c r="L29" s="34">
        <v>580</v>
      </c>
      <c r="M29" s="34">
        <v>590</v>
      </c>
      <c r="N29" s="34">
        <v>590</v>
      </c>
      <c r="O29" s="34">
        <v>590</v>
      </c>
      <c r="P29" s="34">
        <v>580</v>
      </c>
      <c r="Q29" s="34">
        <v>580</v>
      </c>
      <c r="R29" s="34">
        <v>580</v>
      </c>
      <c r="S29" s="34">
        <v>580</v>
      </c>
      <c r="T29" s="34">
        <v>580</v>
      </c>
      <c r="U29" s="34">
        <v>580</v>
      </c>
      <c r="V29" s="34">
        <v>580</v>
      </c>
      <c r="W29" s="34">
        <v>580</v>
      </c>
      <c r="X29" s="34">
        <v>580</v>
      </c>
    </row>
    <row r="30" spans="1:24" x14ac:dyDescent="0.2">
      <c r="A30" s="6">
        <v>28</v>
      </c>
      <c r="B30" s="7" t="s">
        <v>2</v>
      </c>
      <c r="C30" s="34">
        <v>0</v>
      </c>
      <c r="D30" s="34">
        <v>0</v>
      </c>
      <c r="E30" s="34">
        <v>0</v>
      </c>
      <c r="F30" s="34">
        <v>0</v>
      </c>
      <c r="G30" s="34">
        <v>0</v>
      </c>
      <c r="H30" s="34">
        <v>0</v>
      </c>
      <c r="I30" s="34">
        <v>0</v>
      </c>
      <c r="J30" s="34">
        <v>0</v>
      </c>
      <c r="K30" s="34">
        <v>0</v>
      </c>
      <c r="L30" s="34">
        <v>0</v>
      </c>
      <c r="M30" s="34">
        <v>0</v>
      </c>
      <c r="N30" s="34">
        <v>0</v>
      </c>
      <c r="O30" s="34">
        <v>0</v>
      </c>
      <c r="P30" s="34">
        <v>0</v>
      </c>
      <c r="Q30" s="34">
        <v>0</v>
      </c>
      <c r="R30" s="34">
        <v>0</v>
      </c>
      <c r="S30" s="34">
        <v>0</v>
      </c>
      <c r="T30" s="34">
        <v>0</v>
      </c>
      <c r="U30" s="34">
        <v>0</v>
      </c>
      <c r="V30" s="34">
        <v>0</v>
      </c>
      <c r="W30" s="34">
        <v>0</v>
      </c>
      <c r="X30" s="34">
        <v>0</v>
      </c>
    </row>
    <row r="31" spans="1:24" x14ac:dyDescent="0.2">
      <c r="A31" s="6">
        <v>29</v>
      </c>
      <c r="B31" s="7" t="s">
        <v>3</v>
      </c>
      <c r="C31" s="34">
        <v>0</v>
      </c>
      <c r="D31" s="34">
        <v>0</v>
      </c>
      <c r="E31" s="34">
        <v>0</v>
      </c>
      <c r="F31" s="34">
        <v>0</v>
      </c>
      <c r="G31" s="34">
        <v>0</v>
      </c>
      <c r="H31" s="34">
        <v>0</v>
      </c>
      <c r="I31" s="34">
        <v>0</v>
      </c>
      <c r="J31" s="34">
        <v>0</v>
      </c>
      <c r="K31" s="34">
        <v>0</v>
      </c>
      <c r="L31" s="34">
        <v>0</v>
      </c>
      <c r="M31" s="34">
        <v>0</v>
      </c>
      <c r="N31" s="34">
        <v>0</v>
      </c>
      <c r="O31" s="34">
        <v>0</v>
      </c>
      <c r="P31" s="34">
        <v>0</v>
      </c>
      <c r="Q31" s="34">
        <v>0</v>
      </c>
      <c r="R31" s="34">
        <v>0</v>
      </c>
      <c r="S31" s="34">
        <v>0</v>
      </c>
      <c r="T31" s="34">
        <v>0</v>
      </c>
      <c r="U31" s="34">
        <v>0</v>
      </c>
      <c r="V31" s="34">
        <v>0</v>
      </c>
      <c r="W31" s="34">
        <v>0</v>
      </c>
      <c r="X31" s="34">
        <v>0</v>
      </c>
    </row>
    <row r="32" spans="1:24" x14ac:dyDescent="0.2">
      <c r="A32" s="6">
        <v>30</v>
      </c>
      <c r="B32" s="7" t="s">
        <v>4</v>
      </c>
      <c r="C32" s="34">
        <v>0</v>
      </c>
      <c r="D32" s="34">
        <v>0</v>
      </c>
      <c r="E32" s="34">
        <v>0</v>
      </c>
      <c r="F32" s="34">
        <v>0</v>
      </c>
      <c r="G32" s="34">
        <v>0</v>
      </c>
      <c r="H32" s="34">
        <v>0</v>
      </c>
      <c r="I32" s="34">
        <v>0</v>
      </c>
      <c r="J32" s="34">
        <v>0</v>
      </c>
      <c r="K32" s="34">
        <v>0</v>
      </c>
      <c r="L32" s="34">
        <v>0</v>
      </c>
      <c r="M32" s="34">
        <v>0</v>
      </c>
      <c r="N32" s="34">
        <v>0</v>
      </c>
      <c r="O32" s="34">
        <v>0</v>
      </c>
      <c r="P32" s="34">
        <v>0</v>
      </c>
      <c r="Q32" s="34">
        <v>0</v>
      </c>
      <c r="R32" s="34">
        <v>0</v>
      </c>
      <c r="S32" s="34">
        <v>0</v>
      </c>
      <c r="T32" s="34">
        <v>0</v>
      </c>
      <c r="U32" s="34">
        <v>0</v>
      </c>
      <c r="V32" s="34">
        <v>0</v>
      </c>
      <c r="W32" s="34">
        <v>0</v>
      </c>
      <c r="X32" s="34">
        <v>0</v>
      </c>
    </row>
    <row r="33" spans="1:24" x14ac:dyDescent="0.2">
      <c r="A33" s="6">
        <v>31</v>
      </c>
      <c r="B33" s="7" t="s">
        <v>5</v>
      </c>
      <c r="C33" s="34">
        <v>0</v>
      </c>
      <c r="D33" s="34">
        <v>0</v>
      </c>
      <c r="E33" s="34">
        <v>0</v>
      </c>
      <c r="F33" s="34">
        <v>0</v>
      </c>
      <c r="G33" s="34">
        <v>0</v>
      </c>
      <c r="H33" s="34">
        <v>0</v>
      </c>
      <c r="I33" s="34">
        <v>0</v>
      </c>
      <c r="J33" s="34">
        <v>0</v>
      </c>
      <c r="K33" s="34">
        <v>0</v>
      </c>
      <c r="L33" s="34">
        <v>0</v>
      </c>
      <c r="M33" s="34">
        <v>0</v>
      </c>
      <c r="N33" s="34">
        <v>0</v>
      </c>
      <c r="O33" s="34">
        <v>0</v>
      </c>
      <c r="P33" s="34">
        <v>0</v>
      </c>
      <c r="Q33" s="34">
        <v>0</v>
      </c>
      <c r="R33" s="34">
        <v>0</v>
      </c>
      <c r="S33" s="34">
        <v>0</v>
      </c>
      <c r="T33" s="34">
        <v>0</v>
      </c>
      <c r="U33" s="34">
        <v>0</v>
      </c>
      <c r="V33" s="34">
        <v>0</v>
      </c>
      <c r="W33" s="34">
        <v>0</v>
      </c>
      <c r="X33" s="34">
        <v>0</v>
      </c>
    </row>
    <row r="34" spans="1:24" x14ac:dyDescent="0.2">
      <c r="A34" s="6">
        <v>32</v>
      </c>
      <c r="B34" s="7" t="s">
        <v>47</v>
      </c>
      <c r="C34" s="34">
        <v>6680</v>
      </c>
      <c r="D34" s="34">
        <v>6680</v>
      </c>
      <c r="E34" s="34">
        <v>6680</v>
      </c>
      <c r="F34" s="34">
        <v>7417</v>
      </c>
      <c r="G34" s="34">
        <v>7417</v>
      </c>
      <c r="H34" s="34">
        <v>7417</v>
      </c>
      <c r="I34" s="34">
        <v>7417</v>
      </c>
      <c r="J34" s="34">
        <v>7417</v>
      </c>
      <c r="K34" s="34">
        <v>7420</v>
      </c>
      <c r="L34" s="34">
        <v>7420</v>
      </c>
      <c r="M34" s="34">
        <v>7420</v>
      </c>
      <c r="N34" s="34">
        <v>7420</v>
      </c>
      <c r="O34" s="34">
        <v>7420</v>
      </c>
      <c r="P34" s="34">
        <v>7420</v>
      </c>
      <c r="Q34" s="34">
        <v>7420</v>
      </c>
      <c r="R34" s="34">
        <v>7420</v>
      </c>
      <c r="S34" s="34">
        <v>7420</v>
      </c>
      <c r="T34" s="34">
        <v>7420</v>
      </c>
      <c r="U34" s="34">
        <v>7420</v>
      </c>
      <c r="V34" s="34">
        <v>7420</v>
      </c>
      <c r="W34" s="34">
        <v>7420</v>
      </c>
      <c r="X34" s="34">
        <v>7420</v>
      </c>
    </row>
    <row r="35" spans="1:24" x14ac:dyDescent="0.2">
      <c r="A35" s="6">
        <v>33</v>
      </c>
      <c r="B35" s="7" t="s">
        <v>48</v>
      </c>
      <c r="C35" s="34">
        <v>6020</v>
      </c>
      <c r="D35" s="34">
        <v>6020</v>
      </c>
      <c r="E35" s="34">
        <v>6020</v>
      </c>
      <c r="F35" s="34">
        <v>6020</v>
      </c>
      <c r="G35" s="34">
        <v>6020</v>
      </c>
      <c r="H35" s="34">
        <v>6020</v>
      </c>
      <c r="I35" s="34">
        <v>6020</v>
      </c>
      <c r="J35" s="34">
        <v>6020</v>
      </c>
      <c r="K35" s="34">
        <v>6025</v>
      </c>
      <c r="L35" s="34">
        <v>6025</v>
      </c>
      <c r="M35" s="34">
        <v>6025</v>
      </c>
      <c r="N35" s="34">
        <v>6025</v>
      </c>
      <c r="O35" s="34">
        <v>6025</v>
      </c>
      <c r="P35" s="34">
        <v>6025</v>
      </c>
      <c r="Q35" s="34">
        <v>6025</v>
      </c>
      <c r="R35" s="34">
        <v>6025</v>
      </c>
      <c r="S35" s="34">
        <v>6025</v>
      </c>
      <c r="T35" s="34">
        <v>6025</v>
      </c>
      <c r="U35" s="34">
        <v>6025</v>
      </c>
      <c r="V35" s="34">
        <v>6025</v>
      </c>
      <c r="W35" s="34">
        <v>6025</v>
      </c>
      <c r="X35" s="34">
        <v>6025</v>
      </c>
    </row>
    <row r="36" spans="1:24" x14ac:dyDescent="0.2">
      <c r="A36" s="6">
        <v>34</v>
      </c>
      <c r="B36" s="7" t="s">
        <v>49</v>
      </c>
      <c r="C36" s="34">
        <v>178</v>
      </c>
      <c r="D36" s="34">
        <v>178</v>
      </c>
      <c r="E36" s="34">
        <v>178</v>
      </c>
      <c r="F36" s="34">
        <v>178</v>
      </c>
      <c r="G36" s="34">
        <v>178</v>
      </c>
      <c r="H36" s="34">
        <v>178</v>
      </c>
      <c r="I36" s="34">
        <v>178</v>
      </c>
      <c r="J36" s="34">
        <v>178</v>
      </c>
      <c r="K36" s="34">
        <v>178</v>
      </c>
      <c r="L36" s="34">
        <v>178</v>
      </c>
      <c r="M36" s="34">
        <v>178</v>
      </c>
      <c r="N36" s="34">
        <v>178</v>
      </c>
      <c r="O36" s="34">
        <v>178</v>
      </c>
      <c r="P36" s="34">
        <v>178</v>
      </c>
      <c r="Q36" s="34">
        <v>178</v>
      </c>
      <c r="R36" s="34">
        <v>178</v>
      </c>
      <c r="S36" s="34">
        <v>178</v>
      </c>
      <c r="T36" s="34">
        <v>178</v>
      </c>
      <c r="U36" s="34">
        <v>178</v>
      </c>
      <c r="V36" s="34">
        <v>178</v>
      </c>
      <c r="W36" s="34">
        <v>178</v>
      </c>
      <c r="X36" s="34">
        <v>178</v>
      </c>
    </row>
    <row r="37" spans="1:24" x14ac:dyDescent="0.2">
      <c r="A37" s="6">
        <v>35</v>
      </c>
      <c r="B37" s="7" t="s">
        <v>50</v>
      </c>
      <c r="C37" s="34">
        <v>-3</v>
      </c>
      <c r="D37" s="34">
        <v>-3</v>
      </c>
      <c r="E37" s="34">
        <v>-3</v>
      </c>
      <c r="F37" s="34">
        <v>-3</v>
      </c>
      <c r="G37" s="34">
        <v>-3</v>
      </c>
      <c r="H37" s="34">
        <v>-3</v>
      </c>
      <c r="I37" s="34">
        <v>-3</v>
      </c>
      <c r="J37" s="34">
        <v>-3</v>
      </c>
      <c r="K37" t="s">
        <v>193</v>
      </c>
      <c r="L37" t="s">
        <v>193</v>
      </c>
      <c r="M37" t="s">
        <v>193</v>
      </c>
      <c r="N37" t="s">
        <v>193</v>
      </c>
      <c r="O37" t="s">
        <v>193</v>
      </c>
      <c r="P37" t="s">
        <v>193</v>
      </c>
      <c r="Q37" t="s">
        <v>193</v>
      </c>
      <c r="R37" t="s">
        <v>193</v>
      </c>
      <c r="S37" t="s">
        <v>193</v>
      </c>
      <c r="T37" t="s">
        <v>193</v>
      </c>
      <c r="U37" t="s">
        <v>193</v>
      </c>
      <c r="V37" t="s">
        <v>193</v>
      </c>
      <c r="W37" t="s">
        <v>193</v>
      </c>
      <c r="X37" t="s">
        <v>193</v>
      </c>
    </row>
    <row r="38" spans="1:24" x14ac:dyDescent="0.2">
      <c r="A38" s="6">
        <v>36</v>
      </c>
      <c r="B38" s="7" t="s">
        <v>51</v>
      </c>
      <c r="C38" s="34">
        <v>770</v>
      </c>
      <c r="D38" s="34">
        <v>770</v>
      </c>
      <c r="E38" s="34">
        <v>770</v>
      </c>
      <c r="F38" s="34">
        <v>770</v>
      </c>
      <c r="G38" s="34">
        <v>770</v>
      </c>
      <c r="H38" s="34">
        <v>770</v>
      </c>
      <c r="I38" s="34">
        <v>770</v>
      </c>
      <c r="J38" s="34">
        <v>770</v>
      </c>
      <c r="K38" t="s">
        <v>193</v>
      </c>
      <c r="L38" t="s">
        <v>193</v>
      </c>
      <c r="M38" t="s">
        <v>193</v>
      </c>
      <c r="N38" s="34">
        <v>77900</v>
      </c>
      <c r="O38" s="34">
        <v>69645630</v>
      </c>
      <c r="P38" s="34">
        <v>77900</v>
      </c>
      <c r="Q38" s="34">
        <v>96561090</v>
      </c>
      <c r="R38" s="34">
        <v>96561090</v>
      </c>
      <c r="S38" s="34">
        <v>96561090</v>
      </c>
      <c r="T38" s="34">
        <v>58140796</v>
      </c>
      <c r="U38" s="34">
        <v>58140796</v>
      </c>
      <c r="V38" s="34">
        <v>77900</v>
      </c>
      <c r="W38" s="34">
        <v>67397790</v>
      </c>
      <c r="X38" s="34">
        <v>67397790</v>
      </c>
    </row>
    <row r="39" spans="1:24" x14ac:dyDescent="0.2">
      <c r="A39" s="6">
        <v>37</v>
      </c>
      <c r="B39" s="7" t="s">
        <v>52</v>
      </c>
      <c r="C39" s="34">
        <v>740</v>
      </c>
      <c r="D39" s="34">
        <v>740</v>
      </c>
      <c r="E39" s="34">
        <v>740</v>
      </c>
      <c r="F39" s="34">
        <v>740</v>
      </c>
      <c r="G39" s="34">
        <v>740</v>
      </c>
      <c r="H39" s="34">
        <v>740</v>
      </c>
      <c r="I39" s="34">
        <v>740</v>
      </c>
      <c r="J39" s="34">
        <v>740</v>
      </c>
      <c r="K39" t="s">
        <v>193</v>
      </c>
      <c r="L39" t="s">
        <v>193</v>
      </c>
      <c r="M39" t="s">
        <v>193</v>
      </c>
      <c r="N39" s="34">
        <v>76950</v>
      </c>
      <c r="O39" s="34">
        <v>56111327</v>
      </c>
      <c r="P39" s="34">
        <v>76950</v>
      </c>
      <c r="Q39" s="34">
        <v>79270285</v>
      </c>
      <c r="R39" s="34">
        <v>79270285</v>
      </c>
      <c r="S39" s="34">
        <v>79270285</v>
      </c>
      <c r="T39" s="34">
        <v>46284770</v>
      </c>
      <c r="U39" s="34">
        <v>46284770</v>
      </c>
      <c r="V39" s="34">
        <v>76950</v>
      </c>
      <c r="W39" s="34">
        <v>54644647</v>
      </c>
      <c r="X39" s="34">
        <v>54644647</v>
      </c>
    </row>
    <row r="40" spans="1:24" x14ac:dyDescent="0.2">
      <c r="A40" s="6">
        <v>38</v>
      </c>
      <c r="B40" s="7" t="s">
        <v>53</v>
      </c>
      <c r="C40" s="34">
        <v>8028</v>
      </c>
      <c r="D40" s="34">
        <v>8028</v>
      </c>
      <c r="E40" s="34">
        <v>8028</v>
      </c>
      <c r="F40" s="34">
        <v>8028</v>
      </c>
      <c r="G40" s="34">
        <v>8028</v>
      </c>
      <c r="H40" s="34">
        <v>8028</v>
      </c>
      <c r="I40" s="34">
        <v>8028</v>
      </c>
      <c r="J40" s="34">
        <v>8028</v>
      </c>
      <c r="K40" t="s">
        <v>193</v>
      </c>
      <c r="L40" t="s">
        <v>193</v>
      </c>
      <c r="M40" t="s">
        <v>193</v>
      </c>
      <c r="N40" s="34">
        <v>79050</v>
      </c>
      <c r="O40" s="34">
        <v>91373268</v>
      </c>
      <c r="P40" s="34">
        <v>79050</v>
      </c>
      <c r="Q40" s="34">
        <v>130698220</v>
      </c>
      <c r="R40" s="34">
        <v>130698220</v>
      </c>
      <c r="S40" s="34">
        <v>130698220</v>
      </c>
      <c r="T40" s="34">
        <v>75016462</v>
      </c>
      <c r="U40" s="34">
        <v>75016462</v>
      </c>
      <c r="V40" s="34">
        <v>79050</v>
      </c>
      <c r="W40" s="34">
        <v>88722733</v>
      </c>
      <c r="X40" s="34">
        <v>88722733</v>
      </c>
    </row>
    <row r="41" spans="1:24" x14ac:dyDescent="0.2">
      <c r="A41" s="6">
        <v>39</v>
      </c>
      <c r="B41" s="7" t="s">
        <v>54</v>
      </c>
      <c r="C41" s="34">
        <v>242</v>
      </c>
      <c r="D41" s="34">
        <v>242</v>
      </c>
      <c r="E41" s="34">
        <v>242</v>
      </c>
      <c r="F41" s="34">
        <v>242</v>
      </c>
      <c r="G41" s="34">
        <v>242</v>
      </c>
      <c r="H41" s="34">
        <v>242</v>
      </c>
      <c r="I41" s="34">
        <v>242</v>
      </c>
      <c r="J41" s="34">
        <v>242</v>
      </c>
      <c r="K41" t="s">
        <v>193</v>
      </c>
      <c r="L41" t="s">
        <v>193</v>
      </c>
      <c r="M41" t="s">
        <v>193</v>
      </c>
      <c r="N41" s="34">
        <v>79200</v>
      </c>
      <c r="O41" s="34">
        <v>95080210</v>
      </c>
      <c r="P41" s="34">
        <v>79200</v>
      </c>
      <c r="Q41" s="34">
        <v>138545580</v>
      </c>
      <c r="R41" s="34">
        <v>138545580</v>
      </c>
      <c r="S41" s="34">
        <v>138545580</v>
      </c>
      <c r="T41" s="34">
        <v>77963618</v>
      </c>
      <c r="U41" s="34">
        <v>77963618</v>
      </c>
      <c r="V41" s="34">
        <v>79200</v>
      </c>
      <c r="W41" s="34">
        <v>92846918</v>
      </c>
      <c r="X41" s="34">
        <v>92846918</v>
      </c>
    </row>
    <row r="42" spans="1:24" x14ac:dyDescent="0.2">
      <c r="A42" s="6">
        <v>40</v>
      </c>
      <c r="B42" s="7" t="s">
        <v>55</v>
      </c>
      <c r="C42" s="34">
        <v>2512</v>
      </c>
      <c r="D42" s="34">
        <v>2512</v>
      </c>
      <c r="E42" s="34">
        <v>2512</v>
      </c>
      <c r="F42" s="34">
        <v>2512</v>
      </c>
      <c r="G42" s="34">
        <v>2512</v>
      </c>
      <c r="H42" s="34">
        <v>2512</v>
      </c>
      <c r="I42" s="34">
        <v>2512</v>
      </c>
      <c r="J42" s="34">
        <v>2512</v>
      </c>
      <c r="K42" t="s">
        <v>193</v>
      </c>
      <c r="L42" t="s">
        <v>193</v>
      </c>
      <c r="M42" t="s">
        <v>193</v>
      </c>
      <c r="N42" s="34">
        <v>79540</v>
      </c>
      <c r="O42" s="34">
        <v>103267620</v>
      </c>
      <c r="P42" s="34">
        <v>79540</v>
      </c>
      <c r="Q42" s="34">
        <v>152806230</v>
      </c>
      <c r="R42" s="34">
        <v>152806230</v>
      </c>
      <c r="S42" s="34">
        <v>152806230</v>
      </c>
      <c r="T42" s="34">
        <v>84906500</v>
      </c>
      <c r="U42" s="34">
        <v>84906500</v>
      </c>
      <c r="V42" s="34">
        <v>79540</v>
      </c>
      <c r="W42" s="34">
        <v>100533790</v>
      </c>
      <c r="X42" s="34">
        <v>100533790</v>
      </c>
    </row>
    <row r="43" spans="1:24" x14ac:dyDescent="0.2">
      <c r="A43" s="6">
        <v>41</v>
      </c>
      <c r="B43" s="7" t="s">
        <v>56</v>
      </c>
      <c r="C43" s="34">
        <v>0.99760000000000004</v>
      </c>
      <c r="D43" s="34">
        <v>0.99760000000000004</v>
      </c>
      <c r="E43" s="34">
        <v>0.99760000000000004</v>
      </c>
      <c r="F43" s="34">
        <v>0.99760000000000004</v>
      </c>
      <c r="G43" s="34">
        <v>0.998</v>
      </c>
      <c r="H43" s="34">
        <v>0.998</v>
      </c>
      <c r="I43" s="34">
        <v>0.998</v>
      </c>
      <c r="J43" s="34">
        <v>0.998</v>
      </c>
      <c r="K43" s="34">
        <v>0.998</v>
      </c>
      <c r="L43" s="34">
        <v>0.998</v>
      </c>
      <c r="M43" s="34">
        <v>0.998</v>
      </c>
      <c r="N43" s="34">
        <v>0.998</v>
      </c>
      <c r="O43" s="34">
        <v>0.998</v>
      </c>
      <c r="P43" s="34">
        <v>0.998</v>
      </c>
      <c r="Q43" s="34">
        <v>0.998</v>
      </c>
      <c r="R43" s="34">
        <v>0.998</v>
      </c>
      <c r="S43" s="34">
        <v>0.998</v>
      </c>
      <c r="T43" s="34">
        <v>0.998</v>
      </c>
      <c r="U43" s="34">
        <v>0.998</v>
      </c>
      <c r="V43" s="34">
        <v>0.998</v>
      </c>
      <c r="W43" s="34">
        <v>0.998</v>
      </c>
      <c r="X43" s="34">
        <v>0.998</v>
      </c>
    </row>
    <row r="44" spans="1:24" x14ac:dyDescent="0.2">
      <c r="A44" s="6">
        <v>42</v>
      </c>
      <c r="B44" s="7" t="s">
        <v>57</v>
      </c>
      <c r="C44" s="34">
        <v>4.88</v>
      </c>
      <c r="D44" s="34">
        <v>4.88</v>
      </c>
      <c r="E44" s="34">
        <v>4.88</v>
      </c>
      <c r="F44" s="34">
        <v>4.88</v>
      </c>
      <c r="G44" s="34">
        <v>-10</v>
      </c>
      <c r="H44" s="34">
        <v>-10</v>
      </c>
      <c r="I44" s="34">
        <v>-10</v>
      </c>
      <c r="J44" s="34">
        <v>-10</v>
      </c>
      <c r="K44" s="34">
        <v>-10</v>
      </c>
      <c r="L44" s="34">
        <v>-10</v>
      </c>
      <c r="M44" s="34">
        <v>-10</v>
      </c>
      <c r="N44" s="34">
        <v>-10</v>
      </c>
      <c r="O44" s="34">
        <v>-10</v>
      </c>
      <c r="P44" s="34">
        <v>-10</v>
      </c>
      <c r="Q44" s="34">
        <v>-10</v>
      </c>
      <c r="R44" s="34">
        <v>-10</v>
      </c>
      <c r="S44" s="34">
        <v>-10</v>
      </c>
      <c r="T44" s="34">
        <v>-10</v>
      </c>
      <c r="U44" s="34">
        <v>-10</v>
      </c>
      <c r="V44" s="34">
        <v>-10</v>
      </c>
      <c r="W44" s="34">
        <v>-10</v>
      </c>
      <c r="X44" s="34">
        <v>-10</v>
      </c>
    </row>
    <row r="45" spans="1:24" x14ac:dyDescent="0.2">
      <c r="A45" s="6">
        <v>43</v>
      </c>
      <c r="B45" s="7" t="s">
        <v>58</v>
      </c>
      <c r="C45" s="34">
        <v>2469</v>
      </c>
      <c r="D45" s="34">
        <v>2469</v>
      </c>
      <c r="E45" s="34">
        <v>2469</v>
      </c>
      <c r="F45" s="34">
        <v>1732</v>
      </c>
      <c r="G45" s="34">
        <v>1732</v>
      </c>
      <c r="H45" s="34">
        <v>1732</v>
      </c>
      <c r="I45" s="34">
        <v>1732</v>
      </c>
      <c r="J45" s="34">
        <v>1732</v>
      </c>
      <c r="K45" s="34">
        <v>1732</v>
      </c>
      <c r="L45" s="34">
        <v>1732</v>
      </c>
      <c r="M45" s="34">
        <v>1732</v>
      </c>
      <c r="N45" s="34">
        <v>1732</v>
      </c>
      <c r="O45" s="34">
        <v>1732</v>
      </c>
      <c r="P45" s="34">
        <v>1732</v>
      </c>
      <c r="Q45" s="34">
        <v>1732</v>
      </c>
      <c r="R45" s="34">
        <v>1732</v>
      </c>
      <c r="S45" s="34">
        <v>1732</v>
      </c>
      <c r="T45" s="34">
        <v>1732</v>
      </c>
      <c r="U45" s="34">
        <v>1732</v>
      </c>
      <c r="V45" s="34">
        <v>1732</v>
      </c>
      <c r="W45" s="34">
        <v>1732</v>
      </c>
      <c r="X45" s="34">
        <v>1732</v>
      </c>
    </row>
    <row r="46" spans="1:24" x14ac:dyDescent="0.2">
      <c r="A46" s="6">
        <v>44</v>
      </c>
      <c r="B46" s="7" t="s">
        <v>59</v>
      </c>
      <c r="C46" s="34">
        <v>250</v>
      </c>
      <c r="D46" s="34">
        <v>250</v>
      </c>
      <c r="E46" s="34">
        <v>250</v>
      </c>
      <c r="F46" s="34">
        <v>250</v>
      </c>
      <c r="G46" s="34">
        <v>250</v>
      </c>
      <c r="H46" s="34">
        <v>250</v>
      </c>
      <c r="I46" s="34">
        <v>250</v>
      </c>
      <c r="J46" s="34">
        <v>250</v>
      </c>
      <c r="K46" s="34">
        <v>250</v>
      </c>
      <c r="L46" s="34">
        <v>250</v>
      </c>
      <c r="M46" s="34">
        <v>250</v>
      </c>
      <c r="N46" s="34">
        <v>250</v>
      </c>
      <c r="O46" s="34">
        <v>250</v>
      </c>
      <c r="P46" s="34">
        <v>250</v>
      </c>
      <c r="Q46" s="34">
        <v>250</v>
      </c>
      <c r="R46" s="34">
        <v>250</v>
      </c>
      <c r="S46" s="34">
        <v>250</v>
      </c>
      <c r="T46" s="34">
        <v>250</v>
      </c>
      <c r="U46" s="34">
        <v>250</v>
      </c>
      <c r="V46" s="34">
        <v>250</v>
      </c>
      <c r="W46" s="34">
        <v>250</v>
      </c>
      <c r="X46" s="34">
        <v>250</v>
      </c>
    </row>
    <row r="47" spans="1:24" x14ac:dyDescent="0.2">
      <c r="A47" s="6">
        <v>45</v>
      </c>
      <c r="B47" s="7" t="s">
        <v>60</v>
      </c>
      <c r="C47" s="34">
        <v>0.2</v>
      </c>
      <c r="D47" s="34">
        <v>0.2</v>
      </c>
      <c r="E47" s="34">
        <v>0.2</v>
      </c>
      <c r="F47" s="34">
        <v>0</v>
      </c>
      <c r="G47" s="34">
        <v>0.8</v>
      </c>
      <c r="H47" s="34">
        <v>0</v>
      </c>
      <c r="I47" s="34">
        <v>0</v>
      </c>
      <c r="J47" s="34">
        <v>0</v>
      </c>
      <c r="K47" s="34">
        <v>0</v>
      </c>
      <c r="L47" s="34">
        <v>0</v>
      </c>
      <c r="M47" s="34">
        <v>0</v>
      </c>
      <c r="N47" s="34">
        <v>0</v>
      </c>
      <c r="O47" s="34">
        <v>0</v>
      </c>
      <c r="P47" s="34">
        <v>0</v>
      </c>
      <c r="Q47" s="34">
        <v>0</v>
      </c>
      <c r="R47" s="34">
        <v>0</v>
      </c>
      <c r="S47" s="34">
        <v>0</v>
      </c>
      <c r="T47" s="34">
        <v>0</v>
      </c>
      <c r="U47" s="34">
        <v>0</v>
      </c>
      <c r="V47" s="34">
        <v>0</v>
      </c>
      <c r="W47" s="34">
        <v>0</v>
      </c>
      <c r="X47" s="34">
        <v>0</v>
      </c>
    </row>
    <row r="48" spans="1:24" x14ac:dyDescent="0.2">
      <c r="A48" s="6">
        <v>46</v>
      </c>
      <c r="B48" s="7" t="s">
        <v>61</v>
      </c>
      <c r="C48" s="34">
        <v>64</v>
      </c>
      <c r="D48" s="34">
        <v>64</v>
      </c>
      <c r="E48" s="34">
        <v>64</v>
      </c>
      <c r="F48" s="34">
        <v>64</v>
      </c>
      <c r="G48" s="34">
        <v>64</v>
      </c>
      <c r="H48" s="34">
        <v>64</v>
      </c>
      <c r="I48" s="34">
        <v>64</v>
      </c>
      <c r="J48" s="34">
        <v>64</v>
      </c>
      <c r="K48" s="34">
        <v>64</v>
      </c>
      <c r="L48" s="34">
        <v>64</v>
      </c>
      <c r="M48" s="34">
        <v>64</v>
      </c>
      <c r="N48" s="34">
        <v>64</v>
      </c>
      <c r="O48" s="34">
        <v>64</v>
      </c>
      <c r="P48" s="34">
        <v>64</v>
      </c>
      <c r="Q48" s="34">
        <v>64</v>
      </c>
      <c r="R48" s="34">
        <v>64</v>
      </c>
      <c r="S48" s="34">
        <v>64</v>
      </c>
      <c r="T48" s="34">
        <v>64</v>
      </c>
      <c r="U48" s="34">
        <v>64</v>
      </c>
      <c r="V48" s="34">
        <v>64</v>
      </c>
      <c r="W48" s="34">
        <v>64</v>
      </c>
      <c r="X48" s="34">
        <v>64</v>
      </c>
    </row>
    <row r="49" spans="1:24" x14ac:dyDescent="0.2">
      <c r="A49" s="6">
        <v>47</v>
      </c>
      <c r="B49" s="7" t="s">
        <v>62</v>
      </c>
      <c r="C49" s="34">
        <v>256</v>
      </c>
      <c r="D49" s="34">
        <v>256</v>
      </c>
      <c r="E49" s="34">
        <v>256</v>
      </c>
      <c r="F49" s="34">
        <v>256</v>
      </c>
      <c r="G49" s="34">
        <v>256</v>
      </c>
      <c r="H49" s="34">
        <v>256</v>
      </c>
      <c r="I49" s="34">
        <v>256</v>
      </c>
      <c r="J49" s="34">
        <v>256</v>
      </c>
      <c r="K49" s="34">
        <v>256</v>
      </c>
      <c r="L49" s="34">
        <v>256</v>
      </c>
      <c r="M49" s="34">
        <v>256</v>
      </c>
      <c r="N49" s="34">
        <v>256</v>
      </c>
      <c r="O49" s="34">
        <v>256</v>
      </c>
      <c r="P49" s="34">
        <v>256</v>
      </c>
      <c r="Q49" s="34">
        <v>256</v>
      </c>
      <c r="R49" s="34">
        <v>256</v>
      </c>
      <c r="S49" s="34">
        <v>256</v>
      </c>
      <c r="T49" s="34">
        <v>256</v>
      </c>
      <c r="U49" s="34">
        <v>256</v>
      </c>
      <c r="V49" s="34">
        <v>256</v>
      </c>
      <c r="W49" s="34">
        <v>256</v>
      </c>
      <c r="X49" s="34">
        <v>256</v>
      </c>
    </row>
    <row r="50" spans="1:24" x14ac:dyDescent="0.2">
      <c r="A50" s="6">
        <v>48</v>
      </c>
      <c r="B50" s="7" t="s">
        <v>63</v>
      </c>
      <c r="C50" s="34">
        <v>0</v>
      </c>
      <c r="D50" s="34">
        <v>0</v>
      </c>
      <c r="E50" s="34">
        <v>0</v>
      </c>
      <c r="F50" s="34">
        <v>0</v>
      </c>
      <c r="G50" s="34">
        <v>0</v>
      </c>
      <c r="H50" s="34">
        <v>0</v>
      </c>
      <c r="I50" s="34">
        <v>0</v>
      </c>
      <c r="J50" s="34">
        <v>0</v>
      </c>
      <c r="K50" s="34">
        <v>0</v>
      </c>
      <c r="L50" s="34">
        <v>0</v>
      </c>
      <c r="M50" s="34">
        <v>0</v>
      </c>
      <c r="N50" s="34">
        <v>0</v>
      </c>
      <c r="O50" s="34">
        <v>0</v>
      </c>
      <c r="P50" s="34">
        <v>0</v>
      </c>
      <c r="Q50" s="34">
        <v>0</v>
      </c>
      <c r="R50" s="34">
        <v>0</v>
      </c>
      <c r="S50" s="34">
        <v>0</v>
      </c>
      <c r="T50" s="34">
        <v>0</v>
      </c>
      <c r="U50" s="34">
        <v>0</v>
      </c>
      <c r="V50" s="34">
        <v>0</v>
      </c>
      <c r="W50" s="34">
        <v>0</v>
      </c>
      <c r="X50" s="34">
        <v>0</v>
      </c>
    </row>
    <row r="51" spans="1:24" x14ac:dyDescent="0.2">
      <c r="A51" s="6">
        <v>49</v>
      </c>
      <c r="B51" s="7" t="s">
        <v>64</v>
      </c>
      <c r="C51" s="34">
        <v>64</v>
      </c>
      <c r="D51" s="34">
        <v>64</v>
      </c>
      <c r="E51" s="34">
        <v>64</v>
      </c>
      <c r="F51" s="34">
        <v>64</v>
      </c>
      <c r="G51" s="34">
        <v>64</v>
      </c>
      <c r="H51" s="34">
        <v>64</v>
      </c>
      <c r="I51" s="34">
        <v>64</v>
      </c>
      <c r="J51" s="34">
        <v>64</v>
      </c>
      <c r="K51" s="34">
        <v>64</v>
      </c>
      <c r="L51" s="34">
        <v>64</v>
      </c>
      <c r="M51" s="34">
        <v>64</v>
      </c>
      <c r="N51" s="34">
        <v>64</v>
      </c>
      <c r="O51" s="34">
        <v>64</v>
      </c>
      <c r="P51" s="34">
        <v>64</v>
      </c>
      <c r="Q51" s="34">
        <v>64</v>
      </c>
      <c r="R51" s="34">
        <v>64</v>
      </c>
      <c r="S51" s="34">
        <v>64</v>
      </c>
      <c r="T51" s="34">
        <v>64</v>
      </c>
      <c r="U51" s="34">
        <v>64</v>
      </c>
      <c r="V51" s="34">
        <v>64</v>
      </c>
      <c r="W51" s="34">
        <v>64</v>
      </c>
      <c r="X51" s="34">
        <v>64</v>
      </c>
    </row>
    <row r="52" spans="1:24" x14ac:dyDescent="0.2">
      <c r="A52" s="6">
        <v>50</v>
      </c>
      <c r="B52" s="7" t="s">
        <v>65</v>
      </c>
      <c r="C52" s="34">
        <v>46</v>
      </c>
      <c r="D52" s="34">
        <v>46</v>
      </c>
      <c r="E52" s="34">
        <v>46</v>
      </c>
      <c r="F52" s="34">
        <v>56</v>
      </c>
      <c r="G52" s="34">
        <v>56</v>
      </c>
      <c r="H52" s="34">
        <v>56</v>
      </c>
      <c r="I52" s="34">
        <v>56</v>
      </c>
      <c r="J52" s="34">
        <v>56</v>
      </c>
      <c r="K52" s="34">
        <v>56</v>
      </c>
      <c r="L52" s="34">
        <v>56</v>
      </c>
      <c r="M52" s="34">
        <v>56</v>
      </c>
      <c r="N52" s="34">
        <v>56</v>
      </c>
      <c r="O52" s="34">
        <v>56</v>
      </c>
      <c r="P52" s="34">
        <v>56</v>
      </c>
      <c r="Q52" s="34">
        <v>56</v>
      </c>
      <c r="R52" s="34">
        <v>56</v>
      </c>
      <c r="S52" s="34">
        <v>56</v>
      </c>
      <c r="T52" s="34">
        <v>56</v>
      </c>
      <c r="U52" s="34">
        <v>56</v>
      </c>
      <c r="V52" s="34">
        <v>56</v>
      </c>
      <c r="W52" s="34">
        <v>56</v>
      </c>
      <c r="X52" s="34">
        <v>56</v>
      </c>
    </row>
    <row r="53" spans="1:24" x14ac:dyDescent="0.2">
      <c r="A53" s="6">
        <v>51</v>
      </c>
      <c r="B53" s="7" t="s">
        <v>66</v>
      </c>
      <c r="C53" s="34">
        <v>225</v>
      </c>
      <c r="D53" s="34">
        <v>2229</v>
      </c>
      <c r="E53" s="34">
        <v>2229</v>
      </c>
      <c r="F53" s="34">
        <v>2229</v>
      </c>
      <c r="G53" s="34">
        <v>2229</v>
      </c>
      <c r="H53" s="34">
        <v>2226</v>
      </c>
      <c r="I53" s="34">
        <v>2226</v>
      </c>
      <c r="J53" s="34">
        <v>2226</v>
      </c>
      <c r="K53" s="34">
        <v>2226</v>
      </c>
      <c r="L53" s="34">
        <v>2226</v>
      </c>
      <c r="M53" s="34">
        <v>2226</v>
      </c>
      <c r="N53" s="34">
        <v>2226</v>
      </c>
      <c r="O53" s="34">
        <v>2226</v>
      </c>
      <c r="P53" s="34">
        <v>2226</v>
      </c>
      <c r="Q53" s="34">
        <v>2226</v>
      </c>
      <c r="R53" s="34">
        <v>2226</v>
      </c>
      <c r="S53" s="34">
        <v>2226</v>
      </c>
      <c r="T53" s="34">
        <v>2226</v>
      </c>
      <c r="U53" s="34">
        <v>2226</v>
      </c>
      <c r="V53" s="34">
        <v>2226</v>
      </c>
      <c r="W53" s="34">
        <v>2226</v>
      </c>
      <c r="X53" s="34">
        <v>2226</v>
      </c>
    </row>
    <row r="54" spans="1:24" x14ac:dyDescent="0.2">
      <c r="A54" s="6">
        <v>52</v>
      </c>
      <c r="C54" t="s">
        <v>193</v>
      </c>
      <c r="D54" t="s">
        <v>193</v>
      </c>
      <c r="E54" t="s">
        <v>193</v>
      </c>
      <c r="F54" t="s">
        <v>193</v>
      </c>
      <c r="G54" t="s">
        <v>193</v>
      </c>
      <c r="H54" t="s">
        <v>193</v>
      </c>
      <c r="I54" t="s">
        <v>193</v>
      </c>
      <c r="J54" t="s">
        <v>193</v>
      </c>
      <c r="K54" t="s">
        <v>193</v>
      </c>
      <c r="L54" t="s">
        <v>193</v>
      </c>
      <c r="M54" t="s">
        <v>193</v>
      </c>
      <c r="N54" t="s">
        <v>193</v>
      </c>
      <c r="O54" t="s">
        <v>193</v>
      </c>
      <c r="P54" t="s">
        <v>193</v>
      </c>
      <c r="Q54" t="s">
        <v>193</v>
      </c>
      <c r="R54" t="s">
        <v>193</v>
      </c>
      <c r="S54" t="s">
        <v>193</v>
      </c>
      <c r="T54" t="s">
        <v>193</v>
      </c>
      <c r="U54" t="s">
        <v>193</v>
      </c>
      <c r="V54" t="s">
        <v>193</v>
      </c>
      <c r="W54" t="s">
        <v>193</v>
      </c>
      <c r="X54" t="s">
        <v>193</v>
      </c>
    </row>
  </sheetData>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election activeCell="A2" sqref="A2"/>
    </sheetView>
  </sheetViews>
  <sheetFormatPr baseColWidth="10" defaultRowHeight="15" x14ac:dyDescent="0.2"/>
  <sheetData>
    <row r="1" spans="1:3" x14ac:dyDescent="0.2">
      <c r="A1">
        <v>15916</v>
      </c>
      <c r="B1">
        <v>16316</v>
      </c>
      <c r="C1" t="s">
        <v>219</v>
      </c>
    </row>
  </sheetData>
  <pageMargins left="0.75" right="0.75" top="1" bottom="1"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icf.157</vt:lpstr>
      <vt:lpstr>icf_a.157</vt:lpstr>
      <vt:lpstr>Eventos.157</vt:lpstr>
      <vt:lpstr>Incidencias.157</vt:lpstr>
      <vt:lpstr>Cfg_reduced</vt:lpstr>
      <vt:lpstr>blacklist.157</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topo_z</dc:creator>
  <cp:lastModifiedBy>Alberto</cp:lastModifiedBy>
  <dcterms:created xsi:type="dcterms:W3CDTF">2010-12-23T01:20:18Z</dcterms:created>
  <dcterms:modified xsi:type="dcterms:W3CDTF">2016-10-19T13:49:45Z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oogle.Documents.Tracking">
    <vt:lpwstr>true</vt:lpwstr>
  </property>
  <property fmtid="{D5CDD505-2E9C-101B-9397-08002B2CF9AE}" pid="3" name="Google.Documents.DocumentId">
    <vt:lpwstr>1mjVRiH9RWtHl7xJDyufz21zYIbd5qTBEJr9qkUOzxEk</vt:lpwstr>
  </property>
  <property fmtid="{D5CDD505-2E9C-101B-9397-08002B2CF9AE}" pid="4" name="Google.Documents.RevisionId">
    <vt:lpwstr>02527935850402889424</vt:lpwstr>
  </property>
  <property fmtid="{D5CDD505-2E9C-101B-9397-08002B2CF9AE}" pid="5" name="Google.Documents.PreviousRevisionId">
    <vt:lpwstr>06062540370756375016</vt:lpwstr>
  </property>
  <property fmtid="{D5CDD505-2E9C-101B-9397-08002B2CF9AE}" pid="6" name="Google.Documents.PluginVersion">
    <vt:lpwstr>2.0.2026.3768</vt:lpwstr>
  </property>
  <property fmtid="{D5CDD505-2E9C-101B-9397-08002B2CF9AE}" pid="7" name="Google.Documents.MergeIncapabilityFlags">
    <vt:i4>0</vt:i4>
  </property>
</Properties>
</file>