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customProperty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codeName="ThisWorkbook" autoCompressPictures="0"/>
  <bookViews>
    <workbookView xWindow="160" yWindow="-460" windowWidth="28800" windowHeight="18020" activeTab="1"/>
  </bookViews>
  <sheets>
    <sheet name="icf.183" sheetId="1" r:id="rId1"/>
    <sheet name="icf_a.183" sheetId="8" r:id="rId2"/>
    <sheet name="Eventos.183" sheetId="2" r:id="rId3"/>
    <sheet name="Incidencias.183" sheetId="3" r:id="rId4"/>
    <sheet name="Check" sheetId="6" r:id="rId5"/>
    <sheet name="DV-IDENTITY-0" sheetId="4" state="veryHidden" r:id="rId6"/>
  </sheets>
  <definedNames>
    <definedName name="__ICF25904" localSheetId="1">icf_a.183!$C$3:$C$55</definedName>
    <definedName name="_ICF25904" localSheetId="0">icf.183!$C$3:$C$55</definedName>
    <definedName name="ICF25904_1" localSheetId="1">icf_a.183!$D$3:$D$55</definedName>
    <definedName name="ICF25904_1" localSheetId="0">icf.183!$D$3:$D$55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Y1" i="8" l="1"/>
  <c r="AX1" i="8"/>
  <c r="AW1" i="8"/>
  <c r="AX1" i="1"/>
  <c r="A48" i="2"/>
  <c r="AY1" i="1"/>
  <c r="A49" i="2"/>
  <c r="A47" i="2"/>
  <c r="AW1" i="1"/>
  <c r="A46" i="2"/>
  <c r="AV1" i="1"/>
  <c r="A45" i="2"/>
  <c r="AU1" i="1"/>
  <c r="A2" i="2"/>
  <c r="D1" i="8"/>
  <c r="D1" i="1"/>
  <c r="C1" i="8"/>
  <c r="C1" i="1"/>
  <c r="A1" i="2"/>
  <c r="AT1" i="1"/>
  <c r="AS1" i="1"/>
  <c r="AR1" i="1"/>
  <c r="AT1" i="8"/>
  <c r="A44" i="2"/>
  <c r="A43" i="2"/>
  <c r="AS1" i="8"/>
  <c r="AQ1" i="1"/>
  <c r="AQ1" i="8"/>
  <c r="A41" i="2"/>
  <c r="AR1" i="8"/>
  <c r="A42" i="2"/>
  <c r="AP1" i="8"/>
  <c r="AP1" i="1"/>
  <c r="AO1" i="8"/>
  <c r="A40" i="2"/>
  <c r="AO1" i="1"/>
  <c r="A39" i="2"/>
  <c r="C2" i="6" a="1"/>
  <c r="C3" i="6"/>
  <c r="A3" i="6"/>
  <c r="C4" i="6"/>
  <c r="A4" i="6"/>
  <c r="C5" i="6"/>
  <c r="A5" i="6"/>
  <c r="C6" i="6"/>
  <c r="A6" i="6"/>
  <c r="C7" i="6"/>
  <c r="A7" i="6"/>
  <c r="C8" i="6"/>
  <c r="A8" i="6"/>
  <c r="C9" i="6"/>
  <c r="A9" i="6"/>
  <c r="C10" i="6"/>
  <c r="A10" i="6"/>
  <c r="C11" i="6"/>
  <c r="A11" i="6"/>
  <c r="C12" i="6"/>
  <c r="A12" i="6"/>
  <c r="C13" i="6"/>
  <c r="A13" i="6"/>
  <c r="C14" i="6"/>
  <c r="A14" i="6"/>
  <c r="C15" i="6"/>
  <c r="A15" i="6"/>
  <c r="C16" i="6"/>
  <c r="A16" i="6"/>
  <c r="C17" i="6"/>
  <c r="A17" i="6"/>
  <c r="C18" i="6"/>
  <c r="A18" i="6"/>
  <c r="C19" i="6"/>
  <c r="A19" i="6"/>
  <c r="C20" i="6"/>
  <c r="A20" i="6"/>
  <c r="C21" i="6"/>
  <c r="A21" i="6"/>
  <c r="C22" i="6"/>
  <c r="A22" i="6"/>
  <c r="C23" i="6"/>
  <c r="A23" i="6"/>
  <c r="C24" i="6"/>
  <c r="A24" i="6"/>
  <c r="C25" i="6"/>
  <c r="A25" i="6"/>
  <c r="C26" i="6"/>
  <c r="A26" i="6"/>
  <c r="C27" i="6"/>
  <c r="A27" i="6"/>
  <c r="C28" i="6"/>
  <c r="A28" i="6"/>
  <c r="C29" i="6"/>
  <c r="A29" i="6"/>
  <c r="C30" i="6"/>
  <c r="A30" i="6"/>
  <c r="C31" i="6"/>
  <c r="A31" i="6"/>
  <c r="C32" i="6"/>
  <c r="A32" i="6"/>
  <c r="C33" i="6"/>
  <c r="A33" i="6"/>
  <c r="C34" i="6"/>
  <c r="A34" i="6"/>
  <c r="C35" i="6"/>
  <c r="A35" i="6"/>
  <c r="C36" i="6"/>
  <c r="A36" i="6"/>
  <c r="C37" i="6"/>
  <c r="A37" i="6"/>
  <c r="C38" i="6"/>
  <c r="A38" i="6"/>
  <c r="C39" i="6"/>
  <c r="A39" i="6"/>
  <c r="C40" i="6"/>
  <c r="A40" i="6"/>
  <c r="C41" i="6"/>
  <c r="A41" i="6"/>
  <c r="C2" i="6"/>
  <c r="A2" i="6"/>
  <c r="D2" i="6" a="1"/>
  <c r="D3" i="6"/>
  <c r="E3" i="6"/>
  <c r="H3" i="6"/>
  <c r="D4" i="6"/>
  <c r="E4" i="6"/>
  <c r="H4" i="6"/>
  <c r="D5" i="6"/>
  <c r="E5" i="6"/>
  <c r="H5" i="6"/>
  <c r="D6" i="6"/>
  <c r="E6" i="6"/>
  <c r="H6" i="6"/>
  <c r="D7" i="6"/>
  <c r="E7" i="6"/>
  <c r="H7" i="6"/>
  <c r="D8" i="6"/>
  <c r="E8" i="6"/>
  <c r="H8" i="6"/>
  <c r="D9" i="6"/>
  <c r="E9" i="6"/>
  <c r="H9" i="6"/>
  <c r="D10" i="6"/>
  <c r="E10" i="6"/>
  <c r="H10" i="6"/>
  <c r="D11" i="6"/>
  <c r="E11" i="6"/>
  <c r="H11" i="6"/>
  <c r="D12" i="6"/>
  <c r="E12" i="6"/>
  <c r="H12" i="6"/>
  <c r="D13" i="6"/>
  <c r="E13" i="6"/>
  <c r="H13" i="6"/>
  <c r="D14" i="6"/>
  <c r="E14" i="6"/>
  <c r="H14" i="6"/>
  <c r="D15" i="6"/>
  <c r="E15" i="6"/>
  <c r="H15" i="6"/>
  <c r="D16" i="6"/>
  <c r="E16" i="6"/>
  <c r="H16" i="6"/>
  <c r="D17" i="6"/>
  <c r="E17" i="6"/>
  <c r="H17" i="6"/>
  <c r="D18" i="6"/>
  <c r="E18" i="6"/>
  <c r="H18" i="6"/>
  <c r="D19" i="6"/>
  <c r="E19" i="6"/>
  <c r="H19" i="6"/>
  <c r="D20" i="6"/>
  <c r="E20" i="6"/>
  <c r="H20" i="6"/>
  <c r="D21" i="6"/>
  <c r="E21" i="6"/>
  <c r="H21" i="6"/>
  <c r="D22" i="6"/>
  <c r="E22" i="6"/>
  <c r="H22" i="6"/>
  <c r="D23" i="6"/>
  <c r="E23" i="6"/>
  <c r="H23" i="6"/>
  <c r="D24" i="6"/>
  <c r="E24" i="6"/>
  <c r="H24" i="6"/>
  <c r="D25" i="6"/>
  <c r="E25" i="6"/>
  <c r="H25" i="6"/>
  <c r="D26" i="6"/>
  <c r="E26" i="6"/>
  <c r="H26" i="6"/>
  <c r="D27" i="6"/>
  <c r="E27" i="6"/>
  <c r="H27" i="6"/>
  <c r="D28" i="6"/>
  <c r="E28" i="6"/>
  <c r="H28" i="6"/>
  <c r="D29" i="6"/>
  <c r="E29" i="6"/>
  <c r="H29" i="6"/>
  <c r="D30" i="6"/>
  <c r="E30" i="6"/>
  <c r="H30" i="6"/>
  <c r="D31" i="6"/>
  <c r="E31" i="6"/>
  <c r="H31" i="6"/>
  <c r="D32" i="6"/>
  <c r="E32" i="6"/>
  <c r="H32" i="6"/>
  <c r="D33" i="6"/>
  <c r="E33" i="6"/>
  <c r="H33" i="6"/>
  <c r="D34" i="6"/>
  <c r="E34" i="6"/>
  <c r="H34" i="6"/>
  <c r="D35" i="6"/>
  <c r="E35" i="6"/>
  <c r="H35" i="6"/>
  <c r="D36" i="6"/>
  <c r="E36" i="6"/>
  <c r="H36" i="6"/>
  <c r="D37" i="6"/>
  <c r="E37" i="6"/>
  <c r="H37" i="6"/>
  <c r="D38" i="6"/>
  <c r="E38" i="6"/>
  <c r="H38" i="6"/>
  <c r="D39" i="6"/>
  <c r="E39" i="6"/>
  <c r="H39" i="6"/>
  <c r="D40" i="6"/>
  <c r="E40" i="6"/>
  <c r="H40" i="6"/>
  <c r="D41" i="6"/>
  <c r="E41" i="6"/>
  <c r="H41" i="6"/>
  <c r="D2" i="6"/>
  <c r="E2" i="6"/>
  <c r="H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2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E42" i="6"/>
  <c r="E43" i="6"/>
  <c r="E44" i="6"/>
  <c r="E45" i="6"/>
  <c r="E46" i="6"/>
  <c r="E47" i="6"/>
  <c r="E48" i="6"/>
  <c r="E49" i="6"/>
  <c r="E50" i="6"/>
  <c r="E51" i="6"/>
  <c r="E52" i="6"/>
  <c r="J2" i="6"/>
  <c r="AN1" i="8"/>
  <c r="AN1" i="1"/>
  <c r="A38" i="2"/>
  <c r="AM1" i="1"/>
  <c r="AM1" i="8"/>
  <c r="A37" i="2"/>
  <c r="AL1" i="8"/>
  <c r="AK1" i="8"/>
  <c r="AJ1" i="8"/>
  <c r="AL1" i="1"/>
  <c r="A36" i="2"/>
  <c r="AK1" i="1"/>
  <c r="AJ1" i="1"/>
  <c r="A35" i="2"/>
  <c r="A34" i="2"/>
  <c r="AG1" i="8"/>
  <c r="AF1" i="8"/>
  <c r="AE1" i="8"/>
  <c r="AD1" i="8"/>
  <c r="AI1" i="8"/>
  <c r="AH1" i="8"/>
  <c r="AI1" i="1"/>
  <c r="A33" i="2"/>
  <c r="AH1" i="1"/>
  <c r="A32" i="2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AG1" i="1"/>
  <c r="A31" i="2"/>
  <c r="AF1" i="1"/>
  <c r="A30" i="2"/>
  <c r="AE1" i="1"/>
  <c r="A21" i="2"/>
  <c r="A22" i="2"/>
  <c r="A23" i="2"/>
  <c r="A24" i="2"/>
  <c r="A25" i="2"/>
  <c r="A26" i="2"/>
  <c r="A27" i="2"/>
  <c r="A28" i="2"/>
  <c r="A29" i="2"/>
  <c r="A20" i="2"/>
  <c r="AD1" i="1"/>
  <c r="A17" i="2"/>
  <c r="S1" i="1"/>
  <c r="AC1" i="1"/>
  <c r="AB1" i="1"/>
  <c r="AA1" i="1"/>
  <c r="Z1" i="1"/>
  <c r="Y1" i="1"/>
  <c r="X1" i="1"/>
  <c r="V1" i="1"/>
  <c r="W1" i="1"/>
  <c r="U1" i="1"/>
  <c r="A19" i="2"/>
  <c r="A7" i="2"/>
  <c r="I1" i="1"/>
  <c r="E1" i="1"/>
  <c r="T1" i="1"/>
  <c r="R1" i="1"/>
  <c r="Q1" i="1"/>
  <c r="P1" i="1"/>
  <c r="O1" i="1"/>
  <c r="N1" i="1"/>
  <c r="M1" i="1"/>
  <c r="L1" i="1"/>
  <c r="K1" i="1"/>
  <c r="J1" i="1"/>
  <c r="H1" i="1"/>
  <c r="G1" i="1"/>
  <c r="F1" i="1"/>
  <c r="A18" i="2"/>
  <c r="A5" i="2"/>
  <c r="A16" i="2"/>
  <c r="A15" i="2"/>
  <c r="A14" i="2"/>
  <c r="A13" i="2"/>
  <c r="A12" i="2"/>
  <c r="A11" i="2"/>
  <c r="A10" i="2"/>
  <c r="A9" i="2"/>
  <c r="A8" i="2"/>
  <c r="A6" i="2"/>
  <c r="A4" i="2"/>
  <c r="IB2" i="4"/>
  <c r="A3" i="2"/>
  <c r="A3" i="4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AM3" i="4"/>
  <c r="AN3" i="4"/>
  <c r="AO3" i="4"/>
  <c r="AP3" i="4"/>
  <c r="AQ3" i="4"/>
  <c r="AR3" i="4"/>
  <c r="AS3" i="4"/>
  <c r="AT3" i="4"/>
  <c r="AU3" i="4"/>
  <c r="AV3" i="4"/>
  <c r="AW3" i="4"/>
  <c r="AX3" i="4"/>
  <c r="AY3" i="4"/>
  <c r="AZ3" i="4"/>
  <c r="BA3" i="4"/>
  <c r="BB3" i="4"/>
  <c r="BC3" i="4"/>
  <c r="BD3" i="4"/>
  <c r="BE3" i="4"/>
  <c r="BF3" i="4"/>
  <c r="BG3" i="4"/>
  <c r="BH3" i="4"/>
  <c r="BI3" i="4"/>
  <c r="BJ3" i="4"/>
  <c r="BK3" i="4"/>
  <c r="BL3" i="4"/>
  <c r="BM3" i="4"/>
  <c r="BN3" i="4"/>
  <c r="BO3" i="4"/>
  <c r="BP3" i="4"/>
  <c r="BQ3" i="4"/>
  <c r="BR3" i="4"/>
  <c r="BS3" i="4"/>
  <c r="BT3" i="4"/>
  <c r="BU3" i="4"/>
  <c r="BV3" i="4"/>
  <c r="BW3" i="4"/>
  <c r="BX3" i="4"/>
  <c r="BY3" i="4"/>
  <c r="BZ3" i="4"/>
  <c r="CA3" i="4"/>
  <c r="CB3" i="4"/>
  <c r="CC3" i="4"/>
  <c r="CD3" i="4"/>
  <c r="CE3" i="4"/>
  <c r="CF3" i="4"/>
  <c r="CG3" i="4"/>
  <c r="CH3" i="4"/>
  <c r="CI3" i="4"/>
  <c r="CJ3" i="4"/>
  <c r="CK3" i="4"/>
  <c r="CL3" i="4"/>
  <c r="CM3" i="4"/>
  <c r="CN3" i="4"/>
  <c r="CO3" i="4"/>
  <c r="CP3" i="4"/>
  <c r="CQ3" i="4"/>
  <c r="CR3" i="4"/>
  <c r="CS3" i="4"/>
  <c r="CT3" i="4"/>
  <c r="CU3" i="4"/>
  <c r="CV3" i="4"/>
  <c r="CW3" i="4"/>
  <c r="CX3" i="4"/>
  <c r="CY3" i="4"/>
  <c r="CZ3" i="4"/>
  <c r="DA3" i="4"/>
  <c r="DB3" i="4"/>
  <c r="DC3" i="4"/>
  <c r="DD3" i="4"/>
  <c r="DE3" i="4"/>
  <c r="DF3" i="4"/>
  <c r="DG3" i="4"/>
  <c r="DH3" i="4"/>
  <c r="DI3" i="4"/>
  <c r="DJ3" i="4"/>
  <c r="DK3" i="4"/>
  <c r="DL3" i="4"/>
  <c r="DM3" i="4"/>
  <c r="DN3" i="4"/>
  <c r="DO3" i="4"/>
  <c r="DP3" i="4"/>
  <c r="DQ3" i="4"/>
  <c r="DR3" i="4"/>
  <c r="DS3" i="4"/>
  <c r="DT3" i="4"/>
  <c r="DU3" i="4"/>
  <c r="DV3" i="4"/>
  <c r="DW3" i="4"/>
  <c r="DX3" i="4"/>
  <c r="DY3" i="4"/>
  <c r="DZ3" i="4"/>
  <c r="EA3" i="4"/>
  <c r="EB3" i="4"/>
  <c r="EC3" i="4"/>
  <c r="ED3" i="4"/>
  <c r="EE3" i="4"/>
  <c r="EF3" i="4"/>
  <c r="EG3" i="4"/>
  <c r="EH3" i="4"/>
  <c r="EI3" i="4"/>
  <c r="EJ3" i="4"/>
  <c r="EK3" i="4"/>
  <c r="EL3" i="4"/>
  <c r="EM3" i="4"/>
  <c r="EN3" i="4"/>
  <c r="EO3" i="4"/>
  <c r="EP3" i="4"/>
  <c r="EQ3" i="4"/>
  <c r="ER3" i="4"/>
  <c r="ES3" i="4"/>
  <c r="ET3" i="4"/>
  <c r="EU3" i="4"/>
  <c r="EV3" i="4"/>
  <c r="EW3" i="4"/>
  <c r="EX3" i="4"/>
  <c r="EY3" i="4"/>
  <c r="EZ3" i="4"/>
  <c r="FA3" i="4"/>
  <c r="FB3" i="4"/>
  <c r="FC3" i="4"/>
  <c r="FD3" i="4"/>
  <c r="FE3" i="4"/>
  <c r="FF3" i="4"/>
  <c r="FG3" i="4"/>
  <c r="FH3" i="4"/>
  <c r="FI3" i="4"/>
  <c r="FJ3" i="4"/>
  <c r="FK3" i="4"/>
  <c r="FL3" i="4"/>
  <c r="FM3" i="4"/>
  <c r="FN3" i="4"/>
  <c r="FO3" i="4"/>
  <c r="FP3" i="4"/>
  <c r="FQ3" i="4"/>
  <c r="FR3" i="4"/>
  <c r="FS3" i="4"/>
  <c r="FT3" i="4"/>
  <c r="FU3" i="4"/>
  <c r="FV3" i="4"/>
  <c r="FW3" i="4"/>
  <c r="FX3" i="4"/>
  <c r="FY3" i="4"/>
  <c r="FZ3" i="4"/>
  <c r="GA3" i="4"/>
  <c r="GB3" i="4"/>
  <c r="GC3" i="4"/>
  <c r="GD3" i="4"/>
  <c r="GE3" i="4"/>
  <c r="GF3" i="4"/>
  <c r="GG3" i="4"/>
  <c r="GH3" i="4"/>
  <c r="GI3" i="4"/>
  <c r="GJ3" i="4"/>
  <c r="GK3" i="4"/>
  <c r="GL3" i="4"/>
  <c r="GM3" i="4"/>
  <c r="GN3" i="4"/>
  <c r="GO3" i="4"/>
  <c r="A2" i="4"/>
  <c r="B2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AM2" i="4"/>
  <c r="AN2" i="4"/>
  <c r="AO2" i="4"/>
  <c r="AP2" i="4"/>
  <c r="AQ2" i="4"/>
  <c r="AR2" i="4"/>
  <c r="AS2" i="4"/>
  <c r="AT2" i="4"/>
  <c r="AU2" i="4"/>
  <c r="AV2" i="4"/>
  <c r="AW2" i="4"/>
  <c r="AX2" i="4"/>
  <c r="AY2" i="4"/>
  <c r="AZ2" i="4"/>
  <c r="BA2" i="4"/>
  <c r="BB2" i="4"/>
  <c r="BC2" i="4"/>
  <c r="BD2" i="4"/>
  <c r="BE2" i="4"/>
  <c r="BF2" i="4"/>
  <c r="BG2" i="4"/>
  <c r="BH2" i="4"/>
  <c r="BI2" i="4"/>
  <c r="BJ2" i="4"/>
  <c r="BK2" i="4"/>
  <c r="BL2" i="4"/>
  <c r="BM2" i="4"/>
  <c r="BN2" i="4"/>
  <c r="BO2" i="4"/>
  <c r="BP2" i="4"/>
  <c r="BQ2" i="4"/>
  <c r="BR2" i="4"/>
  <c r="BS2" i="4"/>
  <c r="BT2" i="4"/>
  <c r="BU2" i="4"/>
  <c r="BV2" i="4"/>
  <c r="BW2" i="4"/>
  <c r="BX2" i="4"/>
  <c r="BY2" i="4"/>
  <c r="BZ2" i="4"/>
  <c r="CA2" i="4"/>
  <c r="CB2" i="4"/>
  <c r="CC2" i="4"/>
  <c r="CD2" i="4"/>
  <c r="CE2" i="4"/>
  <c r="CF2" i="4"/>
  <c r="CG2" i="4"/>
  <c r="CH2" i="4"/>
  <c r="CI2" i="4"/>
  <c r="CJ2" i="4"/>
  <c r="CK2" i="4"/>
  <c r="CL2" i="4"/>
  <c r="CM2" i="4"/>
  <c r="CN2" i="4"/>
  <c r="CO2" i="4"/>
  <c r="CP2" i="4"/>
  <c r="CQ2" i="4"/>
  <c r="CR2" i="4"/>
  <c r="CS2" i="4"/>
  <c r="CT2" i="4"/>
  <c r="CU2" i="4"/>
  <c r="CV2" i="4"/>
  <c r="CW2" i="4"/>
  <c r="CX2" i="4"/>
  <c r="CY2" i="4"/>
  <c r="CZ2" i="4"/>
  <c r="DA2" i="4"/>
  <c r="DB2" i="4"/>
  <c r="DC2" i="4"/>
  <c r="DD2" i="4"/>
  <c r="DE2" i="4"/>
  <c r="DF2" i="4"/>
  <c r="DG2" i="4"/>
  <c r="DH2" i="4"/>
  <c r="DI2" i="4"/>
  <c r="DJ2" i="4"/>
  <c r="DK2" i="4"/>
  <c r="DL2" i="4"/>
  <c r="DM2" i="4"/>
  <c r="DN2" i="4"/>
  <c r="DO2" i="4"/>
  <c r="DP2" i="4"/>
  <c r="DQ2" i="4"/>
  <c r="DR2" i="4"/>
  <c r="DS2" i="4"/>
  <c r="DT2" i="4"/>
  <c r="DU2" i="4"/>
  <c r="DV2" i="4"/>
  <c r="DW2" i="4"/>
  <c r="DX2" i="4"/>
  <c r="DY2" i="4"/>
  <c r="DZ2" i="4"/>
  <c r="EA2" i="4"/>
  <c r="EB2" i="4"/>
  <c r="EC2" i="4"/>
  <c r="ED2" i="4"/>
  <c r="EE2" i="4"/>
  <c r="EF2" i="4"/>
  <c r="EG2" i="4"/>
  <c r="EH2" i="4"/>
  <c r="EI2" i="4"/>
  <c r="EJ2" i="4"/>
  <c r="EK2" i="4"/>
  <c r="EL2" i="4"/>
  <c r="EM2" i="4"/>
  <c r="EN2" i="4"/>
  <c r="EO2" i="4"/>
  <c r="EP2" i="4"/>
  <c r="EQ2" i="4"/>
  <c r="ER2" i="4"/>
  <c r="ES2" i="4"/>
  <c r="ET2" i="4"/>
  <c r="EU2" i="4"/>
  <c r="EV2" i="4"/>
  <c r="EW2" i="4"/>
  <c r="EX2" i="4"/>
  <c r="EY2" i="4"/>
  <c r="EZ2" i="4"/>
  <c r="FA2" i="4"/>
  <c r="FB2" i="4"/>
  <c r="FC2" i="4"/>
  <c r="FD2" i="4"/>
  <c r="FE2" i="4"/>
  <c r="FF2" i="4"/>
  <c r="FG2" i="4"/>
  <c r="FH2" i="4"/>
  <c r="FI2" i="4"/>
  <c r="FJ2" i="4"/>
  <c r="FK2" i="4"/>
  <c r="FL2" i="4"/>
  <c r="FM2" i="4"/>
  <c r="FN2" i="4"/>
  <c r="FO2" i="4"/>
  <c r="FP2" i="4"/>
  <c r="FQ2" i="4"/>
  <c r="FR2" i="4"/>
  <c r="FS2" i="4"/>
  <c r="FT2" i="4"/>
  <c r="FU2" i="4"/>
  <c r="FV2" i="4"/>
  <c r="FW2" i="4"/>
  <c r="FX2" i="4"/>
  <c r="FY2" i="4"/>
  <c r="FZ2" i="4"/>
  <c r="GA2" i="4"/>
  <c r="GB2" i="4"/>
  <c r="GC2" i="4"/>
  <c r="GD2" i="4"/>
  <c r="GE2" i="4"/>
  <c r="GF2" i="4"/>
  <c r="GG2" i="4"/>
  <c r="GH2" i="4"/>
  <c r="GI2" i="4"/>
  <c r="GJ2" i="4"/>
  <c r="GK2" i="4"/>
  <c r="GL2" i="4"/>
  <c r="GM2" i="4"/>
  <c r="GN2" i="4"/>
  <c r="GO2" i="4"/>
  <c r="GP2" i="4"/>
  <c r="GQ2" i="4"/>
  <c r="GR2" i="4"/>
  <c r="GS2" i="4"/>
  <c r="GT2" i="4"/>
  <c r="GU2" i="4"/>
  <c r="GV2" i="4"/>
  <c r="GW2" i="4"/>
  <c r="GX2" i="4"/>
  <c r="GY2" i="4"/>
  <c r="GZ2" i="4"/>
  <c r="HA2" i="4"/>
  <c r="HB2" i="4"/>
  <c r="HC2" i="4"/>
  <c r="HD2" i="4"/>
  <c r="HE2" i="4"/>
  <c r="HF2" i="4"/>
  <c r="HG2" i="4"/>
  <c r="HH2" i="4"/>
  <c r="HI2" i="4"/>
  <c r="HJ2" i="4"/>
  <c r="HK2" i="4"/>
  <c r="HL2" i="4"/>
  <c r="HM2" i="4"/>
  <c r="HN2" i="4"/>
  <c r="HO2" i="4"/>
  <c r="HP2" i="4"/>
  <c r="HQ2" i="4"/>
  <c r="HR2" i="4"/>
  <c r="HS2" i="4"/>
  <c r="HT2" i="4"/>
  <c r="HU2" i="4"/>
  <c r="HV2" i="4"/>
  <c r="HW2" i="4"/>
  <c r="HX2" i="4"/>
  <c r="HY2" i="4"/>
  <c r="HZ2" i="4"/>
  <c r="IA2" i="4"/>
  <c r="IC2" i="4"/>
  <c r="ID2" i="4"/>
  <c r="IE2" i="4"/>
  <c r="IF2" i="4"/>
  <c r="IG2" i="4"/>
  <c r="IH2" i="4"/>
  <c r="II2" i="4"/>
  <c r="A1" i="4"/>
  <c r="B1" i="4"/>
  <c r="C1" i="4"/>
  <c r="D1" i="4"/>
  <c r="E1" i="4"/>
  <c r="F1" i="4"/>
  <c r="G1" i="4"/>
  <c r="H1" i="4"/>
  <c r="I1" i="4"/>
  <c r="J1" i="4"/>
  <c r="K1" i="4"/>
  <c r="L1" i="4"/>
  <c r="M1" i="4"/>
  <c r="N1" i="4"/>
  <c r="O1" i="4"/>
  <c r="P1" i="4"/>
  <c r="Q1" i="4"/>
  <c r="R1" i="4"/>
  <c r="S1" i="4"/>
  <c r="T1" i="4"/>
  <c r="U1" i="4"/>
  <c r="V1" i="4"/>
  <c r="W1" i="4"/>
  <c r="X1" i="4"/>
  <c r="Y1" i="4"/>
  <c r="Z1" i="4"/>
  <c r="AA1" i="4"/>
  <c r="AB1" i="4"/>
  <c r="AC1" i="4"/>
  <c r="AD1" i="4"/>
  <c r="AE1" i="4"/>
  <c r="AF1" i="4"/>
  <c r="AG1" i="4"/>
  <c r="AH1" i="4"/>
  <c r="AI1" i="4"/>
  <c r="AJ1" i="4"/>
  <c r="AK1" i="4"/>
  <c r="AL1" i="4"/>
  <c r="AM1" i="4"/>
  <c r="AN1" i="4"/>
  <c r="AO1" i="4"/>
  <c r="AP1" i="4"/>
  <c r="AQ1" i="4"/>
  <c r="AR1" i="4"/>
  <c r="AS1" i="4"/>
  <c r="AT1" i="4"/>
  <c r="AU1" i="4"/>
  <c r="AV1" i="4"/>
  <c r="AW1" i="4"/>
  <c r="AX1" i="4"/>
  <c r="AY1" i="4"/>
  <c r="AZ1" i="4"/>
  <c r="BA1" i="4"/>
  <c r="BB1" i="4"/>
  <c r="BC1" i="4"/>
  <c r="BD1" i="4"/>
  <c r="BE1" i="4"/>
  <c r="BF1" i="4"/>
  <c r="BG1" i="4"/>
  <c r="BH1" i="4"/>
  <c r="BI1" i="4"/>
  <c r="BJ1" i="4"/>
  <c r="BK1" i="4"/>
  <c r="BL1" i="4"/>
  <c r="BM1" i="4"/>
  <c r="BN1" i="4"/>
  <c r="BO1" i="4"/>
  <c r="BP1" i="4"/>
  <c r="BQ1" i="4"/>
  <c r="BR1" i="4"/>
  <c r="BS1" i="4"/>
  <c r="BT1" i="4"/>
  <c r="BU1" i="4"/>
  <c r="BV1" i="4"/>
  <c r="BW1" i="4"/>
  <c r="BX1" i="4"/>
  <c r="BY1" i="4"/>
  <c r="BZ1" i="4"/>
  <c r="CA1" i="4"/>
  <c r="CB1" i="4"/>
  <c r="CC1" i="4"/>
  <c r="CD1" i="4"/>
  <c r="CE1" i="4"/>
  <c r="CF1" i="4"/>
  <c r="CG1" i="4"/>
  <c r="CH1" i="4"/>
  <c r="CI1" i="4"/>
  <c r="CJ1" i="4"/>
  <c r="CK1" i="4"/>
  <c r="CL1" i="4"/>
  <c r="CM1" i="4"/>
  <c r="CN1" i="4"/>
  <c r="CO1" i="4"/>
  <c r="CP1" i="4"/>
  <c r="CQ1" i="4"/>
  <c r="CR1" i="4"/>
  <c r="CS1" i="4"/>
  <c r="CT1" i="4"/>
  <c r="CU1" i="4"/>
  <c r="CV1" i="4"/>
  <c r="CW1" i="4"/>
  <c r="CX1" i="4"/>
  <c r="CY1" i="4"/>
  <c r="CZ1" i="4"/>
  <c r="DA1" i="4"/>
  <c r="DB1" i="4"/>
  <c r="DC1" i="4"/>
  <c r="DD1" i="4"/>
  <c r="DE1" i="4"/>
  <c r="DF1" i="4"/>
  <c r="DG1" i="4"/>
  <c r="DH1" i="4"/>
  <c r="DI1" i="4"/>
  <c r="DJ1" i="4"/>
  <c r="DK1" i="4"/>
  <c r="DL1" i="4"/>
  <c r="DM1" i="4"/>
  <c r="DN1" i="4"/>
  <c r="DO1" i="4"/>
  <c r="DP1" i="4"/>
  <c r="DQ1" i="4"/>
  <c r="DR1" i="4"/>
  <c r="DS1" i="4"/>
  <c r="DT1" i="4"/>
  <c r="DU1" i="4"/>
  <c r="DV1" i="4"/>
  <c r="DW1" i="4"/>
  <c r="DX1" i="4"/>
  <c r="DY1" i="4"/>
  <c r="DZ1" i="4"/>
  <c r="EA1" i="4"/>
  <c r="EB1" i="4"/>
  <c r="EC1" i="4"/>
  <c r="ED1" i="4"/>
  <c r="EE1" i="4"/>
  <c r="EF1" i="4"/>
  <c r="EG1" i="4"/>
  <c r="EH1" i="4"/>
  <c r="EI1" i="4"/>
  <c r="EJ1" i="4"/>
  <c r="EK1" i="4"/>
  <c r="EL1" i="4"/>
  <c r="EM1" i="4"/>
  <c r="EN1" i="4"/>
  <c r="EO1" i="4"/>
  <c r="EP1" i="4"/>
  <c r="EQ1" i="4"/>
  <c r="ER1" i="4"/>
  <c r="ES1" i="4"/>
  <c r="ET1" i="4"/>
  <c r="EU1" i="4"/>
  <c r="EV1" i="4"/>
  <c r="EW1" i="4"/>
  <c r="EX1" i="4"/>
  <c r="EY1" i="4"/>
  <c r="EZ1" i="4"/>
  <c r="FA1" i="4"/>
  <c r="FB1" i="4"/>
  <c r="FC1" i="4"/>
  <c r="FD1" i="4"/>
  <c r="FE1" i="4"/>
  <c r="FF1" i="4"/>
  <c r="FG1" i="4"/>
  <c r="FH1" i="4"/>
  <c r="FI1" i="4"/>
  <c r="FJ1" i="4"/>
  <c r="FK1" i="4"/>
  <c r="FL1" i="4"/>
  <c r="FM1" i="4"/>
  <c r="FN1" i="4"/>
  <c r="FO1" i="4"/>
  <c r="FP1" i="4"/>
  <c r="FQ1" i="4"/>
  <c r="FR1" i="4"/>
  <c r="FS1" i="4"/>
  <c r="FT1" i="4"/>
  <c r="FU1" i="4"/>
  <c r="FV1" i="4"/>
  <c r="FW1" i="4"/>
  <c r="FX1" i="4"/>
  <c r="FY1" i="4"/>
  <c r="FZ1" i="4"/>
  <c r="GA1" i="4"/>
  <c r="GB1" i="4"/>
  <c r="GC1" i="4"/>
  <c r="GD1" i="4"/>
  <c r="GE1" i="4"/>
  <c r="GF1" i="4"/>
  <c r="GG1" i="4"/>
  <c r="GH1" i="4"/>
  <c r="GI1" i="4"/>
  <c r="GJ1" i="4"/>
  <c r="GK1" i="4"/>
  <c r="GL1" i="4"/>
  <c r="GM1" i="4"/>
  <c r="GN1" i="4"/>
  <c r="GO1" i="4"/>
  <c r="GP1" i="4"/>
  <c r="GQ1" i="4"/>
  <c r="GR1" i="4"/>
  <c r="GS1" i="4"/>
  <c r="GT1" i="4"/>
  <c r="GU1" i="4"/>
  <c r="GV1" i="4"/>
  <c r="GW1" i="4"/>
  <c r="GX1" i="4"/>
  <c r="GY1" i="4"/>
  <c r="GZ1" i="4"/>
  <c r="HA1" i="4"/>
  <c r="HB1" i="4"/>
  <c r="HC1" i="4"/>
  <c r="HD1" i="4"/>
  <c r="HE1" i="4"/>
  <c r="HF1" i="4"/>
  <c r="HG1" i="4"/>
  <c r="HH1" i="4"/>
  <c r="HI1" i="4"/>
  <c r="HJ1" i="4"/>
  <c r="HK1" i="4"/>
  <c r="HL1" i="4"/>
  <c r="HM1" i="4"/>
  <c r="HN1" i="4"/>
  <c r="HO1" i="4"/>
  <c r="HP1" i="4"/>
  <c r="HQ1" i="4"/>
  <c r="HR1" i="4"/>
  <c r="HS1" i="4"/>
  <c r="HT1" i="4"/>
  <c r="HU1" i="4"/>
  <c r="HV1" i="4"/>
  <c r="HW1" i="4"/>
  <c r="HX1" i="4"/>
  <c r="HY1" i="4"/>
  <c r="HZ1" i="4"/>
  <c r="IA1" i="4"/>
  <c r="IB1" i="4"/>
  <c r="IC1" i="4"/>
  <c r="ID1" i="4"/>
  <c r="IE1" i="4"/>
  <c r="IF1" i="4"/>
  <c r="IG1" i="4"/>
  <c r="IH1" i="4"/>
  <c r="II1" i="4"/>
  <c r="IJ1" i="4"/>
  <c r="IK1" i="4"/>
  <c r="IL1" i="4"/>
  <c r="IM1" i="4"/>
  <c r="IN1" i="4"/>
  <c r="IO1" i="4"/>
  <c r="IP1" i="4"/>
  <c r="IQ1" i="4"/>
  <c r="IR1" i="4"/>
  <c r="IS1" i="4"/>
  <c r="IT1" i="4"/>
  <c r="IU1" i="4"/>
  <c r="IV1" i="4"/>
</calcChain>
</file>

<file path=xl/connections.xml><?xml version="1.0" encoding="utf-8"?>
<connections xmlns="http://schemas.openxmlformats.org/spreadsheetml/2006/main">
  <connection id="1" name="\CODE\iberonesia\RBCC_E\configs\183\ICF25904.183" type="6" refreshedVersion="3" background="1" saveData="1">
    <textPr sourceFile="D:\CODE\iberonesia\RBCC_E\configs\183\ICF25904.183">
      <textFields>
        <textField/>
      </textFields>
    </textPr>
  </connection>
  <connection id="2" name="\CODE\iberonesia\RBCC_E\configs\183\ICF25904.1831" type="6" refreshedVersion="3" background="1" saveData="1">
    <textPr sourceFile="D:\CODE\iberonesia\RBCC_E\configs\183\ICF25904.183">
      <textFields>
        <textField/>
      </textFields>
    </textPr>
  </connection>
</connections>
</file>

<file path=xl/sharedStrings.xml><?xml version="1.0" encoding="utf-8"?>
<sst xmlns="http://schemas.openxmlformats.org/spreadsheetml/2006/main" count="495" uniqueCount="320">
  <si>
    <t>#</t>
  </si>
  <si>
    <t>Fecha</t>
  </si>
  <si>
    <t>ETC_COR_F2</t>
  </si>
  <si>
    <t>ETC_COR_F3</t>
  </si>
  <si>
    <t>ETC_COR_F4</t>
  </si>
  <si>
    <t>ETC_COR_F5</t>
  </si>
  <si>
    <t xml:space="preserve">Oct 7/2006   </t>
  </si>
  <si>
    <t>Date</t>
  </si>
  <si>
    <t>"inicial 2008"</t>
  </si>
  <si>
    <t>"icf18008.183"</t>
  </si>
  <si>
    <t>"noisier R6"</t>
  </si>
  <si>
    <t>"IOS calibration"</t>
  </si>
  <si>
    <t>"icf24709.183"</t>
  </si>
  <si>
    <t>AAAAAH/OzPM=</t>
  </si>
  <si>
    <t>"R6 change"</t>
  </si>
  <si>
    <t>cambio de soft 376a -&gt; 376</t>
  </si>
  <si>
    <t>Pruebas con la rueda de filtros</t>
  </si>
  <si>
    <t>estacion</t>
  </si>
  <si>
    <t>error with rs</t>
  </si>
  <si>
    <t xml:space="preserve">Software fails </t>
  </si>
  <si>
    <t>En previsión de mal tiempo, se baja a la quinta desde el 33710 hasta el 34410</t>
  </si>
  <si>
    <t xml:space="preserve">SL ratios &lt;0 haasta que virgilio resetea en torno a las 12:00. Luego bien. Pero Ozono de mala calidad. Eliminado fichero </t>
  </si>
  <si>
    <t>B06511.183</t>
  </si>
  <si>
    <t>B06611.183</t>
  </si>
  <si>
    <t>SL ratios &lt;0. No ozono. Eleminado fichero B (¿error de software?)</t>
  </si>
  <si>
    <t>B07311.183</t>
  </si>
  <si>
    <t>B07411.183</t>
  </si>
  <si>
    <t>SL ratios &lt;0. Arreglado problema durante la mañana, pero ozono sigue malo. Eleminado fichero B (¿error de software?)</t>
  </si>
  <si>
    <t>B07511.183</t>
  </si>
  <si>
    <t>B09511.183</t>
  </si>
  <si>
    <t>SL negativa (slitmasks?). Rechazar obs. Hasta las 12:00. Fichero B depurado.</t>
  </si>
  <si>
    <t>B12111.183</t>
  </si>
  <si>
    <t>Subo brewer al laboratorio para calibración con lámparas de 1000W</t>
  </si>
  <si>
    <t>Se instala brewer en la terraza</t>
  </si>
  <si>
    <t>Sin Hg de 11:00 a 15:00: lamp not detected.Depurado fichero B</t>
  </si>
  <si>
    <t>B15811.183</t>
  </si>
  <si>
    <t>Mantenimientto preventivo - AFC</t>
  </si>
  <si>
    <t>o3 Temp coef 1</t>
  </si>
  <si>
    <t>o3 Temp coef 2</t>
  </si>
  <si>
    <t>o3 Temp coef 3</t>
  </si>
  <si>
    <t>o3 Temp coef 4</t>
  </si>
  <si>
    <t>o3 Temp coef 5</t>
  </si>
  <si>
    <t>Micrometer steps/deg</t>
  </si>
  <si>
    <t>O3 on O3 Ratio</t>
  </si>
  <si>
    <t>SO2 on SO2 Ratio</t>
  </si>
  <si>
    <t>O3 on SO2 Ratio</t>
  </si>
  <si>
    <t>ETC on O3 Ratio</t>
  </si>
  <si>
    <t>ETC on SO2 Ratio</t>
  </si>
  <si>
    <t>Dead time (sec)</t>
  </si>
  <si>
    <t>WL cal step number</t>
  </si>
  <si>
    <t>Slitmask motor delay</t>
  </si>
  <si>
    <t>Umkehr Offset</t>
  </si>
  <si>
    <t>ND filter 0</t>
  </si>
  <si>
    <t>ND filter 1</t>
  </si>
  <si>
    <t>ND filter 2</t>
  </si>
  <si>
    <t>ND filter 3</t>
  </si>
  <si>
    <t>ND filter 4</t>
  </si>
  <si>
    <t>ND filter 5</t>
  </si>
  <si>
    <t>Zenith steps/rev</t>
  </si>
  <si>
    <t>Brewer Type</t>
  </si>
  <si>
    <t>o3 Temp coef hg</t>
  </si>
  <si>
    <t>R6 Reference</t>
  </si>
  <si>
    <t>R5 Reference</t>
  </si>
  <si>
    <t>O3 Mic #1 Offset</t>
  </si>
  <si>
    <t>Mic #2 Offset</t>
  </si>
  <si>
    <t>O3 FW #3 Offset</t>
  </si>
  <si>
    <t>ETC_0</t>
  </si>
  <si>
    <t>ETC_2</t>
  </si>
  <si>
    <t>ETC_3</t>
  </si>
  <si>
    <t>ETC_4</t>
  </si>
  <si>
    <t>ETC_5</t>
  </si>
  <si>
    <t>ETC_6</t>
  </si>
  <si>
    <t>Grating Slope</t>
  </si>
  <si>
    <t>Grating Intercept</t>
  </si>
  <si>
    <t>Micrometer Zero</t>
  </si>
  <si>
    <t>Iris Open Steps</t>
  </si>
  <si>
    <t>Buffer Delay (s)</t>
  </si>
  <si>
    <t>NO2 FW#1 Pos</t>
  </si>
  <si>
    <t>O3 FW#1 Pos</t>
  </si>
  <si>
    <t>FW#2 Pos</t>
  </si>
  <si>
    <t>uv FW#2 Pos</t>
  </si>
  <si>
    <t>Zenith Offset</t>
  </si>
  <si>
    <t>Zenith UVB Position</t>
  </si>
  <si>
    <t>"AFC Maintenance"</t>
  </si>
  <si>
    <t>"IOS10"</t>
  </si>
  <si>
    <t>"Ctes. Mic, Gel"</t>
  </si>
  <si>
    <t>"Setup, 5a"</t>
  </si>
  <si>
    <t>"Chg. Cal?"</t>
  </si>
  <si>
    <t>"Lab"</t>
  </si>
  <si>
    <t>"SL jump. Lab. Etc SUG. New SLref"</t>
  </si>
  <si>
    <t>"icf28206.183"</t>
  </si>
  <si>
    <t>"icf26710.183"</t>
  </si>
  <si>
    <t>Icf</t>
  </si>
  <si>
    <t>Events</t>
  </si>
  <si>
    <t>"Mic troub. Chg. R6"</t>
  </si>
  <si>
    <t>"IOS09"</t>
  </si>
  <si>
    <t>"AFC"</t>
  </si>
  <si>
    <t>Outliers a mediodía. Depuro B</t>
  </si>
  <si>
    <t>B16811.183</t>
  </si>
  <si>
    <t xml:space="preserve"> </t>
  </si>
  <si>
    <t>"icf21611.183"</t>
  </si>
  <si>
    <t>"Calc-step change. A updated to 0.3435"</t>
  </si>
  <si>
    <t>CALC-STEP and DT updated to 1020, 23. It results in A = 0.3435 &amp; ETC = 1580. Good agreement 2P - 1P</t>
  </si>
  <si>
    <t>Outliers en la mañana, durante secuencia manual de SC's. Desenfocado. Tambien depuro outliers en la tarde</t>
  </si>
  <si>
    <t>B27311.183</t>
  </si>
  <si>
    <t>Outliers en la tarde, not related to Hg</t>
  </si>
  <si>
    <t>B27111.183</t>
  </si>
  <si>
    <t>B27011.183</t>
  </si>
  <si>
    <t>Datos malos debidos a problemas de enfoque. Depuro</t>
  </si>
  <si>
    <t>B27611.183</t>
  </si>
  <si>
    <t>B04111.183</t>
  </si>
  <si>
    <t>Error grave, R6 negativo debido a cuentas elevadas en el dark, fallo DT fallo RS. Depuro fichero B</t>
  </si>
  <si>
    <t>ETC updated from Sep2010 calibrt (1590)</t>
  </si>
  <si>
    <t xml:space="preserve">SL ratios &lt;0 haasta que virgilio resetea en torno a las 12:00. Luego bien. Pero Ozono de mala calidad. Depurado fichero </t>
  </si>
  <si>
    <t>Outlies en SL. Depuro</t>
  </si>
  <si>
    <t>B15810.183</t>
  </si>
  <si>
    <t>B05010.183</t>
  </si>
  <si>
    <t>B02612.183</t>
  </si>
  <si>
    <t>Laboratorio (Nordic camp.)</t>
  </si>
  <si>
    <t>Fallos con las slits,  Fallos con las comunicaciones.</t>
  </si>
  <si>
    <t>Instalado en la azotea. A partir de aquí numerosos fallos (ver log)</t>
  </si>
  <si>
    <t xml:space="preserve">Cambio de lámpara halogena. </t>
  </si>
  <si>
    <t>Cambiados los mic's offsets: #1:-299 #2:718. Actualizado a icf02412. Se resetea firmware.</t>
  </si>
  <si>
    <t xml:space="preserve">Cambio de fuente. Nuevas constantes de micrómetro (icf03312). Problemas con las rendijas, manualmente se pone e    M,11,0, -&gt; M,11,-2 </t>
  </si>
  <si>
    <t>"icf03312.183"</t>
  </si>
  <si>
    <t>"New mics. And slit mask offsets"</t>
  </si>
  <si>
    <t>"Laboratory.  New board replacement"</t>
  </si>
  <si>
    <t>Laboratory.  New board replacement</t>
  </si>
  <si>
    <t>200W lamps ok. Zenith adjustment. Micrometers motor's velocity changed.</t>
  </si>
  <si>
    <t>Final setup</t>
  </si>
  <si>
    <t>"Final setup"</t>
  </si>
  <si>
    <t>Datos malos debidos a problemas de enfoque. Depuro outliers a partir del mediodia</t>
  </si>
  <si>
    <t>B12112.183</t>
  </si>
  <si>
    <t>B12212.183</t>
  </si>
  <si>
    <t>Datos malos debidos a problemas de enfoque. Depuro outliers a partir de las 13:00</t>
  </si>
  <si>
    <t>"IOS11"</t>
  </si>
  <si>
    <t>"icf19911.183"</t>
  </si>
  <si>
    <t>"SL rplc."</t>
  </si>
  <si>
    <t>"Hg rplc."</t>
  </si>
  <si>
    <t>"icf08212.183"</t>
  </si>
  <si>
    <t>Solved problems with Hg lamp (not found)</t>
  </si>
  <si>
    <t>"Brewer down"</t>
  </si>
  <si>
    <t>Cambio gel de sílice</t>
  </si>
  <si>
    <t>"SL rplc"</t>
  </si>
  <si>
    <t>"K&amp;Z maintenance"</t>
  </si>
  <si>
    <t>"Severe weather. Indoor"</t>
  </si>
  <si>
    <t>Brewer en la quinta en prevision de mal tiempo</t>
  </si>
  <si>
    <t>K&amp;Z maintenance</t>
  </si>
  <si>
    <t>Outliers en ozono debido a problema con micrómetros. No detectado por matlab. Depuro</t>
  </si>
  <si>
    <t xml:space="preserve">SL negativa. Parece lo de siempre: error de escritura (carácter %), ¿problemas con slitmask?. Ese día no ozono para ningún brewer. Hg's ok. Fichero B descaratado (descarto unica medida buena, &gt;400DU). Descartado también CI </t>
  </si>
  <si>
    <t>Cambio gel de silice</t>
  </si>
  <si>
    <t>"icf34512.183"</t>
  </si>
  <si>
    <t>Se baja a la 5º en previsión de fuertes vientos</t>
  </si>
  <si>
    <t>Calibración en el laboratorio. Slitmask problems. New dcf (dcf03613.183) Operativo en la azotea</t>
  </si>
  <si>
    <t>Slitmask problems. New dcf03513.183 (not optimal. Discarded)</t>
  </si>
  <si>
    <t>B08013</t>
  </si>
  <si>
    <t>Azimut track system cleaning. Silical gel replacement. B files dep.</t>
  </si>
  <si>
    <t>"Indoor. Slitmask trouble"</t>
  </si>
  <si>
    <t>Mic#1 blocked</t>
  </si>
  <si>
    <t>Limpieza de tracker</t>
  </si>
  <si>
    <t>"icf06613.183"</t>
  </si>
  <si>
    <t>"Arenosillo2013"</t>
  </si>
  <si>
    <t>"Back IZO. Slit Troubles. New TU"</t>
  </si>
  <si>
    <t>"icf17613.183"</t>
  </si>
  <si>
    <t>"Lab: Inoperative"</t>
  </si>
  <si>
    <t>"icf28213.183"</t>
  </si>
  <si>
    <t>"Operative outdoor. Old Board"</t>
  </si>
  <si>
    <t>Laboratory: Inoperative</t>
  </si>
  <si>
    <t>El Arenosillo 2013</t>
  </si>
  <si>
    <t>Back IZO. Slit Troubles. New TU</t>
  </si>
  <si>
    <t>Laboratory</t>
  </si>
  <si>
    <t>SL rplc.</t>
  </si>
  <si>
    <t>Hg rplc.</t>
  </si>
  <si>
    <t>Operativo nuevamente en la azotea. Old board. SL replacement. B files depured (bad o3 data)</t>
  </si>
  <si>
    <t>Datos malos de ozono. Depuro fichero B</t>
  </si>
  <si>
    <t>B28213</t>
  </si>
  <si>
    <t>B28313</t>
  </si>
  <si>
    <t>Tracker off</t>
  </si>
  <si>
    <t>Corregido mal posicionamiento del Tracker</t>
  </si>
  <si>
    <t>Internal Hg lamp replacement</t>
  </si>
  <si>
    <t>icf_a</t>
  </si>
  <si>
    <t>Diff icf - Event</t>
  </si>
  <si>
    <t>Diff icf_a - Event</t>
  </si>
  <si>
    <t>SL intensity change due to unknown reasons. Chg. Lamp characteristics.</t>
  </si>
  <si>
    <t>Se baja a la 5. Tormenta</t>
  </si>
  <si>
    <t>Instalado en la azotea nuevamente.</t>
  </si>
  <si>
    <t>SL replacement. Not aligned. Higher ratios (not real)</t>
  </si>
  <si>
    <t>"SL rplc. R6 chg not real"</t>
  </si>
  <si>
    <t>Troubles with tracker</t>
  </si>
  <si>
    <t>Se carga el firmware, intentando arreglar problemas con Hg y Tracker</t>
  </si>
  <si>
    <t>"Prism alignment. New tu"</t>
  </si>
  <si>
    <t>Se alinea el prisma. Nueva constante tu. Intensidad y R6 ahora normales</t>
  </si>
  <si>
    <t>New Cenit adjustment</t>
  </si>
  <si>
    <t>"icf04314.183"</t>
  </si>
  <si>
    <t>"Prism alignment"</t>
  </si>
  <si>
    <t>"Hg replacement"</t>
  </si>
  <si>
    <t>Hg replacement</t>
  </si>
  <si>
    <t>Se baja a la 5º en previsión de mal tiempo</t>
  </si>
  <si>
    <t>Slitmask problems</t>
  </si>
  <si>
    <t>Calibracion en Lab.</t>
  </si>
  <si>
    <t>"icf25904.183"</t>
  </si>
  <si>
    <t>IOS Cal.</t>
  </si>
  <si>
    <t>"Shock"</t>
  </si>
  <si>
    <t>Shock</t>
  </si>
  <si>
    <t>Indoor due to bad weather</t>
  </si>
  <si>
    <t>Reinstalled outdoors</t>
  </si>
  <si>
    <t>Reinstalled outdoors. SlitMask troubles</t>
  </si>
  <si>
    <t>Reinstalled outdoors. SlitMask and Tracker troubles</t>
  </si>
  <si>
    <t>SL correction flag</t>
  </si>
  <si>
    <t>"SlitMask &amp; Tracker troubles"</t>
  </si>
  <si>
    <t>"SlitMask troubles. Cal. Chg."</t>
  </si>
  <si>
    <t>B34814</t>
  </si>
  <si>
    <t>2014,12,14,19,0,0</t>
  </si>
  <si>
    <t>2014,12,14,7,0,0</t>
  </si>
  <si>
    <t>Datos malos debidos a problemas con slitmask</t>
  </si>
  <si>
    <t>B35514</t>
  </si>
  <si>
    <t>2014,12,21,19,0,0</t>
  </si>
  <si>
    <t>B35114</t>
  </si>
  <si>
    <t>2014,12,17,7,0,0</t>
  </si>
  <si>
    <t>2014,12,21,7,0,0</t>
  </si>
  <si>
    <t>2014,12,17,12,0,0</t>
  </si>
  <si>
    <t>B35814</t>
  </si>
  <si>
    <t>SlitMask troubles. Cal. (R6) change</t>
  </si>
  <si>
    <t>2014,12,24,7,0,0</t>
  </si>
  <si>
    <t>2014,12,24,12,0,0</t>
  </si>
  <si>
    <t>Datos malos durante la mañana. Problemas con micrometro</t>
  </si>
  <si>
    <t>B34014</t>
  </si>
  <si>
    <t>2014,12,6,7,0,0</t>
  </si>
  <si>
    <t>2014,12,6,19,0,0</t>
  </si>
  <si>
    <t>B32814</t>
  </si>
  <si>
    <t>2014,11,24,7,0,0</t>
  </si>
  <si>
    <t>2014,11,24,11,30,0</t>
  </si>
  <si>
    <t>Bad Data</t>
  </si>
  <si>
    <t>B28714</t>
  </si>
  <si>
    <t>2014,10,14,11,0,0</t>
  </si>
  <si>
    <t>2014,10,14,11,30,0</t>
  </si>
  <si>
    <t>B07114</t>
  </si>
  <si>
    <t>2014,3,12,7,0,0</t>
  </si>
  <si>
    <t>2014,3,12,11,0,0</t>
  </si>
  <si>
    <t>B35313</t>
  </si>
  <si>
    <t>2013,12,19,13,0,0</t>
  </si>
  <si>
    <t>2013,12,19,19,0,0</t>
  </si>
  <si>
    <t>2013,10,09,7,0,0</t>
  </si>
  <si>
    <t>2013,10,9,15,0,0</t>
  </si>
  <si>
    <t>2013,10,10,7,0,0</t>
  </si>
  <si>
    <t>2013,10,10,12,0,0</t>
  </si>
  <si>
    <t>2013,04,08,7,0,0</t>
  </si>
  <si>
    <t>2013,04,8,19,0,0</t>
  </si>
  <si>
    <t xml:space="preserve">SlitMask troubles. </t>
  </si>
  <si>
    <t>B00115</t>
  </si>
  <si>
    <t>2015,01,01,7,0,0</t>
  </si>
  <si>
    <t>2015,01,01,11,0,0</t>
  </si>
  <si>
    <t>B00315</t>
  </si>
  <si>
    <t>2015,01,03,7,0,0</t>
  </si>
  <si>
    <t>2015,01,03,19,0,0</t>
  </si>
  <si>
    <t>2015,01,04,7,0,0</t>
  </si>
  <si>
    <t>2015,01,04,19,0,0</t>
  </si>
  <si>
    <t>B00415</t>
  </si>
  <si>
    <t>B00515</t>
  </si>
  <si>
    <t>2015,01,05,7,0,0</t>
  </si>
  <si>
    <t>B36514</t>
  </si>
  <si>
    <t>2014,12,31,7,0,0</t>
  </si>
  <si>
    <t>2014,12,31,19,0,0</t>
  </si>
  <si>
    <t>2015,01,05,11,0,0</t>
  </si>
  <si>
    <t>2012,04,30,12,30,0</t>
  </si>
  <si>
    <t>2012,04,30,19,30,0</t>
  </si>
  <si>
    <t>2012,05,01,7,30,0</t>
  </si>
  <si>
    <t>2012,05,1,19,30,0</t>
  </si>
  <si>
    <t>B02010.183</t>
  </si>
  <si>
    <t>2010,1,20,19,0,0</t>
  </si>
  <si>
    <t>2010,1,20,14,30,0</t>
  </si>
  <si>
    <t>B16410.183</t>
  </si>
  <si>
    <t>Datos malos debidos a problemas de enfoque</t>
  </si>
  <si>
    <t>B27911.183</t>
  </si>
  <si>
    <t>2011,10,09,13,0,0</t>
  </si>
  <si>
    <t>2011,10,09,19,0,0</t>
  </si>
  <si>
    <t>B28211.183</t>
  </si>
  <si>
    <t>B28311.183</t>
  </si>
  <si>
    <t>2011,10,10,19,0,0</t>
  </si>
  <si>
    <t>2011,10,10,07,0,0</t>
  </si>
  <si>
    <t>B26911.183</t>
  </si>
  <si>
    <t>2011,09,26,18,0,0</t>
  </si>
  <si>
    <t>2011,09,26,19,0,0</t>
  </si>
  <si>
    <t>2011,09,27,16,0,0</t>
  </si>
  <si>
    <t>2011,09,27,19,0,0</t>
  </si>
  <si>
    <t>2011,09,28,13,0,0</t>
  </si>
  <si>
    <t>2011,09,28,19,0,0</t>
  </si>
  <si>
    <t>2011,09,30,07,0,0</t>
  </si>
  <si>
    <t>2011,09,30,19,0,0</t>
  </si>
  <si>
    <t>2011,10,03,07,0,0</t>
  </si>
  <si>
    <t>2011,10,03,19,0,0</t>
  </si>
  <si>
    <t>2011,10,06,07,0,0</t>
  </si>
  <si>
    <t>2011,10,06,19,0,0</t>
  </si>
  <si>
    <t>B28011.183</t>
  </si>
  <si>
    <t>2011,10,07,15,0,0</t>
  </si>
  <si>
    <t>2011,10,07,19,0,0</t>
  </si>
  <si>
    <t>B28111.183</t>
  </si>
  <si>
    <t>2011,10,08,07,0,0</t>
  </si>
  <si>
    <t>2011,10,08,19,0,0</t>
  </si>
  <si>
    <t>B00615</t>
  </si>
  <si>
    <t>2015,01,06,7,0,0</t>
  </si>
  <si>
    <t>2015,01,06,19,0,0</t>
  </si>
  <si>
    <t>B00815</t>
  </si>
  <si>
    <t>2015,01,08,7,0,0</t>
  </si>
  <si>
    <t>2015,01,08,15,0,0</t>
  </si>
  <si>
    <t>B01815</t>
  </si>
  <si>
    <t>2015,01,18,10,0,0</t>
  </si>
  <si>
    <t>2015,01,18,19,0,0</t>
  </si>
  <si>
    <t>B01915</t>
  </si>
  <si>
    <t>2015,01,19,11,0,0</t>
  </si>
  <si>
    <t>2015,01,19,07,0,0</t>
  </si>
  <si>
    <t>"icf02515.183"</t>
  </si>
  <si>
    <t>NaN</t>
  </si>
  <si>
    <t>B07115</t>
  </si>
  <si>
    <t>2015,3,12,13,15,0</t>
  </si>
  <si>
    <t>2015,3,12,16,0,0</t>
  </si>
  <si>
    <t>"SL replc."</t>
  </si>
  <si>
    <t>SL replacement</t>
  </si>
  <si>
    <t>Problemas varios: hielo, comm., …</t>
  </si>
  <si>
    <t>"Extreme weather, Comm.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</si>
</sst>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000"/>
  </numFmts>
  <fonts count="1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Courier"/>
      <family val="3"/>
    </font>
    <font>
      <sz val="10"/>
      <color indexed="8"/>
      <name val="Calibri"/>
      <family val="2"/>
    </font>
    <font>
      <b/>
      <sz val="10"/>
      <name val="Courier"/>
      <family val="3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3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8" fillId="0" borderId="2" applyNumberFormat="0" applyFill="0" applyAlignment="0" applyProtection="0"/>
    <xf numFmtId="0" fontId="9" fillId="0" borderId="0" applyNumberFormat="0" applyFill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10" fillId="27" borderId="1" applyNumberFormat="0" applyAlignment="0" applyProtection="0"/>
    <xf numFmtId="0" fontId="11" fillId="28" borderId="0" applyNumberFormat="0" applyBorder="0" applyAlignment="0" applyProtection="0"/>
    <xf numFmtId="0" fontId="12" fillId="29" borderId="0" applyNumberFormat="0" applyBorder="0" applyAlignment="0" applyProtection="0"/>
    <xf numFmtId="0" fontId="13" fillId="20" borderId="3" applyNumberFormat="0" applyAlignment="0" applyProtection="0"/>
    <xf numFmtId="0" fontId="14" fillId="0" borderId="0" applyNumberFormat="0" applyFill="0" applyBorder="0" applyAlignment="0" applyProtection="0"/>
    <xf numFmtId="0" fontId="15" fillId="0" borderId="4" applyNumberFormat="0" applyFill="0" applyAlignment="0" applyProtection="0"/>
  </cellStyleXfs>
  <cellXfs count="40">
    <xf numFmtId="0" fontId="0" fillId="0" borderId="0" xfId="0"/>
    <xf numFmtId="14" fontId="0" fillId="0" borderId="0" xfId="0" applyNumberFormat="1"/>
    <xf numFmtId="14" fontId="3" fillId="0" borderId="0" xfId="0" applyNumberFormat="1" applyFont="1" applyBorder="1"/>
    <xf numFmtId="0" fontId="2" fillId="0" borderId="0" xfId="0" applyFont="1" applyFill="1" applyBorder="1" applyAlignment="1">
      <alignment vertical="top" wrapText="1"/>
    </xf>
    <xf numFmtId="1" fontId="2" fillId="0" borderId="0" xfId="0" applyNumberFormat="1" applyFont="1" applyBorder="1"/>
    <xf numFmtId="1" fontId="3" fillId="0" borderId="0" xfId="0" applyNumberFormat="1" applyFont="1" applyBorder="1"/>
    <xf numFmtId="0" fontId="0" fillId="0" borderId="0" xfId="0" applyAlignment="1">
      <alignment horizontal="left" vertical="top" wrapText="1"/>
    </xf>
    <xf numFmtId="1" fontId="0" fillId="0" borderId="0" xfId="0" applyNumberFormat="1"/>
    <xf numFmtId="1" fontId="3" fillId="0" borderId="0" xfId="0" applyNumberFormat="1" applyFont="1" applyFill="1" applyBorder="1"/>
    <xf numFmtId="0" fontId="0" fillId="0" borderId="0" xfId="0" applyNumberFormat="1"/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14" fontId="3" fillId="0" borderId="0" xfId="0" applyNumberFormat="1" applyFont="1" applyBorder="1" applyAlignment="1">
      <alignment horizontal="left" wrapText="1"/>
    </xf>
    <xf numFmtId="0" fontId="3" fillId="0" borderId="0" xfId="0" applyNumberFormat="1" applyFont="1" applyBorder="1"/>
    <xf numFmtId="0" fontId="0" fillId="0" borderId="0" xfId="0" applyAlignment="1">
      <alignment horizontal="center"/>
    </xf>
    <xf numFmtId="14" fontId="3" fillId="0" borderId="0" xfId="0" applyNumberFormat="1" applyFont="1" applyBorder="1" applyAlignment="1">
      <alignment horizontal="left"/>
    </xf>
    <xf numFmtId="1" fontId="2" fillId="0" borderId="0" xfId="0" applyNumberFormat="1" applyFont="1" applyFill="1" applyBorder="1" applyAlignment="1">
      <alignment horizontal="center"/>
    </xf>
    <xf numFmtId="0" fontId="0" fillId="0" borderId="0" xfId="0" applyFill="1"/>
    <xf numFmtId="11" fontId="2" fillId="0" borderId="0" xfId="0" applyNumberFormat="1" applyFont="1" applyFill="1" applyBorder="1" applyAlignment="1">
      <alignment vertical="top" wrapText="1"/>
    </xf>
    <xf numFmtId="11" fontId="2" fillId="0" borderId="0" xfId="0" applyNumberFormat="1" applyFont="1" applyFill="1" applyBorder="1"/>
    <xf numFmtId="11" fontId="3" fillId="0" borderId="0" xfId="0" applyNumberFormat="1" applyFont="1" applyFill="1" applyBorder="1"/>
    <xf numFmtId="14" fontId="1" fillId="0" borderId="0" xfId="0" applyNumberFormat="1" applyFont="1" applyBorder="1" applyAlignment="1">
      <alignment horizontal="left" wrapText="1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4" fontId="0" fillId="0" borderId="0" xfId="0" applyNumberFormat="1" applyFill="1"/>
    <xf numFmtId="14" fontId="3" fillId="0" borderId="0" xfId="0" applyNumberFormat="1" applyFont="1" applyFill="1" applyBorder="1"/>
    <xf numFmtId="1" fontId="2" fillId="0" borderId="0" xfId="0" applyNumberFormat="1" applyFont="1" applyFill="1" applyBorder="1"/>
    <xf numFmtId="0" fontId="3" fillId="0" borderId="0" xfId="0" applyNumberFormat="1" applyFont="1" applyFill="1" applyBorder="1"/>
    <xf numFmtId="178" fontId="3" fillId="0" borderId="0" xfId="0" applyNumberFormat="1" applyFont="1" applyFill="1" applyBorder="1"/>
    <xf numFmtId="0" fontId="3" fillId="0" borderId="0" xfId="0" applyFont="1" applyFill="1" applyBorder="1"/>
    <xf numFmtId="0" fontId="2" fillId="0" borderId="0" xfId="0" applyFont="1" applyFill="1" applyBorder="1"/>
    <xf numFmtId="3" fontId="2" fillId="0" borderId="0" xfId="0" applyNumberFormat="1" applyFont="1" applyFill="1" applyBorder="1" applyAlignment="1">
      <alignment vertical="top" wrapText="1"/>
    </xf>
    <xf numFmtId="3" fontId="2" fillId="0" borderId="0" xfId="0" applyNumberFormat="1" applyFont="1" applyFill="1" applyBorder="1"/>
    <xf numFmtId="1" fontId="2" fillId="0" borderId="0" xfId="0" applyNumberFormat="1" applyFont="1" applyFill="1" applyBorder="1" applyAlignment="1">
      <alignment vertical="top" wrapText="1"/>
    </xf>
    <xf numFmtId="0" fontId="4" fillId="0" borderId="0" xfId="0" applyFont="1" applyFill="1" applyBorder="1"/>
    <xf numFmtId="17" fontId="2" fillId="0" borderId="0" xfId="0" applyNumberFormat="1" applyFont="1" applyFill="1" applyBorder="1"/>
    <xf numFmtId="1" fontId="0" fillId="0" borderId="0" xfId="0" applyNumberFormat="1" applyFill="1"/>
    <xf numFmtId="14" fontId="16" fillId="0" borderId="0" xfId="0" applyNumberFormat="1" applyFont="1"/>
    <xf numFmtId="0" fontId="0" fillId="0" borderId="0" xfId="0" applyAlignment="1">
      <alignment wrapText="1"/>
    </xf>
    <xf numFmtId="1" fontId="3" fillId="0" borderId="0" xfId="0" applyNumberFormat="1" applyFont="1" applyFill="1" applyBorder="1" applyAlignment="1">
      <alignment horizontal="right"/>
    </xf>
  </cellXfs>
  <cellStyles count="3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elda vinculada" xfId="19" builtinId="24" customBuiltin="1"/>
    <cellStyle name="Encabezado 4" xfId="20" builtinId="19" customBuiltin="1"/>
    <cellStyle name="Énfasis1" xfId="21" builtinId="29" customBuiltin="1"/>
    <cellStyle name="Énfasis2" xfId="22" builtinId="33" customBuiltin="1"/>
    <cellStyle name="Énfasis3" xfId="23" builtinId="37" customBuiltin="1"/>
    <cellStyle name="Énfasis4" xfId="24" builtinId="41" customBuiltin="1"/>
    <cellStyle name="Énfasis5" xfId="25" builtinId="45" customBuiltin="1"/>
    <cellStyle name="Énfasis6" xfId="26" builtinId="49" customBuiltin="1"/>
    <cellStyle name="Entrada" xfId="27" builtinId="20" customBuiltin="1"/>
    <cellStyle name="Incorrecto" xfId="28" builtinId="27" customBuiltin="1"/>
    <cellStyle name="Neutral" xfId="29" builtinId="28" customBuiltin="1"/>
    <cellStyle name="Normal" xfId="0" builtinId="0"/>
    <cellStyle name="Salida" xfId="30" builtinId="21" customBuiltin="1"/>
    <cellStyle name="Título" xfId="31" builtinId="15" customBuiltin="1"/>
    <cellStyle name="Total" xfId="32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connections" Target="connections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ICF25904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CF25904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Relationship Id="rId2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enableFormatConditionsCalculation="0"/>
  <dimension ref="A1:AY54"/>
  <sheetViews>
    <sheetView topLeftCell="AM1" workbookViewId="0">
      <selection activeCell="AV1" activeCellId="1" sqref="AU1:AU65536 AV1:AV65536"/>
    </sheetView>
  </sheetViews>
  <sheetFormatPr baseColWidth="10" defaultColWidth="11.33203125" defaultRowHeight="14" x14ac:dyDescent="0"/>
  <cols>
    <col min="1" max="1" width="11.33203125" style="8"/>
    <col min="2" max="2" width="29.1640625" style="17" customWidth="1"/>
    <col min="3" max="4" width="12" style="17" customWidth="1"/>
    <col min="5" max="5" width="13.83203125" style="29" customWidth="1"/>
    <col min="6" max="6" width="12.5" style="29" customWidth="1"/>
    <col min="7" max="7" width="11.1640625" style="29" customWidth="1"/>
    <col min="8" max="12" width="11.33203125" style="29"/>
    <col min="13" max="19" width="11.5" style="17" customWidth="1"/>
    <col min="20" max="21" width="11.5" style="29" bestFit="1" customWidth="1"/>
    <col min="22" max="23" width="14.6640625" style="29" customWidth="1"/>
    <col min="24" max="24" width="12" style="29" bestFit="1" customWidth="1"/>
    <col min="25" max="33" width="11.33203125" style="29"/>
    <col min="34" max="43" width="12" style="29" bestFit="1" customWidth="1"/>
    <col min="44" max="51" width="12.1640625" style="29" bestFit="1" customWidth="1"/>
    <col min="52" max="16384" width="11.33203125" style="29"/>
  </cols>
  <sheetData>
    <row r="1" spans="1:51" s="25" customFormat="1">
      <c r="A1" s="16"/>
      <c r="B1" s="17"/>
      <c r="C1" s="24">
        <f>+C2-693960</f>
        <v>38245</v>
      </c>
      <c r="D1" s="24">
        <f>+D2-693960</f>
        <v>38341</v>
      </c>
      <c r="E1" s="24">
        <f>+E2-693960</f>
        <v>39000</v>
      </c>
      <c r="F1" s="24">
        <f t="shared" ref="F1:T1" si="0">+F2-693960</f>
        <v>39089</v>
      </c>
      <c r="G1" s="24">
        <f t="shared" si="0"/>
        <v>39091</v>
      </c>
      <c r="H1" s="24">
        <f t="shared" si="0"/>
        <v>39627</v>
      </c>
      <c r="I1" s="24">
        <f t="shared" si="0"/>
        <v>39982</v>
      </c>
      <c r="J1" s="24">
        <f t="shared" si="0"/>
        <v>40019</v>
      </c>
      <c r="K1" s="24">
        <f t="shared" si="0"/>
        <v>40045</v>
      </c>
      <c r="L1" s="24">
        <f t="shared" si="0"/>
        <v>40061</v>
      </c>
      <c r="M1" s="24">
        <f t="shared" si="0"/>
        <v>40081</v>
      </c>
      <c r="N1" s="24">
        <f t="shared" si="0"/>
        <v>40179</v>
      </c>
      <c r="O1" s="24">
        <f t="shared" si="0"/>
        <v>40239</v>
      </c>
      <c r="P1" s="24">
        <f t="shared" si="0"/>
        <v>40256</v>
      </c>
      <c r="Q1" s="24">
        <f t="shared" si="0"/>
        <v>40290</v>
      </c>
      <c r="R1" s="24">
        <f t="shared" si="0"/>
        <v>40445</v>
      </c>
      <c r="S1" s="24">
        <f t="shared" si="0"/>
        <v>40512</v>
      </c>
      <c r="T1" s="24">
        <f t="shared" si="0"/>
        <v>40702</v>
      </c>
      <c r="U1" s="24">
        <f t="shared" ref="U1:AY1" si="1">+U2-693960</f>
        <v>40742</v>
      </c>
      <c r="V1" s="24">
        <f t="shared" si="1"/>
        <v>40759</v>
      </c>
      <c r="W1" s="24">
        <f t="shared" si="1"/>
        <v>40854</v>
      </c>
      <c r="X1" s="24">
        <f t="shared" si="1"/>
        <v>40940</v>
      </c>
      <c r="Y1" s="24">
        <f t="shared" si="1"/>
        <v>40975</v>
      </c>
      <c r="Z1" s="24">
        <f t="shared" si="1"/>
        <v>40992</v>
      </c>
      <c r="AA1" s="24">
        <f t="shared" si="1"/>
        <v>41057</v>
      </c>
      <c r="AB1" s="24">
        <f t="shared" si="1"/>
        <v>41075</v>
      </c>
      <c r="AC1" s="24">
        <f t="shared" si="1"/>
        <v>41097</v>
      </c>
      <c r="AD1" s="24">
        <f t="shared" si="1"/>
        <v>41172</v>
      </c>
      <c r="AE1" s="24">
        <f t="shared" si="1"/>
        <v>41205</v>
      </c>
      <c r="AF1" s="24">
        <f t="shared" si="1"/>
        <v>41213</v>
      </c>
      <c r="AG1" s="24">
        <f t="shared" si="1"/>
        <v>41228</v>
      </c>
      <c r="AH1" s="24">
        <f t="shared" si="1"/>
        <v>41253</v>
      </c>
      <c r="AI1" s="24">
        <f t="shared" si="1"/>
        <v>41340</v>
      </c>
      <c r="AJ1" s="24">
        <f t="shared" si="1"/>
        <v>41428</v>
      </c>
      <c r="AK1" s="24">
        <f t="shared" si="1"/>
        <v>41450</v>
      </c>
      <c r="AL1" s="24">
        <f t="shared" si="1"/>
        <v>41506</v>
      </c>
      <c r="AM1" s="24">
        <f t="shared" si="1"/>
        <v>41556</v>
      </c>
      <c r="AN1" s="24">
        <f t="shared" si="1"/>
        <v>41576</v>
      </c>
      <c r="AO1" s="24">
        <f t="shared" si="1"/>
        <v>41627</v>
      </c>
      <c r="AP1" s="24">
        <f t="shared" si="1"/>
        <v>41634</v>
      </c>
      <c r="AQ1" s="24">
        <f t="shared" si="1"/>
        <v>41650</v>
      </c>
      <c r="AR1" s="24">
        <f t="shared" si="1"/>
        <v>41682</v>
      </c>
      <c r="AS1" s="24">
        <f t="shared" si="1"/>
        <v>41710</v>
      </c>
      <c r="AT1" s="24">
        <f t="shared" si="1"/>
        <v>41753</v>
      </c>
      <c r="AU1" s="24">
        <f t="shared" si="1"/>
        <v>41974</v>
      </c>
      <c r="AV1" s="24">
        <f t="shared" si="1"/>
        <v>41997</v>
      </c>
      <c r="AW1" s="24">
        <f t="shared" si="1"/>
        <v>42028</v>
      </c>
      <c r="AX1" s="24">
        <f t="shared" si="1"/>
        <v>42085</v>
      </c>
      <c r="AY1" s="24">
        <f t="shared" si="1"/>
        <v>42104</v>
      </c>
    </row>
    <row r="2" spans="1:51" s="8" customFormat="1">
      <c r="A2" s="16" t="s">
        <v>0</v>
      </c>
      <c r="B2" s="17" t="s">
        <v>1</v>
      </c>
      <c r="C2" s="4">
        <v>732205</v>
      </c>
      <c r="D2" s="4">
        <v>732301</v>
      </c>
      <c r="E2" s="26">
        <v>732960</v>
      </c>
      <c r="F2" s="26">
        <v>733049</v>
      </c>
      <c r="G2" s="26">
        <v>733051</v>
      </c>
      <c r="H2" s="26">
        <v>733587</v>
      </c>
      <c r="I2" s="26">
        <v>733942</v>
      </c>
      <c r="J2" s="26">
        <v>733979</v>
      </c>
      <c r="K2" s="26">
        <v>734005</v>
      </c>
      <c r="L2" s="26">
        <v>734021</v>
      </c>
      <c r="M2" s="17">
        <v>734041</v>
      </c>
      <c r="N2" s="17">
        <v>734139</v>
      </c>
      <c r="O2" s="17">
        <v>734199</v>
      </c>
      <c r="P2" s="17">
        <v>734216</v>
      </c>
      <c r="Q2" s="17">
        <v>734250</v>
      </c>
      <c r="R2" s="17">
        <v>734405</v>
      </c>
      <c r="S2" s="17">
        <v>734472</v>
      </c>
      <c r="T2" s="17">
        <v>734662</v>
      </c>
      <c r="U2" s="17">
        <v>734702</v>
      </c>
      <c r="V2" s="8">
        <v>734719</v>
      </c>
      <c r="W2" s="8">
        <v>734814</v>
      </c>
      <c r="X2" s="8">
        <v>734900</v>
      </c>
      <c r="Y2" s="17">
        <v>734935</v>
      </c>
      <c r="Z2" s="17">
        <v>734952</v>
      </c>
      <c r="AA2" s="17">
        <v>735017</v>
      </c>
      <c r="AB2" s="17">
        <v>735035</v>
      </c>
      <c r="AC2" s="17">
        <v>735057</v>
      </c>
      <c r="AD2" s="17">
        <v>735132</v>
      </c>
      <c r="AE2" s="17">
        <v>735165</v>
      </c>
      <c r="AF2" s="27">
        <v>735173</v>
      </c>
      <c r="AG2" s="17">
        <v>735188</v>
      </c>
      <c r="AH2" s="17">
        <v>735213</v>
      </c>
      <c r="AI2" s="17">
        <v>735300</v>
      </c>
      <c r="AJ2" s="27">
        <v>735388</v>
      </c>
      <c r="AK2" s="27">
        <v>735410</v>
      </c>
      <c r="AL2" s="27">
        <v>735466</v>
      </c>
      <c r="AM2" s="27">
        <v>735516</v>
      </c>
      <c r="AN2" s="27">
        <v>735536</v>
      </c>
      <c r="AO2" s="27">
        <v>735587</v>
      </c>
      <c r="AP2" s="27">
        <v>735594</v>
      </c>
      <c r="AQ2" s="27">
        <v>735610</v>
      </c>
      <c r="AR2" s="27">
        <v>735642</v>
      </c>
      <c r="AS2" s="27">
        <v>735670</v>
      </c>
      <c r="AT2" s="8">
        <v>735713</v>
      </c>
      <c r="AU2" s="36">
        <v>735934</v>
      </c>
      <c r="AV2" s="36">
        <v>735957</v>
      </c>
      <c r="AW2" s="36">
        <v>735988</v>
      </c>
      <c r="AX2" s="36">
        <v>736045</v>
      </c>
      <c r="AY2" s="36">
        <v>736064</v>
      </c>
    </row>
    <row r="3" spans="1:51">
      <c r="A3" s="16">
        <v>1</v>
      </c>
      <c r="B3" s="17" t="s">
        <v>37</v>
      </c>
      <c r="C3" s="17">
        <v>0</v>
      </c>
      <c r="D3" s="17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17">
        <v>0</v>
      </c>
      <c r="S3" s="17">
        <v>0</v>
      </c>
      <c r="T3" s="17">
        <v>0</v>
      </c>
      <c r="U3" s="17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  <c r="AR3" s="28">
        <v>0</v>
      </c>
      <c r="AS3" s="28">
        <v>0</v>
      </c>
      <c r="AT3" s="28">
        <v>0</v>
      </c>
      <c r="AU3" s="28">
        <v>0</v>
      </c>
      <c r="AV3" s="28">
        <v>0</v>
      </c>
      <c r="AW3" s="28">
        <v>0</v>
      </c>
      <c r="AX3" s="28">
        <v>0</v>
      </c>
      <c r="AY3" s="28">
        <v>0</v>
      </c>
    </row>
    <row r="4" spans="1:51">
      <c r="A4" s="16">
        <v>2</v>
      </c>
      <c r="B4" s="17" t="s">
        <v>38</v>
      </c>
      <c r="C4" s="17">
        <v>0</v>
      </c>
      <c r="D4" s="17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0.7</v>
      </c>
      <c r="O4" s="3">
        <v>0.7</v>
      </c>
      <c r="P4" s="3">
        <v>-0.2</v>
      </c>
      <c r="Q4" s="3">
        <v>-0.2</v>
      </c>
      <c r="R4" s="17">
        <v>-1.6369999999999999E-2</v>
      </c>
      <c r="S4" s="17">
        <v>-1.6369999999999999E-2</v>
      </c>
      <c r="T4" s="17">
        <v>-1.6369999999999999E-2</v>
      </c>
      <c r="U4" s="17">
        <v>-1.6369999999999999E-2</v>
      </c>
      <c r="V4" s="28">
        <v>-1.6369999999999999E-2</v>
      </c>
      <c r="W4" s="28">
        <v>-1.6369999999999999E-2</v>
      </c>
      <c r="X4" s="28">
        <v>-1.6369999999999999E-2</v>
      </c>
      <c r="Y4" s="28">
        <v>-1.6369999999999999E-2</v>
      </c>
      <c r="Z4" s="28">
        <v>-1.6369999999999999E-2</v>
      </c>
      <c r="AA4" s="28">
        <v>-1.6369999999999999E-2</v>
      </c>
      <c r="AB4" s="28">
        <v>-1.6369999999999999E-2</v>
      </c>
      <c r="AC4" s="28">
        <v>-1.6369999999999999E-2</v>
      </c>
      <c r="AD4" s="28">
        <v>-1.6369999999999999E-2</v>
      </c>
      <c r="AE4" s="28">
        <v>-1.6369999999999999E-2</v>
      </c>
      <c r="AF4" s="28">
        <v>-1.6369999999999999E-2</v>
      </c>
      <c r="AG4" s="28">
        <v>-1.6369999999999999E-2</v>
      </c>
      <c r="AH4" s="28">
        <v>-1.6369999999999999E-2</v>
      </c>
      <c r="AI4" s="28">
        <v>2.92E-2</v>
      </c>
      <c r="AJ4" s="28">
        <v>2.92E-2</v>
      </c>
      <c r="AK4" s="28">
        <v>2.92E-2</v>
      </c>
      <c r="AL4" s="28">
        <v>2.92E-2</v>
      </c>
      <c r="AM4" s="28">
        <v>2.92E-2</v>
      </c>
      <c r="AN4" s="28">
        <v>2.92E-2</v>
      </c>
      <c r="AO4" s="28">
        <v>2.92E-2</v>
      </c>
      <c r="AP4" s="28">
        <v>2.92E-2</v>
      </c>
      <c r="AQ4" s="28">
        <v>2.92E-2</v>
      </c>
      <c r="AR4" s="28">
        <v>2.92E-2</v>
      </c>
      <c r="AS4" s="28">
        <v>2.92E-2</v>
      </c>
      <c r="AT4" s="28">
        <v>2.92E-2</v>
      </c>
      <c r="AU4" s="28">
        <v>2.92E-2</v>
      </c>
      <c r="AV4" s="28">
        <v>2.92E-2</v>
      </c>
      <c r="AW4" s="28">
        <v>2.92E-2</v>
      </c>
      <c r="AX4" s="28">
        <v>2.92E-2</v>
      </c>
      <c r="AY4" s="28">
        <v>2.92E-2</v>
      </c>
    </row>
    <row r="5" spans="1:51">
      <c r="A5" s="16">
        <v>3</v>
      </c>
      <c r="B5" s="17" t="s">
        <v>39</v>
      </c>
      <c r="C5" s="17">
        <v>0</v>
      </c>
      <c r="D5" s="17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0.26</v>
      </c>
      <c r="Q5" s="3">
        <v>0.26</v>
      </c>
      <c r="R5" s="17">
        <v>3.8179999999999999E-2</v>
      </c>
      <c r="S5" s="17">
        <v>3.8179999999999999E-2</v>
      </c>
      <c r="T5" s="17">
        <v>3.8179999999999999E-2</v>
      </c>
      <c r="U5" s="17">
        <v>3.8179999999999999E-2</v>
      </c>
      <c r="V5" s="28">
        <v>3.8179999999999999E-2</v>
      </c>
      <c r="W5" s="28">
        <v>3.8179999999999999E-2</v>
      </c>
      <c r="X5" s="28">
        <v>3.8179999999999999E-2</v>
      </c>
      <c r="Y5" s="28">
        <v>3.8179999999999999E-2</v>
      </c>
      <c r="Z5" s="28">
        <v>3.8179999999999999E-2</v>
      </c>
      <c r="AA5" s="28">
        <v>3.8179999999999999E-2</v>
      </c>
      <c r="AB5" s="28">
        <v>3.8179999999999999E-2</v>
      </c>
      <c r="AC5" s="28">
        <v>3.8179999999999999E-2</v>
      </c>
      <c r="AD5" s="28">
        <v>3.8179999999999999E-2</v>
      </c>
      <c r="AE5" s="28">
        <v>3.8179999999999999E-2</v>
      </c>
      <c r="AF5" s="28">
        <v>3.8179999999999999E-2</v>
      </c>
      <c r="AG5" s="28">
        <v>3.8179999999999999E-2</v>
      </c>
      <c r="AH5" s="28">
        <v>3.8179999999999999E-2</v>
      </c>
      <c r="AI5" s="28">
        <v>0.21490000000000001</v>
      </c>
      <c r="AJ5" s="28">
        <v>0.21490000000000001</v>
      </c>
      <c r="AK5" s="28">
        <v>0.21490000000000001</v>
      </c>
      <c r="AL5" s="28">
        <v>0.21490000000000001</v>
      </c>
      <c r="AM5" s="28">
        <v>0.21490000000000001</v>
      </c>
      <c r="AN5" s="28">
        <v>0.21490000000000001</v>
      </c>
      <c r="AO5" s="28">
        <v>0.21490000000000001</v>
      </c>
      <c r="AP5" s="28">
        <v>0.21490000000000001</v>
      </c>
      <c r="AQ5" s="28">
        <v>0.21490000000000001</v>
      </c>
      <c r="AR5" s="28">
        <v>0.21490000000000001</v>
      </c>
      <c r="AS5" s="28">
        <v>0.21490000000000001</v>
      </c>
      <c r="AT5" s="28">
        <v>0.21490000000000001</v>
      </c>
      <c r="AU5" s="28">
        <v>0.21490000000000001</v>
      </c>
      <c r="AV5" s="28">
        <v>0.21490000000000001</v>
      </c>
      <c r="AW5" s="28">
        <v>0.21490000000000001</v>
      </c>
      <c r="AX5" s="28">
        <v>0.21490000000000001</v>
      </c>
      <c r="AY5" s="28">
        <v>0.21490000000000001</v>
      </c>
    </row>
    <row r="6" spans="1:51">
      <c r="A6" s="16">
        <v>4</v>
      </c>
      <c r="B6" s="17" t="s">
        <v>40</v>
      </c>
      <c r="C6" s="17">
        <v>0</v>
      </c>
      <c r="D6" s="17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0.1</v>
      </c>
      <c r="O6" s="3">
        <v>0.7</v>
      </c>
      <c r="P6" s="3">
        <v>0.44</v>
      </c>
      <c r="Q6" s="3">
        <v>0.44</v>
      </c>
      <c r="R6" s="17">
        <v>0.20943999999999999</v>
      </c>
      <c r="S6" s="17">
        <v>0.20943999999999999</v>
      </c>
      <c r="T6" s="17">
        <v>0.20943999999999999</v>
      </c>
      <c r="U6" s="17">
        <v>0.20943999999999999</v>
      </c>
      <c r="V6" s="28">
        <v>0.20943999999999999</v>
      </c>
      <c r="W6" s="28">
        <v>0.20943999999999999</v>
      </c>
      <c r="X6" s="28">
        <v>0.20943999999999999</v>
      </c>
      <c r="Y6" s="28">
        <v>0.20943999999999999</v>
      </c>
      <c r="Z6" s="28">
        <v>0.20943999999999999</v>
      </c>
      <c r="AA6" s="28">
        <v>0.20943999999999999</v>
      </c>
      <c r="AB6" s="28">
        <v>0.20943999999999999</v>
      </c>
      <c r="AC6" s="28">
        <v>0.20943999999999999</v>
      </c>
      <c r="AD6" s="28">
        <v>0.20943999999999999</v>
      </c>
      <c r="AE6" s="28">
        <v>0.20943999999999999</v>
      </c>
      <c r="AF6" s="28">
        <v>0.20943999999999999</v>
      </c>
      <c r="AG6" s="28">
        <v>0.20943999999999999</v>
      </c>
      <c r="AH6" s="28">
        <v>0.20943999999999999</v>
      </c>
      <c r="AI6" s="28">
        <v>0.38400000000000001</v>
      </c>
      <c r="AJ6" s="28">
        <v>0.38400000000000001</v>
      </c>
      <c r="AK6" s="28">
        <v>0.38400000000000001</v>
      </c>
      <c r="AL6" s="28">
        <v>0.38400000000000001</v>
      </c>
      <c r="AM6" s="28">
        <v>0.38400000000000001</v>
      </c>
      <c r="AN6" s="28">
        <v>0.38400000000000001</v>
      </c>
      <c r="AO6" s="28">
        <v>0.38400000000000001</v>
      </c>
      <c r="AP6" s="28">
        <v>0.38400000000000001</v>
      </c>
      <c r="AQ6" s="28">
        <v>0.38400000000000001</v>
      </c>
      <c r="AR6" s="28">
        <v>0.38400000000000001</v>
      </c>
      <c r="AS6" s="28">
        <v>0.38400000000000001</v>
      </c>
      <c r="AT6" s="28">
        <v>0.38400000000000001</v>
      </c>
      <c r="AU6" s="28">
        <v>0.38400000000000001</v>
      </c>
      <c r="AV6" s="28">
        <v>0.38400000000000001</v>
      </c>
      <c r="AW6" s="28">
        <v>0.38400000000000001</v>
      </c>
      <c r="AX6" s="28">
        <v>0.38400000000000001</v>
      </c>
      <c r="AY6" s="28">
        <v>0.38400000000000001</v>
      </c>
    </row>
    <row r="7" spans="1:51">
      <c r="A7" s="16">
        <v>5</v>
      </c>
      <c r="B7" s="17" t="s">
        <v>41</v>
      </c>
      <c r="C7" s="17">
        <v>0</v>
      </c>
      <c r="D7" s="17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0.1</v>
      </c>
      <c r="O7" s="3">
        <v>0.1</v>
      </c>
      <c r="P7" s="3">
        <v>0.23</v>
      </c>
      <c r="Q7" s="3">
        <v>0.23</v>
      </c>
      <c r="R7" s="17">
        <v>-0.17612</v>
      </c>
      <c r="S7" s="17">
        <v>-0.17612</v>
      </c>
      <c r="T7" s="17">
        <v>-0.17612</v>
      </c>
      <c r="U7" s="17">
        <v>-0.17612</v>
      </c>
      <c r="V7" s="28">
        <v>-0.17612</v>
      </c>
      <c r="W7" s="28">
        <v>-0.17612</v>
      </c>
      <c r="X7" s="28">
        <v>-0.17612</v>
      </c>
      <c r="Y7" s="28">
        <v>-0.17612</v>
      </c>
      <c r="Z7" s="28">
        <v>-0.17612</v>
      </c>
      <c r="AA7" s="28">
        <v>-0.17612</v>
      </c>
      <c r="AB7" s="28">
        <v>-0.17612</v>
      </c>
      <c r="AC7" s="28">
        <v>-0.17612</v>
      </c>
      <c r="AD7" s="28">
        <v>-0.17612</v>
      </c>
      <c r="AE7" s="28">
        <v>-0.17612</v>
      </c>
      <c r="AF7" s="28">
        <v>-0.17612</v>
      </c>
      <c r="AG7" s="28">
        <v>-0.17612</v>
      </c>
      <c r="AH7" s="28">
        <v>-0.17612</v>
      </c>
      <c r="AI7" s="28">
        <v>0.4919</v>
      </c>
      <c r="AJ7" s="28">
        <v>0.4919</v>
      </c>
      <c r="AK7" s="28">
        <v>0.4919</v>
      </c>
      <c r="AL7" s="28">
        <v>0.4919</v>
      </c>
      <c r="AM7" s="28">
        <v>0.4919</v>
      </c>
      <c r="AN7" s="28">
        <v>0.4919</v>
      </c>
      <c r="AO7" s="28">
        <v>0.4919</v>
      </c>
      <c r="AP7" s="28">
        <v>0.4919</v>
      </c>
      <c r="AQ7" s="28">
        <v>0.4919</v>
      </c>
      <c r="AR7" s="28">
        <v>0.4919</v>
      </c>
      <c r="AS7" s="28">
        <v>0.4919</v>
      </c>
      <c r="AT7" s="28">
        <v>0.4919</v>
      </c>
      <c r="AU7" s="28">
        <v>0.4919</v>
      </c>
      <c r="AV7" s="28">
        <v>0.4919</v>
      </c>
      <c r="AW7" s="28">
        <v>0.4919</v>
      </c>
      <c r="AX7" s="28">
        <v>0.4919</v>
      </c>
      <c r="AY7" s="28">
        <v>0.4919</v>
      </c>
    </row>
    <row r="8" spans="1:51">
      <c r="A8" s="16">
        <v>6</v>
      </c>
      <c r="B8" s="17" t="s">
        <v>42</v>
      </c>
      <c r="C8" s="17">
        <v>0</v>
      </c>
      <c r="D8" s="17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17">
        <v>0</v>
      </c>
      <c r="S8" s="17">
        <v>0</v>
      </c>
      <c r="T8" s="17">
        <v>0</v>
      </c>
      <c r="U8" s="17">
        <v>0</v>
      </c>
      <c r="V8" s="28">
        <v>0</v>
      </c>
      <c r="W8" s="28">
        <v>0</v>
      </c>
      <c r="X8" s="28">
        <v>0</v>
      </c>
      <c r="Y8" s="28">
        <v>0</v>
      </c>
      <c r="Z8" s="28">
        <v>0</v>
      </c>
      <c r="AA8" s="28">
        <v>0</v>
      </c>
      <c r="AB8" s="28">
        <v>0</v>
      </c>
      <c r="AC8" s="28">
        <v>0</v>
      </c>
      <c r="AD8" s="28">
        <v>0</v>
      </c>
      <c r="AE8" s="28">
        <v>0</v>
      </c>
      <c r="AF8" s="28">
        <v>0</v>
      </c>
      <c r="AG8" s="28">
        <v>0</v>
      </c>
      <c r="AH8" s="28">
        <v>0</v>
      </c>
      <c r="AI8" s="28">
        <v>0</v>
      </c>
      <c r="AJ8" s="28">
        <v>0</v>
      </c>
      <c r="AK8" s="28">
        <v>0</v>
      </c>
      <c r="AL8" s="28">
        <v>0</v>
      </c>
      <c r="AM8" s="28">
        <v>0</v>
      </c>
      <c r="AN8" s="28">
        <v>0</v>
      </c>
      <c r="AO8" s="28">
        <v>0</v>
      </c>
      <c r="AP8" s="28">
        <v>0</v>
      </c>
      <c r="AQ8" s="28">
        <v>0</v>
      </c>
      <c r="AR8" s="28">
        <v>0</v>
      </c>
      <c r="AS8" s="28">
        <v>0</v>
      </c>
      <c r="AT8" s="28">
        <v>0</v>
      </c>
      <c r="AU8" s="28">
        <v>0</v>
      </c>
      <c r="AV8" s="28">
        <v>0</v>
      </c>
      <c r="AW8" s="28">
        <v>0</v>
      </c>
      <c r="AX8" s="28">
        <v>0</v>
      </c>
      <c r="AY8" s="28">
        <v>0</v>
      </c>
    </row>
    <row r="9" spans="1:51">
      <c r="A9" s="16">
        <v>7</v>
      </c>
      <c r="B9" s="17" t="s">
        <v>43</v>
      </c>
      <c r="C9" s="17">
        <v>0.34050000000000002</v>
      </c>
      <c r="D9" s="17">
        <v>0.34050000000000002</v>
      </c>
      <c r="E9" s="3">
        <v>0.34050000000000002</v>
      </c>
      <c r="F9" s="3">
        <v>0.34050000000000002</v>
      </c>
      <c r="G9" s="3">
        <v>0.34050000000000002</v>
      </c>
      <c r="H9" s="3">
        <v>0.34050000000000002</v>
      </c>
      <c r="I9" s="3">
        <v>0.34050000000000002</v>
      </c>
      <c r="J9" s="3">
        <v>0.34050000000000002</v>
      </c>
      <c r="K9" s="3">
        <v>0.34050000000000002</v>
      </c>
      <c r="L9" s="30">
        <v>0.34150000000000003</v>
      </c>
      <c r="M9" s="30">
        <v>0.34150000000000003</v>
      </c>
      <c r="N9" s="30">
        <v>0.34150000000000003</v>
      </c>
      <c r="O9" s="30">
        <v>0.34150000000000003</v>
      </c>
      <c r="P9" s="30">
        <v>0.34399999999999997</v>
      </c>
      <c r="Q9" s="30">
        <v>0.34399999999999997</v>
      </c>
      <c r="R9" s="17">
        <v>0.34150000000000003</v>
      </c>
      <c r="S9" s="17">
        <v>0.34150000000000003</v>
      </c>
      <c r="T9" s="17">
        <v>0.34150000000000003</v>
      </c>
      <c r="U9" s="17">
        <v>0.34150000000000003</v>
      </c>
      <c r="V9" s="28">
        <v>0.34350000000000003</v>
      </c>
      <c r="W9" s="28">
        <v>0.34350000000000003</v>
      </c>
      <c r="X9" s="28">
        <v>0.34350000000000003</v>
      </c>
      <c r="Y9" s="28">
        <v>0.34350000000000003</v>
      </c>
      <c r="Z9" s="28">
        <v>0.34350000000000003</v>
      </c>
      <c r="AA9" s="28">
        <v>0.34350000000000003</v>
      </c>
      <c r="AB9" s="28">
        <v>0.34350000000000003</v>
      </c>
      <c r="AC9" s="28">
        <v>0.34350000000000003</v>
      </c>
      <c r="AD9" s="28">
        <v>0.34350000000000003</v>
      </c>
      <c r="AE9" s="28">
        <v>0.34350000000000003</v>
      </c>
      <c r="AF9" s="28">
        <v>0.34350000000000003</v>
      </c>
      <c r="AG9" s="28">
        <v>0.34350000000000003</v>
      </c>
      <c r="AH9" s="28">
        <v>0.34350000000000003</v>
      </c>
      <c r="AI9" s="28">
        <v>0.34350000000000003</v>
      </c>
      <c r="AJ9" s="28">
        <v>0.34350000000000003</v>
      </c>
      <c r="AK9" s="28">
        <v>0.34350000000000003</v>
      </c>
      <c r="AL9" s="28">
        <v>0.34350000000000003</v>
      </c>
      <c r="AM9" s="28">
        <v>0.34350000000000003</v>
      </c>
      <c r="AN9" s="28">
        <v>0.34350000000000003</v>
      </c>
      <c r="AO9" s="28">
        <v>0.34350000000000003</v>
      </c>
      <c r="AP9" s="28">
        <v>0.34100000000000003</v>
      </c>
      <c r="AQ9" s="28">
        <v>0.34100000000000003</v>
      </c>
      <c r="AR9" s="28">
        <v>0.34100000000000003</v>
      </c>
      <c r="AS9" s="28">
        <v>0.34100000000000003</v>
      </c>
      <c r="AT9" s="28">
        <v>0.34100000000000003</v>
      </c>
      <c r="AU9" s="28">
        <v>0.34100000000000003</v>
      </c>
      <c r="AV9" s="28">
        <v>0.34100000000000003</v>
      </c>
      <c r="AW9" s="28">
        <v>0.34100000000000003</v>
      </c>
      <c r="AX9" s="28">
        <v>0.34100000000000003</v>
      </c>
      <c r="AY9" s="28">
        <v>0.34100000000000003</v>
      </c>
    </row>
    <row r="10" spans="1:51">
      <c r="A10" s="16">
        <v>8</v>
      </c>
      <c r="B10" s="17" t="s">
        <v>44</v>
      </c>
      <c r="C10" s="17">
        <v>2.35</v>
      </c>
      <c r="D10" s="17">
        <v>2.35</v>
      </c>
      <c r="E10" s="30">
        <v>2.35</v>
      </c>
      <c r="F10" s="30">
        <v>2.35</v>
      </c>
      <c r="G10" s="30">
        <v>2.35</v>
      </c>
      <c r="H10" s="30">
        <v>2.35</v>
      </c>
      <c r="I10" s="30">
        <v>2.35</v>
      </c>
      <c r="J10" s="30">
        <v>2.35</v>
      </c>
      <c r="K10" s="30">
        <v>2.35</v>
      </c>
      <c r="L10" s="30">
        <v>2.35</v>
      </c>
      <c r="M10" s="30">
        <v>2.35</v>
      </c>
      <c r="N10" s="30">
        <v>2.35</v>
      </c>
      <c r="O10" s="30">
        <v>2.35</v>
      </c>
      <c r="P10" s="30">
        <v>2.35</v>
      </c>
      <c r="Q10" s="30">
        <v>2.35</v>
      </c>
      <c r="R10" s="17">
        <v>2.35</v>
      </c>
      <c r="S10" s="17">
        <v>2.35</v>
      </c>
      <c r="T10" s="17">
        <v>2.35</v>
      </c>
      <c r="U10" s="17">
        <v>2.35</v>
      </c>
      <c r="V10" s="28">
        <v>2.35</v>
      </c>
      <c r="W10" s="28">
        <v>2.35</v>
      </c>
      <c r="X10" s="28">
        <v>2.35</v>
      </c>
      <c r="Y10" s="28">
        <v>2.35</v>
      </c>
      <c r="Z10" s="28">
        <v>2.35</v>
      </c>
      <c r="AA10" s="28">
        <v>2.35</v>
      </c>
      <c r="AB10" s="28">
        <v>2.35</v>
      </c>
      <c r="AC10" s="28">
        <v>2.35</v>
      </c>
      <c r="AD10" s="28">
        <v>2.35</v>
      </c>
      <c r="AE10" s="28">
        <v>2.35</v>
      </c>
      <c r="AF10" s="28">
        <v>2.35</v>
      </c>
      <c r="AG10" s="28">
        <v>2.35</v>
      </c>
      <c r="AH10" s="28">
        <v>2.35</v>
      </c>
      <c r="AI10" s="28">
        <v>2.35</v>
      </c>
      <c r="AJ10" s="28">
        <v>2.35</v>
      </c>
      <c r="AK10" s="28">
        <v>2.35</v>
      </c>
      <c r="AL10" s="28">
        <v>2.35</v>
      </c>
      <c r="AM10" s="28">
        <v>2.35</v>
      </c>
      <c r="AN10" s="28">
        <v>2.35</v>
      </c>
      <c r="AO10" s="28">
        <v>2.35</v>
      </c>
      <c r="AP10" s="28">
        <v>2.35</v>
      </c>
      <c r="AQ10" s="28">
        <v>2.35</v>
      </c>
      <c r="AR10" s="28">
        <v>2.35</v>
      </c>
      <c r="AS10" s="28">
        <v>2.35</v>
      </c>
      <c r="AT10" s="28">
        <v>2.35</v>
      </c>
      <c r="AU10" s="28">
        <v>2.35</v>
      </c>
      <c r="AV10" s="28">
        <v>2.35</v>
      </c>
      <c r="AW10" s="28">
        <v>2.35</v>
      </c>
      <c r="AX10" s="28">
        <v>2.35</v>
      </c>
      <c r="AY10" s="28">
        <v>2.35</v>
      </c>
    </row>
    <row r="11" spans="1:51">
      <c r="A11" s="16">
        <v>9</v>
      </c>
      <c r="B11" s="17" t="s">
        <v>45</v>
      </c>
      <c r="C11" s="17">
        <v>1.1559999999999999</v>
      </c>
      <c r="D11" s="17">
        <v>1.1559999999999999</v>
      </c>
      <c r="E11" s="17">
        <v>1.1559999999999999</v>
      </c>
      <c r="F11" s="17">
        <v>1.1559999999999999</v>
      </c>
      <c r="G11" s="17">
        <v>1.1559999999999999</v>
      </c>
      <c r="H11" s="32">
        <v>1.1459999999999999</v>
      </c>
      <c r="I11" s="32">
        <v>1.1459999999999999</v>
      </c>
      <c r="J11" s="32">
        <v>1.1459999999999999</v>
      </c>
      <c r="K11" s="32">
        <v>1.1459999999999999</v>
      </c>
      <c r="L11" s="30">
        <v>1.1459999999999999</v>
      </c>
      <c r="M11" s="30">
        <v>1.1459999999999999</v>
      </c>
      <c r="N11" s="30">
        <v>1.1459999999999999</v>
      </c>
      <c r="O11" s="30">
        <v>1.1459999999999999</v>
      </c>
      <c r="P11" s="30">
        <v>1.1459999999999999</v>
      </c>
      <c r="Q11" s="30">
        <v>1.1459999999999999</v>
      </c>
      <c r="R11" s="17">
        <v>1.1459999999999999</v>
      </c>
      <c r="S11" s="17">
        <v>1.1459999999999999</v>
      </c>
      <c r="T11" s="17">
        <v>1.1459999999999999</v>
      </c>
      <c r="U11" s="17">
        <v>1.1459999999999999</v>
      </c>
      <c r="V11" s="28">
        <v>1.46</v>
      </c>
      <c r="W11" s="28">
        <v>1.46</v>
      </c>
      <c r="X11" s="28">
        <v>1.46</v>
      </c>
      <c r="Y11" s="28">
        <v>1.46</v>
      </c>
      <c r="Z11" s="28">
        <v>1.46</v>
      </c>
      <c r="AA11" s="28">
        <v>1.46</v>
      </c>
      <c r="AB11" s="28">
        <v>1.46</v>
      </c>
      <c r="AC11" s="28">
        <v>1.46</v>
      </c>
      <c r="AD11" s="28">
        <v>1.46</v>
      </c>
      <c r="AE11" s="28">
        <v>1.46</v>
      </c>
      <c r="AF11" s="28">
        <v>1.46</v>
      </c>
      <c r="AG11" s="28">
        <v>1.46</v>
      </c>
      <c r="AH11" s="28">
        <v>1.46</v>
      </c>
      <c r="AI11" s="28">
        <v>1.46</v>
      </c>
      <c r="AJ11" s="28">
        <v>1.46</v>
      </c>
      <c r="AK11" s="28">
        <v>1.46</v>
      </c>
      <c r="AL11" s="28">
        <v>1.46</v>
      </c>
      <c r="AM11" s="28">
        <v>1.46</v>
      </c>
      <c r="AN11" s="28">
        <v>1.46</v>
      </c>
      <c r="AO11" s="28">
        <v>1.46</v>
      </c>
      <c r="AP11" s="28">
        <v>1.46</v>
      </c>
      <c r="AQ11" s="28">
        <v>1.46</v>
      </c>
      <c r="AR11" s="28">
        <v>1.46</v>
      </c>
      <c r="AS11" s="28">
        <v>1.46</v>
      </c>
      <c r="AT11" s="28">
        <v>1.46</v>
      </c>
      <c r="AU11" s="28">
        <v>1.46</v>
      </c>
      <c r="AV11" s="28">
        <v>1.46</v>
      </c>
      <c r="AW11" s="28">
        <v>1.46</v>
      </c>
      <c r="AX11" s="28">
        <v>1.46</v>
      </c>
      <c r="AY11" s="28">
        <v>1.46</v>
      </c>
    </row>
    <row r="12" spans="1:51" s="8" customFormat="1">
      <c r="A12" s="16">
        <v>10</v>
      </c>
      <c r="B12" s="17" t="s">
        <v>46</v>
      </c>
      <c r="C12" s="17">
        <v>1650</v>
      </c>
      <c r="D12" s="17">
        <v>1640</v>
      </c>
      <c r="E12" s="33">
        <v>1700</v>
      </c>
      <c r="F12" s="33">
        <v>1700</v>
      </c>
      <c r="G12" s="33">
        <v>1700</v>
      </c>
      <c r="H12" s="33">
        <v>1700</v>
      </c>
      <c r="I12" s="33">
        <v>1700</v>
      </c>
      <c r="J12" s="33">
        <v>1700</v>
      </c>
      <c r="K12" s="26">
        <v>1768</v>
      </c>
      <c r="L12" s="26">
        <v>1610</v>
      </c>
      <c r="M12" s="26">
        <v>1610</v>
      </c>
      <c r="N12" s="26">
        <v>1610</v>
      </c>
      <c r="O12" s="26">
        <v>1610</v>
      </c>
      <c r="P12" s="26">
        <v>1610</v>
      </c>
      <c r="Q12" s="26">
        <v>1600</v>
      </c>
      <c r="R12" s="17">
        <v>1595</v>
      </c>
      <c r="S12" s="17">
        <v>1595</v>
      </c>
      <c r="T12" s="17">
        <v>1595</v>
      </c>
      <c r="U12" s="17">
        <v>1600</v>
      </c>
      <c r="V12" s="8">
        <v>1580</v>
      </c>
      <c r="W12" s="8">
        <v>1580</v>
      </c>
      <c r="X12" s="8">
        <v>1580</v>
      </c>
      <c r="Y12" s="8">
        <v>1580</v>
      </c>
      <c r="Z12" s="8">
        <v>1590</v>
      </c>
      <c r="AA12" s="8">
        <v>1590</v>
      </c>
      <c r="AB12" s="8">
        <v>1590</v>
      </c>
      <c r="AC12" s="8">
        <v>1590</v>
      </c>
      <c r="AD12" s="8">
        <v>1590</v>
      </c>
      <c r="AE12" s="8">
        <v>1590</v>
      </c>
      <c r="AF12" s="8">
        <v>1590</v>
      </c>
      <c r="AG12" s="8">
        <v>1590</v>
      </c>
      <c r="AH12" s="8">
        <v>1600</v>
      </c>
      <c r="AI12" s="8">
        <v>1645</v>
      </c>
      <c r="AJ12" s="8">
        <v>1645</v>
      </c>
      <c r="AK12" s="8">
        <v>1645</v>
      </c>
      <c r="AL12" s="8">
        <v>1645</v>
      </c>
      <c r="AM12" s="8">
        <v>1575</v>
      </c>
      <c r="AN12" s="8">
        <v>1575</v>
      </c>
      <c r="AO12" s="8">
        <v>1575</v>
      </c>
      <c r="AP12" s="8">
        <v>1575</v>
      </c>
      <c r="AQ12" s="8">
        <v>1575</v>
      </c>
      <c r="AR12" s="8">
        <v>1575</v>
      </c>
      <c r="AS12" s="8">
        <v>1570</v>
      </c>
      <c r="AT12" s="8">
        <v>1570</v>
      </c>
      <c r="AU12" s="8">
        <v>1570</v>
      </c>
      <c r="AV12" s="8">
        <v>1600</v>
      </c>
      <c r="AW12" s="8">
        <v>1640</v>
      </c>
      <c r="AX12" s="8">
        <v>1640</v>
      </c>
      <c r="AY12" s="8">
        <v>1640</v>
      </c>
    </row>
    <row r="13" spans="1:51" s="8" customFormat="1">
      <c r="A13" s="16">
        <v>11</v>
      </c>
      <c r="B13" s="17" t="s">
        <v>47</v>
      </c>
      <c r="C13" s="17">
        <v>394</v>
      </c>
      <c r="D13" s="17">
        <v>394</v>
      </c>
      <c r="E13" s="33">
        <v>430</v>
      </c>
      <c r="F13" s="33">
        <v>430</v>
      </c>
      <c r="G13" s="33">
        <v>430</v>
      </c>
      <c r="H13" s="26">
        <v>430</v>
      </c>
      <c r="I13" s="26">
        <v>430</v>
      </c>
      <c r="J13" s="26">
        <v>430</v>
      </c>
      <c r="K13" s="26">
        <v>555</v>
      </c>
      <c r="L13" s="26">
        <v>250</v>
      </c>
      <c r="M13" s="26">
        <v>250</v>
      </c>
      <c r="N13" s="26">
        <v>250</v>
      </c>
      <c r="O13" s="26">
        <v>250</v>
      </c>
      <c r="P13" s="26">
        <v>250</v>
      </c>
      <c r="Q13" s="26">
        <v>250</v>
      </c>
      <c r="R13" s="17">
        <v>260</v>
      </c>
      <c r="S13" s="17">
        <v>260</v>
      </c>
      <c r="T13" s="17">
        <v>260</v>
      </c>
      <c r="U13" s="17">
        <v>270</v>
      </c>
      <c r="V13" s="17">
        <v>270</v>
      </c>
      <c r="W13" s="17">
        <v>270</v>
      </c>
      <c r="X13" s="17">
        <v>270</v>
      </c>
      <c r="Y13" s="17">
        <v>270</v>
      </c>
      <c r="Z13" s="17">
        <v>270</v>
      </c>
      <c r="AA13" s="17">
        <v>270</v>
      </c>
      <c r="AB13" s="17">
        <v>270</v>
      </c>
      <c r="AC13" s="17">
        <v>270</v>
      </c>
      <c r="AD13" s="17">
        <v>270</v>
      </c>
      <c r="AE13" s="17">
        <v>270</v>
      </c>
      <c r="AF13" s="17">
        <v>270</v>
      </c>
      <c r="AG13" s="17">
        <v>270</v>
      </c>
      <c r="AH13" s="17">
        <v>270</v>
      </c>
      <c r="AI13" s="17">
        <v>270</v>
      </c>
      <c r="AJ13" s="17">
        <v>270</v>
      </c>
      <c r="AK13" s="17">
        <v>270</v>
      </c>
      <c r="AL13" s="17">
        <v>270</v>
      </c>
      <c r="AM13" s="17">
        <v>270</v>
      </c>
      <c r="AN13" s="17">
        <v>270</v>
      </c>
      <c r="AO13" s="17">
        <v>270</v>
      </c>
      <c r="AP13" s="17">
        <v>270</v>
      </c>
      <c r="AQ13" s="17">
        <v>270</v>
      </c>
      <c r="AR13" s="17">
        <v>270</v>
      </c>
      <c r="AS13" s="17">
        <v>270</v>
      </c>
      <c r="AT13" s="17">
        <v>270</v>
      </c>
      <c r="AU13" s="17">
        <v>270</v>
      </c>
      <c r="AV13" s="17">
        <v>270</v>
      </c>
      <c r="AW13" s="17">
        <v>270</v>
      </c>
      <c r="AX13" s="17">
        <v>270</v>
      </c>
      <c r="AY13" s="17">
        <v>270</v>
      </c>
    </row>
    <row r="14" spans="1:51" s="20" customFormat="1">
      <c r="A14" s="16">
        <v>12</v>
      </c>
      <c r="B14" s="17" t="s">
        <v>48</v>
      </c>
      <c r="C14" s="17">
        <v>2.6000000000000001E-8</v>
      </c>
      <c r="D14" s="17">
        <v>2.6000000000000001E-8</v>
      </c>
      <c r="E14" s="18">
        <v>2.6000000000000001E-8</v>
      </c>
      <c r="F14" s="18">
        <v>2.6000000000000001E-8</v>
      </c>
      <c r="G14" s="18">
        <v>2.6000000000000001E-8</v>
      </c>
      <c r="H14" s="19">
        <v>2.6000000000000001E-8</v>
      </c>
      <c r="I14" s="19">
        <v>2.6000000000000001E-8</v>
      </c>
      <c r="J14" s="19">
        <v>2.6000000000000001E-8</v>
      </c>
      <c r="K14" s="19">
        <v>2.6000000000000001E-8</v>
      </c>
      <c r="L14" s="19">
        <v>2.6000000000000001E-8</v>
      </c>
      <c r="M14" s="19">
        <v>2.6000000000000001E-8</v>
      </c>
      <c r="N14" s="19">
        <v>2.6000000000000001E-8</v>
      </c>
      <c r="O14" s="19">
        <v>2.6000000000000001E-8</v>
      </c>
      <c r="P14" s="19">
        <v>2.6000000000000001E-8</v>
      </c>
      <c r="Q14" s="19">
        <v>2.6000000000000001E-8</v>
      </c>
      <c r="R14" s="17">
        <v>2.6000000000000001E-8</v>
      </c>
      <c r="S14" s="17">
        <v>2.6000000000000001E-8</v>
      </c>
      <c r="T14" s="17">
        <v>2.6000000000000001E-8</v>
      </c>
      <c r="U14" s="17">
        <v>2.6000000000000001E-8</v>
      </c>
      <c r="V14" s="17">
        <v>2.3000000000000001E-8</v>
      </c>
      <c r="W14" s="17">
        <v>2.3000000000000001E-8</v>
      </c>
      <c r="X14" s="17">
        <v>2.3000000000000001E-8</v>
      </c>
      <c r="Y14" s="17">
        <v>2.3000000000000001E-8</v>
      </c>
      <c r="Z14" s="17">
        <v>2.3000000000000001E-8</v>
      </c>
      <c r="AA14" s="17">
        <v>2.3000000000000001E-8</v>
      </c>
      <c r="AB14" s="17">
        <v>2.3000000000000001E-8</v>
      </c>
      <c r="AC14" s="17">
        <v>2.3000000000000001E-8</v>
      </c>
      <c r="AD14" s="17">
        <v>2.3000000000000001E-8</v>
      </c>
      <c r="AE14" s="17">
        <v>2.3000000000000001E-8</v>
      </c>
      <c r="AF14" s="17">
        <v>2.3000000000000001E-8</v>
      </c>
      <c r="AG14" s="17">
        <v>2.3000000000000001E-8</v>
      </c>
      <c r="AH14" s="17">
        <v>2.3000000000000001E-8</v>
      </c>
      <c r="AI14" s="17">
        <v>2.3000000000000001E-8</v>
      </c>
      <c r="AJ14" s="17">
        <v>2.3000000000000001E-8</v>
      </c>
      <c r="AK14" s="17">
        <v>2.3000000000000001E-8</v>
      </c>
      <c r="AL14" s="17">
        <v>2.3000000000000001E-8</v>
      </c>
      <c r="AM14" s="17">
        <v>2.3000000000000001E-8</v>
      </c>
      <c r="AN14" s="17">
        <v>2.3000000000000001E-8</v>
      </c>
      <c r="AO14" s="17">
        <v>2.3000000000000001E-8</v>
      </c>
      <c r="AP14" s="17">
        <v>2.3000000000000001E-8</v>
      </c>
      <c r="AQ14" s="17">
        <v>2.3000000000000001E-8</v>
      </c>
      <c r="AR14" s="17">
        <v>2.3000000000000001E-8</v>
      </c>
      <c r="AS14" s="17">
        <v>2.3000000000000001E-8</v>
      </c>
      <c r="AT14" s="17">
        <v>2.3000000000000001E-8</v>
      </c>
      <c r="AU14" s="17">
        <v>2.3000000000000001E-8</v>
      </c>
      <c r="AV14" s="17">
        <v>2.3000000000000001E-8</v>
      </c>
      <c r="AW14" s="17">
        <v>2.3000000000000001E-8</v>
      </c>
      <c r="AX14" s="17">
        <v>2.3000000000000001E-8</v>
      </c>
      <c r="AY14" s="17">
        <v>2.3000000000000001E-8</v>
      </c>
    </row>
    <row r="15" spans="1:51" s="8" customFormat="1">
      <c r="A15" s="16">
        <v>13</v>
      </c>
      <c r="B15" s="17" t="s">
        <v>49</v>
      </c>
      <c r="C15" s="17">
        <v>285</v>
      </c>
      <c r="D15" s="17">
        <v>285</v>
      </c>
      <c r="E15" s="33">
        <v>1021</v>
      </c>
      <c r="F15" s="33">
        <v>1021</v>
      </c>
      <c r="G15" s="33">
        <v>1021</v>
      </c>
      <c r="H15" s="26">
        <v>1021</v>
      </c>
      <c r="I15" s="26">
        <v>1021</v>
      </c>
      <c r="J15" s="26">
        <v>1021</v>
      </c>
      <c r="K15" s="26">
        <v>1021</v>
      </c>
      <c r="L15" s="26">
        <v>1021</v>
      </c>
      <c r="M15" s="26">
        <v>1021</v>
      </c>
      <c r="N15" s="26">
        <v>1021</v>
      </c>
      <c r="O15" s="26">
        <v>1021</v>
      </c>
      <c r="P15" s="26">
        <v>1021</v>
      </c>
      <c r="Q15" s="26">
        <v>1021</v>
      </c>
      <c r="R15" s="17">
        <v>1023</v>
      </c>
      <c r="S15" s="17">
        <v>1023</v>
      </c>
      <c r="T15" s="17">
        <v>1023</v>
      </c>
      <c r="U15" s="17">
        <v>1023</v>
      </c>
      <c r="V15" s="17">
        <v>1020</v>
      </c>
      <c r="W15" s="17">
        <v>1020</v>
      </c>
      <c r="X15" s="17">
        <v>1020</v>
      </c>
      <c r="Y15" s="17">
        <v>1020</v>
      </c>
      <c r="Z15" s="17">
        <v>1020</v>
      </c>
      <c r="AA15" s="17">
        <v>1020</v>
      </c>
      <c r="AB15" s="17">
        <v>1020</v>
      </c>
      <c r="AC15" s="17">
        <v>1020</v>
      </c>
      <c r="AD15" s="17">
        <v>1020</v>
      </c>
      <c r="AE15" s="17">
        <v>1020</v>
      </c>
      <c r="AF15" s="17">
        <v>1020</v>
      </c>
      <c r="AG15" s="17">
        <v>1020</v>
      </c>
      <c r="AH15" s="17">
        <v>1020</v>
      </c>
      <c r="AI15" s="17">
        <v>1020</v>
      </c>
      <c r="AJ15" s="17">
        <v>1020</v>
      </c>
      <c r="AK15" s="17">
        <v>1020</v>
      </c>
      <c r="AL15" s="17">
        <v>1020</v>
      </c>
      <c r="AM15" s="17">
        <v>1020</v>
      </c>
      <c r="AN15" s="17">
        <v>1020</v>
      </c>
      <c r="AO15" s="17">
        <v>1020</v>
      </c>
      <c r="AP15" s="17">
        <v>1020</v>
      </c>
      <c r="AQ15" s="17">
        <v>1020</v>
      </c>
      <c r="AR15" s="17">
        <v>1020</v>
      </c>
      <c r="AS15" s="17">
        <v>1020</v>
      </c>
      <c r="AT15" s="17">
        <v>1020</v>
      </c>
      <c r="AU15" s="17">
        <v>1020</v>
      </c>
      <c r="AV15" s="17">
        <v>1020</v>
      </c>
      <c r="AW15" s="17">
        <v>1020</v>
      </c>
      <c r="AX15" s="17">
        <v>1020</v>
      </c>
      <c r="AY15" s="17">
        <v>1020</v>
      </c>
    </row>
    <row r="16" spans="1:51" s="8" customFormat="1">
      <c r="A16" s="16">
        <v>14</v>
      </c>
      <c r="B16" s="17" t="s">
        <v>50</v>
      </c>
      <c r="C16" s="17">
        <v>14</v>
      </c>
      <c r="D16" s="17">
        <v>14</v>
      </c>
      <c r="E16" s="33">
        <v>14</v>
      </c>
      <c r="F16" s="33">
        <v>14</v>
      </c>
      <c r="G16" s="33">
        <v>14</v>
      </c>
      <c r="H16" s="26">
        <v>14</v>
      </c>
      <c r="I16" s="26">
        <v>14</v>
      </c>
      <c r="J16" s="26">
        <v>14</v>
      </c>
      <c r="K16" s="26">
        <v>14</v>
      </c>
      <c r="L16" s="26">
        <v>14</v>
      </c>
      <c r="M16" s="26">
        <v>14</v>
      </c>
      <c r="N16" s="26">
        <v>14</v>
      </c>
      <c r="O16" s="26">
        <v>14</v>
      </c>
      <c r="P16" s="26">
        <v>14</v>
      </c>
      <c r="Q16" s="26">
        <v>14</v>
      </c>
      <c r="R16" s="17">
        <v>14</v>
      </c>
      <c r="S16" s="17">
        <v>14</v>
      </c>
      <c r="T16" s="17">
        <v>14</v>
      </c>
      <c r="U16" s="17">
        <v>14</v>
      </c>
      <c r="V16" s="17">
        <v>14</v>
      </c>
      <c r="W16" s="17">
        <v>14</v>
      </c>
      <c r="X16" s="17">
        <v>14</v>
      </c>
      <c r="Y16" s="17">
        <v>14</v>
      </c>
      <c r="Z16" s="17">
        <v>14</v>
      </c>
      <c r="AA16" s="17">
        <v>14</v>
      </c>
      <c r="AB16" s="17">
        <v>14</v>
      </c>
      <c r="AC16" s="17">
        <v>14</v>
      </c>
      <c r="AD16" s="17">
        <v>14</v>
      </c>
      <c r="AE16" s="17">
        <v>14</v>
      </c>
      <c r="AF16" s="17">
        <v>14</v>
      </c>
      <c r="AG16" s="17">
        <v>14</v>
      </c>
      <c r="AH16" s="17">
        <v>14</v>
      </c>
      <c r="AI16" s="17">
        <v>14</v>
      </c>
      <c r="AJ16" s="17">
        <v>14</v>
      </c>
      <c r="AK16" s="17">
        <v>14</v>
      </c>
      <c r="AL16" s="17">
        <v>14</v>
      </c>
      <c r="AM16" s="17">
        <v>14</v>
      </c>
      <c r="AN16" s="17">
        <v>14</v>
      </c>
      <c r="AO16" s="17">
        <v>14</v>
      </c>
      <c r="AP16" s="17">
        <v>14</v>
      </c>
      <c r="AQ16" s="17">
        <v>14</v>
      </c>
      <c r="AR16" s="17">
        <v>14</v>
      </c>
      <c r="AS16" s="17">
        <v>14</v>
      </c>
      <c r="AT16" s="17">
        <v>14</v>
      </c>
      <c r="AU16" s="17">
        <v>14</v>
      </c>
      <c r="AV16" s="17">
        <v>14</v>
      </c>
      <c r="AW16" s="17">
        <v>14</v>
      </c>
      <c r="AX16" s="17">
        <v>14</v>
      </c>
      <c r="AY16" s="17">
        <v>14</v>
      </c>
    </row>
    <row r="17" spans="1:51" s="8" customFormat="1">
      <c r="A17" s="16">
        <v>15</v>
      </c>
      <c r="B17" s="17" t="s">
        <v>51</v>
      </c>
      <c r="C17" s="17">
        <v>1693</v>
      </c>
      <c r="D17" s="17">
        <v>1693</v>
      </c>
      <c r="E17" s="33">
        <v>2430</v>
      </c>
      <c r="F17" s="33">
        <v>2430</v>
      </c>
      <c r="G17" s="33">
        <v>2430</v>
      </c>
      <c r="H17" s="26">
        <v>2430</v>
      </c>
      <c r="I17" s="26">
        <v>2430</v>
      </c>
      <c r="J17" s="26">
        <v>2430</v>
      </c>
      <c r="K17" s="26">
        <v>2430</v>
      </c>
      <c r="L17" s="26">
        <v>2430</v>
      </c>
      <c r="M17" s="26">
        <v>2430</v>
      </c>
      <c r="N17" s="26">
        <v>2430</v>
      </c>
      <c r="O17" s="26">
        <v>2430</v>
      </c>
      <c r="P17" s="26">
        <v>2430</v>
      </c>
      <c r="Q17" s="26">
        <v>2430</v>
      </c>
      <c r="R17" s="17">
        <v>2430</v>
      </c>
      <c r="S17" s="17">
        <v>2430</v>
      </c>
      <c r="T17" s="17">
        <v>2430</v>
      </c>
      <c r="U17" s="17">
        <v>2430</v>
      </c>
      <c r="V17" s="17">
        <v>2430</v>
      </c>
      <c r="W17" s="17">
        <v>2430</v>
      </c>
      <c r="X17" s="17">
        <v>2430</v>
      </c>
      <c r="Y17" s="17">
        <v>2430</v>
      </c>
      <c r="Z17" s="17">
        <v>2430</v>
      </c>
      <c r="AA17" s="17">
        <v>2430</v>
      </c>
      <c r="AB17" s="17">
        <v>2430</v>
      </c>
      <c r="AC17" s="17">
        <v>2430</v>
      </c>
      <c r="AD17" s="17">
        <v>2430</v>
      </c>
      <c r="AE17" s="17">
        <v>2430</v>
      </c>
      <c r="AF17" s="17">
        <v>2430</v>
      </c>
      <c r="AG17" s="17">
        <v>2430</v>
      </c>
      <c r="AH17" s="17">
        <v>2430</v>
      </c>
      <c r="AI17" s="17">
        <v>2430</v>
      </c>
      <c r="AJ17" s="17">
        <v>2430</v>
      </c>
      <c r="AK17" s="17">
        <v>2430</v>
      </c>
      <c r="AL17" s="17">
        <v>2430</v>
      </c>
      <c r="AM17" s="17">
        <v>2430</v>
      </c>
      <c r="AN17" s="17">
        <v>2430</v>
      </c>
      <c r="AO17" s="17">
        <v>2430</v>
      </c>
      <c r="AP17" s="17">
        <v>2430</v>
      </c>
      <c r="AQ17" s="17">
        <v>2430</v>
      </c>
      <c r="AR17" s="17">
        <v>2430</v>
      </c>
      <c r="AS17" s="17">
        <v>2430</v>
      </c>
      <c r="AT17" s="17">
        <v>2430</v>
      </c>
      <c r="AU17" s="17">
        <v>2430</v>
      </c>
      <c r="AV17" s="17">
        <v>2430</v>
      </c>
      <c r="AW17" s="17">
        <v>2430</v>
      </c>
      <c r="AX17" s="17">
        <v>2430</v>
      </c>
      <c r="AY17" s="17">
        <v>2430</v>
      </c>
    </row>
    <row r="18" spans="1:51" s="8" customFormat="1">
      <c r="A18" s="16">
        <v>16</v>
      </c>
      <c r="B18" s="17" t="s">
        <v>52</v>
      </c>
      <c r="C18" s="17">
        <v>0</v>
      </c>
      <c r="D18" s="17">
        <v>0</v>
      </c>
      <c r="E18" s="33">
        <v>0</v>
      </c>
      <c r="F18" s="33">
        <v>0</v>
      </c>
      <c r="G18" s="33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</row>
    <row r="19" spans="1:51" s="8" customFormat="1">
      <c r="A19" s="16">
        <v>17</v>
      </c>
      <c r="B19" s="17" t="s">
        <v>53</v>
      </c>
      <c r="C19" s="17">
        <v>4350</v>
      </c>
      <c r="D19" s="17">
        <v>4350</v>
      </c>
      <c r="E19" s="33">
        <v>4350</v>
      </c>
      <c r="F19" s="33">
        <v>4350</v>
      </c>
      <c r="G19" s="33">
        <v>4350</v>
      </c>
      <c r="H19" s="26">
        <v>4350</v>
      </c>
      <c r="I19" s="26">
        <v>4350</v>
      </c>
      <c r="J19" s="26">
        <v>4350</v>
      </c>
      <c r="K19" s="26">
        <v>4350</v>
      </c>
      <c r="L19" s="26">
        <v>4350</v>
      </c>
      <c r="M19" s="26">
        <v>4350</v>
      </c>
      <c r="N19" s="26">
        <v>4350</v>
      </c>
      <c r="O19" s="26">
        <v>4350</v>
      </c>
      <c r="P19" s="26">
        <v>4350</v>
      </c>
      <c r="Q19" s="26">
        <v>4350</v>
      </c>
      <c r="R19" s="17">
        <v>4350</v>
      </c>
      <c r="S19" s="17">
        <v>4350</v>
      </c>
      <c r="T19" s="17">
        <v>4350</v>
      </c>
      <c r="U19" s="17">
        <v>4350</v>
      </c>
      <c r="V19" s="17">
        <v>4350</v>
      </c>
      <c r="W19" s="17">
        <v>4350</v>
      </c>
      <c r="X19" s="17">
        <v>4350</v>
      </c>
      <c r="Y19" s="17">
        <v>4350</v>
      </c>
      <c r="Z19" s="17">
        <v>4350</v>
      </c>
      <c r="AA19" s="17">
        <v>4350</v>
      </c>
      <c r="AB19" s="17">
        <v>4350</v>
      </c>
      <c r="AC19" s="17">
        <v>4350</v>
      </c>
      <c r="AD19" s="17">
        <v>4350</v>
      </c>
      <c r="AE19" s="17">
        <v>4350</v>
      </c>
      <c r="AF19" s="17">
        <v>4350</v>
      </c>
      <c r="AG19" s="17">
        <v>4350</v>
      </c>
      <c r="AH19" s="17">
        <v>4350</v>
      </c>
      <c r="AI19" s="17">
        <v>4350</v>
      </c>
      <c r="AJ19" s="17">
        <v>4350</v>
      </c>
      <c r="AK19" s="17">
        <v>4350</v>
      </c>
      <c r="AL19" s="17">
        <v>4350</v>
      </c>
      <c r="AM19" s="17">
        <v>4350</v>
      </c>
      <c r="AN19" s="17">
        <v>4350</v>
      </c>
      <c r="AO19" s="17">
        <v>4350</v>
      </c>
      <c r="AP19" s="17">
        <v>4350</v>
      </c>
      <c r="AQ19" s="17">
        <v>4350</v>
      </c>
      <c r="AR19" s="17">
        <v>4350</v>
      </c>
      <c r="AS19" s="17">
        <v>4350</v>
      </c>
      <c r="AT19" s="17">
        <v>4350</v>
      </c>
      <c r="AU19" s="17">
        <v>4350</v>
      </c>
      <c r="AV19" s="17">
        <v>4350</v>
      </c>
      <c r="AW19" s="17">
        <v>4350</v>
      </c>
      <c r="AX19" s="17">
        <v>4350</v>
      </c>
      <c r="AY19" s="17">
        <v>4350</v>
      </c>
    </row>
    <row r="20" spans="1:51" s="8" customFormat="1">
      <c r="A20" s="16">
        <v>18</v>
      </c>
      <c r="B20" s="17" t="s">
        <v>54</v>
      </c>
      <c r="C20" s="17">
        <v>10250</v>
      </c>
      <c r="D20" s="17">
        <v>10250</v>
      </c>
      <c r="E20" s="33">
        <v>10250</v>
      </c>
      <c r="F20" s="33">
        <v>10250</v>
      </c>
      <c r="G20" s="33">
        <v>10250</v>
      </c>
      <c r="H20" s="26">
        <v>10250</v>
      </c>
      <c r="I20" s="26">
        <v>10250</v>
      </c>
      <c r="J20" s="26">
        <v>10250</v>
      </c>
      <c r="K20" s="26">
        <v>10250</v>
      </c>
      <c r="L20" s="26">
        <v>10250</v>
      </c>
      <c r="M20" s="26">
        <v>10250</v>
      </c>
      <c r="N20" s="26">
        <v>10250</v>
      </c>
      <c r="O20" s="26">
        <v>10250</v>
      </c>
      <c r="P20" s="26">
        <v>10250</v>
      </c>
      <c r="Q20" s="26">
        <v>10250</v>
      </c>
      <c r="R20" s="17">
        <v>10250</v>
      </c>
      <c r="S20" s="17">
        <v>10250</v>
      </c>
      <c r="T20" s="17">
        <v>10250</v>
      </c>
      <c r="U20" s="17">
        <v>10250</v>
      </c>
      <c r="V20" s="17">
        <v>10250</v>
      </c>
      <c r="W20" s="17">
        <v>10250</v>
      </c>
      <c r="X20" s="17">
        <v>10250</v>
      </c>
      <c r="Y20" s="17">
        <v>10250</v>
      </c>
      <c r="Z20" s="17">
        <v>10250</v>
      </c>
      <c r="AA20" s="17">
        <v>10250</v>
      </c>
      <c r="AB20" s="17">
        <v>10250</v>
      </c>
      <c r="AC20" s="17">
        <v>10250</v>
      </c>
      <c r="AD20" s="17">
        <v>10250</v>
      </c>
      <c r="AE20" s="17">
        <v>10250</v>
      </c>
      <c r="AF20" s="17">
        <v>10250</v>
      </c>
      <c r="AG20" s="17">
        <v>10250</v>
      </c>
      <c r="AH20" s="17">
        <v>10250</v>
      </c>
      <c r="AI20" s="17">
        <v>10250</v>
      </c>
      <c r="AJ20" s="17">
        <v>10250</v>
      </c>
      <c r="AK20" s="17">
        <v>10250</v>
      </c>
      <c r="AL20" s="17">
        <v>10250</v>
      </c>
      <c r="AM20" s="17">
        <v>10250</v>
      </c>
      <c r="AN20" s="17">
        <v>10250</v>
      </c>
      <c r="AO20" s="17">
        <v>10250</v>
      </c>
      <c r="AP20" s="17">
        <v>10250</v>
      </c>
      <c r="AQ20" s="17">
        <v>10250</v>
      </c>
      <c r="AR20" s="17">
        <v>10250</v>
      </c>
      <c r="AS20" s="17">
        <v>10250</v>
      </c>
      <c r="AT20" s="17">
        <v>10250</v>
      </c>
      <c r="AU20" s="17">
        <v>10250</v>
      </c>
      <c r="AV20" s="17">
        <v>10250</v>
      </c>
      <c r="AW20" s="17">
        <v>10250</v>
      </c>
      <c r="AX20" s="17">
        <v>10250</v>
      </c>
      <c r="AY20" s="17">
        <v>10250</v>
      </c>
    </row>
    <row r="21" spans="1:51" s="8" customFormat="1">
      <c r="A21" s="16">
        <v>19</v>
      </c>
      <c r="B21" s="17" t="s">
        <v>55</v>
      </c>
      <c r="C21" s="17">
        <v>14100</v>
      </c>
      <c r="D21" s="17">
        <v>14100</v>
      </c>
      <c r="E21" s="33">
        <v>14100</v>
      </c>
      <c r="F21" s="33">
        <v>14100</v>
      </c>
      <c r="G21" s="33">
        <v>14100</v>
      </c>
      <c r="H21" s="26">
        <v>14100</v>
      </c>
      <c r="I21" s="26">
        <v>14100</v>
      </c>
      <c r="J21" s="26">
        <v>14100</v>
      </c>
      <c r="K21" s="26">
        <v>14100</v>
      </c>
      <c r="L21" s="26">
        <v>14100</v>
      </c>
      <c r="M21" s="26">
        <v>14100</v>
      </c>
      <c r="N21" s="26">
        <v>14100</v>
      </c>
      <c r="O21" s="26">
        <v>14100</v>
      </c>
      <c r="P21" s="26">
        <v>14100</v>
      </c>
      <c r="Q21" s="26">
        <v>14100</v>
      </c>
      <c r="R21" s="17">
        <v>14100</v>
      </c>
      <c r="S21" s="17">
        <v>14100</v>
      </c>
      <c r="T21" s="17">
        <v>14100</v>
      </c>
      <c r="U21" s="17">
        <v>14100</v>
      </c>
      <c r="V21" s="17">
        <v>14100</v>
      </c>
      <c r="W21" s="17">
        <v>14100</v>
      </c>
      <c r="X21" s="17">
        <v>14100</v>
      </c>
      <c r="Y21" s="17">
        <v>14100</v>
      </c>
      <c r="Z21" s="17">
        <v>14100</v>
      </c>
      <c r="AA21" s="17">
        <v>14100</v>
      </c>
      <c r="AB21" s="17">
        <v>14100</v>
      </c>
      <c r="AC21" s="17">
        <v>14100</v>
      </c>
      <c r="AD21" s="17">
        <v>14100</v>
      </c>
      <c r="AE21" s="17">
        <v>14100</v>
      </c>
      <c r="AF21" s="17">
        <v>14100</v>
      </c>
      <c r="AG21" s="17">
        <v>14100</v>
      </c>
      <c r="AH21" s="17">
        <v>14100</v>
      </c>
      <c r="AI21" s="17">
        <v>14100</v>
      </c>
      <c r="AJ21" s="17">
        <v>14100</v>
      </c>
      <c r="AK21" s="17">
        <v>14100</v>
      </c>
      <c r="AL21" s="17">
        <v>14100</v>
      </c>
      <c r="AM21" s="17">
        <v>14100</v>
      </c>
      <c r="AN21" s="17">
        <v>14100</v>
      </c>
      <c r="AO21" s="17">
        <v>14100</v>
      </c>
      <c r="AP21" s="17">
        <v>14100</v>
      </c>
      <c r="AQ21" s="17">
        <v>14100</v>
      </c>
      <c r="AR21" s="17">
        <v>14100</v>
      </c>
      <c r="AS21" s="17">
        <v>14100</v>
      </c>
      <c r="AT21" s="17">
        <v>14100</v>
      </c>
      <c r="AU21" s="17">
        <v>14100</v>
      </c>
      <c r="AV21" s="17">
        <v>14100</v>
      </c>
      <c r="AW21" s="17">
        <v>14100</v>
      </c>
      <c r="AX21" s="17">
        <v>14100</v>
      </c>
      <c r="AY21" s="17">
        <v>14100</v>
      </c>
    </row>
    <row r="22" spans="1:51" s="8" customFormat="1">
      <c r="A22" s="16">
        <v>20</v>
      </c>
      <c r="B22" s="17" t="s">
        <v>56</v>
      </c>
      <c r="C22" s="17">
        <v>21500</v>
      </c>
      <c r="D22" s="17">
        <v>21500</v>
      </c>
      <c r="E22" s="33">
        <v>21500</v>
      </c>
      <c r="F22" s="33">
        <v>21500</v>
      </c>
      <c r="G22" s="33">
        <v>21500</v>
      </c>
      <c r="H22" s="26">
        <v>21500</v>
      </c>
      <c r="I22" s="26">
        <v>21500</v>
      </c>
      <c r="J22" s="26">
        <v>21500</v>
      </c>
      <c r="K22" s="26">
        <v>21500</v>
      </c>
      <c r="L22" s="26">
        <v>21500</v>
      </c>
      <c r="M22" s="26">
        <v>21500</v>
      </c>
      <c r="N22" s="26">
        <v>21500</v>
      </c>
      <c r="O22" s="26">
        <v>21500</v>
      </c>
      <c r="P22" s="26">
        <v>21500</v>
      </c>
      <c r="Q22" s="26">
        <v>21500</v>
      </c>
      <c r="R22" s="17">
        <v>21500</v>
      </c>
      <c r="S22" s="17">
        <v>21500</v>
      </c>
      <c r="T22" s="17">
        <v>21500</v>
      </c>
      <c r="U22" s="17">
        <v>21500</v>
      </c>
      <c r="V22" s="8">
        <v>21500</v>
      </c>
      <c r="W22" s="8">
        <v>21500</v>
      </c>
      <c r="X22" s="8">
        <v>21500</v>
      </c>
      <c r="Y22" s="8">
        <v>21500</v>
      </c>
      <c r="Z22" s="8">
        <v>21500</v>
      </c>
      <c r="AA22" s="8">
        <v>21500</v>
      </c>
      <c r="AB22" s="8">
        <v>21500</v>
      </c>
      <c r="AC22" s="8">
        <v>21500</v>
      </c>
      <c r="AD22" s="8">
        <v>21500</v>
      </c>
      <c r="AE22" s="8">
        <v>21500</v>
      </c>
      <c r="AF22" s="8">
        <v>21500</v>
      </c>
      <c r="AG22" s="8">
        <v>21500</v>
      </c>
      <c r="AH22" s="8">
        <v>21500</v>
      </c>
      <c r="AI22" s="8">
        <v>21500</v>
      </c>
      <c r="AJ22" s="8">
        <v>21500</v>
      </c>
      <c r="AK22" s="8">
        <v>21500</v>
      </c>
      <c r="AL22" s="8">
        <v>21500</v>
      </c>
      <c r="AM22" s="8">
        <v>21500</v>
      </c>
      <c r="AN22" s="8">
        <v>21500</v>
      </c>
      <c r="AO22" s="8">
        <v>21500</v>
      </c>
      <c r="AP22" s="8">
        <v>21500</v>
      </c>
      <c r="AQ22" s="8">
        <v>21500</v>
      </c>
      <c r="AR22" s="8">
        <v>21500</v>
      </c>
      <c r="AS22" s="8">
        <v>21500</v>
      </c>
      <c r="AT22" s="8">
        <v>21500</v>
      </c>
      <c r="AU22" s="8">
        <v>21500</v>
      </c>
      <c r="AV22" s="8">
        <v>21500</v>
      </c>
      <c r="AW22" s="8">
        <v>21500</v>
      </c>
      <c r="AX22" s="8">
        <v>21500</v>
      </c>
      <c r="AY22" s="8">
        <v>21500</v>
      </c>
    </row>
    <row r="23" spans="1:51" s="8" customFormat="1">
      <c r="A23" s="16">
        <v>21</v>
      </c>
      <c r="B23" s="17" t="s">
        <v>57</v>
      </c>
      <c r="C23" s="17">
        <v>25800</v>
      </c>
      <c r="D23" s="17">
        <v>25800</v>
      </c>
      <c r="E23" s="33">
        <v>25800</v>
      </c>
      <c r="F23" s="33">
        <v>25800</v>
      </c>
      <c r="G23" s="33">
        <v>25800</v>
      </c>
      <c r="H23" s="26">
        <v>25800</v>
      </c>
      <c r="I23" s="26">
        <v>25800</v>
      </c>
      <c r="J23" s="26">
        <v>25800</v>
      </c>
      <c r="K23" s="26">
        <v>25800</v>
      </c>
      <c r="L23" s="26">
        <v>25800</v>
      </c>
      <c r="M23" s="26">
        <v>25800</v>
      </c>
      <c r="N23" s="26">
        <v>25800</v>
      </c>
      <c r="O23" s="26">
        <v>25800</v>
      </c>
      <c r="P23" s="26">
        <v>25800</v>
      </c>
      <c r="Q23" s="26">
        <v>25800</v>
      </c>
      <c r="R23" s="17">
        <v>25800</v>
      </c>
      <c r="S23" s="17">
        <v>25800</v>
      </c>
      <c r="T23" s="17">
        <v>25800</v>
      </c>
      <c r="U23" s="17">
        <v>25800</v>
      </c>
      <c r="V23" s="8">
        <v>25800</v>
      </c>
      <c r="W23" s="8">
        <v>25800</v>
      </c>
      <c r="X23" s="8">
        <v>25800</v>
      </c>
      <c r="Y23" s="8">
        <v>25800</v>
      </c>
      <c r="Z23" s="8">
        <v>25800</v>
      </c>
      <c r="AA23" s="8">
        <v>25800</v>
      </c>
      <c r="AB23" s="8">
        <v>25800</v>
      </c>
      <c r="AC23" s="8">
        <v>25800</v>
      </c>
      <c r="AD23" s="8">
        <v>25800</v>
      </c>
      <c r="AE23" s="8">
        <v>25800</v>
      </c>
      <c r="AF23" s="8">
        <v>25800</v>
      </c>
      <c r="AG23" s="8">
        <v>25800</v>
      </c>
      <c r="AH23" s="8">
        <v>25800</v>
      </c>
      <c r="AI23" s="8">
        <v>25800</v>
      </c>
      <c r="AJ23" s="8">
        <v>25800</v>
      </c>
      <c r="AK23" s="8">
        <v>25800</v>
      </c>
      <c r="AL23" s="8">
        <v>25800</v>
      </c>
      <c r="AM23" s="8">
        <v>25800</v>
      </c>
      <c r="AN23" s="8">
        <v>25800</v>
      </c>
      <c r="AO23" s="8">
        <v>25800</v>
      </c>
      <c r="AP23" s="8">
        <v>25800</v>
      </c>
      <c r="AQ23" s="8">
        <v>25800</v>
      </c>
      <c r="AR23" s="8">
        <v>25800</v>
      </c>
      <c r="AS23" s="8">
        <v>25800</v>
      </c>
      <c r="AT23" s="8">
        <v>25800</v>
      </c>
      <c r="AU23" s="8">
        <v>25800</v>
      </c>
      <c r="AV23" s="8">
        <v>25800</v>
      </c>
      <c r="AW23" s="8">
        <v>25800</v>
      </c>
      <c r="AX23" s="8">
        <v>25800</v>
      </c>
      <c r="AY23" s="8">
        <v>25800</v>
      </c>
    </row>
    <row r="24" spans="1:51" s="8" customFormat="1">
      <c r="A24" s="16">
        <v>22</v>
      </c>
      <c r="B24" s="17" t="s">
        <v>58</v>
      </c>
      <c r="C24" s="17">
        <v>2972</v>
      </c>
      <c r="D24" s="17">
        <v>2972</v>
      </c>
      <c r="E24" s="33">
        <v>2972</v>
      </c>
      <c r="F24" s="33">
        <v>2972</v>
      </c>
      <c r="G24" s="33">
        <v>2972</v>
      </c>
      <c r="H24" s="26">
        <v>2972</v>
      </c>
      <c r="I24" s="26">
        <v>2972</v>
      </c>
      <c r="J24" s="26">
        <v>2972</v>
      </c>
      <c r="K24" s="26">
        <v>2972</v>
      </c>
      <c r="L24" s="26">
        <v>2972</v>
      </c>
      <c r="M24" s="26">
        <v>2972</v>
      </c>
      <c r="N24" s="26">
        <v>2972</v>
      </c>
      <c r="O24" s="26">
        <v>2972</v>
      </c>
      <c r="P24" s="26">
        <v>2972</v>
      </c>
      <c r="Q24" s="26">
        <v>2972</v>
      </c>
      <c r="R24" s="17">
        <v>2972</v>
      </c>
      <c r="S24" s="17">
        <v>2972</v>
      </c>
      <c r="T24" s="17">
        <v>2972</v>
      </c>
      <c r="U24" s="17">
        <v>2972</v>
      </c>
      <c r="V24" s="8">
        <v>2972</v>
      </c>
      <c r="W24" s="8">
        <v>2972</v>
      </c>
      <c r="X24" s="8">
        <v>2972</v>
      </c>
      <c r="Y24" s="8">
        <v>2972</v>
      </c>
      <c r="Z24" s="8">
        <v>2972</v>
      </c>
      <c r="AA24" s="8">
        <v>2972</v>
      </c>
      <c r="AB24" s="8">
        <v>2972</v>
      </c>
      <c r="AC24" s="8">
        <v>2972</v>
      </c>
      <c r="AD24" s="8">
        <v>2972</v>
      </c>
      <c r="AE24" s="8">
        <v>2972</v>
      </c>
      <c r="AF24" s="8">
        <v>2972</v>
      </c>
      <c r="AG24" s="8">
        <v>2972</v>
      </c>
      <c r="AH24" s="8">
        <v>2972</v>
      </c>
      <c r="AI24" s="8">
        <v>2972</v>
      </c>
      <c r="AJ24" s="8">
        <v>2972</v>
      </c>
      <c r="AK24" s="8">
        <v>2972</v>
      </c>
      <c r="AL24" s="8">
        <v>2972</v>
      </c>
      <c r="AM24" s="8">
        <v>2972</v>
      </c>
      <c r="AN24" s="8">
        <v>2972</v>
      </c>
      <c r="AO24" s="8">
        <v>2972</v>
      </c>
      <c r="AP24" s="8">
        <v>2972</v>
      </c>
      <c r="AQ24" s="8">
        <v>2972</v>
      </c>
      <c r="AR24" s="8">
        <v>2972</v>
      </c>
      <c r="AS24" s="8">
        <v>2972</v>
      </c>
      <c r="AT24" s="8">
        <v>2972</v>
      </c>
      <c r="AU24" s="8">
        <v>2972</v>
      </c>
      <c r="AV24" s="8">
        <v>2972</v>
      </c>
      <c r="AW24" s="8">
        <v>2972</v>
      </c>
      <c r="AX24" s="8">
        <v>2972</v>
      </c>
      <c r="AY24" s="8">
        <v>2972</v>
      </c>
    </row>
    <row r="25" spans="1:51" s="8" customFormat="1">
      <c r="A25" s="16">
        <v>23</v>
      </c>
      <c r="B25" s="17" t="s">
        <v>59</v>
      </c>
      <c r="C25" s="17">
        <v>3</v>
      </c>
      <c r="D25" s="17">
        <v>3</v>
      </c>
      <c r="E25" s="33">
        <v>3</v>
      </c>
      <c r="F25" s="33">
        <v>3</v>
      </c>
      <c r="G25" s="33">
        <v>3</v>
      </c>
      <c r="H25" s="26">
        <v>3</v>
      </c>
      <c r="I25" s="26">
        <v>3</v>
      </c>
      <c r="J25" s="26">
        <v>3</v>
      </c>
      <c r="K25" s="26">
        <v>3</v>
      </c>
      <c r="L25" s="26">
        <v>3</v>
      </c>
      <c r="M25" s="26">
        <v>3</v>
      </c>
      <c r="N25" s="26">
        <v>3</v>
      </c>
      <c r="O25" s="26">
        <v>3</v>
      </c>
      <c r="P25" s="26">
        <v>3</v>
      </c>
      <c r="Q25" s="26">
        <v>3</v>
      </c>
      <c r="R25" s="17">
        <v>3</v>
      </c>
      <c r="S25" s="17">
        <v>3</v>
      </c>
      <c r="T25" s="17">
        <v>3</v>
      </c>
      <c r="U25" s="17">
        <v>3</v>
      </c>
      <c r="V25" s="8">
        <v>3</v>
      </c>
      <c r="W25" s="8">
        <v>3</v>
      </c>
      <c r="X25" s="8">
        <v>3</v>
      </c>
      <c r="Y25" s="8">
        <v>3</v>
      </c>
      <c r="Z25" s="8">
        <v>3</v>
      </c>
      <c r="AA25" s="8">
        <v>3</v>
      </c>
      <c r="AB25" s="8">
        <v>3</v>
      </c>
      <c r="AC25" s="8">
        <v>3</v>
      </c>
      <c r="AD25" s="8">
        <v>3</v>
      </c>
      <c r="AE25" s="8">
        <v>3</v>
      </c>
      <c r="AF25" s="8">
        <v>3</v>
      </c>
      <c r="AG25" s="8">
        <v>3</v>
      </c>
      <c r="AH25" s="8">
        <v>3</v>
      </c>
      <c r="AI25" s="8">
        <v>3</v>
      </c>
      <c r="AJ25" s="8">
        <v>3</v>
      </c>
      <c r="AK25" s="8">
        <v>3</v>
      </c>
      <c r="AL25" s="8">
        <v>3</v>
      </c>
      <c r="AM25" s="8">
        <v>3</v>
      </c>
      <c r="AN25" s="8">
        <v>3</v>
      </c>
      <c r="AO25" s="8">
        <v>3</v>
      </c>
      <c r="AP25" s="8">
        <v>3</v>
      </c>
      <c r="AQ25" s="8">
        <v>3</v>
      </c>
      <c r="AR25" s="8">
        <v>3</v>
      </c>
      <c r="AS25" s="8">
        <v>3</v>
      </c>
      <c r="AT25" s="8">
        <v>3</v>
      </c>
      <c r="AU25" s="8">
        <v>3</v>
      </c>
      <c r="AV25" s="8">
        <v>3</v>
      </c>
      <c r="AW25" s="8">
        <v>3</v>
      </c>
      <c r="AX25" s="8">
        <v>3</v>
      </c>
      <c r="AY25" s="8">
        <v>3</v>
      </c>
    </row>
    <row r="26" spans="1:51" s="8" customFormat="1">
      <c r="A26" s="16">
        <v>24</v>
      </c>
      <c r="B26" s="17" t="s">
        <v>208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1</v>
      </c>
      <c r="AI26" s="17">
        <v>1</v>
      </c>
      <c r="AJ26" s="17">
        <v>1</v>
      </c>
      <c r="AK26" s="17">
        <v>1</v>
      </c>
      <c r="AL26" s="17">
        <v>1</v>
      </c>
      <c r="AM26" s="17">
        <v>1</v>
      </c>
      <c r="AN26" s="17">
        <v>1</v>
      </c>
      <c r="AO26" s="17">
        <v>1</v>
      </c>
      <c r="AP26" s="17">
        <v>1</v>
      </c>
      <c r="AQ26" s="17">
        <v>1</v>
      </c>
      <c r="AR26" s="17">
        <v>1</v>
      </c>
      <c r="AS26" s="17">
        <v>1</v>
      </c>
      <c r="AT26" s="17">
        <v>1</v>
      </c>
      <c r="AU26" s="17">
        <v>1</v>
      </c>
      <c r="AV26" s="17">
        <v>0</v>
      </c>
      <c r="AW26" s="17">
        <v>0</v>
      </c>
      <c r="AX26" s="17">
        <v>0</v>
      </c>
      <c r="AY26" s="17">
        <v>0</v>
      </c>
    </row>
    <row r="27" spans="1:51">
      <c r="A27" s="16">
        <v>25</v>
      </c>
      <c r="B27" s="17" t="s">
        <v>60</v>
      </c>
      <c r="C27" s="17">
        <v>0</v>
      </c>
      <c r="D27" s="17">
        <v>0</v>
      </c>
      <c r="E27" s="34">
        <v>0</v>
      </c>
      <c r="F27" s="34">
        <v>0</v>
      </c>
      <c r="G27" s="34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17">
        <v>0</v>
      </c>
      <c r="S27" s="17">
        <v>0</v>
      </c>
      <c r="T27" s="17">
        <v>0</v>
      </c>
      <c r="U27" s="17">
        <v>0</v>
      </c>
      <c r="V27" s="28">
        <v>0</v>
      </c>
      <c r="W27" s="28">
        <v>0</v>
      </c>
      <c r="X27" s="28">
        <v>0</v>
      </c>
      <c r="Y27" s="28">
        <v>0</v>
      </c>
      <c r="Z27" s="28">
        <v>0</v>
      </c>
      <c r="AA27" s="28">
        <v>0</v>
      </c>
      <c r="AB27" s="28">
        <v>0</v>
      </c>
      <c r="AC27" s="28">
        <v>0</v>
      </c>
      <c r="AD27" s="28">
        <v>0</v>
      </c>
      <c r="AE27" s="28">
        <v>0</v>
      </c>
      <c r="AF27" s="28">
        <v>0</v>
      </c>
      <c r="AG27" s="28">
        <v>0</v>
      </c>
      <c r="AH27" s="28">
        <v>0</v>
      </c>
      <c r="AI27" s="28">
        <v>0</v>
      </c>
      <c r="AJ27" s="28">
        <v>0</v>
      </c>
      <c r="AK27" s="28">
        <v>0</v>
      </c>
      <c r="AL27" s="28">
        <v>0</v>
      </c>
      <c r="AM27" s="28">
        <v>0</v>
      </c>
      <c r="AN27" s="28">
        <v>0</v>
      </c>
      <c r="AO27" s="28">
        <v>0</v>
      </c>
      <c r="AP27" s="28">
        <v>0</v>
      </c>
      <c r="AQ27" s="28">
        <v>0</v>
      </c>
      <c r="AR27" s="28">
        <v>0</v>
      </c>
      <c r="AS27" s="28">
        <v>0</v>
      </c>
      <c r="AT27" s="28">
        <v>0</v>
      </c>
      <c r="AU27" s="28">
        <v>0</v>
      </c>
      <c r="AV27" s="28">
        <v>0</v>
      </c>
      <c r="AW27" s="28">
        <v>0</v>
      </c>
      <c r="AX27" s="28">
        <v>0</v>
      </c>
      <c r="AY27" s="28">
        <v>0</v>
      </c>
    </row>
    <row r="28" spans="1:51">
      <c r="A28" s="16">
        <v>26</v>
      </c>
      <c r="B28" s="17" t="s">
        <v>61</v>
      </c>
      <c r="C28" s="17">
        <v>386</v>
      </c>
      <c r="D28" s="17">
        <v>366</v>
      </c>
      <c r="E28" s="30">
        <v>400</v>
      </c>
      <c r="F28" s="30">
        <v>400</v>
      </c>
      <c r="G28" s="30">
        <v>410</v>
      </c>
      <c r="H28" s="30">
        <v>410</v>
      </c>
      <c r="I28" s="30">
        <v>410</v>
      </c>
      <c r="J28" s="30">
        <v>410</v>
      </c>
      <c r="K28" s="30">
        <v>485</v>
      </c>
      <c r="L28" s="30">
        <v>335</v>
      </c>
      <c r="M28" s="30">
        <v>335</v>
      </c>
      <c r="N28" s="30">
        <v>335</v>
      </c>
      <c r="O28" s="30">
        <v>350</v>
      </c>
      <c r="P28" s="30">
        <v>360</v>
      </c>
      <c r="Q28" s="30">
        <v>365</v>
      </c>
      <c r="R28" s="30">
        <v>335</v>
      </c>
      <c r="S28" s="30">
        <v>335</v>
      </c>
      <c r="T28" s="30">
        <v>335</v>
      </c>
      <c r="U28" s="30">
        <v>335</v>
      </c>
      <c r="V28" s="17">
        <v>335</v>
      </c>
      <c r="W28" s="17">
        <v>335</v>
      </c>
      <c r="X28" s="17">
        <v>335</v>
      </c>
      <c r="Y28" s="17">
        <v>345</v>
      </c>
      <c r="Z28" s="17">
        <v>345</v>
      </c>
      <c r="AA28" s="17">
        <v>345</v>
      </c>
      <c r="AB28" s="17">
        <v>345</v>
      </c>
      <c r="AC28" s="17">
        <v>345</v>
      </c>
      <c r="AD28" s="17">
        <v>345</v>
      </c>
      <c r="AE28" s="17">
        <v>345</v>
      </c>
      <c r="AF28" s="17">
        <v>345</v>
      </c>
      <c r="AG28" s="17">
        <v>345</v>
      </c>
      <c r="AH28" s="17">
        <v>350</v>
      </c>
      <c r="AI28" s="17">
        <v>383</v>
      </c>
      <c r="AJ28" s="17">
        <v>383</v>
      </c>
      <c r="AK28" s="17">
        <v>383</v>
      </c>
      <c r="AL28" s="17">
        <v>315</v>
      </c>
      <c r="AM28" s="17">
        <v>325</v>
      </c>
      <c r="AN28" s="17">
        <v>325</v>
      </c>
      <c r="AO28" s="17">
        <v>333</v>
      </c>
      <c r="AP28" s="17">
        <v>325</v>
      </c>
      <c r="AQ28" s="17">
        <v>325</v>
      </c>
      <c r="AR28" s="17">
        <v>325</v>
      </c>
      <c r="AS28" s="17">
        <v>320</v>
      </c>
      <c r="AT28" s="17">
        <v>320</v>
      </c>
      <c r="AU28" s="17">
        <v>320</v>
      </c>
      <c r="AV28" s="17">
        <v>348</v>
      </c>
      <c r="AW28" s="17">
        <v>390</v>
      </c>
      <c r="AX28" s="17">
        <v>395</v>
      </c>
      <c r="AY28" s="17">
        <v>395</v>
      </c>
    </row>
    <row r="29" spans="1:51">
      <c r="A29" s="16">
        <v>27</v>
      </c>
      <c r="B29" s="17" t="s">
        <v>62</v>
      </c>
      <c r="C29" s="17">
        <v>758</v>
      </c>
      <c r="D29" s="17">
        <v>703</v>
      </c>
      <c r="E29" s="30">
        <v>705</v>
      </c>
      <c r="F29" s="30">
        <v>705</v>
      </c>
      <c r="G29" s="30">
        <v>720</v>
      </c>
      <c r="H29" s="30">
        <v>720</v>
      </c>
      <c r="I29" s="30">
        <v>720</v>
      </c>
      <c r="J29" s="30">
        <v>720</v>
      </c>
      <c r="K29" s="30">
        <v>0</v>
      </c>
      <c r="L29" s="30">
        <v>560</v>
      </c>
      <c r="M29" s="30">
        <v>560</v>
      </c>
      <c r="N29" s="30">
        <v>560</v>
      </c>
      <c r="O29" s="30">
        <v>610</v>
      </c>
      <c r="P29" s="30">
        <v>590</v>
      </c>
      <c r="Q29" s="30">
        <v>610</v>
      </c>
      <c r="R29" s="17">
        <v>600</v>
      </c>
      <c r="S29" s="17">
        <v>600</v>
      </c>
      <c r="T29" s="17">
        <v>600</v>
      </c>
      <c r="U29" s="17">
        <v>600</v>
      </c>
      <c r="V29" s="28">
        <v>600</v>
      </c>
      <c r="W29" s="28">
        <v>600</v>
      </c>
      <c r="X29" s="28">
        <v>600</v>
      </c>
      <c r="Y29" s="28">
        <v>600</v>
      </c>
      <c r="Z29" s="28">
        <v>610</v>
      </c>
      <c r="AA29" s="28">
        <v>610</v>
      </c>
      <c r="AB29" s="28">
        <v>610</v>
      </c>
      <c r="AC29" s="28">
        <v>610</v>
      </c>
      <c r="AD29" s="28">
        <v>610</v>
      </c>
      <c r="AE29" s="28">
        <v>610</v>
      </c>
      <c r="AF29" s="28">
        <v>610</v>
      </c>
      <c r="AG29" s="28">
        <v>610</v>
      </c>
      <c r="AH29" s="28">
        <v>603</v>
      </c>
      <c r="AI29" s="28">
        <v>690</v>
      </c>
      <c r="AJ29" s="28">
        <v>690</v>
      </c>
      <c r="AK29" s="28">
        <v>690</v>
      </c>
      <c r="AL29" s="28">
        <v>690</v>
      </c>
      <c r="AM29" s="28">
        <v>550</v>
      </c>
      <c r="AN29" s="28">
        <v>550</v>
      </c>
      <c r="AO29" s="28">
        <v>557</v>
      </c>
      <c r="AP29" s="28">
        <v>550</v>
      </c>
      <c r="AQ29" s="28">
        <v>555</v>
      </c>
      <c r="AR29" s="28">
        <v>550</v>
      </c>
      <c r="AS29" s="28">
        <v>550</v>
      </c>
      <c r="AT29" s="28">
        <v>550</v>
      </c>
      <c r="AU29" s="28">
        <v>550</v>
      </c>
      <c r="AV29" s="28">
        <v>550</v>
      </c>
      <c r="AW29" s="28">
        <v>550</v>
      </c>
      <c r="AX29" s="28">
        <v>550</v>
      </c>
      <c r="AY29" s="28">
        <v>550</v>
      </c>
    </row>
    <row r="30" spans="1:51">
      <c r="A30" s="16">
        <v>28</v>
      </c>
      <c r="B30" s="17" t="s">
        <v>2</v>
      </c>
      <c r="C30" s="17">
        <v>0</v>
      </c>
      <c r="D30" s="17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17">
        <v>0</v>
      </c>
      <c r="S30" s="17">
        <v>0</v>
      </c>
      <c r="T30" s="17">
        <v>0</v>
      </c>
      <c r="U30" s="17">
        <v>0</v>
      </c>
      <c r="V30" s="28">
        <v>0</v>
      </c>
      <c r="W30" s="28">
        <v>0</v>
      </c>
      <c r="X30" s="28">
        <v>0</v>
      </c>
      <c r="Y30" s="28">
        <v>0</v>
      </c>
      <c r="Z30" s="28">
        <v>0</v>
      </c>
      <c r="AA30" s="28">
        <v>0</v>
      </c>
      <c r="AB30" s="28">
        <v>0</v>
      </c>
      <c r="AC30" s="28">
        <v>0</v>
      </c>
      <c r="AD30" s="28">
        <v>0</v>
      </c>
      <c r="AE30" s="28">
        <v>0</v>
      </c>
      <c r="AF30" s="28">
        <v>0</v>
      </c>
      <c r="AG30" s="28">
        <v>0</v>
      </c>
      <c r="AH30" s="28">
        <v>0</v>
      </c>
      <c r="AI30" s="28">
        <v>0</v>
      </c>
      <c r="AJ30" s="28">
        <v>0</v>
      </c>
      <c r="AK30" s="28">
        <v>0</v>
      </c>
      <c r="AL30" s="28">
        <v>0</v>
      </c>
      <c r="AM30" s="28">
        <v>0</v>
      </c>
      <c r="AN30" s="28">
        <v>0</v>
      </c>
      <c r="AO30" s="28">
        <v>0</v>
      </c>
      <c r="AP30" s="28">
        <v>0</v>
      </c>
      <c r="AQ30" s="28">
        <v>0</v>
      </c>
      <c r="AR30" s="28">
        <v>0</v>
      </c>
      <c r="AS30" s="28">
        <v>0</v>
      </c>
      <c r="AT30" s="28">
        <v>0</v>
      </c>
      <c r="AU30" s="28">
        <v>0</v>
      </c>
      <c r="AV30" s="28">
        <v>0</v>
      </c>
      <c r="AW30" s="28">
        <v>0</v>
      </c>
      <c r="AX30" s="28">
        <v>0</v>
      </c>
      <c r="AY30" s="28">
        <v>0</v>
      </c>
    </row>
    <row r="31" spans="1:51">
      <c r="A31" s="16">
        <v>29</v>
      </c>
      <c r="B31" s="17" t="s">
        <v>3</v>
      </c>
      <c r="C31" s="17">
        <v>0</v>
      </c>
      <c r="D31" s="17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17">
        <v>0</v>
      </c>
      <c r="S31" s="17">
        <v>0</v>
      </c>
      <c r="T31" s="17">
        <v>0</v>
      </c>
      <c r="U31" s="17">
        <v>0</v>
      </c>
      <c r="V31" s="28">
        <v>0</v>
      </c>
      <c r="W31" s="28">
        <v>0</v>
      </c>
      <c r="X31" s="28">
        <v>0</v>
      </c>
      <c r="Y31" s="28">
        <v>0</v>
      </c>
      <c r="Z31" s="28">
        <v>0</v>
      </c>
      <c r="AA31" s="28">
        <v>0</v>
      </c>
      <c r="AB31" s="28">
        <v>0</v>
      </c>
      <c r="AC31" s="28">
        <v>0</v>
      </c>
      <c r="AD31" s="28">
        <v>0</v>
      </c>
      <c r="AE31" s="28">
        <v>0</v>
      </c>
      <c r="AF31" s="28">
        <v>0</v>
      </c>
      <c r="AG31" s="28">
        <v>0</v>
      </c>
      <c r="AH31" s="28">
        <v>0</v>
      </c>
      <c r="AI31" s="28">
        <v>0</v>
      </c>
      <c r="AJ31" s="28">
        <v>0</v>
      </c>
      <c r="AK31" s="28">
        <v>0</v>
      </c>
      <c r="AL31" s="28">
        <v>0</v>
      </c>
      <c r="AM31" s="28">
        <v>0</v>
      </c>
      <c r="AN31" s="28">
        <v>0</v>
      </c>
      <c r="AO31" s="28">
        <v>0</v>
      </c>
      <c r="AP31" s="28">
        <v>0</v>
      </c>
      <c r="AQ31" s="28">
        <v>0</v>
      </c>
      <c r="AR31" s="28">
        <v>0</v>
      </c>
      <c r="AS31" s="28">
        <v>0</v>
      </c>
      <c r="AT31" s="28">
        <v>0</v>
      </c>
      <c r="AU31" s="28">
        <v>0</v>
      </c>
      <c r="AV31" s="28">
        <v>0</v>
      </c>
      <c r="AW31" s="28">
        <v>0</v>
      </c>
      <c r="AX31" s="28">
        <v>0</v>
      </c>
      <c r="AY31" s="28">
        <v>0</v>
      </c>
    </row>
    <row r="32" spans="1:51">
      <c r="A32" s="16">
        <v>30</v>
      </c>
      <c r="B32" s="17" t="s">
        <v>4</v>
      </c>
      <c r="C32" s="17">
        <v>0</v>
      </c>
      <c r="D32" s="17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17">
        <v>0</v>
      </c>
      <c r="S32" s="17">
        <v>0</v>
      </c>
      <c r="T32" s="17">
        <v>0</v>
      </c>
      <c r="U32" s="17">
        <v>0</v>
      </c>
      <c r="V32" s="28">
        <v>0</v>
      </c>
      <c r="W32" s="28">
        <v>0</v>
      </c>
      <c r="X32" s="28">
        <v>0</v>
      </c>
      <c r="Y32" s="28">
        <v>0</v>
      </c>
      <c r="Z32" s="28">
        <v>-8</v>
      </c>
      <c r="AA32" s="28">
        <v>-8</v>
      </c>
      <c r="AB32" s="28">
        <v>-8</v>
      </c>
      <c r="AC32" s="28">
        <v>-8</v>
      </c>
      <c r="AD32" s="28">
        <v>-8</v>
      </c>
      <c r="AE32" s="28">
        <v>-8</v>
      </c>
      <c r="AF32" s="28">
        <v>-8</v>
      </c>
      <c r="AG32" s="28">
        <v>-8</v>
      </c>
      <c r="AH32" s="28">
        <v>-8</v>
      </c>
      <c r="AI32" s="28">
        <v>-8</v>
      </c>
      <c r="AJ32" s="28">
        <v>-8</v>
      </c>
      <c r="AK32" s="28">
        <v>-8</v>
      </c>
      <c r="AL32" s="28">
        <v>-8</v>
      </c>
      <c r="AM32" s="28">
        <v>-8</v>
      </c>
      <c r="AN32" s="28">
        <v>-8</v>
      </c>
      <c r="AO32" s="28">
        <v>-8</v>
      </c>
      <c r="AP32" s="28">
        <v>-8</v>
      </c>
      <c r="AQ32" s="28">
        <v>-8</v>
      </c>
      <c r="AR32" s="28">
        <v>-8</v>
      </c>
      <c r="AS32" s="28">
        <v>-8</v>
      </c>
      <c r="AT32" s="28">
        <v>-8</v>
      </c>
      <c r="AU32" s="28">
        <v>-8</v>
      </c>
      <c r="AV32" s="28">
        <v>-8</v>
      </c>
      <c r="AW32" s="28">
        <v>-8</v>
      </c>
      <c r="AX32" s="28">
        <v>-8</v>
      </c>
      <c r="AY32" s="28">
        <v>-8</v>
      </c>
    </row>
    <row r="33" spans="1:51">
      <c r="A33" s="16">
        <v>31</v>
      </c>
      <c r="B33" s="17" t="s">
        <v>5</v>
      </c>
      <c r="C33" s="17">
        <v>0</v>
      </c>
      <c r="D33" s="17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17">
        <v>0</v>
      </c>
      <c r="S33" s="17">
        <v>0</v>
      </c>
      <c r="T33" s="17">
        <v>0</v>
      </c>
      <c r="U33" s="17">
        <v>0</v>
      </c>
      <c r="V33" s="28">
        <v>0</v>
      </c>
      <c r="W33" s="28">
        <v>0</v>
      </c>
      <c r="X33" s="28">
        <v>0</v>
      </c>
      <c r="Y33" s="28">
        <v>0</v>
      </c>
      <c r="Z33" s="28">
        <v>0</v>
      </c>
      <c r="AA33" s="28">
        <v>0</v>
      </c>
      <c r="AB33" s="28">
        <v>0</v>
      </c>
      <c r="AC33" s="28">
        <v>0</v>
      </c>
      <c r="AD33" s="28">
        <v>0</v>
      </c>
      <c r="AE33" s="28">
        <v>0</v>
      </c>
      <c r="AF33" s="28">
        <v>0</v>
      </c>
      <c r="AG33" s="28">
        <v>0</v>
      </c>
      <c r="AH33" s="28">
        <v>0</v>
      </c>
      <c r="AI33" s="28">
        <v>0</v>
      </c>
      <c r="AJ33" s="28">
        <v>0</v>
      </c>
      <c r="AK33" s="28">
        <v>0</v>
      </c>
      <c r="AL33" s="28">
        <v>0</v>
      </c>
      <c r="AM33" s="28">
        <v>0</v>
      </c>
      <c r="AN33" s="28">
        <v>0</v>
      </c>
      <c r="AO33" s="28">
        <v>0</v>
      </c>
      <c r="AP33" s="28">
        <v>0</v>
      </c>
      <c r="AQ33" s="28">
        <v>0</v>
      </c>
      <c r="AR33" s="28">
        <v>0</v>
      </c>
      <c r="AS33" s="28">
        <v>0</v>
      </c>
      <c r="AT33" s="28">
        <v>0</v>
      </c>
      <c r="AU33" s="28">
        <v>0</v>
      </c>
      <c r="AV33" s="28">
        <v>0</v>
      </c>
      <c r="AW33" s="28">
        <v>0</v>
      </c>
      <c r="AX33" s="28">
        <v>0</v>
      </c>
      <c r="AY33" s="28">
        <v>0</v>
      </c>
    </row>
    <row r="34" spans="1:51">
      <c r="A34" s="16">
        <v>32</v>
      </c>
      <c r="B34" s="17" t="s">
        <v>63</v>
      </c>
      <c r="C34" s="17">
        <v>0</v>
      </c>
      <c r="D34" s="17">
        <v>0</v>
      </c>
      <c r="E34" s="26">
        <v>0</v>
      </c>
      <c r="F34" s="26">
        <v>0</v>
      </c>
      <c r="G34" s="26">
        <v>0</v>
      </c>
      <c r="H34" s="30">
        <v>0</v>
      </c>
      <c r="I34" s="30">
        <v>0</v>
      </c>
      <c r="J34" s="30">
        <v>0</v>
      </c>
      <c r="K34" s="30">
        <v>0</v>
      </c>
      <c r="L34" s="30">
        <v>7</v>
      </c>
      <c r="M34" s="30">
        <v>7</v>
      </c>
      <c r="N34" s="30">
        <v>7</v>
      </c>
      <c r="O34" s="30">
        <v>7</v>
      </c>
      <c r="P34" s="30">
        <v>7</v>
      </c>
      <c r="Q34" s="30">
        <v>7</v>
      </c>
      <c r="R34" s="17">
        <v>0</v>
      </c>
      <c r="S34" s="17">
        <v>0</v>
      </c>
      <c r="T34" s="17">
        <v>0</v>
      </c>
      <c r="U34" s="17">
        <v>0</v>
      </c>
      <c r="V34" s="28">
        <v>-295</v>
      </c>
      <c r="W34" s="28">
        <v>-295</v>
      </c>
      <c r="X34" s="28">
        <v>0</v>
      </c>
      <c r="Y34" s="28">
        <v>0</v>
      </c>
      <c r="Z34" s="28">
        <v>0</v>
      </c>
      <c r="AA34" s="28">
        <v>0</v>
      </c>
      <c r="AB34" s="28">
        <v>0</v>
      </c>
      <c r="AC34" s="28">
        <v>0</v>
      </c>
      <c r="AD34" s="28">
        <v>0</v>
      </c>
      <c r="AE34" s="28">
        <v>0</v>
      </c>
      <c r="AF34" s="28">
        <v>0</v>
      </c>
      <c r="AG34" s="28">
        <v>0</v>
      </c>
      <c r="AH34" s="28">
        <v>0</v>
      </c>
      <c r="AI34" s="28">
        <v>0</v>
      </c>
      <c r="AJ34" s="28">
        <v>0</v>
      </c>
      <c r="AK34" s="28">
        <v>0</v>
      </c>
      <c r="AL34" s="28">
        <v>0</v>
      </c>
      <c r="AM34" s="28">
        <v>0</v>
      </c>
      <c r="AN34" s="28">
        <v>0</v>
      </c>
      <c r="AO34" s="28">
        <v>0</v>
      </c>
      <c r="AP34" s="28">
        <v>0</v>
      </c>
      <c r="AQ34" s="28">
        <v>0</v>
      </c>
      <c r="AR34" s="28">
        <v>0</v>
      </c>
      <c r="AS34" s="28">
        <v>0</v>
      </c>
      <c r="AT34" s="28">
        <v>0</v>
      </c>
      <c r="AU34" s="28">
        <v>0</v>
      </c>
      <c r="AV34" s="28">
        <v>0</v>
      </c>
      <c r="AW34" s="28">
        <v>0</v>
      </c>
      <c r="AX34" s="28">
        <v>0</v>
      </c>
      <c r="AY34" s="28">
        <v>0</v>
      </c>
    </row>
    <row r="35" spans="1:51" s="8" customFormat="1">
      <c r="A35" s="16">
        <v>33</v>
      </c>
      <c r="B35" s="17" t="s">
        <v>64</v>
      </c>
      <c r="C35" s="17">
        <v>0</v>
      </c>
      <c r="D35" s="17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2</v>
      </c>
      <c r="M35" s="26">
        <v>2</v>
      </c>
      <c r="N35" s="26">
        <v>2</v>
      </c>
      <c r="O35" s="26">
        <v>2</v>
      </c>
      <c r="P35" s="26">
        <v>2</v>
      </c>
      <c r="Q35" s="26">
        <v>2</v>
      </c>
      <c r="R35" s="17">
        <v>2</v>
      </c>
      <c r="S35" s="17">
        <v>2</v>
      </c>
      <c r="T35" s="17">
        <v>2</v>
      </c>
      <c r="U35" s="17">
        <v>2</v>
      </c>
      <c r="V35" s="8">
        <v>2</v>
      </c>
      <c r="W35" s="8">
        <v>2</v>
      </c>
      <c r="X35" s="8">
        <v>2</v>
      </c>
      <c r="Y35" s="8">
        <v>2</v>
      </c>
      <c r="Z35" s="8">
        <v>2</v>
      </c>
      <c r="AA35" s="8">
        <v>2</v>
      </c>
      <c r="AB35" s="8">
        <v>2</v>
      </c>
      <c r="AC35" s="8">
        <v>2</v>
      </c>
      <c r="AD35" s="8">
        <v>2</v>
      </c>
      <c r="AE35" s="8">
        <v>2</v>
      </c>
      <c r="AF35" s="8">
        <v>2</v>
      </c>
      <c r="AG35" s="8">
        <v>2</v>
      </c>
      <c r="AH35" s="8">
        <v>2</v>
      </c>
      <c r="AI35" s="8">
        <v>2</v>
      </c>
      <c r="AJ35" s="8">
        <v>2</v>
      </c>
      <c r="AK35" s="8">
        <v>2</v>
      </c>
      <c r="AL35" s="8">
        <v>2</v>
      </c>
      <c r="AM35" s="8">
        <v>2</v>
      </c>
      <c r="AN35" s="8">
        <v>2</v>
      </c>
      <c r="AO35" s="8">
        <v>2</v>
      </c>
      <c r="AP35" s="8">
        <v>2</v>
      </c>
      <c r="AQ35" s="8">
        <v>2</v>
      </c>
      <c r="AR35" s="8">
        <v>2</v>
      </c>
      <c r="AS35" s="8">
        <v>2</v>
      </c>
      <c r="AT35" s="8">
        <v>2</v>
      </c>
      <c r="AU35" s="8">
        <v>2</v>
      </c>
      <c r="AV35" s="8">
        <v>2</v>
      </c>
      <c r="AW35" s="8">
        <v>2</v>
      </c>
      <c r="AX35" s="8">
        <v>2</v>
      </c>
      <c r="AY35" s="8">
        <v>2</v>
      </c>
    </row>
    <row r="36" spans="1:51" s="8" customFormat="1">
      <c r="A36" s="16">
        <v>34</v>
      </c>
      <c r="B36" s="17" t="s">
        <v>65</v>
      </c>
      <c r="C36" s="17">
        <v>242</v>
      </c>
      <c r="D36" s="17">
        <v>242</v>
      </c>
      <c r="E36" s="26">
        <v>242</v>
      </c>
      <c r="F36" s="26">
        <v>242</v>
      </c>
      <c r="G36" s="26">
        <v>242</v>
      </c>
      <c r="H36" s="26">
        <v>242</v>
      </c>
      <c r="I36" s="26">
        <v>242</v>
      </c>
      <c r="J36" s="26">
        <v>242</v>
      </c>
      <c r="K36" s="26">
        <v>242</v>
      </c>
      <c r="L36" s="26">
        <v>242</v>
      </c>
      <c r="M36" s="26">
        <v>242</v>
      </c>
      <c r="N36" s="26">
        <v>242</v>
      </c>
      <c r="O36" s="26">
        <v>242</v>
      </c>
      <c r="P36" s="26">
        <v>242</v>
      </c>
      <c r="Q36" s="26">
        <v>242</v>
      </c>
      <c r="R36" s="17">
        <v>242</v>
      </c>
      <c r="S36" s="17">
        <v>242</v>
      </c>
      <c r="T36" s="17">
        <v>242</v>
      </c>
      <c r="U36" s="17">
        <v>242</v>
      </c>
      <c r="V36" s="8">
        <v>242</v>
      </c>
      <c r="W36" s="8">
        <v>242</v>
      </c>
      <c r="X36" s="8">
        <v>242</v>
      </c>
      <c r="Y36" s="8">
        <v>242</v>
      </c>
      <c r="Z36" s="8">
        <v>242</v>
      </c>
      <c r="AA36" s="8">
        <v>242</v>
      </c>
      <c r="AB36" s="8">
        <v>242</v>
      </c>
      <c r="AC36" s="8">
        <v>242</v>
      </c>
      <c r="AD36" s="8">
        <v>242</v>
      </c>
      <c r="AE36" s="8">
        <v>242</v>
      </c>
      <c r="AF36" s="8">
        <v>242</v>
      </c>
      <c r="AG36" s="8">
        <v>242</v>
      </c>
      <c r="AH36" s="8">
        <v>242</v>
      </c>
      <c r="AI36" s="8">
        <v>242</v>
      </c>
      <c r="AJ36" s="8">
        <v>242</v>
      </c>
      <c r="AK36" s="8">
        <v>242</v>
      </c>
      <c r="AL36" s="8">
        <v>242</v>
      </c>
      <c r="AM36" s="8">
        <v>242</v>
      </c>
      <c r="AN36" s="8">
        <v>242</v>
      </c>
      <c r="AO36" s="8">
        <v>242</v>
      </c>
      <c r="AP36" s="8">
        <v>242</v>
      </c>
      <c r="AQ36" s="8">
        <v>242</v>
      </c>
      <c r="AR36" s="8">
        <v>242</v>
      </c>
      <c r="AS36" s="8">
        <v>242</v>
      </c>
      <c r="AT36" s="8">
        <v>242</v>
      </c>
      <c r="AU36" s="8">
        <v>242</v>
      </c>
      <c r="AV36" s="8">
        <v>242</v>
      </c>
      <c r="AW36" s="8">
        <v>242</v>
      </c>
      <c r="AX36" s="8">
        <v>242</v>
      </c>
      <c r="AY36" s="8">
        <v>242</v>
      </c>
    </row>
    <row r="37" spans="1:51" s="8" customFormat="1">
      <c r="A37" s="16">
        <v>35</v>
      </c>
      <c r="B37" s="17" t="s">
        <v>66</v>
      </c>
      <c r="C37" s="17">
        <v>-3</v>
      </c>
      <c r="D37" s="17">
        <v>-3</v>
      </c>
      <c r="E37" s="26">
        <v>-300000</v>
      </c>
      <c r="F37" s="26">
        <v>-300000</v>
      </c>
      <c r="G37" s="26">
        <v>-300000</v>
      </c>
      <c r="H37" s="26">
        <v>-3</v>
      </c>
      <c r="I37" s="26">
        <v>-3</v>
      </c>
      <c r="J37" s="26">
        <v>-3</v>
      </c>
      <c r="K37" s="26">
        <v>-3</v>
      </c>
      <c r="L37" s="26">
        <v>-3</v>
      </c>
      <c r="M37" s="26">
        <v>-3</v>
      </c>
      <c r="N37" s="26">
        <v>-3</v>
      </c>
      <c r="O37" s="26">
        <v>-3</v>
      </c>
      <c r="P37" s="26">
        <v>-3</v>
      </c>
      <c r="Q37" s="26">
        <v>-3</v>
      </c>
      <c r="R37" s="17">
        <v>-3</v>
      </c>
      <c r="S37" s="17">
        <v>-3</v>
      </c>
      <c r="T37" s="17">
        <v>-3</v>
      </c>
      <c r="U37" s="17">
        <v>-3</v>
      </c>
      <c r="V37" s="8">
        <v>-3</v>
      </c>
      <c r="W37" s="8">
        <v>-3</v>
      </c>
      <c r="X37" s="8">
        <v>-3</v>
      </c>
      <c r="Y37" s="8">
        <v>-3</v>
      </c>
      <c r="Z37" s="8">
        <v>-3</v>
      </c>
      <c r="AA37" s="8" t="s">
        <v>312</v>
      </c>
      <c r="AB37" s="8" t="s">
        <v>312</v>
      </c>
      <c r="AC37" s="8" t="s">
        <v>312</v>
      </c>
      <c r="AD37" s="8" t="s">
        <v>312</v>
      </c>
      <c r="AE37" s="8" t="s">
        <v>312</v>
      </c>
      <c r="AF37" s="8" t="s">
        <v>312</v>
      </c>
      <c r="AG37" s="8" t="s">
        <v>312</v>
      </c>
      <c r="AH37" s="8" t="s">
        <v>312</v>
      </c>
      <c r="AI37" s="8" t="s">
        <v>312</v>
      </c>
      <c r="AJ37" s="8" t="s">
        <v>312</v>
      </c>
      <c r="AK37" s="8" t="s">
        <v>312</v>
      </c>
      <c r="AL37" s="8" t="s">
        <v>312</v>
      </c>
      <c r="AM37" s="8" t="s">
        <v>312</v>
      </c>
      <c r="AN37" s="8" t="s">
        <v>312</v>
      </c>
      <c r="AO37" s="8" t="s">
        <v>312</v>
      </c>
      <c r="AP37" s="8" t="s">
        <v>312</v>
      </c>
      <c r="AQ37" s="8" t="s">
        <v>312</v>
      </c>
      <c r="AR37" s="8" t="s">
        <v>312</v>
      </c>
      <c r="AS37" s="39" t="s">
        <v>312</v>
      </c>
      <c r="AT37" s="39" t="s">
        <v>312</v>
      </c>
      <c r="AU37" s="8" t="s">
        <v>312</v>
      </c>
      <c r="AV37" s="8" t="s">
        <v>312</v>
      </c>
      <c r="AW37" s="8" t="s">
        <v>312</v>
      </c>
      <c r="AX37" s="8" t="s">
        <v>312</v>
      </c>
      <c r="AY37" s="8" t="s">
        <v>312</v>
      </c>
    </row>
    <row r="38" spans="1:51" s="8" customFormat="1">
      <c r="A38" s="16">
        <v>36</v>
      </c>
      <c r="B38" s="17" t="s">
        <v>67</v>
      </c>
      <c r="C38" s="17">
        <v>770</v>
      </c>
      <c r="D38" s="17">
        <v>770</v>
      </c>
      <c r="E38" s="26">
        <v>770</v>
      </c>
      <c r="F38" s="26">
        <v>770</v>
      </c>
      <c r="G38" s="26">
        <v>770</v>
      </c>
      <c r="H38" s="26">
        <v>770</v>
      </c>
      <c r="I38" s="26">
        <v>770</v>
      </c>
      <c r="J38" s="26">
        <v>770</v>
      </c>
      <c r="K38" s="26">
        <v>770</v>
      </c>
      <c r="L38" s="26">
        <v>770</v>
      </c>
      <c r="M38" s="26">
        <v>770</v>
      </c>
      <c r="N38" s="26">
        <v>770</v>
      </c>
      <c r="O38" s="26">
        <v>770</v>
      </c>
      <c r="P38" s="26">
        <v>770</v>
      </c>
      <c r="Q38" s="26">
        <v>770</v>
      </c>
      <c r="R38" s="17">
        <v>770</v>
      </c>
      <c r="S38" s="17">
        <v>770</v>
      </c>
      <c r="T38" s="17">
        <v>770</v>
      </c>
      <c r="U38" s="17">
        <v>770</v>
      </c>
      <c r="V38" s="8">
        <v>770</v>
      </c>
      <c r="W38" s="8">
        <v>770</v>
      </c>
      <c r="X38" s="8">
        <v>770</v>
      </c>
      <c r="Y38" s="8">
        <v>770</v>
      </c>
      <c r="Z38" s="8">
        <v>770</v>
      </c>
      <c r="AA38" s="8">
        <v>78870</v>
      </c>
      <c r="AB38" s="8">
        <v>78870</v>
      </c>
      <c r="AC38" s="8">
        <v>78870</v>
      </c>
      <c r="AD38" s="8">
        <v>78870</v>
      </c>
      <c r="AE38" s="8">
        <v>78870</v>
      </c>
      <c r="AF38" s="8">
        <v>78870</v>
      </c>
      <c r="AG38" s="8">
        <v>78870</v>
      </c>
      <c r="AH38" s="8">
        <v>78870</v>
      </c>
      <c r="AI38" s="8">
        <v>78870</v>
      </c>
      <c r="AJ38" s="8">
        <v>78870</v>
      </c>
      <c r="AK38" s="8">
        <v>78870</v>
      </c>
      <c r="AL38" s="8">
        <v>78870</v>
      </c>
      <c r="AM38" s="8">
        <v>78870</v>
      </c>
      <c r="AN38" s="8">
        <v>74984937</v>
      </c>
      <c r="AO38" s="8">
        <v>78870</v>
      </c>
      <c r="AP38" s="8">
        <v>78870</v>
      </c>
      <c r="AQ38" s="8">
        <v>78870</v>
      </c>
      <c r="AR38" s="8">
        <v>78870</v>
      </c>
      <c r="AS38" s="8">
        <v>73799494</v>
      </c>
      <c r="AT38" s="8">
        <v>73054578</v>
      </c>
      <c r="AU38" s="8">
        <v>73799494</v>
      </c>
      <c r="AV38" s="8">
        <v>78870</v>
      </c>
      <c r="AW38" s="8">
        <v>72815633</v>
      </c>
      <c r="AX38" s="8">
        <v>72815633</v>
      </c>
      <c r="AY38" s="8">
        <v>72815633</v>
      </c>
    </row>
    <row r="39" spans="1:51" s="8" customFormat="1">
      <c r="A39" s="16">
        <v>37</v>
      </c>
      <c r="B39" s="17" t="s">
        <v>68</v>
      </c>
      <c r="C39" s="17">
        <v>740</v>
      </c>
      <c r="D39" s="17">
        <v>740</v>
      </c>
      <c r="E39" s="26">
        <v>740</v>
      </c>
      <c r="F39" s="26">
        <v>740</v>
      </c>
      <c r="G39" s="26">
        <v>740</v>
      </c>
      <c r="H39" s="26">
        <v>740</v>
      </c>
      <c r="I39" s="26">
        <v>740</v>
      </c>
      <c r="J39" s="26">
        <v>740</v>
      </c>
      <c r="K39" s="26">
        <v>740</v>
      </c>
      <c r="L39" s="26">
        <v>740</v>
      </c>
      <c r="M39" s="26">
        <v>740</v>
      </c>
      <c r="N39" s="26">
        <v>740</v>
      </c>
      <c r="O39" s="26">
        <v>740</v>
      </c>
      <c r="P39" s="26">
        <v>740</v>
      </c>
      <c r="Q39" s="26">
        <v>740</v>
      </c>
      <c r="R39" s="17">
        <v>740</v>
      </c>
      <c r="S39" s="17">
        <v>740</v>
      </c>
      <c r="T39" s="17">
        <v>740</v>
      </c>
      <c r="U39" s="17">
        <v>740</v>
      </c>
      <c r="V39" s="8">
        <v>740</v>
      </c>
      <c r="W39" s="8">
        <v>740</v>
      </c>
      <c r="X39" s="8">
        <v>740</v>
      </c>
      <c r="Y39" s="8">
        <v>740</v>
      </c>
      <c r="Z39" s="8">
        <v>740</v>
      </c>
      <c r="AA39" s="8">
        <v>78035</v>
      </c>
      <c r="AB39" s="8">
        <v>78035</v>
      </c>
      <c r="AC39" s="8">
        <v>78035</v>
      </c>
      <c r="AD39" s="8">
        <v>78035</v>
      </c>
      <c r="AE39" s="8">
        <v>78035</v>
      </c>
      <c r="AF39" s="8">
        <v>78035</v>
      </c>
      <c r="AG39" s="8">
        <v>78035</v>
      </c>
      <c r="AH39" s="8">
        <v>78035</v>
      </c>
      <c r="AI39" s="8">
        <v>78035</v>
      </c>
      <c r="AJ39" s="8">
        <v>78035</v>
      </c>
      <c r="AK39" s="8">
        <v>78035</v>
      </c>
      <c r="AL39" s="8">
        <v>78035</v>
      </c>
      <c r="AM39" s="8">
        <v>78035</v>
      </c>
      <c r="AN39" s="8">
        <v>62646681</v>
      </c>
      <c r="AO39" s="8">
        <v>78035</v>
      </c>
      <c r="AP39" s="8">
        <v>78035</v>
      </c>
      <c r="AQ39" s="8">
        <v>78035</v>
      </c>
      <c r="AR39" s="8">
        <v>78035</v>
      </c>
      <c r="AS39" s="8">
        <v>61672607</v>
      </c>
      <c r="AT39" s="8">
        <v>60887416</v>
      </c>
      <c r="AU39" s="8">
        <v>61672607</v>
      </c>
      <c r="AV39" s="8">
        <v>78035</v>
      </c>
      <c r="AW39" s="8">
        <v>61485032</v>
      </c>
      <c r="AX39" s="8">
        <v>61485032</v>
      </c>
      <c r="AY39" s="8">
        <v>61485032</v>
      </c>
    </row>
    <row r="40" spans="1:51" s="8" customFormat="1">
      <c r="A40" s="16">
        <v>38</v>
      </c>
      <c r="B40" s="17" t="s">
        <v>69</v>
      </c>
      <c r="C40" s="17">
        <v>8028</v>
      </c>
      <c r="D40" s="17">
        <v>8028</v>
      </c>
      <c r="E40" s="26">
        <v>8028</v>
      </c>
      <c r="F40" s="26">
        <v>8028</v>
      </c>
      <c r="G40" s="26">
        <v>8028</v>
      </c>
      <c r="H40" s="26">
        <v>8028</v>
      </c>
      <c r="I40" s="26">
        <v>8028</v>
      </c>
      <c r="J40" s="26">
        <v>8028</v>
      </c>
      <c r="K40" s="26">
        <v>8028</v>
      </c>
      <c r="L40" s="26">
        <v>8028</v>
      </c>
      <c r="M40" s="26">
        <v>8028</v>
      </c>
      <c r="N40" s="26">
        <v>8028</v>
      </c>
      <c r="O40" s="26">
        <v>8028</v>
      </c>
      <c r="P40" s="26">
        <v>8028</v>
      </c>
      <c r="Q40" s="26">
        <v>8028</v>
      </c>
      <c r="R40" s="17">
        <v>8028</v>
      </c>
      <c r="S40" s="17">
        <v>8028</v>
      </c>
      <c r="T40" s="17">
        <v>8028</v>
      </c>
      <c r="U40" s="17">
        <v>8028</v>
      </c>
      <c r="V40" s="8">
        <v>8028</v>
      </c>
      <c r="W40" s="8">
        <v>8028</v>
      </c>
      <c r="X40" s="8">
        <v>8028</v>
      </c>
      <c r="Y40" s="8">
        <v>8028</v>
      </c>
      <c r="Z40" s="8">
        <v>8028</v>
      </c>
      <c r="AA40" s="8">
        <v>80350</v>
      </c>
      <c r="AB40" s="8">
        <v>80350</v>
      </c>
      <c r="AC40" s="8">
        <v>80350</v>
      </c>
      <c r="AD40" s="8">
        <v>80350</v>
      </c>
      <c r="AE40" s="8">
        <v>80350</v>
      </c>
      <c r="AF40" s="8">
        <v>80350</v>
      </c>
      <c r="AG40" s="8">
        <v>80350</v>
      </c>
      <c r="AH40" s="8">
        <v>80350</v>
      </c>
      <c r="AI40" s="8">
        <v>80350</v>
      </c>
      <c r="AJ40" s="8">
        <v>80350</v>
      </c>
      <c r="AK40" s="8">
        <v>80350</v>
      </c>
      <c r="AL40" s="8">
        <v>80350</v>
      </c>
      <c r="AM40" s="8">
        <v>80350</v>
      </c>
      <c r="AN40" s="8">
        <v>108180746</v>
      </c>
      <c r="AO40" s="8">
        <v>80350</v>
      </c>
      <c r="AP40" s="8">
        <v>80350</v>
      </c>
      <c r="AQ40" s="8">
        <v>80350</v>
      </c>
      <c r="AR40" s="8">
        <v>80350</v>
      </c>
      <c r="AS40" s="8">
        <v>105571827</v>
      </c>
      <c r="AT40" s="8">
        <v>104192213</v>
      </c>
      <c r="AU40" s="8">
        <v>105571827</v>
      </c>
      <c r="AV40" s="8">
        <v>80350</v>
      </c>
      <c r="AW40" s="8">
        <v>106318375</v>
      </c>
      <c r="AX40" s="8">
        <v>106318375</v>
      </c>
      <c r="AY40" s="8">
        <v>106318375</v>
      </c>
    </row>
    <row r="41" spans="1:51" s="8" customFormat="1">
      <c r="A41" s="16">
        <v>39</v>
      </c>
      <c r="B41" s="17" t="s">
        <v>70</v>
      </c>
      <c r="C41" s="17">
        <v>178</v>
      </c>
      <c r="D41" s="17">
        <v>178</v>
      </c>
      <c r="E41" s="26">
        <v>178</v>
      </c>
      <c r="F41" s="26">
        <v>178</v>
      </c>
      <c r="G41" s="26">
        <v>178</v>
      </c>
      <c r="H41" s="26">
        <v>178</v>
      </c>
      <c r="I41" s="26">
        <v>178</v>
      </c>
      <c r="J41" s="26">
        <v>178</v>
      </c>
      <c r="K41" s="26">
        <v>178</v>
      </c>
      <c r="L41" s="26">
        <v>178</v>
      </c>
      <c r="M41" s="26">
        <v>178</v>
      </c>
      <c r="N41" s="26">
        <v>178</v>
      </c>
      <c r="O41" s="26">
        <v>178</v>
      </c>
      <c r="P41" s="26">
        <v>178</v>
      </c>
      <c r="Q41" s="26">
        <v>178</v>
      </c>
      <c r="R41" s="17">
        <v>178</v>
      </c>
      <c r="S41" s="17">
        <v>178</v>
      </c>
      <c r="T41" s="17">
        <v>178</v>
      </c>
      <c r="U41" s="17">
        <v>178</v>
      </c>
      <c r="V41" s="8">
        <v>178</v>
      </c>
      <c r="W41" s="8">
        <v>178</v>
      </c>
      <c r="X41" s="8">
        <v>178</v>
      </c>
      <c r="Y41" s="8">
        <v>178</v>
      </c>
      <c r="Z41" s="8">
        <v>178</v>
      </c>
      <c r="AA41" s="8">
        <v>80560</v>
      </c>
      <c r="AB41" s="8">
        <v>80560</v>
      </c>
      <c r="AC41" s="8">
        <v>80560</v>
      </c>
      <c r="AD41" s="8">
        <v>80560</v>
      </c>
      <c r="AE41" s="8">
        <v>80560</v>
      </c>
      <c r="AF41" s="8">
        <v>80560</v>
      </c>
      <c r="AG41" s="8">
        <v>80560</v>
      </c>
      <c r="AH41" s="8">
        <v>80560</v>
      </c>
      <c r="AI41" s="8">
        <v>80560</v>
      </c>
      <c r="AJ41" s="8">
        <v>80560</v>
      </c>
      <c r="AK41" s="8">
        <v>80560</v>
      </c>
      <c r="AL41" s="8">
        <v>80560</v>
      </c>
      <c r="AM41" s="8">
        <v>80560</v>
      </c>
      <c r="AN41" s="8">
        <v>114524521</v>
      </c>
      <c r="AO41" s="8">
        <v>80560</v>
      </c>
      <c r="AP41" s="8">
        <v>80560</v>
      </c>
      <c r="AQ41" s="8">
        <v>80560</v>
      </c>
      <c r="AR41" s="8">
        <v>80560</v>
      </c>
      <c r="AS41" s="8">
        <v>111802925</v>
      </c>
      <c r="AT41" s="8">
        <v>110369077</v>
      </c>
      <c r="AU41" s="8">
        <v>111802925</v>
      </c>
      <c r="AV41" s="8">
        <v>80560</v>
      </c>
      <c r="AW41" s="8">
        <v>114516340</v>
      </c>
      <c r="AX41" s="8">
        <v>114516340</v>
      </c>
      <c r="AY41" s="8">
        <v>114516340</v>
      </c>
    </row>
    <row r="42" spans="1:51" s="8" customFormat="1">
      <c r="A42" s="16">
        <v>40</v>
      </c>
      <c r="B42" s="17" t="s">
        <v>71</v>
      </c>
      <c r="C42" s="17">
        <v>2505</v>
      </c>
      <c r="D42" s="17">
        <v>2505</v>
      </c>
      <c r="E42" s="3">
        <v>2505</v>
      </c>
      <c r="F42" s="3">
        <v>2505</v>
      </c>
      <c r="G42" s="3">
        <v>2505</v>
      </c>
      <c r="H42" s="26">
        <v>2505</v>
      </c>
      <c r="I42" s="26">
        <v>2505</v>
      </c>
      <c r="J42" s="26">
        <v>2505</v>
      </c>
      <c r="K42" s="26">
        <v>2505</v>
      </c>
      <c r="L42" s="26">
        <v>2505</v>
      </c>
      <c r="M42" s="26">
        <v>2505</v>
      </c>
      <c r="N42" s="26">
        <v>2505</v>
      </c>
      <c r="O42" s="26">
        <v>2505</v>
      </c>
      <c r="P42" s="26">
        <v>2505</v>
      </c>
      <c r="Q42" s="26">
        <v>2505</v>
      </c>
      <c r="R42" s="17">
        <v>2505</v>
      </c>
      <c r="S42" s="17">
        <v>2505</v>
      </c>
      <c r="T42" s="17">
        <v>2505</v>
      </c>
      <c r="U42" s="17">
        <v>2505</v>
      </c>
      <c r="V42" s="8">
        <v>2505</v>
      </c>
      <c r="W42" s="8">
        <v>2505</v>
      </c>
      <c r="X42" s="8">
        <v>2505</v>
      </c>
      <c r="Y42" s="8">
        <v>2505</v>
      </c>
      <c r="Z42" s="8">
        <v>2505</v>
      </c>
      <c r="AA42" s="8">
        <v>81040</v>
      </c>
      <c r="AB42" s="8">
        <v>81040</v>
      </c>
      <c r="AC42" s="8">
        <v>81040</v>
      </c>
      <c r="AD42" s="8">
        <v>81040</v>
      </c>
      <c r="AE42" s="8">
        <v>81040</v>
      </c>
      <c r="AF42" s="8">
        <v>81040</v>
      </c>
      <c r="AG42" s="8">
        <v>81040</v>
      </c>
      <c r="AH42" s="8">
        <v>81040</v>
      </c>
      <c r="AI42" s="8">
        <v>81040</v>
      </c>
      <c r="AJ42" s="8">
        <v>81040</v>
      </c>
      <c r="AK42" s="8">
        <v>81040</v>
      </c>
      <c r="AL42" s="8">
        <v>81040</v>
      </c>
      <c r="AM42" s="8">
        <v>81040</v>
      </c>
      <c r="AN42" s="8">
        <v>130040205</v>
      </c>
      <c r="AO42" s="8">
        <v>81040</v>
      </c>
      <c r="AP42" s="8">
        <v>81040</v>
      </c>
      <c r="AQ42" s="8">
        <v>81040</v>
      </c>
      <c r="AR42" s="8">
        <v>81040</v>
      </c>
      <c r="AS42" s="8">
        <v>126128700</v>
      </c>
      <c r="AT42" s="8">
        <v>124820454</v>
      </c>
      <c r="AU42" s="8">
        <v>126128700</v>
      </c>
      <c r="AV42" s="8">
        <v>81040</v>
      </c>
      <c r="AW42" s="8">
        <v>129150519</v>
      </c>
      <c r="AX42" s="8">
        <v>129150519</v>
      </c>
      <c r="AY42" s="8">
        <v>129150519</v>
      </c>
    </row>
    <row r="43" spans="1:51">
      <c r="A43" s="16">
        <v>41</v>
      </c>
      <c r="B43" s="17" t="s">
        <v>72</v>
      </c>
      <c r="C43" s="17">
        <v>0.99280000000000002</v>
      </c>
      <c r="D43" s="17">
        <v>0.99280000000000002</v>
      </c>
      <c r="E43" s="3">
        <v>0.99280000000000002</v>
      </c>
      <c r="F43" s="3">
        <v>0.99280000000000002</v>
      </c>
      <c r="G43" s="3">
        <v>0.99280000000000002</v>
      </c>
      <c r="H43" s="30">
        <v>0.99280000000000002</v>
      </c>
      <c r="I43" s="30">
        <v>0.99280000000000002</v>
      </c>
      <c r="J43" s="30">
        <v>0.99280000000000002</v>
      </c>
      <c r="K43" s="30">
        <v>0.99280000000000002</v>
      </c>
      <c r="L43" s="30">
        <v>0.99199999999999999</v>
      </c>
      <c r="M43" s="30">
        <v>0.99199999999999999</v>
      </c>
      <c r="N43" s="30">
        <v>0.99199999999999999</v>
      </c>
      <c r="O43" s="30">
        <v>0.99199999999999999</v>
      </c>
      <c r="P43" s="30">
        <v>0.99199999999999999</v>
      </c>
      <c r="Q43" s="30">
        <v>0.99199999999999999</v>
      </c>
      <c r="R43" s="17">
        <v>0.99</v>
      </c>
      <c r="S43" s="17">
        <v>0.99</v>
      </c>
      <c r="T43" s="17">
        <v>0.99</v>
      </c>
      <c r="U43" s="17">
        <v>0.99</v>
      </c>
      <c r="V43" s="28">
        <v>0.99</v>
      </c>
      <c r="W43" s="28">
        <v>0.99</v>
      </c>
      <c r="X43" s="28">
        <v>0.99</v>
      </c>
      <c r="Y43" s="28">
        <v>0.99</v>
      </c>
      <c r="Z43" s="28">
        <v>0.99099999999999999</v>
      </c>
      <c r="AA43" s="28">
        <v>0.99099999999999999</v>
      </c>
      <c r="AB43" s="28">
        <v>0.99099999999999999</v>
      </c>
      <c r="AC43" s="28">
        <v>0.99099999999999999</v>
      </c>
      <c r="AD43" s="28">
        <v>0.99099999999999999</v>
      </c>
      <c r="AE43" s="28">
        <v>0.99099999999999999</v>
      </c>
      <c r="AF43" s="28">
        <v>0.99099999999999999</v>
      </c>
      <c r="AG43" s="28">
        <v>0.99099999999999999</v>
      </c>
      <c r="AH43" s="28">
        <v>0.99099999999999999</v>
      </c>
      <c r="AI43" s="28">
        <v>0.99099999999999999</v>
      </c>
      <c r="AJ43" s="28">
        <v>0.99099999999999999</v>
      </c>
      <c r="AK43" s="28">
        <v>0.99099999999999999</v>
      </c>
      <c r="AL43" s="28">
        <v>0.99099999999999999</v>
      </c>
      <c r="AM43" s="28">
        <v>0.99099999999999999</v>
      </c>
      <c r="AN43" s="28">
        <v>0.99099999999999999</v>
      </c>
      <c r="AO43" s="28">
        <v>0.99099999999999999</v>
      </c>
      <c r="AP43" s="28">
        <v>0.99099999999999999</v>
      </c>
      <c r="AQ43" s="28">
        <v>0.99099999999999999</v>
      </c>
      <c r="AR43" s="28">
        <v>0.99099999999999999</v>
      </c>
      <c r="AS43" s="28">
        <v>0.99099999999999999</v>
      </c>
      <c r="AT43" s="28">
        <v>0.99099999999999999</v>
      </c>
      <c r="AU43" s="28">
        <v>0.99099999999999999</v>
      </c>
      <c r="AV43" s="28">
        <v>0.99099999999999999</v>
      </c>
      <c r="AW43" s="28">
        <v>0.99099999999999999</v>
      </c>
      <c r="AX43" s="28">
        <v>0.99099999999999999</v>
      </c>
      <c r="AY43" s="28">
        <v>0.99099999999999999</v>
      </c>
    </row>
    <row r="44" spans="1:51">
      <c r="A44" s="16">
        <v>42</v>
      </c>
      <c r="B44" s="17" t="s">
        <v>73</v>
      </c>
      <c r="C44" s="17">
        <v>8</v>
      </c>
      <c r="D44" s="17">
        <v>8</v>
      </c>
      <c r="E44" s="17">
        <v>8</v>
      </c>
      <c r="F44" s="17">
        <v>8</v>
      </c>
      <c r="G44" s="17">
        <v>8</v>
      </c>
      <c r="H44" s="30">
        <v>8</v>
      </c>
      <c r="I44" s="30">
        <v>8</v>
      </c>
      <c r="J44" s="30">
        <v>8</v>
      </c>
      <c r="K44" s="30">
        <v>8</v>
      </c>
      <c r="L44" s="30">
        <v>8</v>
      </c>
      <c r="M44" s="30">
        <v>8</v>
      </c>
      <c r="N44" s="30">
        <v>8</v>
      </c>
      <c r="O44" s="30">
        <v>8</v>
      </c>
      <c r="P44" s="30">
        <v>8</v>
      </c>
      <c r="Q44" s="30">
        <v>8</v>
      </c>
      <c r="R44" s="17">
        <v>18</v>
      </c>
      <c r="S44" s="17">
        <v>18</v>
      </c>
      <c r="T44" s="17">
        <v>18</v>
      </c>
      <c r="U44" s="17">
        <v>18</v>
      </c>
      <c r="V44" s="28">
        <v>18</v>
      </c>
      <c r="W44" s="28">
        <v>18</v>
      </c>
      <c r="X44" s="28">
        <v>18</v>
      </c>
      <c r="Y44" s="28">
        <v>18</v>
      </c>
      <c r="Z44" s="28">
        <v>22</v>
      </c>
      <c r="AA44" s="28">
        <v>22</v>
      </c>
      <c r="AB44" s="28">
        <v>22</v>
      </c>
      <c r="AC44" s="28">
        <v>22</v>
      </c>
      <c r="AD44" s="28">
        <v>22</v>
      </c>
      <c r="AE44" s="28">
        <v>22</v>
      </c>
      <c r="AF44" s="28">
        <v>22</v>
      </c>
      <c r="AG44" s="28">
        <v>22</v>
      </c>
      <c r="AH44" s="28">
        <v>22</v>
      </c>
      <c r="AI44" s="28">
        <v>22</v>
      </c>
      <c r="AJ44" s="28">
        <v>22</v>
      </c>
      <c r="AK44" s="28">
        <v>22</v>
      </c>
      <c r="AL44" s="28">
        <v>22</v>
      </c>
      <c r="AM44" s="28">
        <v>22</v>
      </c>
      <c r="AN44" s="28">
        <v>22</v>
      </c>
      <c r="AO44" s="28">
        <v>22</v>
      </c>
      <c r="AP44" s="28">
        <v>22</v>
      </c>
      <c r="AQ44" s="28">
        <v>22</v>
      </c>
      <c r="AR44" s="28">
        <v>22</v>
      </c>
      <c r="AS44" s="28">
        <v>22</v>
      </c>
      <c r="AT44" s="28">
        <v>22</v>
      </c>
      <c r="AU44" s="28">
        <v>22</v>
      </c>
      <c r="AV44" s="28">
        <v>22</v>
      </c>
      <c r="AW44" s="28">
        <v>22</v>
      </c>
      <c r="AX44" s="28">
        <v>22</v>
      </c>
      <c r="AY44" s="28">
        <v>22</v>
      </c>
    </row>
    <row r="45" spans="1:51" s="8" customFormat="1">
      <c r="A45" s="16">
        <v>43</v>
      </c>
      <c r="B45" s="17" t="s">
        <v>74</v>
      </c>
      <c r="C45" s="17">
        <v>2469</v>
      </c>
      <c r="D45" s="17">
        <v>2469</v>
      </c>
      <c r="E45" s="33">
        <v>1732</v>
      </c>
      <c r="F45" s="33">
        <v>1732</v>
      </c>
      <c r="G45" s="33">
        <v>1732</v>
      </c>
      <c r="H45" s="26">
        <v>1732</v>
      </c>
      <c r="I45" s="26">
        <v>1732</v>
      </c>
      <c r="J45" s="26">
        <v>1732</v>
      </c>
      <c r="K45" s="26">
        <v>1732</v>
      </c>
      <c r="L45" s="26">
        <v>1732</v>
      </c>
      <c r="M45" s="26">
        <v>1732</v>
      </c>
      <c r="N45" s="26">
        <v>1732</v>
      </c>
      <c r="O45" s="26">
        <v>1732</v>
      </c>
      <c r="P45" s="26">
        <v>1732</v>
      </c>
      <c r="Q45" s="26">
        <v>1732</v>
      </c>
      <c r="R45" s="17">
        <v>1732</v>
      </c>
      <c r="S45" s="17">
        <v>1732</v>
      </c>
      <c r="T45" s="17">
        <v>1732</v>
      </c>
      <c r="U45" s="17">
        <v>1732</v>
      </c>
      <c r="V45" s="8">
        <v>1732</v>
      </c>
      <c r="W45" s="8">
        <v>1732</v>
      </c>
      <c r="X45" s="8">
        <v>1732</v>
      </c>
      <c r="Y45" s="8">
        <v>1732</v>
      </c>
      <c r="Z45" s="8">
        <v>1732</v>
      </c>
      <c r="AA45" s="8">
        <v>1732</v>
      </c>
      <c r="AB45" s="8">
        <v>1732</v>
      </c>
      <c r="AC45" s="8">
        <v>1732</v>
      </c>
      <c r="AD45" s="8">
        <v>1732</v>
      </c>
      <c r="AE45" s="8">
        <v>1732</v>
      </c>
      <c r="AF45" s="8">
        <v>1732</v>
      </c>
      <c r="AG45" s="8">
        <v>1732</v>
      </c>
      <c r="AH45" s="8">
        <v>1732</v>
      </c>
      <c r="AI45" s="8">
        <v>1732</v>
      </c>
      <c r="AJ45" s="8">
        <v>1732</v>
      </c>
      <c r="AK45" s="8">
        <v>1732</v>
      </c>
      <c r="AL45" s="8">
        <v>1732</v>
      </c>
      <c r="AM45" s="8">
        <v>1732</v>
      </c>
      <c r="AN45" s="8">
        <v>1732</v>
      </c>
      <c r="AO45" s="8">
        <v>1732</v>
      </c>
      <c r="AP45" s="8">
        <v>1732</v>
      </c>
      <c r="AQ45" s="8">
        <v>1732</v>
      </c>
      <c r="AR45" s="8">
        <v>1732</v>
      </c>
      <c r="AS45" s="8">
        <v>1732</v>
      </c>
      <c r="AT45" s="8">
        <v>1732</v>
      </c>
      <c r="AU45" s="8">
        <v>1732</v>
      </c>
      <c r="AV45" s="8">
        <v>1732</v>
      </c>
      <c r="AW45" s="8">
        <v>1732</v>
      </c>
      <c r="AX45" s="8">
        <v>1732</v>
      </c>
      <c r="AY45" s="8">
        <v>1732</v>
      </c>
    </row>
    <row r="46" spans="1:51" s="8" customFormat="1">
      <c r="A46" s="16">
        <v>44</v>
      </c>
      <c r="B46" s="17" t="s">
        <v>75</v>
      </c>
      <c r="C46" s="17">
        <v>250</v>
      </c>
      <c r="D46" s="17">
        <v>250</v>
      </c>
      <c r="E46" s="33">
        <v>250</v>
      </c>
      <c r="F46" s="33">
        <v>250</v>
      </c>
      <c r="G46" s="33">
        <v>250</v>
      </c>
      <c r="H46" s="26">
        <v>250</v>
      </c>
      <c r="I46" s="26">
        <v>250</v>
      </c>
      <c r="J46" s="26">
        <v>250</v>
      </c>
      <c r="K46" s="26">
        <v>250</v>
      </c>
      <c r="L46" s="26">
        <v>250</v>
      </c>
      <c r="M46" s="26">
        <v>250</v>
      </c>
      <c r="N46" s="26">
        <v>250</v>
      </c>
      <c r="O46" s="26">
        <v>250</v>
      </c>
      <c r="P46" s="26">
        <v>250</v>
      </c>
      <c r="Q46" s="26">
        <v>250</v>
      </c>
      <c r="R46" s="17">
        <v>250</v>
      </c>
      <c r="S46" s="17">
        <v>250</v>
      </c>
      <c r="T46" s="17">
        <v>250</v>
      </c>
      <c r="U46" s="17">
        <v>250</v>
      </c>
      <c r="V46" s="8">
        <v>250</v>
      </c>
      <c r="W46" s="8">
        <v>250</v>
      </c>
      <c r="X46" s="8">
        <v>250</v>
      </c>
      <c r="Y46" s="8">
        <v>250</v>
      </c>
      <c r="Z46" s="8">
        <v>250</v>
      </c>
      <c r="AA46" s="8">
        <v>250</v>
      </c>
      <c r="AB46" s="8">
        <v>250</v>
      </c>
      <c r="AC46" s="8">
        <v>250</v>
      </c>
      <c r="AD46" s="8">
        <v>250</v>
      </c>
      <c r="AE46" s="8">
        <v>250</v>
      </c>
      <c r="AF46" s="8">
        <v>250</v>
      </c>
      <c r="AG46" s="8">
        <v>250</v>
      </c>
      <c r="AH46" s="8">
        <v>250</v>
      </c>
      <c r="AI46" s="8">
        <v>250</v>
      </c>
      <c r="AJ46" s="8">
        <v>250</v>
      </c>
      <c r="AK46" s="8">
        <v>250</v>
      </c>
      <c r="AL46" s="8">
        <v>250</v>
      </c>
      <c r="AM46" s="8">
        <v>250</v>
      </c>
      <c r="AN46" s="8">
        <v>250</v>
      </c>
      <c r="AO46" s="8">
        <v>250</v>
      </c>
      <c r="AP46" s="8">
        <v>250</v>
      </c>
      <c r="AQ46" s="8">
        <v>250</v>
      </c>
      <c r="AR46" s="8">
        <v>250</v>
      </c>
      <c r="AS46" s="8">
        <v>250</v>
      </c>
      <c r="AT46" s="8">
        <v>250</v>
      </c>
      <c r="AU46" s="8">
        <v>250</v>
      </c>
      <c r="AV46" s="8">
        <v>250</v>
      </c>
      <c r="AW46" s="8">
        <v>250</v>
      </c>
      <c r="AX46" s="8">
        <v>250</v>
      </c>
      <c r="AY46" s="8">
        <v>250</v>
      </c>
    </row>
    <row r="47" spans="1:51" s="8" customFormat="1">
      <c r="A47" s="16">
        <v>45</v>
      </c>
      <c r="B47" s="17" t="s">
        <v>76</v>
      </c>
      <c r="C47" s="17">
        <v>0</v>
      </c>
      <c r="D47" s="17">
        <v>0</v>
      </c>
      <c r="E47" s="33">
        <v>0.2</v>
      </c>
      <c r="F47" s="33">
        <v>0.2</v>
      </c>
      <c r="G47" s="33">
        <v>0.2</v>
      </c>
      <c r="H47" s="26">
        <v>0</v>
      </c>
      <c r="I47" s="26">
        <v>0</v>
      </c>
      <c r="J47" s="26">
        <v>0</v>
      </c>
      <c r="K47" s="26">
        <v>0</v>
      </c>
      <c r="L47" s="26">
        <v>0</v>
      </c>
      <c r="M47" s="26">
        <v>0</v>
      </c>
      <c r="N47" s="26">
        <v>0</v>
      </c>
      <c r="O47" s="26">
        <v>0</v>
      </c>
      <c r="P47" s="26">
        <v>0</v>
      </c>
      <c r="Q47" s="26">
        <v>0</v>
      </c>
      <c r="R47" s="17">
        <v>0.2</v>
      </c>
      <c r="S47" s="17">
        <v>0.2</v>
      </c>
      <c r="T47" s="17">
        <v>0.2</v>
      </c>
      <c r="U47" s="17">
        <v>0.2</v>
      </c>
      <c r="V47" s="8">
        <v>0.4</v>
      </c>
      <c r="W47" s="8">
        <v>0.4</v>
      </c>
      <c r="X47" s="8">
        <v>0.4</v>
      </c>
      <c r="Y47" s="8">
        <v>0.4</v>
      </c>
      <c r="Z47" s="8">
        <v>0.4</v>
      </c>
      <c r="AA47" s="8">
        <v>0.4</v>
      </c>
      <c r="AB47" s="8">
        <v>0.4</v>
      </c>
      <c r="AC47" s="8">
        <v>0.4</v>
      </c>
      <c r="AD47" s="8">
        <v>0.4</v>
      </c>
      <c r="AE47" s="8">
        <v>0.4</v>
      </c>
      <c r="AF47" s="8">
        <v>0.4</v>
      </c>
      <c r="AG47" s="8">
        <v>0.4</v>
      </c>
      <c r="AH47" s="8">
        <v>0.4</v>
      </c>
      <c r="AI47" s="8">
        <v>0.4</v>
      </c>
      <c r="AJ47" s="8">
        <v>0.4</v>
      </c>
      <c r="AK47" s="8">
        <v>0.4</v>
      </c>
      <c r="AL47" s="8">
        <v>0.4</v>
      </c>
      <c r="AM47" s="8">
        <v>0.4</v>
      </c>
      <c r="AN47" s="8">
        <v>0.4</v>
      </c>
      <c r="AO47" s="8">
        <v>0.4</v>
      </c>
      <c r="AP47" s="8">
        <v>0.4</v>
      </c>
      <c r="AQ47" s="8">
        <v>0.4</v>
      </c>
      <c r="AR47" s="8">
        <v>0.4</v>
      </c>
      <c r="AS47" s="8">
        <v>0.4</v>
      </c>
      <c r="AT47" s="8">
        <v>0.4</v>
      </c>
      <c r="AU47" s="8">
        <v>0.4</v>
      </c>
      <c r="AV47" s="8">
        <v>0.4</v>
      </c>
      <c r="AW47" s="8">
        <v>0.4</v>
      </c>
      <c r="AX47" s="8">
        <v>0.4</v>
      </c>
      <c r="AY47" s="8">
        <v>0.4</v>
      </c>
    </row>
    <row r="48" spans="1:51" s="8" customFormat="1">
      <c r="A48" s="16">
        <v>46</v>
      </c>
      <c r="B48" s="17" t="s">
        <v>77</v>
      </c>
      <c r="C48" s="17">
        <v>64</v>
      </c>
      <c r="D48" s="17">
        <v>64</v>
      </c>
      <c r="E48" s="33">
        <v>0</v>
      </c>
      <c r="F48" s="33">
        <v>0</v>
      </c>
      <c r="G48" s="33">
        <v>0</v>
      </c>
      <c r="H48" s="26">
        <v>0</v>
      </c>
      <c r="I48" s="26">
        <v>0</v>
      </c>
      <c r="J48" s="26">
        <v>0</v>
      </c>
      <c r="K48" s="26">
        <v>0</v>
      </c>
      <c r="L48" s="26">
        <v>0</v>
      </c>
      <c r="M48" s="26">
        <v>0</v>
      </c>
      <c r="N48" s="26">
        <v>0</v>
      </c>
      <c r="O48" s="26">
        <v>0</v>
      </c>
      <c r="P48" s="26">
        <v>0</v>
      </c>
      <c r="Q48" s="26">
        <v>0</v>
      </c>
      <c r="R48" s="17">
        <v>0</v>
      </c>
      <c r="S48" s="17">
        <v>0</v>
      </c>
      <c r="T48" s="17">
        <v>0</v>
      </c>
      <c r="U48" s="17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</row>
    <row r="49" spans="1:51" s="8" customFormat="1">
      <c r="A49" s="16">
        <v>47</v>
      </c>
      <c r="B49" s="17" t="s">
        <v>78</v>
      </c>
      <c r="C49" s="17">
        <v>256</v>
      </c>
      <c r="D49" s="17">
        <v>256</v>
      </c>
      <c r="E49" s="33">
        <v>256</v>
      </c>
      <c r="F49" s="33">
        <v>256</v>
      </c>
      <c r="G49" s="33">
        <v>256</v>
      </c>
      <c r="H49" s="26">
        <v>256</v>
      </c>
      <c r="I49" s="26">
        <v>256</v>
      </c>
      <c r="J49" s="26">
        <v>256</v>
      </c>
      <c r="K49" s="26">
        <v>256</v>
      </c>
      <c r="L49" s="26">
        <v>256</v>
      </c>
      <c r="M49" s="26">
        <v>256</v>
      </c>
      <c r="N49" s="26">
        <v>256</v>
      </c>
      <c r="O49" s="26">
        <v>256</v>
      </c>
      <c r="P49" s="26">
        <v>256</v>
      </c>
      <c r="Q49" s="26">
        <v>256</v>
      </c>
      <c r="R49" s="17">
        <v>256</v>
      </c>
      <c r="S49" s="17">
        <v>256</v>
      </c>
      <c r="T49" s="17">
        <v>256</v>
      </c>
      <c r="U49" s="17">
        <v>256</v>
      </c>
      <c r="V49" s="8">
        <v>256</v>
      </c>
      <c r="W49" s="8">
        <v>256</v>
      </c>
      <c r="X49" s="8">
        <v>256</v>
      </c>
      <c r="Y49" s="8">
        <v>256</v>
      </c>
      <c r="Z49" s="8">
        <v>256</v>
      </c>
      <c r="AA49" s="8">
        <v>256</v>
      </c>
      <c r="AB49" s="8">
        <v>256</v>
      </c>
      <c r="AC49" s="8">
        <v>256</v>
      </c>
      <c r="AD49" s="8">
        <v>256</v>
      </c>
      <c r="AE49" s="8">
        <v>256</v>
      </c>
      <c r="AF49" s="8">
        <v>256</v>
      </c>
      <c r="AG49" s="8">
        <v>256</v>
      </c>
      <c r="AH49" s="8">
        <v>256</v>
      </c>
      <c r="AI49" s="8">
        <v>256</v>
      </c>
      <c r="AJ49" s="8">
        <v>256</v>
      </c>
      <c r="AK49" s="8">
        <v>256</v>
      </c>
      <c r="AL49" s="8">
        <v>256</v>
      </c>
      <c r="AM49" s="8">
        <v>256</v>
      </c>
      <c r="AN49" s="8">
        <v>256</v>
      </c>
      <c r="AO49" s="8">
        <v>256</v>
      </c>
      <c r="AP49" s="8">
        <v>256</v>
      </c>
      <c r="AQ49" s="8">
        <v>256</v>
      </c>
      <c r="AR49" s="8">
        <v>256</v>
      </c>
      <c r="AS49" s="8">
        <v>256</v>
      </c>
      <c r="AT49" s="8">
        <v>256</v>
      </c>
      <c r="AU49" s="8">
        <v>256</v>
      </c>
      <c r="AV49" s="8">
        <v>256</v>
      </c>
      <c r="AW49" s="8">
        <v>256</v>
      </c>
      <c r="AX49" s="8">
        <v>256</v>
      </c>
      <c r="AY49" s="8">
        <v>256</v>
      </c>
    </row>
    <row r="50" spans="1:51" s="8" customFormat="1">
      <c r="A50" s="16">
        <v>48</v>
      </c>
      <c r="B50" s="17" t="s">
        <v>79</v>
      </c>
      <c r="C50" s="17">
        <v>0</v>
      </c>
      <c r="D50" s="17">
        <v>0</v>
      </c>
      <c r="E50" s="33">
        <v>0</v>
      </c>
      <c r="F50" s="33">
        <v>0</v>
      </c>
      <c r="G50" s="33">
        <v>0</v>
      </c>
      <c r="H50" s="26">
        <v>0</v>
      </c>
      <c r="I50" s="26">
        <v>0</v>
      </c>
      <c r="J50" s="26">
        <v>0</v>
      </c>
      <c r="K50" s="26">
        <v>0</v>
      </c>
      <c r="L50" s="26">
        <v>0</v>
      </c>
      <c r="M50" s="26">
        <v>0</v>
      </c>
      <c r="N50" s="26">
        <v>0</v>
      </c>
      <c r="O50" s="26">
        <v>0</v>
      </c>
      <c r="P50" s="26">
        <v>0</v>
      </c>
      <c r="Q50" s="26">
        <v>0</v>
      </c>
      <c r="R50" s="17">
        <v>0</v>
      </c>
      <c r="S50" s="17">
        <v>0</v>
      </c>
      <c r="T50" s="17">
        <v>0</v>
      </c>
      <c r="U50" s="17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</row>
    <row r="51" spans="1:51" s="8" customFormat="1">
      <c r="A51" s="16">
        <v>49</v>
      </c>
      <c r="B51" s="17" t="s">
        <v>80</v>
      </c>
      <c r="C51" s="17">
        <v>0</v>
      </c>
      <c r="D51" s="17">
        <v>0</v>
      </c>
      <c r="E51" s="33">
        <v>64</v>
      </c>
      <c r="F51" s="33">
        <v>64</v>
      </c>
      <c r="G51" s="33">
        <v>64</v>
      </c>
      <c r="H51" s="26">
        <v>64</v>
      </c>
      <c r="I51" s="26">
        <v>64</v>
      </c>
      <c r="J51" s="26">
        <v>64</v>
      </c>
      <c r="K51" s="26">
        <v>64</v>
      </c>
      <c r="L51" s="26">
        <v>64</v>
      </c>
      <c r="M51" s="26">
        <v>64</v>
      </c>
      <c r="N51" s="26">
        <v>64</v>
      </c>
      <c r="O51" s="26">
        <v>64</v>
      </c>
      <c r="P51" s="26">
        <v>64</v>
      </c>
      <c r="Q51" s="26">
        <v>64</v>
      </c>
      <c r="R51" s="17">
        <v>64</v>
      </c>
      <c r="S51" s="17">
        <v>64</v>
      </c>
      <c r="T51" s="17">
        <v>64</v>
      </c>
      <c r="U51" s="17">
        <v>64</v>
      </c>
      <c r="V51" s="8">
        <v>64</v>
      </c>
      <c r="W51" s="8">
        <v>64</v>
      </c>
      <c r="X51" s="8">
        <v>64</v>
      </c>
      <c r="Y51" s="8">
        <v>64</v>
      </c>
      <c r="Z51" s="8">
        <v>64</v>
      </c>
      <c r="AA51" s="8">
        <v>64</v>
      </c>
      <c r="AB51" s="8">
        <v>64</v>
      </c>
      <c r="AC51" s="8">
        <v>64</v>
      </c>
      <c r="AD51" s="8">
        <v>64</v>
      </c>
      <c r="AE51" s="8">
        <v>64</v>
      </c>
      <c r="AF51" s="8">
        <v>64</v>
      </c>
      <c r="AG51" s="8">
        <v>64</v>
      </c>
      <c r="AH51" s="8">
        <v>64</v>
      </c>
      <c r="AI51" s="8">
        <v>64</v>
      </c>
      <c r="AJ51" s="8">
        <v>64</v>
      </c>
      <c r="AK51" s="8">
        <v>64</v>
      </c>
      <c r="AL51" s="8">
        <v>64</v>
      </c>
      <c r="AM51" s="8">
        <v>64</v>
      </c>
      <c r="AN51" s="8">
        <v>64</v>
      </c>
      <c r="AO51" s="8">
        <v>64</v>
      </c>
      <c r="AP51" s="8">
        <v>64</v>
      </c>
      <c r="AQ51" s="8">
        <v>64</v>
      </c>
      <c r="AR51" s="8">
        <v>64</v>
      </c>
      <c r="AS51" s="8">
        <v>64</v>
      </c>
      <c r="AT51" s="8">
        <v>64</v>
      </c>
      <c r="AU51" s="8">
        <v>64</v>
      </c>
      <c r="AV51" s="8">
        <v>64</v>
      </c>
      <c r="AW51" s="8">
        <v>64</v>
      </c>
      <c r="AX51" s="8">
        <v>64</v>
      </c>
      <c r="AY51" s="8">
        <v>64</v>
      </c>
    </row>
    <row r="52" spans="1:51" s="8" customFormat="1">
      <c r="A52" s="16">
        <v>50</v>
      </c>
      <c r="B52" s="17" t="s">
        <v>81</v>
      </c>
      <c r="C52" s="17">
        <v>9</v>
      </c>
      <c r="D52" s="17">
        <v>9</v>
      </c>
      <c r="E52" s="33">
        <v>0</v>
      </c>
      <c r="F52" s="33">
        <v>0</v>
      </c>
      <c r="G52" s="33">
        <v>0</v>
      </c>
      <c r="H52" s="26">
        <v>0</v>
      </c>
      <c r="I52" s="26">
        <v>0</v>
      </c>
      <c r="J52" s="26">
        <v>0</v>
      </c>
      <c r="K52" s="26">
        <v>0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17">
        <v>0</v>
      </c>
      <c r="S52" s="17">
        <v>0</v>
      </c>
      <c r="T52" s="17">
        <v>0</v>
      </c>
      <c r="U52" s="17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</row>
    <row r="53" spans="1:51" s="8" customFormat="1">
      <c r="A53" s="16">
        <v>51</v>
      </c>
      <c r="B53" s="17" t="s">
        <v>82</v>
      </c>
      <c r="C53" s="17">
        <v>2210</v>
      </c>
      <c r="D53" s="17">
        <v>2210</v>
      </c>
      <c r="E53" s="3">
        <v>2217</v>
      </c>
      <c r="F53" s="3">
        <v>2217</v>
      </c>
      <c r="G53" s="3">
        <v>2217</v>
      </c>
      <c r="H53" s="26">
        <v>2217</v>
      </c>
      <c r="I53" s="26">
        <v>2217</v>
      </c>
      <c r="J53" s="26">
        <v>2217</v>
      </c>
      <c r="K53" s="26">
        <v>2217</v>
      </c>
      <c r="L53" s="26">
        <v>2224</v>
      </c>
      <c r="M53" s="26">
        <v>2224</v>
      </c>
      <c r="N53" s="26">
        <v>2224</v>
      </c>
      <c r="O53" s="26">
        <v>2224</v>
      </c>
      <c r="P53" s="26">
        <v>2224</v>
      </c>
      <c r="Q53" s="26">
        <v>2224</v>
      </c>
      <c r="R53" s="17">
        <v>2224</v>
      </c>
      <c r="S53" s="17">
        <v>2224</v>
      </c>
      <c r="T53" s="17">
        <v>2224</v>
      </c>
      <c r="U53" s="17">
        <v>2224</v>
      </c>
      <c r="V53" s="8">
        <v>2224</v>
      </c>
      <c r="W53" s="8">
        <v>2224</v>
      </c>
      <c r="X53" s="8">
        <v>2224</v>
      </c>
      <c r="Y53" s="8">
        <v>2260</v>
      </c>
      <c r="Z53" s="8">
        <v>2260</v>
      </c>
      <c r="AA53" s="8">
        <v>2260</v>
      </c>
      <c r="AB53" s="8">
        <v>2260</v>
      </c>
      <c r="AC53" s="8">
        <v>2260</v>
      </c>
      <c r="AD53" s="8">
        <v>2260</v>
      </c>
      <c r="AE53" s="8">
        <v>2260</v>
      </c>
      <c r="AF53" s="8">
        <v>2260</v>
      </c>
      <c r="AG53" s="8">
        <v>2260</v>
      </c>
      <c r="AH53" s="8">
        <v>2260</v>
      </c>
      <c r="AI53" s="8">
        <v>2260</v>
      </c>
      <c r="AJ53" s="8">
        <v>2260</v>
      </c>
      <c r="AK53" s="8">
        <v>2215</v>
      </c>
      <c r="AL53" s="8">
        <v>2215</v>
      </c>
      <c r="AM53" s="8">
        <v>2215</v>
      </c>
      <c r="AN53" s="8">
        <v>2215</v>
      </c>
      <c r="AO53" s="8">
        <v>2215</v>
      </c>
      <c r="AP53" s="8">
        <v>2220</v>
      </c>
      <c r="AQ53" s="8">
        <v>2220</v>
      </c>
      <c r="AR53" s="8">
        <v>2207</v>
      </c>
      <c r="AS53" s="8">
        <v>2207</v>
      </c>
      <c r="AT53" s="8">
        <v>2207</v>
      </c>
      <c r="AU53" s="8">
        <v>2207</v>
      </c>
      <c r="AV53" s="8">
        <v>2207</v>
      </c>
      <c r="AW53" s="8">
        <v>2207</v>
      </c>
      <c r="AX53" s="8">
        <v>2207</v>
      </c>
      <c r="AY53" s="8">
        <v>2207</v>
      </c>
    </row>
    <row r="54" spans="1:51">
      <c r="A54" s="16">
        <v>52</v>
      </c>
      <c r="B54" s="17" t="s">
        <v>7</v>
      </c>
      <c r="E54" s="30"/>
      <c r="F54" s="30"/>
      <c r="G54" s="30"/>
      <c r="H54" s="30"/>
      <c r="I54" s="30"/>
      <c r="J54" s="30"/>
      <c r="K54" s="30"/>
      <c r="L54" s="35"/>
      <c r="V54" s="29" t="s">
        <v>99</v>
      </c>
      <c r="W54" s="29" t="s">
        <v>99</v>
      </c>
    </row>
  </sheetData>
  <phoneticPr fontId="0" type="noConversion"/>
  <pageMargins left="0.7" right="0.7" top="0.75" bottom="0.75" header="0.3" footer="0.3"/>
  <pageSetup paperSize="9" orientation="portrait"/>
  <customProperties>
    <customPr name="DVSECTIONID" r:id="rId1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4"/>
  <sheetViews>
    <sheetView tabSelected="1" topLeftCell="AP1" workbookViewId="0">
      <selection activeCell="AU1" sqref="AU1:AV65536"/>
    </sheetView>
  </sheetViews>
  <sheetFormatPr baseColWidth="10" defaultColWidth="11.33203125" defaultRowHeight="14" x14ac:dyDescent="0"/>
  <cols>
    <col min="1" max="1" width="11.33203125" style="8"/>
    <col min="2" max="2" width="29.1640625" style="17" customWidth="1"/>
    <col min="3" max="4" width="12" style="17" customWidth="1"/>
    <col min="5" max="5" width="13.83203125" style="29" customWidth="1"/>
    <col min="6" max="6" width="12.5" style="29" customWidth="1"/>
    <col min="7" max="7" width="11.1640625" style="29" customWidth="1"/>
    <col min="8" max="12" width="11.33203125" style="29"/>
    <col min="13" max="19" width="11.5" style="17" customWidth="1"/>
    <col min="20" max="21" width="11.5" style="29" bestFit="1" customWidth="1"/>
    <col min="22" max="23" width="14.6640625" style="29" customWidth="1"/>
    <col min="24" max="24" width="12" style="29" bestFit="1" customWidth="1"/>
    <col min="25" max="33" width="11.33203125" style="29"/>
    <col min="34" max="42" width="12" style="29" bestFit="1" customWidth="1"/>
    <col min="43" max="51" width="12.1640625" style="29" bestFit="1" customWidth="1"/>
    <col min="52" max="16384" width="11.33203125" style="29"/>
  </cols>
  <sheetData>
    <row r="1" spans="1:51" s="25" customFormat="1">
      <c r="A1" s="16"/>
      <c r="B1" s="17"/>
      <c r="C1" s="24">
        <f>+C2-693960</f>
        <v>38245</v>
      </c>
      <c r="D1" s="24">
        <f>+D2-693960</f>
        <v>38341</v>
      </c>
      <c r="E1" s="24">
        <f>+E2-693960</f>
        <v>39000</v>
      </c>
      <c r="F1" s="24">
        <f t="shared" ref="F1:AY1" si="0">+F2-693960</f>
        <v>39089</v>
      </c>
      <c r="G1" s="24">
        <f t="shared" si="0"/>
        <v>39091</v>
      </c>
      <c r="H1" s="24">
        <f t="shared" si="0"/>
        <v>39627</v>
      </c>
      <c r="I1" s="24">
        <f t="shared" si="0"/>
        <v>39982</v>
      </c>
      <c r="J1" s="24">
        <f t="shared" si="0"/>
        <v>40019</v>
      </c>
      <c r="K1" s="24">
        <f t="shared" si="0"/>
        <v>40045</v>
      </c>
      <c r="L1" s="24">
        <f t="shared" si="0"/>
        <v>40061</v>
      </c>
      <c r="M1" s="24">
        <f t="shared" si="0"/>
        <v>40081</v>
      </c>
      <c r="N1" s="24">
        <f t="shared" si="0"/>
        <v>40179</v>
      </c>
      <c r="O1" s="24">
        <f t="shared" si="0"/>
        <v>40239</v>
      </c>
      <c r="P1" s="24">
        <f t="shared" si="0"/>
        <v>40256</v>
      </c>
      <c r="Q1" s="24">
        <f t="shared" si="0"/>
        <v>40290</v>
      </c>
      <c r="R1" s="24">
        <f t="shared" si="0"/>
        <v>40445</v>
      </c>
      <c r="S1" s="24">
        <f t="shared" si="0"/>
        <v>40512</v>
      </c>
      <c r="T1" s="24">
        <f t="shared" si="0"/>
        <v>40702</v>
      </c>
      <c r="U1" s="24">
        <f t="shared" si="0"/>
        <v>40742</v>
      </c>
      <c r="V1" s="24">
        <f t="shared" si="0"/>
        <v>40759</v>
      </c>
      <c r="W1" s="24">
        <f t="shared" si="0"/>
        <v>40854</v>
      </c>
      <c r="X1" s="24">
        <f t="shared" si="0"/>
        <v>40940</v>
      </c>
      <c r="Y1" s="24">
        <f t="shared" si="0"/>
        <v>40975</v>
      </c>
      <c r="Z1" s="24">
        <f t="shared" si="0"/>
        <v>40992</v>
      </c>
      <c r="AA1" s="24">
        <f t="shared" si="0"/>
        <v>41057</v>
      </c>
      <c r="AB1" s="24">
        <f t="shared" si="0"/>
        <v>41075</v>
      </c>
      <c r="AC1" s="24">
        <f t="shared" si="0"/>
        <v>41097</v>
      </c>
      <c r="AD1" s="24">
        <f t="shared" si="0"/>
        <v>41172</v>
      </c>
      <c r="AE1" s="24">
        <f t="shared" si="0"/>
        <v>41205</v>
      </c>
      <c r="AF1" s="24">
        <f t="shared" si="0"/>
        <v>41213</v>
      </c>
      <c r="AG1" s="24">
        <f t="shared" si="0"/>
        <v>41228</v>
      </c>
      <c r="AH1" s="24">
        <f t="shared" si="0"/>
        <v>41253</v>
      </c>
      <c r="AI1" s="24">
        <f t="shared" si="0"/>
        <v>41340</v>
      </c>
      <c r="AJ1" s="24">
        <f t="shared" si="0"/>
        <v>41428</v>
      </c>
      <c r="AK1" s="24">
        <f t="shared" si="0"/>
        <v>41450</v>
      </c>
      <c r="AL1" s="24">
        <f t="shared" si="0"/>
        <v>41506</v>
      </c>
      <c r="AM1" s="24">
        <f t="shared" si="0"/>
        <v>41556</v>
      </c>
      <c r="AN1" s="24">
        <f t="shared" si="0"/>
        <v>41576</v>
      </c>
      <c r="AO1" s="24">
        <f t="shared" si="0"/>
        <v>41627</v>
      </c>
      <c r="AP1" s="24">
        <f t="shared" si="0"/>
        <v>41634</v>
      </c>
      <c r="AQ1" s="24">
        <f t="shared" si="0"/>
        <v>41650</v>
      </c>
      <c r="AR1" s="24">
        <f t="shared" si="0"/>
        <v>41682</v>
      </c>
      <c r="AS1" s="24">
        <f t="shared" si="0"/>
        <v>41710</v>
      </c>
      <c r="AT1" s="24">
        <f t="shared" si="0"/>
        <v>41753</v>
      </c>
      <c r="AU1" s="24">
        <v>41974</v>
      </c>
      <c r="AV1" s="24">
        <v>41997</v>
      </c>
      <c r="AW1" s="24">
        <f t="shared" si="0"/>
        <v>42028</v>
      </c>
      <c r="AX1" s="24">
        <f t="shared" si="0"/>
        <v>42085</v>
      </c>
      <c r="AY1" s="24">
        <f t="shared" si="0"/>
        <v>42104</v>
      </c>
    </row>
    <row r="2" spans="1:51" s="8" customFormat="1">
      <c r="A2" s="16" t="s">
        <v>0</v>
      </c>
      <c r="B2" s="17" t="s">
        <v>1</v>
      </c>
      <c r="C2" s="4">
        <v>732205</v>
      </c>
      <c r="D2" s="4">
        <v>732301</v>
      </c>
      <c r="E2" s="26">
        <v>732960</v>
      </c>
      <c r="F2" s="26">
        <v>733049</v>
      </c>
      <c r="G2" s="26">
        <v>733051</v>
      </c>
      <c r="H2" s="26">
        <v>733587</v>
      </c>
      <c r="I2" s="26">
        <v>733942</v>
      </c>
      <c r="J2" s="26">
        <v>733979</v>
      </c>
      <c r="K2" s="26">
        <v>734005</v>
      </c>
      <c r="L2" s="26">
        <v>734021</v>
      </c>
      <c r="M2" s="17">
        <v>734041</v>
      </c>
      <c r="N2" s="17">
        <v>734139</v>
      </c>
      <c r="O2" s="17">
        <v>734199</v>
      </c>
      <c r="P2" s="17">
        <v>734216</v>
      </c>
      <c r="Q2" s="17">
        <v>734250</v>
      </c>
      <c r="R2" s="17">
        <v>734405</v>
      </c>
      <c r="S2" s="17">
        <v>734472</v>
      </c>
      <c r="T2" s="17">
        <v>734662</v>
      </c>
      <c r="U2" s="17">
        <v>734702</v>
      </c>
      <c r="V2" s="8">
        <v>734719</v>
      </c>
      <c r="W2" s="8">
        <v>734814</v>
      </c>
      <c r="X2" s="8">
        <v>734900</v>
      </c>
      <c r="Y2" s="17">
        <v>734935</v>
      </c>
      <c r="Z2" s="17">
        <v>734952</v>
      </c>
      <c r="AA2" s="17">
        <v>735017</v>
      </c>
      <c r="AB2" s="17">
        <v>735035</v>
      </c>
      <c r="AC2" s="17">
        <v>735057</v>
      </c>
      <c r="AD2" s="17">
        <v>735132</v>
      </c>
      <c r="AE2" s="17">
        <v>735165</v>
      </c>
      <c r="AF2" s="27">
        <v>735173</v>
      </c>
      <c r="AG2" s="17">
        <v>735188</v>
      </c>
      <c r="AH2" s="17">
        <v>735213</v>
      </c>
      <c r="AI2" s="17">
        <v>735300</v>
      </c>
      <c r="AJ2" s="27">
        <v>735388</v>
      </c>
      <c r="AK2" s="27">
        <v>735410</v>
      </c>
      <c r="AL2" s="27">
        <v>735466</v>
      </c>
      <c r="AM2" s="27">
        <v>735516</v>
      </c>
      <c r="AN2" s="27">
        <v>735536</v>
      </c>
      <c r="AO2" s="27">
        <v>735587</v>
      </c>
      <c r="AP2" s="27">
        <v>735594</v>
      </c>
      <c r="AQ2" s="27">
        <v>735610</v>
      </c>
      <c r="AR2" s="27">
        <v>735642</v>
      </c>
      <c r="AS2" s="27">
        <v>735670</v>
      </c>
      <c r="AT2" s="8">
        <v>735713</v>
      </c>
      <c r="AU2" s="36">
        <v>735934</v>
      </c>
      <c r="AV2" s="36">
        <v>735957</v>
      </c>
      <c r="AW2" s="36">
        <v>735988</v>
      </c>
      <c r="AX2" s="36">
        <v>736045</v>
      </c>
      <c r="AY2" s="36">
        <v>736064</v>
      </c>
    </row>
    <row r="3" spans="1:51" ht="18" customHeight="1">
      <c r="A3" s="16">
        <v>1</v>
      </c>
      <c r="B3" s="17" t="s">
        <v>37</v>
      </c>
      <c r="C3" s="17">
        <v>0</v>
      </c>
      <c r="D3" s="17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17">
        <v>0</v>
      </c>
      <c r="S3" s="17">
        <v>0</v>
      </c>
      <c r="T3" s="17">
        <v>0</v>
      </c>
      <c r="U3" s="17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  <c r="AR3" s="28">
        <v>0</v>
      </c>
      <c r="AS3" s="28">
        <v>0</v>
      </c>
      <c r="AT3" s="28">
        <v>0</v>
      </c>
      <c r="AU3" s="28">
        <v>0</v>
      </c>
      <c r="AV3" s="28">
        <v>0</v>
      </c>
      <c r="AW3" s="28">
        <v>0</v>
      </c>
      <c r="AX3" s="28">
        <v>0</v>
      </c>
      <c r="AY3" s="28">
        <v>0</v>
      </c>
    </row>
    <row r="4" spans="1:51">
      <c r="A4" s="16">
        <v>2</v>
      </c>
      <c r="B4" s="17" t="s">
        <v>38</v>
      </c>
      <c r="C4" s="17">
        <v>0</v>
      </c>
      <c r="D4" s="17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0.7</v>
      </c>
      <c r="O4" s="3">
        <v>0.7</v>
      </c>
      <c r="P4" s="3">
        <v>-0.2</v>
      </c>
      <c r="Q4" s="3">
        <v>-0.2</v>
      </c>
      <c r="R4" s="17">
        <v>-1.6369999999999999E-2</v>
      </c>
      <c r="S4" s="17">
        <v>-1.6369999999999999E-2</v>
      </c>
      <c r="T4" s="17">
        <v>-1.6369999999999999E-2</v>
      </c>
      <c r="U4" s="17">
        <v>-1.6369999999999999E-2</v>
      </c>
      <c r="V4" s="28">
        <v>-1.6369999999999999E-2</v>
      </c>
      <c r="W4" s="28">
        <v>-1.6369999999999999E-2</v>
      </c>
      <c r="X4" s="28">
        <v>-1.6369999999999999E-2</v>
      </c>
      <c r="Y4" s="28">
        <v>-1.6369999999999999E-2</v>
      </c>
      <c r="Z4" s="28">
        <v>-1.6369999999999999E-2</v>
      </c>
      <c r="AA4" s="28">
        <v>-1.6369999999999999E-2</v>
      </c>
      <c r="AB4" s="28">
        <v>-1.6369999999999999E-2</v>
      </c>
      <c r="AC4" s="28">
        <v>-1.6369999999999999E-2</v>
      </c>
      <c r="AD4" s="28">
        <v>-1.6369999999999999E-2</v>
      </c>
      <c r="AE4" s="28">
        <v>-1.6369999999999999E-2</v>
      </c>
      <c r="AF4" s="28">
        <v>-1.6369999999999999E-2</v>
      </c>
      <c r="AG4" s="28">
        <v>-1.6369999999999999E-2</v>
      </c>
      <c r="AH4" s="28">
        <v>-1.6369999999999999E-2</v>
      </c>
      <c r="AI4" s="28">
        <v>2.92E-2</v>
      </c>
      <c r="AJ4" s="28">
        <v>2.92E-2</v>
      </c>
      <c r="AK4" s="28">
        <v>2.92E-2</v>
      </c>
      <c r="AL4" s="28">
        <v>2.92E-2</v>
      </c>
      <c r="AM4" s="28">
        <v>2.92E-2</v>
      </c>
      <c r="AN4" s="28">
        <v>2.92E-2</v>
      </c>
      <c r="AO4" s="28">
        <v>2.92E-2</v>
      </c>
      <c r="AP4" s="28">
        <v>2.92E-2</v>
      </c>
      <c r="AQ4" s="28">
        <v>2.92E-2</v>
      </c>
      <c r="AR4" s="28">
        <v>2.92E-2</v>
      </c>
      <c r="AS4" s="28">
        <v>2.92E-2</v>
      </c>
      <c r="AT4" s="28">
        <v>2.92E-2</v>
      </c>
      <c r="AU4" s="28">
        <v>2.92E-2</v>
      </c>
      <c r="AV4" s="28">
        <v>2.92E-2</v>
      </c>
      <c r="AW4" s="28">
        <v>2.92E-2</v>
      </c>
      <c r="AX4" s="28">
        <v>2.92E-2</v>
      </c>
      <c r="AY4" s="28">
        <v>2.92E-2</v>
      </c>
    </row>
    <row r="5" spans="1:51">
      <c r="A5" s="16">
        <v>3</v>
      </c>
      <c r="B5" s="17" t="s">
        <v>39</v>
      </c>
      <c r="C5" s="17">
        <v>0</v>
      </c>
      <c r="D5" s="17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0.26</v>
      </c>
      <c r="Q5" s="3">
        <v>0.26</v>
      </c>
      <c r="R5" s="17">
        <v>3.8179999999999999E-2</v>
      </c>
      <c r="S5" s="17">
        <v>3.8179999999999999E-2</v>
      </c>
      <c r="T5" s="17">
        <v>3.8179999999999999E-2</v>
      </c>
      <c r="U5" s="17">
        <v>3.8179999999999999E-2</v>
      </c>
      <c r="V5" s="28">
        <v>3.8179999999999999E-2</v>
      </c>
      <c r="W5" s="28">
        <v>3.8179999999999999E-2</v>
      </c>
      <c r="X5" s="28">
        <v>3.8179999999999999E-2</v>
      </c>
      <c r="Y5" s="28">
        <v>3.8179999999999999E-2</v>
      </c>
      <c r="Z5" s="28">
        <v>3.8179999999999999E-2</v>
      </c>
      <c r="AA5" s="28">
        <v>3.8179999999999999E-2</v>
      </c>
      <c r="AB5" s="28">
        <v>3.8179999999999999E-2</v>
      </c>
      <c r="AC5" s="28">
        <v>3.8179999999999999E-2</v>
      </c>
      <c r="AD5" s="28">
        <v>3.8179999999999999E-2</v>
      </c>
      <c r="AE5" s="28">
        <v>3.8179999999999999E-2</v>
      </c>
      <c r="AF5" s="28">
        <v>3.8179999999999999E-2</v>
      </c>
      <c r="AG5" s="28">
        <v>3.8179999999999999E-2</v>
      </c>
      <c r="AH5" s="28">
        <v>3.8179999999999999E-2</v>
      </c>
      <c r="AI5" s="28">
        <v>0.21490000000000001</v>
      </c>
      <c r="AJ5" s="28">
        <v>0.21490000000000001</v>
      </c>
      <c r="AK5" s="28">
        <v>0.21490000000000001</v>
      </c>
      <c r="AL5" s="28">
        <v>0.21490000000000001</v>
      </c>
      <c r="AM5" s="28">
        <v>0.21490000000000001</v>
      </c>
      <c r="AN5" s="28">
        <v>0.21490000000000001</v>
      </c>
      <c r="AO5" s="28">
        <v>0.21490000000000001</v>
      </c>
      <c r="AP5" s="28">
        <v>0.21490000000000001</v>
      </c>
      <c r="AQ5" s="28">
        <v>0.21490000000000001</v>
      </c>
      <c r="AR5" s="28">
        <v>0.21490000000000001</v>
      </c>
      <c r="AS5" s="28">
        <v>0.21490000000000001</v>
      </c>
      <c r="AT5" s="28">
        <v>0.21490000000000001</v>
      </c>
      <c r="AU5" s="28">
        <v>0.21490000000000001</v>
      </c>
      <c r="AV5" s="28">
        <v>0.21490000000000001</v>
      </c>
      <c r="AW5" s="28">
        <v>0.21490000000000001</v>
      </c>
      <c r="AX5" s="28">
        <v>0.21490000000000001</v>
      </c>
      <c r="AY5" s="28">
        <v>0.21490000000000001</v>
      </c>
    </row>
    <row r="6" spans="1:51">
      <c r="A6" s="16">
        <v>4</v>
      </c>
      <c r="B6" s="17" t="s">
        <v>40</v>
      </c>
      <c r="C6" s="17">
        <v>0</v>
      </c>
      <c r="D6" s="17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0.1</v>
      </c>
      <c r="O6" s="3">
        <v>0.7</v>
      </c>
      <c r="P6" s="3">
        <v>0.44</v>
      </c>
      <c r="Q6" s="3">
        <v>0.44</v>
      </c>
      <c r="R6" s="17">
        <v>0.20943999999999999</v>
      </c>
      <c r="S6" s="17">
        <v>0.20943999999999999</v>
      </c>
      <c r="T6" s="17">
        <v>0.20943999999999999</v>
      </c>
      <c r="U6" s="17">
        <v>0.20943999999999999</v>
      </c>
      <c r="V6" s="28">
        <v>0.20943999999999999</v>
      </c>
      <c r="W6" s="28">
        <v>0.20943999999999999</v>
      </c>
      <c r="X6" s="28">
        <v>0.20943999999999999</v>
      </c>
      <c r="Y6" s="28">
        <v>0.20943999999999999</v>
      </c>
      <c r="Z6" s="28">
        <v>0.20943999999999999</v>
      </c>
      <c r="AA6" s="28">
        <v>0.20943999999999999</v>
      </c>
      <c r="AB6" s="28">
        <v>0.20943999999999999</v>
      </c>
      <c r="AC6" s="28">
        <v>0.20943999999999999</v>
      </c>
      <c r="AD6" s="28">
        <v>0.20943999999999999</v>
      </c>
      <c r="AE6" s="28">
        <v>0.20943999999999999</v>
      </c>
      <c r="AF6" s="28">
        <v>0.20943999999999999</v>
      </c>
      <c r="AG6" s="28">
        <v>0.20943999999999999</v>
      </c>
      <c r="AH6" s="28">
        <v>0.20943999999999999</v>
      </c>
      <c r="AI6" s="28">
        <v>0.38400000000000001</v>
      </c>
      <c r="AJ6" s="28">
        <v>0.38400000000000001</v>
      </c>
      <c r="AK6" s="28">
        <v>0.38400000000000001</v>
      </c>
      <c r="AL6" s="28">
        <v>0.38400000000000001</v>
      </c>
      <c r="AM6" s="28">
        <v>0.38400000000000001</v>
      </c>
      <c r="AN6" s="28">
        <v>0.38400000000000001</v>
      </c>
      <c r="AO6" s="28">
        <v>0.38400000000000001</v>
      </c>
      <c r="AP6" s="28">
        <v>0.38400000000000001</v>
      </c>
      <c r="AQ6" s="28">
        <v>0.38400000000000001</v>
      </c>
      <c r="AR6" s="28">
        <v>0.38400000000000001</v>
      </c>
      <c r="AS6" s="28">
        <v>0.38400000000000001</v>
      </c>
      <c r="AT6" s="28">
        <v>0.38400000000000001</v>
      </c>
      <c r="AU6" s="28">
        <v>0.38400000000000001</v>
      </c>
      <c r="AV6" s="28">
        <v>0.38400000000000001</v>
      </c>
      <c r="AW6" s="28">
        <v>0.38400000000000001</v>
      </c>
      <c r="AX6" s="28">
        <v>0.38400000000000001</v>
      </c>
      <c r="AY6" s="28">
        <v>0.38400000000000001</v>
      </c>
    </row>
    <row r="7" spans="1:51">
      <c r="A7" s="16">
        <v>5</v>
      </c>
      <c r="B7" s="17" t="s">
        <v>41</v>
      </c>
      <c r="C7" s="17">
        <v>0</v>
      </c>
      <c r="D7" s="17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0.1</v>
      </c>
      <c r="O7" s="3">
        <v>0.1</v>
      </c>
      <c r="P7" s="3">
        <v>0.23</v>
      </c>
      <c r="Q7" s="3">
        <v>0.23</v>
      </c>
      <c r="R7" s="17">
        <v>-0.17612</v>
      </c>
      <c r="S7" s="17">
        <v>-0.17612</v>
      </c>
      <c r="T7" s="17">
        <v>-0.17612</v>
      </c>
      <c r="U7" s="17">
        <v>-0.17612</v>
      </c>
      <c r="V7" s="28">
        <v>-0.17612</v>
      </c>
      <c r="W7" s="28">
        <v>-0.17612</v>
      </c>
      <c r="X7" s="28">
        <v>-0.17612</v>
      </c>
      <c r="Y7" s="28">
        <v>-0.17612</v>
      </c>
      <c r="Z7" s="28">
        <v>-0.17612</v>
      </c>
      <c r="AA7" s="28">
        <v>-0.17612</v>
      </c>
      <c r="AB7" s="28">
        <v>-0.17612</v>
      </c>
      <c r="AC7" s="28">
        <v>-0.17612</v>
      </c>
      <c r="AD7" s="28">
        <v>-0.17612</v>
      </c>
      <c r="AE7" s="28">
        <v>-0.17612</v>
      </c>
      <c r="AF7" s="28">
        <v>-0.17612</v>
      </c>
      <c r="AG7" s="28">
        <v>-0.17612</v>
      </c>
      <c r="AH7" s="28">
        <v>-0.17612</v>
      </c>
      <c r="AI7" s="28">
        <v>0.4919</v>
      </c>
      <c r="AJ7" s="28">
        <v>0.4919</v>
      </c>
      <c r="AK7" s="28">
        <v>0.4919</v>
      </c>
      <c r="AL7" s="28">
        <v>0.4919</v>
      </c>
      <c r="AM7" s="28">
        <v>0.4919</v>
      </c>
      <c r="AN7" s="28">
        <v>0.4919</v>
      </c>
      <c r="AO7" s="28">
        <v>0.4919</v>
      </c>
      <c r="AP7" s="28">
        <v>0.4919</v>
      </c>
      <c r="AQ7" s="28">
        <v>0.4919</v>
      </c>
      <c r="AR7" s="28">
        <v>0.4919</v>
      </c>
      <c r="AS7" s="28">
        <v>0.4919</v>
      </c>
      <c r="AT7" s="28">
        <v>0.4919</v>
      </c>
      <c r="AU7" s="28">
        <v>0.4919</v>
      </c>
      <c r="AV7" s="28">
        <v>0.4919</v>
      </c>
      <c r="AW7" s="28">
        <v>0.4919</v>
      </c>
      <c r="AX7" s="28">
        <v>0.4919</v>
      </c>
      <c r="AY7" s="28">
        <v>0.4919</v>
      </c>
    </row>
    <row r="8" spans="1:51">
      <c r="A8" s="16">
        <v>6</v>
      </c>
      <c r="B8" s="17" t="s">
        <v>42</v>
      </c>
      <c r="C8" s="17">
        <v>0</v>
      </c>
      <c r="D8" s="17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17">
        <v>0</v>
      </c>
      <c r="S8" s="17">
        <v>0</v>
      </c>
      <c r="T8" s="17">
        <v>0</v>
      </c>
      <c r="U8" s="17">
        <v>0</v>
      </c>
      <c r="V8" s="28">
        <v>0</v>
      </c>
      <c r="W8" s="28">
        <v>0</v>
      </c>
      <c r="X8" s="28">
        <v>0</v>
      </c>
      <c r="Y8" s="28">
        <v>0</v>
      </c>
      <c r="Z8" s="28">
        <v>0</v>
      </c>
      <c r="AA8" s="28">
        <v>0</v>
      </c>
      <c r="AB8" s="28">
        <v>0</v>
      </c>
      <c r="AC8" s="28">
        <v>0</v>
      </c>
      <c r="AD8" s="28">
        <v>0</v>
      </c>
      <c r="AE8" s="28">
        <v>0</v>
      </c>
      <c r="AF8" s="28">
        <v>0</v>
      </c>
      <c r="AG8" s="28">
        <v>0</v>
      </c>
      <c r="AH8" s="28">
        <v>0</v>
      </c>
      <c r="AI8" s="28">
        <v>0</v>
      </c>
      <c r="AJ8" s="28">
        <v>0</v>
      </c>
      <c r="AK8" s="28">
        <v>0</v>
      </c>
      <c r="AL8" s="28">
        <v>0</v>
      </c>
      <c r="AM8" s="28">
        <v>0</v>
      </c>
      <c r="AN8" s="28">
        <v>0</v>
      </c>
      <c r="AO8" s="28">
        <v>0</v>
      </c>
      <c r="AP8" s="28">
        <v>0</v>
      </c>
      <c r="AQ8" s="28">
        <v>0</v>
      </c>
      <c r="AR8" s="28">
        <v>0</v>
      </c>
      <c r="AS8" s="28">
        <v>0</v>
      </c>
      <c r="AT8" s="28">
        <v>0</v>
      </c>
      <c r="AU8" s="28">
        <v>0</v>
      </c>
      <c r="AV8" s="28">
        <v>0</v>
      </c>
      <c r="AW8" s="28">
        <v>0</v>
      </c>
      <c r="AX8" s="28">
        <v>0</v>
      </c>
      <c r="AY8" s="28">
        <v>0</v>
      </c>
    </row>
    <row r="9" spans="1:51">
      <c r="A9" s="16">
        <v>7</v>
      </c>
      <c r="B9" s="17" t="s">
        <v>43</v>
      </c>
      <c r="C9" s="17">
        <v>0.34520000000000001</v>
      </c>
      <c r="D9" s="17">
        <v>0.34050000000000002</v>
      </c>
      <c r="E9" s="3">
        <v>0.34050000000000002</v>
      </c>
      <c r="F9" s="3">
        <v>0.34050000000000002</v>
      </c>
      <c r="G9" s="3">
        <v>0.34050000000000002</v>
      </c>
      <c r="H9" s="3">
        <v>0.34050000000000002</v>
      </c>
      <c r="I9" s="3">
        <v>0.34050000000000002</v>
      </c>
      <c r="J9" s="3">
        <v>0.34050000000000002</v>
      </c>
      <c r="K9" s="3">
        <v>0.34050000000000002</v>
      </c>
      <c r="L9" s="30">
        <v>0.34150000000000003</v>
      </c>
      <c r="M9" s="30">
        <v>0.34150000000000003</v>
      </c>
      <c r="N9" s="30">
        <v>0.34150000000000003</v>
      </c>
      <c r="O9" s="30">
        <v>0.34150000000000003</v>
      </c>
      <c r="P9" s="30">
        <v>0.34350000000000003</v>
      </c>
      <c r="Q9" s="30">
        <v>0.34350000000000003</v>
      </c>
      <c r="R9" s="17">
        <v>0.34150000000000003</v>
      </c>
      <c r="S9" s="17">
        <v>0.34150000000000003</v>
      </c>
      <c r="T9" s="17">
        <v>0.34150000000000003</v>
      </c>
      <c r="U9" s="17">
        <v>0.34150000000000003</v>
      </c>
      <c r="V9" s="28">
        <v>0.34350000000000003</v>
      </c>
      <c r="W9" s="28">
        <v>0.34350000000000003</v>
      </c>
      <c r="X9" s="28">
        <v>0.34350000000000003</v>
      </c>
      <c r="Y9" s="28">
        <v>0.34350000000000003</v>
      </c>
      <c r="Z9" s="28">
        <v>0.34350000000000003</v>
      </c>
      <c r="AA9" s="28">
        <v>0.34350000000000003</v>
      </c>
      <c r="AB9" s="28">
        <v>0.34350000000000003</v>
      </c>
      <c r="AC9" s="28">
        <v>0.34350000000000003</v>
      </c>
      <c r="AD9" s="28">
        <v>0.34350000000000003</v>
      </c>
      <c r="AE9" s="28">
        <v>0.34350000000000003</v>
      </c>
      <c r="AF9" s="28">
        <v>0.34350000000000003</v>
      </c>
      <c r="AG9" s="28">
        <v>0.34350000000000003</v>
      </c>
      <c r="AH9" s="28">
        <v>0.34350000000000003</v>
      </c>
      <c r="AI9" s="28">
        <v>0.34350000000000003</v>
      </c>
      <c r="AJ9" s="28">
        <v>0.34350000000000003</v>
      </c>
      <c r="AK9" s="28">
        <v>0.34350000000000003</v>
      </c>
      <c r="AL9" s="28">
        <v>0.34350000000000003</v>
      </c>
      <c r="AM9" s="28">
        <v>0.34350000000000003</v>
      </c>
      <c r="AN9" s="28">
        <v>0.34350000000000003</v>
      </c>
      <c r="AO9" s="28">
        <v>0.34350000000000003</v>
      </c>
      <c r="AP9" s="28">
        <v>0.34100000000000003</v>
      </c>
      <c r="AQ9" s="28">
        <v>0.34100000000000003</v>
      </c>
      <c r="AR9" s="28">
        <v>0.34100000000000003</v>
      </c>
      <c r="AS9" s="28">
        <v>0.34100000000000003</v>
      </c>
      <c r="AT9" s="28">
        <v>0.34100000000000003</v>
      </c>
      <c r="AU9" s="28">
        <v>0.34100000000000003</v>
      </c>
      <c r="AV9" s="28">
        <v>0.34100000000000003</v>
      </c>
      <c r="AW9" s="28">
        <v>0.34100000000000003</v>
      </c>
      <c r="AX9" s="28">
        <v>0.34100000000000003</v>
      </c>
      <c r="AY9" s="28">
        <v>0.34100000000000003</v>
      </c>
    </row>
    <row r="10" spans="1:51">
      <c r="A10" s="16">
        <v>8</v>
      </c>
      <c r="B10" s="17" t="s">
        <v>44</v>
      </c>
      <c r="C10" s="17">
        <v>2.35</v>
      </c>
      <c r="D10" s="17">
        <v>2.35</v>
      </c>
      <c r="E10" s="31">
        <v>235000</v>
      </c>
      <c r="F10" s="31">
        <v>235000</v>
      </c>
      <c r="G10" s="31">
        <v>235000</v>
      </c>
      <c r="H10" s="30">
        <v>2.35</v>
      </c>
      <c r="I10" s="30">
        <v>2.35</v>
      </c>
      <c r="J10" s="30">
        <v>2.35</v>
      </c>
      <c r="K10" s="30">
        <v>2.35</v>
      </c>
      <c r="L10" s="30">
        <v>2.35</v>
      </c>
      <c r="M10" s="30">
        <v>2.35</v>
      </c>
      <c r="N10" s="30">
        <v>2.35</v>
      </c>
      <c r="O10" s="30">
        <v>2.35</v>
      </c>
      <c r="P10" s="30">
        <v>2.35</v>
      </c>
      <c r="Q10" s="30">
        <v>2.35</v>
      </c>
      <c r="R10" s="17">
        <v>2.35</v>
      </c>
      <c r="S10" s="17">
        <v>2.35</v>
      </c>
      <c r="T10" s="17">
        <v>2.35</v>
      </c>
      <c r="U10" s="17">
        <v>2.35</v>
      </c>
      <c r="V10" s="28">
        <v>2.35</v>
      </c>
      <c r="W10" s="28">
        <v>2.35</v>
      </c>
      <c r="X10" s="28">
        <v>2.35</v>
      </c>
      <c r="Y10" s="28">
        <v>2.35</v>
      </c>
      <c r="Z10" s="28">
        <v>2.35</v>
      </c>
      <c r="AA10" s="28">
        <v>2.35</v>
      </c>
      <c r="AB10" s="28">
        <v>2.35</v>
      </c>
      <c r="AC10" s="28">
        <v>2.35</v>
      </c>
      <c r="AD10" s="28">
        <v>2.35</v>
      </c>
      <c r="AE10" s="28">
        <v>2.35</v>
      </c>
      <c r="AF10" s="28">
        <v>2.35</v>
      </c>
      <c r="AG10" s="28">
        <v>2.35</v>
      </c>
      <c r="AH10" s="28">
        <v>2.35</v>
      </c>
      <c r="AI10" s="28">
        <v>2.35</v>
      </c>
      <c r="AJ10" s="28">
        <v>2.35</v>
      </c>
      <c r="AK10" s="28">
        <v>2.35</v>
      </c>
      <c r="AL10" s="28">
        <v>2.35</v>
      </c>
      <c r="AM10" s="28">
        <v>2.35</v>
      </c>
      <c r="AN10" s="28">
        <v>2.35</v>
      </c>
      <c r="AO10" s="28">
        <v>2.35</v>
      </c>
      <c r="AP10" s="28">
        <v>2.35</v>
      </c>
      <c r="AQ10" s="28">
        <v>2.35</v>
      </c>
      <c r="AR10" s="28">
        <v>2.35</v>
      </c>
      <c r="AS10" s="28">
        <v>2.35</v>
      </c>
      <c r="AT10" s="28">
        <v>2.35</v>
      </c>
      <c r="AU10" s="28">
        <v>2.35</v>
      </c>
      <c r="AV10" s="28">
        <v>2.35</v>
      </c>
      <c r="AW10" s="28">
        <v>2.35</v>
      </c>
      <c r="AX10" s="28">
        <v>2.35</v>
      </c>
      <c r="AY10" s="28">
        <v>2.35</v>
      </c>
    </row>
    <row r="11" spans="1:51">
      <c r="A11" s="16">
        <v>9</v>
      </c>
      <c r="B11" s="17" t="s">
        <v>45</v>
      </c>
      <c r="C11" s="17">
        <v>1.1559999999999999</v>
      </c>
      <c r="D11" s="17">
        <v>1.1559999999999999</v>
      </c>
      <c r="E11" s="31">
        <v>114600</v>
      </c>
      <c r="F11" s="31">
        <v>114600</v>
      </c>
      <c r="G11" s="31">
        <v>114600</v>
      </c>
      <c r="H11" s="32">
        <v>1.1459999999999999</v>
      </c>
      <c r="I11" s="32">
        <v>1.1459999999999999</v>
      </c>
      <c r="J11" s="32">
        <v>1.1459999999999999</v>
      </c>
      <c r="K11" s="32">
        <v>1.1459999999999999</v>
      </c>
      <c r="L11" s="30">
        <v>1.1459999999999999</v>
      </c>
      <c r="M11" s="30">
        <v>1.1459999999999999</v>
      </c>
      <c r="N11" s="30">
        <v>1.1459999999999999</v>
      </c>
      <c r="O11" s="30">
        <v>1.1459999999999999</v>
      </c>
      <c r="P11" s="30">
        <v>1.1459999999999999</v>
      </c>
      <c r="Q11" s="30">
        <v>1.1459999999999999</v>
      </c>
      <c r="R11" s="17">
        <v>1.1459999999999999</v>
      </c>
      <c r="S11" s="17">
        <v>1.1459999999999999</v>
      </c>
      <c r="T11" s="17">
        <v>1.1459999999999999</v>
      </c>
      <c r="U11" s="17">
        <v>1.1459999999999999</v>
      </c>
      <c r="V11" s="28">
        <v>1.46</v>
      </c>
      <c r="W11" s="28">
        <v>1.46</v>
      </c>
      <c r="X11" s="28">
        <v>1.46</v>
      </c>
      <c r="Y11" s="28">
        <v>1.46</v>
      </c>
      <c r="Z11" s="28">
        <v>1.46</v>
      </c>
      <c r="AA11" s="28">
        <v>1.46</v>
      </c>
      <c r="AB11" s="28">
        <v>1.46</v>
      </c>
      <c r="AC11" s="28">
        <v>1.46</v>
      </c>
      <c r="AD11" s="28">
        <v>1.46</v>
      </c>
      <c r="AE11" s="28">
        <v>1.46</v>
      </c>
      <c r="AF11" s="28">
        <v>1.46</v>
      </c>
      <c r="AG11" s="28">
        <v>1.46</v>
      </c>
      <c r="AH11" s="28">
        <v>1.46</v>
      </c>
      <c r="AI11" s="28">
        <v>1.46</v>
      </c>
      <c r="AJ11" s="28">
        <v>1.46</v>
      </c>
      <c r="AK11" s="28">
        <v>1.46</v>
      </c>
      <c r="AL11" s="28">
        <v>1.46</v>
      </c>
      <c r="AM11" s="28">
        <v>1.46</v>
      </c>
      <c r="AN11" s="28">
        <v>1.46</v>
      </c>
      <c r="AO11" s="28">
        <v>1.46</v>
      </c>
      <c r="AP11" s="28">
        <v>1.46</v>
      </c>
      <c r="AQ11" s="28">
        <v>1.46</v>
      </c>
      <c r="AR11" s="28">
        <v>1.46</v>
      </c>
      <c r="AS11" s="28">
        <v>1.46</v>
      </c>
      <c r="AT11" s="28">
        <v>1.46</v>
      </c>
      <c r="AU11" s="28">
        <v>1.46</v>
      </c>
      <c r="AV11" s="28">
        <v>1.46</v>
      </c>
      <c r="AW11" s="28">
        <v>1.46</v>
      </c>
      <c r="AX11" s="28">
        <v>1.46</v>
      </c>
      <c r="AY11" s="28">
        <v>1.46</v>
      </c>
    </row>
    <row r="12" spans="1:51" s="8" customFormat="1" ht="17.25" customHeight="1">
      <c r="A12" s="16">
        <v>10</v>
      </c>
      <c r="B12" s="17" t="s">
        <v>46</v>
      </c>
      <c r="C12" s="17">
        <v>1641</v>
      </c>
      <c r="D12" s="17">
        <v>1640</v>
      </c>
      <c r="E12" s="33">
        <v>1700</v>
      </c>
      <c r="F12" s="33">
        <v>1700</v>
      </c>
      <c r="G12" s="33">
        <v>1700</v>
      </c>
      <c r="H12" s="33">
        <v>1700</v>
      </c>
      <c r="I12" s="33">
        <v>1700</v>
      </c>
      <c r="J12" s="33">
        <v>1700</v>
      </c>
      <c r="K12" s="26">
        <v>1768</v>
      </c>
      <c r="L12" s="26">
        <v>1610</v>
      </c>
      <c r="M12" s="26">
        <v>1610</v>
      </c>
      <c r="N12" s="26">
        <v>1610</v>
      </c>
      <c r="O12" s="26">
        <v>1610</v>
      </c>
      <c r="P12" s="26">
        <v>1610</v>
      </c>
      <c r="Q12" s="26">
        <v>1590</v>
      </c>
      <c r="R12" s="17">
        <v>1595</v>
      </c>
      <c r="S12" s="17">
        <v>1595</v>
      </c>
      <c r="T12" s="17">
        <v>1595</v>
      </c>
      <c r="U12" s="17">
        <v>1600</v>
      </c>
      <c r="V12" s="8">
        <v>1580</v>
      </c>
      <c r="W12" s="8">
        <v>1580</v>
      </c>
      <c r="X12" s="8">
        <v>1580</v>
      </c>
      <c r="Y12" s="8">
        <v>1580</v>
      </c>
      <c r="Z12" s="8">
        <v>1590</v>
      </c>
      <c r="AA12" s="8">
        <v>1590</v>
      </c>
      <c r="AB12" s="8">
        <v>1590</v>
      </c>
      <c r="AC12" s="8">
        <v>1590</v>
      </c>
      <c r="AD12" s="8">
        <v>1590</v>
      </c>
      <c r="AE12" s="8">
        <v>1590</v>
      </c>
      <c r="AF12" s="8">
        <v>1590</v>
      </c>
      <c r="AG12" s="8">
        <v>1590</v>
      </c>
      <c r="AH12" s="8">
        <v>1600</v>
      </c>
      <c r="AI12" s="8">
        <v>1645</v>
      </c>
      <c r="AJ12" s="8">
        <v>1645</v>
      </c>
      <c r="AK12" s="8">
        <v>1645</v>
      </c>
      <c r="AL12" s="8">
        <v>1645</v>
      </c>
      <c r="AM12" s="8">
        <v>1575</v>
      </c>
      <c r="AN12" s="8">
        <v>1575</v>
      </c>
      <c r="AO12" s="8">
        <v>1575</v>
      </c>
      <c r="AP12" s="8">
        <v>1575</v>
      </c>
      <c r="AQ12" s="8">
        <v>1575</v>
      </c>
      <c r="AR12" s="8">
        <v>1575</v>
      </c>
      <c r="AS12" s="8">
        <v>1570</v>
      </c>
      <c r="AT12" s="8">
        <v>1570</v>
      </c>
      <c r="AU12" s="8">
        <v>1570</v>
      </c>
      <c r="AV12" s="8">
        <v>1600</v>
      </c>
      <c r="AW12" s="8">
        <v>1640</v>
      </c>
      <c r="AX12" s="8">
        <v>1640</v>
      </c>
      <c r="AY12" s="8">
        <v>1640</v>
      </c>
    </row>
    <row r="13" spans="1:51" s="8" customFormat="1">
      <c r="A13" s="16">
        <v>11</v>
      </c>
      <c r="B13" s="17" t="s">
        <v>47</v>
      </c>
      <c r="C13" s="17">
        <v>394</v>
      </c>
      <c r="D13" s="17">
        <v>394</v>
      </c>
      <c r="E13" s="33">
        <v>430</v>
      </c>
      <c r="F13" s="33">
        <v>430</v>
      </c>
      <c r="G13" s="33">
        <v>430</v>
      </c>
      <c r="H13" s="26">
        <v>430</v>
      </c>
      <c r="I13" s="26">
        <v>430</v>
      </c>
      <c r="J13" s="26">
        <v>430</v>
      </c>
      <c r="K13" s="26">
        <v>555</v>
      </c>
      <c r="L13" s="26">
        <v>250</v>
      </c>
      <c r="M13" s="26">
        <v>250</v>
      </c>
      <c r="N13" s="26">
        <v>250</v>
      </c>
      <c r="O13" s="26">
        <v>250</v>
      </c>
      <c r="P13" s="26">
        <v>250</v>
      </c>
      <c r="Q13" s="26">
        <v>250</v>
      </c>
      <c r="R13" s="17">
        <v>260</v>
      </c>
      <c r="S13" s="17">
        <v>260</v>
      </c>
      <c r="T13" s="17">
        <v>260</v>
      </c>
      <c r="U13" s="17">
        <v>270</v>
      </c>
      <c r="V13" s="17">
        <v>270</v>
      </c>
      <c r="W13" s="17">
        <v>270</v>
      </c>
      <c r="X13" s="17">
        <v>270</v>
      </c>
      <c r="Y13" s="17">
        <v>270</v>
      </c>
      <c r="Z13" s="17">
        <v>270</v>
      </c>
      <c r="AA13" s="17">
        <v>270</v>
      </c>
      <c r="AB13" s="17">
        <v>270</v>
      </c>
      <c r="AC13" s="17">
        <v>270</v>
      </c>
      <c r="AD13" s="17">
        <v>270</v>
      </c>
      <c r="AE13" s="17">
        <v>270</v>
      </c>
      <c r="AF13" s="17">
        <v>270</v>
      </c>
      <c r="AG13" s="17">
        <v>270</v>
      </c>
      <c r="AH13" s="17">
        <v>270</v>
      </c>
      <c r="AI13" s="17">
        <v>270</v>
      </c>
      <c r="AJ13" s="17">
        <v>270</v>
      </c>
      <c r="AK13" s="17">
        <v>270</v>
      </c>
      <c r="AL13" s="17">
        <v>270</v>
      </c>
      <c r="AM13" s="17">
        <v>270</v>
      </c>
      <c r="AN13" s="17">
        <v>270</v>
      </c>
      <c r="AO13" s="17">
        <v>270</v>
      </c>
      <c r="AP13" s="17">
        <v>270</v>
      </c>
      <c r="AQ13" s="17">
        <v>270</v>
      </c>
      <c r="AR13" s="17">
        <v>270</v>
      </c>
      <c r="AS13" s="17">
        <v>270</v>
      </c>
      <c r="AT13" s="17">
        <v>270</v>
      </c>
      <c r="AU13" s="17">
        <v>270</v>
      </c>
      <c r="AV13" s="17">
        <v>270</v>
      </c>
      <c r="AW13" s="17">
        <v>270</v>
      </c>
      <c r="AX13" s="17">
        <v>270</v>
      </c>
      <c r="AY13" s="17">
        <v>270</v>
      </c>
    </row>
    <row r="14" spans="1:51" s="20" customFormat="1" ht="17.25" customHeight="1">
      <c r="A14" s="16">
        <v>12</v>
      </c>
      <c r="B14" s="17" t="s">
        <v>48</v>
      </c>
      <c r="C14" s="17">
        <v>2.6000000000000001E-8</v>
      </c>
      <c r="D14" s="17">
        <v>2.6000000000000001E-8</v>
      </c>
      <c r="E14" s="18">
        <v>2.6000000000000001E-8</v>
      </c>
      <c r="F14" s="18">
        <v>2.6000000000000001E-8</v>
      </c>
      <c r="G14" s="18">
        <v>2.6000000000000001E-8</v>
      </c>
      <c r="H14" s="19">
        <v>2.6000000000000001E-8</v>
      </c>
      <c r="I14" s="19">
        <v>2.6000000000000001E-8</v>
      </c>
      <c r="J14" s="19">
        <v>2.6000000000000001E-8</v>
      </c>
      <c r="K14" s="19">
        <v>2.6000000000000001E-8</v>
      </c>
      <c r="L14" s="19">
        <v>2.6000000000000001E-8</v>
      </c>
      <c r="M14" s="19">
        <v>2.6000000000000001E-8</v>
      </c>
      <c r="N14" s="19">
        <v>2.6000000000000001E-8</v>
      </c>
      <c r="O14" s="19">
        <v>2.6000000000000001E-8</v>
      </c>
      <c r="P14" s="19">
        <v>2.6000000000000001E-8</v>
      </c>
      <c r="Q14" s="19">
        <v>2.6000000000000001E-8</v>
      </c>
      <c r="R14" s="17">
        <v>2.6000000000000001E-8</v>
      </c>
      <c r="S14" s="17">
        <v>2.6000000000000001E-8</v>
      </c>
      <c r="T14" s="17">
        <v>2.6000000000000001E-8</v>
      </c>
      <c r="U14" s="17">
        <v>2.6000000000000001E-8</v>
      </c>
      <c r="V14" s="17">
        <v>2.3000000000000001E-8</v>
      </c>
      <c r="W14" s="17">
        <v>2.6000000000000001E-8</v>
      </c>
      <c r="X14" s="17">
        <v>2.6000000000000001E-8</v>
      </c>
      <c r="Y14" s="17">
        <v>2.6000000000000001E-8</v>
      </c>
      <c r="Z14" s="17">
        <v>2.6000000000000001E-8</v>
      </c>
      <c r="AA14" s="17">
        <v>2.6000000000000001E-8</v>
      </c>
      <c r="AB14" s="17">
        <v>2.6000000000000001E-8</v>
      </c>
      <c r="AC14" s="17">
        <v>2.6000000000000001E-8</v>
      </c>
      <c r="AD14" s="17">
        <v>2.6000000000000001E-8</v>
      </c>
      <c r="AE14" s="17">
        <v>2.6000000000000001E-8</v>
      </c>
      <c r="AF14" s="17">
        <v>2.6000000000000001E-8</v>
      </c>
      <c r="AG14" s="17">
        <v>2.6000000000000001E-8</v>
      </c>
      <c r="AH14" s="17">
        <v>2.6000000000000001E-8</v>
      </c>
      <c r="AI14" s="17">
        <v>2.6000000000000001E-8</v>
      </c>
      <c r="AJ14" s="17">
        <v>2.6000000000000001E-8</v>
      </c>
      <c r="AK14" s="17">
        <v>2.6000000000000001E-8</v>
      </c>
      <c r="AL14" s="17">
        <v>2.6000000000000001E-8</v>
      </c>
      <c r="AM14" s="17">
        <v>2.6000000000000001E-8</v>
      </c>
      <c r="AN14" s="17">
        <v>2.6000000000000001E-8</v>
      </c>
      <c r="AO14" s="17">
        <v>2.6000000000000001E-8</v>
      </c>
      <c r="AP14" s="17">
        <v>2.6000000000000001E-8</v>
      </c>
      <c r="AQ14" s="17">
        <v>2.3000000000000001E-8</v>
      </c>
      <c r="AR14" s="17">
        <v>2.3000000000000001E-8</v>
      </c>
      <c r="AS14" s="17">
        <v>2.3000000000000001E-8</v>
      </c>
      <c r="AT14" s="17">
        <v>2.3000000000000001E-8</v>
      </c>
      <c r="AU14" s="17">
        <v>2.3000000000000001E-8</v>
      </c>
      <c r="AV14" s="17">
        <v>2.3000000000000001E-8</v>
      </c>
      <c r="AW14" s="17">
        <v>2.3000000000000001E-8</v>
      </c>
      <c r="AX14" s="17">
        <v>2.3000000000000001E-8</v>
      </c>
      <c r="AY14" s="17">
        <v>2.3000000000000001E-8</v>
      </c>
    </row>
    <row r="15" spans="1:51" s="8" customFormat="1" ht="16.5" customHeight="1">
      <c r="A15" s="16">
        <v>13</v>
      </c>
      <c r="B15" s="17" t="s">
        <v>49</v>
      </c>
      <c r="C15" s="17">
        <v>285</v>
      </c>
      <c r="D15" s="17">
        <v>285</v>
      </c>
      <c r="E15" s="33">
        <v>1021</v>
      </c>
      <c r="F15" s="33">
        <v>1021</v>
      </c>
      <c r="G15" s="33">
        <v>1021</v>
      </c>
      <c r="H15" s="26">
        <v>1021</v>
      </c>
      <c r="I15" s="26">
        <v>1021</v>
      </c>
      <c r="J15" s="26">
        <v>1021</v>
      </c>
      <c r="K15" s="26">
        <v>1021</v>
      </c>
      <c r="L15" s="26">
        <v>1021</v>
      </c>
      <c r="M15" s="26">
        <v>1021</v>
      </c>
      <c r="N15" s="26">
        <v>1021</v>
      </c>
      <c r="O15" s="26">
        <v>1021</v>
      </c>
      <c r="P15" s="26">
        <v>1021</v>
      </c>
      <c r="Q15" s="26">
        <v>1021</v>
      </c>
      <c r="R15" s="17">
        <v>1023</v>
      </c>
      <c r="S15" s="17">
        <v>1023</v>
      </c>
      <c r="T15" s="17">
        <v>1023</v>
      </c>
      <c r="U15" s="17">
        <v>1023</v>
      </c>
      <c r="V15" s="17">
        <v>1020</v>
      </c>
      <c r="W15" s="17">
        <v>1020</v>
      </c>
      <c r="X15" s="17">
        <v>1020</v>
      </c>
      <c r="Y15" s="17">
        <v>1020</v>
      </c>
      <c r="Z15" s="17">
        <v>1020</v>
      </c>
      <c r="AA15" s="17">
        <v>1020</v>
      </c>
      <c r="AB15" s="17">
        <v>1020</v>
      </c>
      <c r="AC15" s="17">
        <v>1020</v>
      </c>
      <c r="AD15" s="17">
        <v>1020</v>
      </c>
      <c r="AE15" s="17">
        <v>1020</v>
      </c>
      <c r="AF15" s="17">
        <v>1020</v>
      </c>
      <c r="AG15" s="17">
        <v>1020</v>
      </c>
      <c r="AH15" s="17">
        <v>1020</v>
      </c>
      <c r="AI15" s="17">
        <v>1020</v>
      </c>
      <c r="AJ15" s="17">
        <v>1020</v>
      </c>
      <c r="AK15" s="17">
        <v>1020</v>
      </c>
      <c r="AL15" s="17">
        <v>1020</v>
      </c>
      <c r="AM15" s="17">
        <v>1020</v>
      </c>
      <c r="AN15" s="17">
        <v>1020</v>
      </c>
      <c r="AO15" s="17">
        <v>1020</v>
      </c>
      <c r="AP15" s="17">
        <v>1020</v>
      </c>
      <c r="AQ15" s="17">
        <v>1020</v>
      </c>
      <c r="AR15" s="17">
        <v>1020</v>
      </c>
      <c r="AS15" s="17">
        <v>1020</v>
      </c>
      <c r="AT15" s="17">
        <v>1020</v>
      </c>
      <c r="AU15" s="17">
        <v>1020</v>
      </c>
      <c r="AV15" s="17">
        <v>1020</v>
      </c>
      <c r="AW15" s="17">
        <v>1020</v>
      </c>
      <c r="AX15" s="17">
        <v>1020</v>
      </c>
      <c r="AY15" s="17">
        <v>1020</v>
      </c>
    </row>
    <row r="16" spans="1:51" s="8" customFormat="1" ht="16.5" customHeight="1">
      <c r="A16" s="16">
        <v>14</v>
      </c>
      <c r="B16" s="17" t="s">
        <v>50</v>
      </c>
      <c r="C16" s="17">
        <v>14</v>
      </c>
      <c r="D16" s="17">
        <v>14</v>
      </c>
      <c r="E16" s="33">
        <v>14</v>
      </c>
      <c r="F16" s="33">
        <v>14</v>
      </c>
      <c r="G16" s="33">
        <v>14</v>
      </c>
      <c r="H16" s="26">
        <v>14</v>
      </c>
      <c r="I16" s="26">
        <v>14</v>
      </c>
      <c r="J16" s="26">
        <v>14</v>
      </c>
      <c r="K16" s="26">
        <v>14</v>
      </c>
      <c r="L16" s="26">
        <v>14</v>
      </c>
      <c r="M16" s="26">
        <v>14</v>
      </c>
      <c r="N16" s="26">
        <v>14</v>
      </c>
      <c r="O16" s="26">
        <v>14</v>
      </c>
      <c r="P16" s="26">
        <v>14</v>
      </c>
      <c r="Q16" s="26">
        <v>14</v>
      </c>
      <c r="R16" s="17">
        <v>14</v>
      </c>
      <c r="S16" s="17">
        <v>14</v>
      </c>
      <c r="T16" s="17">
        <v>14</v>
      </c>
      <c r="U16" s="17">
        <v>14</v>
      </c>
      <c r="V16" s="17">
        <v>14</v>
      </c>
      <c r="W16" s="17">
        <v>14</v>
      </c>
      <c r="X16" s="17">
        <v>14</v>
      </c>
      <c r="Y16" s="17">
        <v>14</v>
      </c>
      <c r="Z16" s="17">
        <v>14</v>
      </c>
      <c r="AA16" s="17">
        <v>14</v>
      </c>
      <c r="AB16" s="17">
        <v>14</v>
      </c>
      <c r="AC16" s="17">
        <v>14</v>
      </c>
      <c r="AD16" s="17">
        <v>14</v>
      </c>
      <c r="AE16" s="17">
        <v>14</v>
      </c>
      <c r="AF16" s="17">
        <v>14</v>
      </c>
      <c r="AG16" s="17">
        <v>14</v>
      </c>
      <c r="AH16" s="17">
        <v>14</v>
      </c>
      <c r="AI16" s="17">
        <v>14</v>
      </c>
      <c r="AJ16" s="17">
        <v>14</v>
      </c>
      <c r="AK16" s="17">
        <v>14</v>
      </c>
      <c r="AL16" s="17">
        <v>14</v>
      </c>
      <c r="AM16" s="17">
        <v>14</v>
      </c>
      <c r="AN16" s="17">
        <v>14</v>
      </c>
      <c r="AO16" s="17">
        <v>14</v>
      </c>
      <c r="AP16" s="17">
        <v>14</v>
      </c>
      <c r="AQ16" s="17">
        <v>14</v>
      </c>
      <c r="AR16" s="17">
        <v>14</v>
      </c>
      <c r="AS16" s="17">
        <v>14</v>
      </c>
      <c r="AT16" s="17">
        <v>14</v>
      </c>
      <c r="AU16" s="17">
        <v>14</v>
      </c>
      <c r="AV16" s="17">
        <v>14</v>
      </c>
      <c r="AW16" s="17">
        <v>14</v>
      </c>
      <c r="AX16" s="17">
        <v>14</v>
      </c>
      <c r="AY16" s="17">
        <v>14</v>
      </c>
    </row>
    <row r="17" spans="1:51" s="8" customFormat="1" ht="16.5" customHeight="1">
      <c r="A17" s="16">
        <v>15</v>
      </c>
      <c r="B17" s="17" t="s">
        <v>51</v>
      </c>
      <c r="C17" s="17">
        <v>1693</v>
      </c>
      <c r="D17" s="17">
        <v>1693</v>
      </c>
      <c r="E17" s="33">
        <v>2430</v>
      </c>
      <c r="F17" s="33">
        <v>2430</v>
      </c>
      <c r="G17" s="33">
        <v>2430</v>
      </c>
      <c r="H17" s="26">
        <v>2430</v>
      </c>
      <c r="I17" s="26">
        <v>2430</v>
      </c>
      <c r="J17" s="26">
        <v>2430</v>
      </c>
      <c r="K17" s="26">
        <v>2430</v>
      </c>
      <c r="L17" s="26">
        <v>2430</v>
      </c>
      <c r="M17" s="26">
        <v>2430</v>
      </c>
      <c r="N17" s="26">
        <v>2430</v>
      </c>
      <c r="O17" s="26">
        <v>2430</v>
      </c>
      <c r="P17" s="26">
        <v>2430</v>
      </c>
      <c r="Q17" s="26">
        <v>2430</v>
      </c>
      <c r="R17" s="17">
        <v>2430</v>
      </c>
      <c r="S17" s="17">
        <v>2430</v>
      </c>
      <c r="T17" s="17">
        <v>2430</v>
      </c>
      <c r="U17" s="17">
        <v>2430</v>
      </c>
      <c r="V17" s="17">
        <v>2430</v>
      </c>
      <c r="W17" s="17">
        <v>2430</v>
      </c>
      <c r="X17" s="17">
        <v>2430</v>
      </c>
      <c r="Y17" s="17">
        <v>2430</v>
      </c>
      <c r="Z17" s="17">
        <v>2430</v>
      </c>
      <c r="AA17" s="17">
        <v>2430</v>
      </c>
      <c r="AB17" s="17">
        <v>2430</v>
      </c>
      <c r="AC17" s="17">
        <v>2430</v>
      </c>
      <c r="AD17" s="17">
        <v>2430</v>
      </c>
      <c r="AE17" s="17">
        <v>2430</v>
      </c>
      <c r="AF17" s="17">
        <v>2430</v>
      </c>
      <c r="AG17" s="17">
        <v>2430</v>
      </c>
      <c r="AH17" s="17">
        <v>2430</v>
      </c>
      <c r="AI17" s="17">
        <v>2430</v>
      </c>
      <c r="AJ17" s="17">
        <v>2430</v>
      </c>
      <c r="AK17" s="17">
        <v>2430</v>
      </c>
      <c r="AL17" s="17">
        <v>2430</v>
      </c>
      <c r="AM17" s="17">
        <v>2430</v>
      </c>
      <c r="AN17" s="17">
        <v>2430</v>
      </c>
      <c r="AO17" s="17">
        <v>2430</v>
      </c>
      <c r="AP17" s="17">
        <v>2430</v>
      </c>
      <c r="AQ17" s="17">
        <v>2430</v>
      </c>
      <c r="AR17" s="17">
        <v>2430</v>
      </c>
      <c r="AS17" s="17">
        <v>2430</v>
      </c>
      <c r="AT17" s="17">
        <v>2430</v>
      </c>
      <c r="AU17" s="17">
        <v>2430</v>
      </c>
      <c r="AV17" s="17">
        <v>2430</v>
      </c>
      <c r="AW17" s="17">
        <v>2430</v>
      </c>
      <c r="AX17" s="17">
        <v>2430</v>
      </c>
      <c r="AY17" s="17">
        <v>2430</v>
      </c>
    </row>
    <row r="18" spans="1:51" s="8" customFormat="1" ht="15" customHeight="1">
      <c r="A18" s="16">
        <v>16</v>
      </c>
      <c r="B18" s="17" t="s">
        <v>52</v>
      </c>
      <c r="C18" s="17">
        <v>0</v>
      </c>
      <c r="D18" s="17">
        <v>0</v>
      </c>
      <c r="E18" s="33">
        <v>0</v>
      </c>
      <c r="F18" s="33">
        <v>0</v>
      </c>
      <c r="G18" s="33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</row>
    <row r="19" spans="1:51" s="8" customFormat="1" ht="15" customHeight="1">
      <c r="A19" s="16">
        <v>17</v>
      </c>
      <c r="B19" s="17" t="s">
        <v>53</v>
      </c>
      <c r="C19" s="17">
        <v>4350</v>
      </c>
      <c r="D19" s="17">
        <v>4350</v>
      </c>
      <c r="E19" s="33">
        <v>4350</v>
      </c>
      <c r="F19" s="33">
        <v>4350</v>
      </c>
      <c r="G19" s="33">
        <v>4350</v>
      </c>
      <c r="H19" s="26">
        <v>4350</v>
      </c>
      <c r="I19" s="26">
        <v>4350</v>
      </c>
      <c r="J19" s="26">
        <v>4350</v>
      </c>
      <c r="K19" s="26">
        <v>4350</v>
      </c>
      <c r="L19" s="26">
        <v>4350</v>
      </c>
      <c r="M19" s="26">
        <v>4350</v>
      </c>
      <c r="N19" s="26">
        <v>4350</v>
      </c>
      <c r="O19" s="26">
        <v>4350</v>
      </c>
      <c r="P19" s="26">
        <v>4350</v>
      </c>
      <c r="Q19" s="26">
        <v>4350</v>
      </c>
      <c r="R19" s="17">
        <v>4350</v>
      </c>
      <c r="S19" s="17">
        <v>4350</v>
      </c>
      <c r="T19" s="17">
        <v>4350</v>
      </c>
      <c r="U19" s="17">
        <v>4350</v>
      </c>
      <c r="V19" s="17">
        <v>4350</v>
      </c>
      <c r="W19" s="17">
        <v>4350</v>
      </c>
      <c r="X19" s="17">
        <v>4350</v>
      </c>
      <c r="Y19" s="17">
        <v>4350</v>
      </c>
      <c r="Z19" s="17">
        <v>4350</v>
      </c>
      <c r="AA19" s="17">
        <v>4350</v>
      </c>
      <c r="AB19" s="17">
        <v>4350</v>
      </c>
      <c r="AC19" s="17">
        <v>4350</v>
      </c>
      <c r="AD19" s="17">
        <v>4350</v>
      </c>
      <c r="AE19" s="17">
        <v>4350</v>
      </c>
      <c r="AF19" s="17">
        <v>4350</v>
      </c>
      <c r="AG19" s="17">
        <v>4350</v>
      </c>
      <c r="AH19" s="17">
        <v>4350</v>
      </c>
      <c r="AI19" s="17">
        <v>4350</v>
      </c>
      <c r="AJ19" s="17">
        <v>4350</v>
      </c>
      <c r="AK19" s="17">
        <v>4350</v>
      </c>
      <c r="AL19" s="17">
        <v>4350</v>
      </c>
      <c r="AM19" s="17">
        <v>4350</v>
      </c>
      <c r="AN19" s="17">
        <v>4350</v>
      </c>
      <c r="AO19" s="17">
        <v>4350</v>
      </c>
      <c r="AP19" s="17">
        <v>4350</v>
      </c>
      <c r="AQ19" s="17">
        <v>4350</v>
      </c>
      <c r="AR19" s="17">
        <v>4350</v>
      </c>
      <c r="AS19" s="17">
        <v>4350</v>
      </c>
      <c r="AT19" s="17">
        <v>4350</v>
      </c>
      <c r="AU19" s="17">
        <v>4350</v>
      </c>
      <c r="AV19" s="17">
        <v>4350</v>
      </c>
      <c r="AW19" s="17">
        <v>4350</v>
      </c>
      <c r="AX19" s="17">
        <v>4350</v>
      </c>
      <c r="AY19" s="17">
        <v>4350</v>
      </c>
    </row>
    <row r="20" spans="1:51" s="8" customFormat="1" ht="15" customHeight="1">
      <c r="A20" s="16">
        <v>18</v>
      </c>
      <c r="B20" s="17" t="s">
        <v>54</v>
      </c>
      <c r="C20" s="17">
        <v>10250</v>
      </c>
      <c r="D20" s="17">
        <v>10250</v>
      </c>
      <c r="E20" s="33">
        <v>10250</v>
      </c>
      <c r="F20" s="33">
        <v>10250</v>
      </c>
      <c r="G20" s="33">
        <v>10250</v>
      </c>
      <c r="H20" s="26">
        <v>10250</v>
      </c>
      <c r="I20" s="26">
        <v>10250</v>
      </c>
      <c r="J20" s="26">
        <v>10250</v>
      </c>
      <c r="K20" s="26">
        <v>10250</v>
      </c>
      <c r="L20" s="26">
        <v>10250</v>
      </c>
      <c r="M20" s="26">
        <v>10250</v>
      </c>
      <c r="N20" s="26">
        <v>10250</v>
      </c>
      <c r="O20" s="26">
        <v>10250</v>
      </c>
      <c r="P20" s="26">
        <v>10250</v>
      </c>
      <c r="Q20" s="26">
        <v>10250</v>
      </c>
      <c r="R20" s="17">
        <v>10250</v>
      </c>
      <c r="S20" s="17">
        <v>10250</v>
      </c>
      <c r="T20" s="17">
        <v>10250</v>
      </c>
      <c r="U20" s="17">
        <v>10250</v>
      </c>
      <c r="V20" s="17">
        <v>10250</v>
      </c>
      <c r="W20" s="17">
        <v>10250</v>
      </c>
      <c r="X20" s="17">
        <v>10250</v>
      </c>
      <c r="Y20" s="17">
        <v>10250</v>
      </c>
      <c r="Z20" s="17">
        <v>10250</v>
      </c>
      <c r="AA20" s="17">
        <v>10250</v>
      </c>
      <c r="AB20" s="17">
        <v>10250</v>
      </c>
      <c r="AC20" s="17">
        <v>10250</v>
      </c>
      <c r="AD20" s="17">
        <v>10250</v>
      </c>
      <c r="AE20" s="17">
        <v>10250</v>
      </c>
      <c r="AF20" s="17">
        <v>10250</v>
      </c>
      <c r="AG20" s="17">
        <v>10250</v>
      </c>
      <c r="AH20" s="17">
        <v>10250</v>
      </c>
      <c r="AI20" s="17">
        <v>10250</v>
      </c>
      <c r="AJ20" s="17">
        <v>10250</v>
      </c>
      <c r="AK20" s="17">
        <v>10250</v>
      </c>
      <c r="AL20" s="17">
        <v>10250</v>
      </c>
      <c r="AM20" s="17">
        <v>10250</v>
      </c>
      <c r="AN20" s="17">
        <v>10250</v>
      </c>
      <c r="AO20" s="17">
        <v>10250</v>
      </c>
      <c r="AP20" s="17">
        <v>10250</v>
      </c>
      <c r="AQ20" s="17">
        <v>10250</v>
      </c>
      <c r="AR20" s="17">
        <v>10250</v>
      </c>
      <c r="AS20" s="17">
        <v>10250</v>
      </c>
      <c r="AT20" s="17">
        <v>10250</v>
      </c>
      <c r="AU20" s="17">
        <v>10250</v>
      </c>
      <c r="AV20" s="17">
        <v>10250</v>
      </c>
      <c r="AW20" s="17">
        <v>10250</v>
      </c>
      <c r="AX20" s="17">
        <v>10250</v>
      </c>
      <c r="AY20" s="17">
        <v>10250</v>
      </c>
    </row>
    <row r="21" spans="1:51" s="8" customFormat="1" ht="15" customHeight="1">
      <c r="A21" s="16">
        <v>19</v>
      </c>
      <c r="B21" s="17" t="s">
        <v>55</v>
      </c>
      <c r="C21" s="17">
        <v>14100</v>
      </c>
      <c r="D21" s="17">
        <v>14100</v>
      </c>
      <c r="E21" s="33">
        <v>14100</v>
      </c>
      <c r="F21" s="33">
        <v>14100</v>
      </c>
      <c r="G21" s="33">
        <v>14100</v>
      </c>
      <c r="H21" s="26">
        <v>14100</v>
      </c>
      <c r="I21" s="26">
        <v>14100</v>
      </c>
      <c r="J21" s="26">
        <v>14100</v>
      </c>
      <c r="K21" s="26">
        <v>14100</v>
      </c>
      <c r="L21" s="26">
        <v>14100</v>
      </c>
      <c r="M21" s="26">
        <v>14100</v>
      </c>
      <c r="N21" s="26">
        <v>14100</v>
      </c>
      <c r="O21" s="26">
        <v>14100</v>
      </c>
      <c r="P21" s="26">
        <v>14100</v>
      </c>
      <c r="Q21" s="26">
        <v>14100</v>
      </c>
      <c r="R21" s="17">
        <v>14100</v>
      </c>
      <c r="S21" s="17">
        <v>14100</v>
      </c>
      <c r="T21" s="17">
        <v>14100</v>
      </c>
      <c r="U21" s="17">
        <v>14100</v>
      </c>
      <c r="V21" s="17">
        <v>14100</v>
      </c>
      <c r="W21" s="17">
        <v>14100</v>
      </c>
      <c r="X21" s="17">
        <v>14100</v>
      </c>
      <c r="Y21" s="17">
        <v>14100</v>
      </c>
      <c r="Z21" s="17">
        <v>14100</v>
      </c>
      <c r="AA21" s="17">
        <v>14100</v>
      </c>
      <c r="AB21" s="17">
        <v>14100</v>
      </c>
      <c r="AC21" s="17">
        <v>14100</v>
      </c>
      <c r="AD21" s="17">
        <v>14100</v>
      </c>
      <c r="AE21" s="17">
        <v>14100</v>
      </c>
      <c r="AF21" s="17">
        <v>14100</v>
      </c>
      <c r="AG21" s="17">
        <v>14100</v>
      </c>
      <c r="AH21" s="17">
        <v>14100</v>
      </c>
      <c r="AI21" s="17">
        <v>14100</v>
      </c>
      <c r="AJ21" s="17">
        <v>14100</v>
      </c>
      <c r="AK21" s="17">
        <v>14100</v>
      </c>
      <c r="AL21" s="17">
        <v>14100</v>
      </c>
      <c r="AM21" s="17">
        <v>14100</v>
      </c>
      <c r="AN21" s="17">
        <v>14100</v>
      </c>
      <c r="AO21" s="17">
        <v>14100</v>
      </c>
      <c r="AP21" s="17">
        <v>14100</v>
      </c>
      <c r="AQ21" s="17">
        <v>14100</v>
      </c>
      <c r="AR21" s="17">
        <v>14100</v>
      </c>
      <c r="AS21" s="17">
        <v>14100</v>
      </c>
      <c r="AT21" s="17">
        <v>14100</v>
      </c>
      <c r="AU21" s="17">
        <v>14100</v>
      </c>
      <c r="AV21" s="17">
        <v>14100</v>
      </c>
      <c r="AW21" s="17">
        <v>14100</v>
      </c>
      <c r="AX21" s="17">
        <v>14100</v>
      </c>
      <c r="AY21" s="17">
        <v>14100</v>
      </c>
    </row>
    <row r="22" spans="1:51" s="8" customFormat="1" ht="15" customHeight="1">
      <c r="A22" s="16">
        <v>20</v>
      </c>
      <c r="B22" s="17" t="s">
        <v>56</v>
      </c>
      <c r="C22" s="17">
        <v>21500</v>
      </c>
      <c r="D22" s="17">
        <v>21500</v>
      </c>
      <c r="E22" s="33">
        <v>21500</v>
      </c>
      <c r="F22" s="33">
        <v>21500</v>
      </c>
      <c r="G22" s="33">
        <v>21500</v>
      </c>
      <c r="H22" s="26">
        <v>21500</v>
      </c>
      <c r="I22" s="26">
        <v>21500</v>
      </c>
      <c r="J22" s="26">
        <v>21500</v>
      </c>
      <c r="K22" s="26">
        <v>21500</v>
      </c>
      <c r="L22" s="26">
        <v>21500</v>
      </c>
      <c r="M22" s="26">
        <v>21500</v>
      </c>
      <c r="N22" s="26">
        <v>21500</v>
      </c>
      <c r="O22" s="26">
        <v>21500</v>
      </c>
      <c r="P22" s="26">
        <v>21500</v>
      </c>
      <c r="Q22" s="26">
        <v>21500</v>
      </c>
      <c r="R22" s="17">
        <v>21500</v>
      </c>
      <c r="S22" s="17">
        <v>21500</v>
      </c>
      <c r="T22" s="17">
        <v>21500</v>
      </c>
      <c r="U22" s="17">
        <v>21500</v>
      </c>
      <c r="V22" s="8">
        <v>21500</v>
      </c>
      <c r="W22" s="8">
        <v>21500</v>
      </c>
      <c r="X22" s="8">
        <v>21500</v>
      </c>
      <c r="Y22" s="8">
        <v>21500</v>
      </c>
      <c r="Z22" s="8">
        <v>21500</v>
      </c>
      <c r="AA22" s="8">
        <v>21500</v>
      </c>
      <c r="AB22" s="8">
        <v>21500</v>
      </c>
      <c r="AC22" s="8">
        <v>21500</v>
      </c>
      <c r="AD22" s="8">
        <v>21500</v>
      </c>
      <c r="AE22" s="8">
        <v>21500</v>
      </c>
      <c r="AF22" s="8">
        <v>21500</v>
      </c>
      <c r="AG22" s="8">
        <v>21500</v>
      </c>
      <c r="AH22" s="8">
        <v>21500</v>
      </c>
      <c r="AI22" s="8">
        <v>21500</v>
      </c>
      <c r="AJ22" s="8">
        <v>21500</v>
      </c>
      <c r="AK22" s="8">
        <v>21500</v>
      </c>
      <c r="AL22" s="8">
        <v>21500</v>
      </c>
      <c r="AM22" s="8">
        <v>21500</v>
      </c>
      <c r="AN22" s="8">
        <v>21500</v>
      </c>
      <c r="AO22" s="8">
        <v>21500</v>
      </c>
      <c r="AP22" s="8">
        <v>21500</v>
      </c>
      <c r="AQ22" s="8">
        <v>21500</v>
      </c>
      <c r="AR22" s="8">
        <v>21500</v>
      </c>
      <c r="AS22" s="8">
        <v>21500</v>
      </c>
      <c r="AT22" s="8">
        <v>21500</v>
      </c>
      <c r="AU22" s="8">
        <v>21500</v>
      </c>
      <c r="AV22" s="8">
        <v>21500</v>
      </c>
      <c r="AW22" s="8">
        <v>21500</v>
      </c>
      <c r="AX22" s="8">
        <v>21500</v>
      </c>
      <c r="AY22" s="8">
        <v>21500</v>
      </c>
    </row>
    <row r="23" spans="1:51" s="8" customFormat="1" ht="15" customHeight="1">
      <c r="A23" s="16">
        <v>21</v>
      </c>
      <c r="B23" s="17" t="s">
        <v>57</v>
      </c>
      <c r="C23" s="17">
        <v>25800</v>
      </c>
      <c r="D23" s="17">
        <v>25800</v>
      </c>
      <c r="E23" s="33">
        <v>25800</v>
      </c>
      <c r="F23" s="33">
        <v>25800</v>
      </c>
      <c r="G23" s="33">
        <v>25800</v>
      </c>
      <c r="H23" s="26">
        <v>25800</v>
      </c>
      <c r="I23" s="26">
        <v>25800</v>
      </c>
      <c r="J23" s="26">
        <v>25800</v>
      </c>
      <c r="K23" s="26">
        <v>25800</v>
      </c>
      <c r="L23" s="26">
        <v>25800</v>
      </c>
      <c r="M23" s="26">
        <v>25800</v>
      </c>
      <c r="N23" s="26">
        <v>25800</v>
      </c>
      <c r="O23" s="26">
        <v>25800</v>
      </c>
      <c r="P23" s="26">
        <v>25800</v>
      </c>
      <c r="Q23" s="26">
        <v>25800</v>
      </c>
      <c r="R23" s="17">
        <v>25800</v>
      </c>
      <c r="S23" s="17">
        <v>25800</v>
      </c>
      <c r="T23" s="17">
        <v>25800</v>
      </c>
      <c r="U23" s="17">
        <v>25800</v>
      </c>
      <c r="V23" s="8">
        <v>25800</v>
      </c>
      <c r="W23" s="8">
        <v>25800</v>
      </c>
      <c r="X23" s="8">
        <v>25800</v>
      </c>
      <c r="Y23" s="8">
        <v>25800</v>
      </c>
      <c r="Z23" s="8">
        <v>25800</v>
      </c>
      <c r="AA23" s="8">
        <v>25800</v>
      </c>
      <c r="AB23" s="8">
        <v>25800</v>
      </c>
      <c r="AC23" s="8">
        <v>25800</v>
      </c>
      <c r="AD23" s="8">
        <v>25800</v>
      </c>
      <c r="AE23" s="8">
        <v>25800</v>
      </c>
      <c r="AF23" s="8">
        <v>25800</v>
      </c>
      <c r="AG23" s="8">
        <v>25800</v>
      </c>
      <c r="AH23" s="8">
        <v>25800</v>
      </c>
      <c r="AI23" s="8">
        <v>25800</v>
      </c>
      <c r="AJ23" s="8">
        <v>25800</v>
      </c>
      <c r="AK23" s="8">
        <v>25800</v>
      </c>
      <c r="AL23" s="8">
        <v>25800</v>
      </c>
      <c r="AM23" s="8">
        <v>25800</v>
      </c>
      <c r="AN23" s="8">
        <v>25800</v>
      </c>
      <c r="AO23" s="8">
        <v>25800</v>
      </c>
      <c r="AP23" s="8">
        <v>25800</v>
      </c>
      <c r="AQ23" s="8">
        <v>25800</v>
      </c>
      <c r="AR23" s="8">
        <v>25800</v>
      </c>
      <c r="AS23" s="8">
        <v>25800</v>
      </c>
      <c r="AT23" s="8">
        <v>25800</v>
      </c>
      <c r="AU23" s="8">
        <v>25800</v>
      </c>
      <c r="AV23" s="8">
        <v>25800</v>
      </c>
      <c r="AW23" s="8">
        <v>25800</v>
      </c>
      <c r="AX23" s="8">
        <v>25800</v>
      </c>
      <c r="AY23" s="8">
        <v>25800</v>
      </c>
    </row>
    <row r="24" spans="1:51" s="8" customFormat="1">
      <c r="A24" s="16">
        <v>22</v>
      </c>
      <c r="B24" s="17" t="s">
        <v>58</v>
      </c>
      <c r="C24" s="17">
        <v>2972</v>
      </c>
      <c r="D24" s="17">
        <v>2972</v>
      </c>
      <c r="E24" s="33">
        <v>2972</v>
      </c>
      <c r="F24" s="33">
        <v>2972</v>
      </c>
      <c r="G24" s="33">
        <v>2972</v>
      </c>
      <c r="H24" s="26">
        <v>2972</v>
      </c>
      <c r="I24" s="26">
        <v>2972</v>
      </c>
      <c r="J24" s="26">
        <v>2972</v>
      </c>
      <c r="K24" s="26">
        <v>2972</v>
      </c>
      <c r="L24" s="26">
        <v>2972</v>
      </c>
      <c r="M24" s="26">
        <v>2972</v>
      </c>
      <c r="N24" s="26">
        <v>2972</v>
      </c>
      <c r="O24" s="26">
        <v>2972</v>
      </c>
      <c r="P24" s="26">
        <v>2972</v>
      </c>
      <c r="Q24" s="26">
        <v>2972</v>
      </c>
      <c r="R24" s="17">
        <v>2972</v>
      </c>
      <c r="S24" s="17">
        <v>2972</v>
      </c>
      <c r="T24" s="17">
        <v>2972</v>
      </c>
      <c r="U24" s="17">
        <v>2972</v>
      </c>
      <c r="V24" s="8">
        <v>2972</v>
      </c>
      <c r="W24" s="8">
        <v>2972</v>
      </c>
      <c r="X24" s="8">
        <v>2972</v>
      </c>
      <c r="Y24" s="8">
        <v>2972</v>
      </c>
      <c r="Z24" s="8">
        <v>2972</v>
      </c>
      <c r="AA24" s="8">
        <v>2972</v>
      </c>
      <c r="AB24" s="8">
        <v>2972</v>
      </c>
      <c r="AC24" s="8">
        <v>2972</v>
      </c>
      <c r="AD24" s="8">
        <v>2972</v>
      </c>
      <c r="AE24" s="8">
        <v>2972</v>
      </c>
      <c r="AF24" s="8">
        <v>2972</v>
      </c>
      <c r="AG24" s="8">
        <v>2972</v>
      </c>
      <c r="AH24" s="8">
        <v>2972</v>
      </c>
      <c r="AI24" s="8">
        <v>2972</v>
      </c>
      <c r="AJ24" s="8">
        <v>2972</v>
      </c>
      <c r="AK24" s="8">
        <v>2972</v>
      </c>
      <c r="AL24" s="8">
        <v>2972</v>
      </c>
      <c r="AM24" s="8">
        <v>2972</v>
      </c>
      <c r="AN24" s="8">
        <v>2972</v>
      </c>
      <c r="AO24" s="8">
        <v>2972</v>
      </c>
      <c r="AP24" s="8">
        <v>2972</v>
      </c>
      <c r="AQ24" s="8">
        <v>2972</v>
      </c>
      <c r="AR24" s="8">
        <v>2972</v>
      </c>
      <c r="AS24" s="8">
        <v>2972</v>
      </c>
      <c r="AT24" s="8">
        <v>2972</v>
      </c>
      <c r="AU24" s="8">
        <v>2972</v>
      </c>
      <c r="AV24" s="8">
        <v>2972</v>
      </c>
      <c r="AW24" s="8">
        <v>2972</v>
      </c>
      <c r="AX24" s="8">
        <v>2972</v>
      </c>
      <c r="AY24" s="8">
        <v>2972</v>
      </c>
    </row>
    <row r="25" spans="1:51" s="8" customFormat="1">
      <c r="A25" s="16">
        <v>23</v>
      </c>
      <c r="B25" s="17" t="s">
        <v>59</v>
      </c>
      <c r="C25" s="17">
        <v>3</v>
      </c>
      <c r="D25" s="17">
        <v>3</v>
      </c>
      <c r="E25" s="33">
        <v>3</v>
      </c>
      <c r="F25" s="33">
        <v>3</v>
      </c>
      <c r="G25" s="33">
        <v>3</v>
      </c>
      <c r="H25" s="26">
        <v>3</v>
      </c>
      <c r="I25" s="26">
        <v>3</v>
      </c>
      <c r="J25" s="26">
        <v>3</v>
      </c>
      <c r="K25" s="26">
        <v>3</v>
      </c>
      <c r="L25" s="26">
        <v>3</v>
      </c>
      <c r="M25" s="26">
        <v>3</v>
      </c>
      <c r="N25" s="26">
        <v>3</v>
      </c>
      <c r="O25" s="26">
        <v>3</v>
      </c>
      <c r="P25" s="26">
        <v>3</v>
      </c>
      <c r="Q25" s="26">
        <v>3</v>
      </c>
      <c r="R25" s="17">
        <v>3</v>
      </c>
      <c r="S25" s="17">
        <v>3</v>
      </c>
      <c r="T25" s="17">
        <v>3</v>
      </c>
      <c r="U25" s="17">
        <v>3</v>
      </c>
      <c r="V25" s="8">
        <v>3</v>
      </c>
      <c r="W25" s="8">
        <v>3</v>
      </c>
      <c r="X25" s="8">
        <v>3</v>
      </c>
      <c r="Y25" s="8">
        <v>3</v>
      </c>
      <c r="Z25" s="8">
        <v>3</v>
      </c>
      <c r="AA25" s="8">
        <v>3</v>
      </c>
      <c r="AB25" s="8">
        <v>3</v>
      </c>
      <c r="AC25" s="8">
        <v>3</v>
      </c>
      <c r="AD25" s="8">
        <v>3</v>
      </c>
      <c r="AE25" s="8">
        <v>3</v>
      </c>
      <c r="AF25" s="8">
        <v>3</v>
      </c>
      <c r="AG25" s="8">
        <v>3</v>
      </c>
      <c r="AH25" s="8">
        <v>3</v>
      </c>
      <c r="AI25" s="8">
        <v>3</v>
      </c>
      <c r="AJ25" s="8">
        <v>3</v>
      </c>
      <c r="AK25" s="8">
        <v>3</v>
      </c>
      <c r="AL25" s="8">
        <v>3</v>
      </c>
      <c r="AM25" s="8">
        <v>3</v>
      </c>
      <c r="AN25" s="8">
        <v>3</v>
      </c>
      <c r="AO25" s="8">
        <v>3</v>
      </c>
      <c r="AP25" s="8">
        <v>3</v>
      </c>
      <c r="AQ25" s="8">
        <v>3</v>
      </c>
      <c r="AR25" s="8">
        <v>3</v>
      </c>
      <c r="AS25" s="8">
        <v>3</v>
      </c>
      <c r="AT25" s="8">
        <v>3</v>
      </c>
      <c r="AU25" s="8">
        <v>3</v>
      </c>
      <c r="AV25" s="8">
        <v>3</v>
      </c>
      <c r="AW25" s="8">
        <v>3</v>
      </c>
      <c r="AX25" s="8">
        <v>3</v>
      </c>
      <c r="AY25" s="8">
        <v>3</v>
      </c>
    </row>
    <row r="26" spans="1:51" s="8" customFormat="1">
      <c r="A26" s="16">
        <v>24</v>
      </c>
      <c r="B26" s="17" t="s">
        <v>208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1</v>
      </c>
      <c r="AV26" s="17">
        <v>0</v>
      </c>
      <c r="AW26" s="17">
        <v>0</v>
      </c>
      <c r="AX26" s="17">
        <v>0</v>
      </c>
      <c r="AY26" s="17">
        <v>0</v>
      </c>
    </row>
    <row r="27" spans="1:51">
      <c r="A27" s="16">
        <v>25</v>
      </c>
      <c r="B27" s="17" t="s">
        <v>60</v>
      </c>
      <c r="C27" s="17">
        <v>0</v>
      </c>
      <c r="D27" s="17">
        <v>0</v>
      </c>
      <c r="E27" s="34">
        <v>0</v>
      </c>
      <c r="F27" s="34">
        <v>0</v>
      </c>
      <c r="G27" s="34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17">
        <v>0</v>
      </c>
      <c r="S27" s="17">
        <v>0</v>
      </c>
      <c r="T27" s="17">
        <v>0</v>
      </c>
      <c r="U27" s="17">
        <v>0</v>
      </c>
      <c r="V27" s="28">
        <v>0</v>
      </c>
      <c r="W27" s="28">
        <v>0</v>
      </c>
      <c r="X27" s="28">
        <v>0</v>
      </c>
      <c r="Y27" s="28">
        <v>0</v>
      </c>
      <c r="Z27" s="28">
        <v>0</v>
      </c>
      <c r="AA27" s="28">
        <v>0</v>
      </c>
      <c r="AB27" s="28">
        <v>0</v>
      </c>
      <c r="AC27" s="28">
        <v>0</v>
      </c>
      <c r="AD27" s="28">
        <v>0</v>
      </c>
      <c r="AE27" s="28">
        <v>0</v>
      </c>
      <c r="AF27" s="28">
        <v>0</v>
      </c>
      <c r="AG27" s="28">
        <v>0</v>
      </c>
      <c r="AH27" s="28">
        <v>0</v>
      </c>
      <c r="AI27" s="28">
        <v>0</v>
      </c>
      <c r="AJ27" s="28">
        <v>0</v>
      </c>
      <c r="AK27" s="28">
        <v>0</v>
      </c>
      <c r="AL27" s="28">
        <v>0</v>
      </c>
      <c r="AM27" s="28">
        <v>0</v>
      </c>
      <c r="AN27" s="28">
        <v>0</v>
      </c>
      <c r="AO27" s="28">
        <v>0</v>
      </c>
      <c r="AP27" s="28">
        <v>0</v>
      </c>
      <c r="AQ27" s="28">
        <v>0</v>
      </c>
      <c r="AR27" s="28">
        <v>0</v>
      </c>
      <c r="AS27" s="28">
        <v>0</v>
      </c>
      <c r="AT27" s="28">
        <v>0</v>
      </c>
      <c r="AU27" s="28">
        <v>0</v>
      </c>
      <c r="AV27" s="28">
        <v>0</v>
      </c>
      <c r="AW27" s="28">
        <v>0</v>
      </c>
      <c r="AX27" s="28">
        <v>0</v>
      </c>
      <c r="AY27" s="28">
        <v>0</v>
      </c>
    </row>
    <row r="28" spans="1:51">
      <c r="A28" s="16">
        <v>26</v>
      </c>
      <c r="B28" s="17" t="s">
        <v>61</v>
      </c>
      <c r="C28" s="17">
        <v>386</v>
      </c>
      <c r="D28" s="17">
        <v>366</v>
      </c>
      <c r="E28" s="30">
        <v>400</v>
      </c>
      <c r="F28" s="30">
        <v>400</v>
      </c>
      <c r="G28" s="30">
        <v>410</v>
      </c>
      <c r="H28" s="30">
        <v>410</v>
      </c>
      <c r="I28" s="30">
        <v>410</v>
      </c>
      <c r="J28" s="30">
        <v>410</v>
      </c>
      <c r="K28" s="30">
        <v>485</v>
      </c>
      <c r="L28" s="30">
        <v>335</v>
      </c>
      <c r="M28" s="30">
        <v>335</v>
      </c>
      <c r="N28" s="30">
        <v>335</v>
      </c>
      <c r="O28" s="30">
        <v>335</v>
      </c>
      <c r="P28" s="30">
        <v>335</v>
      </c>
      <c r="Q28" s="30">
        <v>350</v>
      </c>
      <c r="R28" s="30">
        <v>335</v>
      </c>
      <c r="S28" s="30">
        <v>335</v>
      </c>
      <c r="T28" s="30">
        <v>335</v>
      </c>
      <c r="U28" s="30">
        <v>335</v>
      </c>
      <c r="V28" s="17">
        <v>335</v>
      </c>
      <c r="W28" s="17">
        <v>335</v>
      </c>
      <c r="X28" s="17">
        <v>335</v>
      </c>
      <c r="Y28" s="17">
        <v>345</v>
      </c>
      <c r="Z28" s="17">
        <v>345</v>
      </c>
      <c r="AA28" s="17">
        <v>345</v>
      </c>
      <c r="AB28" s="17">
        <v>345</v>
      </c>
      <c r="AC28" s="17">
        <v>345</v>
      </c>
      <c r="AD28" s="17">
        <v>345</v>
      </c>
      <c r="AE28" s="17">
        <v>345</v>
      </c>
      <c r="AF28" s="17">
        <v>345</v>
      </c>
      <c r="AG28" s="17">
        <v>345</v>
      </c>
      <c r="AH28" s="17">
        <v>350</v>
      </c>
      <c r="AI28" s="17">
        <v>383</v>
      </c>
      <c r="AJ28" s="17">
        <v>383</v>
      </c>
      <c r="AK28" s="17">
        <v>383</v>
      </c>
      <c r="AL28" s="17">
        <v>315</v>
      </c>
      <c r="AM28" s="17">
        <v>325</v>
      </c>
      <c r="AN28" s="17">
        <v>325</v>
      </c>
      <c r="AO28" s="17">
        <v>325</v>
      </c>
      <c r="AP28" s="17">
        <v>325</v>
      </c>
      <c r="AQ28" s="17">
        <v>325</v>
      </c>
      <c r="AR28" s="17">
        <v>325</v>
      </c>
      <c r="AS28" s="17">
        <v>320</v>
      </c>
      <c r="AT28" s="17">
        <v>320</v>
      </c>
      <c r="AU28" s="17">
        <v>320</v>
      </c>
      <c r="AV28" s="17">
        <v>348</v>
      </c>
      <c r="AW28" s="17">
        <v>390</v>
      </c>
      <c r="AX28" s="17">
        <v>395</v>
      </c>
      <c r="AY28" s="17">
        <v>395</v>
      </c>
    </row>
    <row r="29" spans="1:51">
      <c r="A29" s="16">
        <v>27</v>
      </c>
      <c r="B29" s="17" t="s">
        <v>62</v>
      </c>
      <c r="C29" s="17">
        <v>758</v>
      </c>
      <c r="D29" s="17">
        <v>703</v>
      </c>
      <c r="E29" s="30">
        <v>705</v>
      </c>
      <c r="F29" s="30">
        <v>705</v>
      </c>
      <c r="G29" s="30">
        <v>720</v>
      </c>
      <c r="H29" s="30">
        <v>720</v>
      </c>
      <c r="I29" s="30">
        <v>720</v>
      </c>
      <c r="J29" s="30">
        <v>720</v>
      </c>
      <c r="K29" s="30">
        <v>0</v>
      </c>
      <c r="L29" s="30">
        <v>560</v>
      </c>
      <c r="M29" s="30">
        <v>560</v>
      </c>
      <c r="N29" s="30">
        <v>560</v>
      </c>
      <c r="O29" s="30">
        <v>560</v>
      </c>
      <c r="P29" s="30">
        <v>560</v>
      </c>
      <c r="Q29" s="30">
        <v>560</v>
      </c>
      <c r="R29" s="17">
        <v>600</v>
      </c>
      <c r="S29" s="17">
        <v>600</v>
      </c>
      <c r="T29" s="17">
        <v>600</v>
      </c>
      <c r="U29" s="17">
        <v>600</v>
      </c>
      <c r="V29" s="28">
        <v>600</v>
      </c>
      <c r="W29" s="28">
        <v>600</v>
      </c>
      <c r="X29" s="28">
        <v>600</v>
      </c>
      <c r="Y29" s="28">
        <v>600</v>
      </c>
      <c r="Z29" s="28">
        <v>610</v>
      </c>
      <c r="AA29" s="28">
        <v>610</v>
      </c>
      <c r="AB29" s="28">
        <v>610</v>
      </c>
      <c r="AC29" s="28">
        <v>610</v>
      </c>
      <c r="AD29" s="28">
        <v>610</v>
      </c>
      <c r="AE29" s="28">
        <v>610</v>
      </c>
      <c r="AF29" s="28">
        <v>610</v>
      </c>
      <c r="AG29" s="28">
        <v>610</v>
      </c>
      <c r="AH29" s="28">
        <v>603</v>
      </c>
      <c r="AI29" s="28">
        <v>690</v>
      </c>
      <c r="AJ29" s="28">
        <v>690</v>
      </c>
      <c r="AK29" s="28">
        <v>690</v>
      </c>
      <c r="AL29" s="28">
        <v>690</v>
      </c>
      <c r="AM29" s="28">
        <v>550</v>
      </c>
      <c r="AN29" s="28">
        <v>550</v>
      </c>
      <c r="AO29" s="28">
        <v>550</v>
      </c>
      <c r="AP29" s="28">
        <v>550</v>
      </c>
      <c r="AQ29" s="28">
        <v>555</v>
      </c>
      <c r="AR29" s="28">
        <v>550</v>
      </c>
      <c r="AS29" s="28">
        <v>550</v>
      </c>
      <c r="AT29" s="28">
        <v>550</v>
      </c>
      <c r="AU29" s="28">
        <v>550</v>
      </c>
      <c r="AV29" s="28">
        <v>550</v>
      </c>
      <c r="AW29" s="28">
        <v>550</v>
      </c>
      <c r="AX29" s="28">
        <v>550</v>
      </c>
      <c r="AY29" s="28">
        <v>550</v>
      </c>
    </row>
    <row r="30" spans="1:51">
      <c r="A30" s="16">
        <v>28</v>
      </c>
      <c r="B30" s="17" t="s">
        <v>2</v>
      </c>
      <c r="C30" s="17">
        <v>0</v>
      </c>
      <c r="D30" s="17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17">
        <v>0</v>
      </c>
      <c r="S30" s="17">
        <v>0</v>
      </c>
      <c r="T30" s="17">
        <v>0</v>
      </c>
      <c r="U30" s="17">
        <v>0</v>
      </c>
      <c r="V30" s="28">
        <v>0</v>
      </c>
      <c r="W30" s="28">
        <v>0</v>
      </c>
      <c r="X30" s="28">
        <v>0</v>
      </c>
      <c r="Y30" s="28">
        <v>0</v>
      </c>
      <c r="Z30" s="28">
        <v>0</v>
      </c>
      <c r="AA30" s="28">
        <v>0</v>
      </c>
      <c r="AB30" s="28">
        <v>0</v>
      </c>
      <c r="AC30" s="28">
        <v>0</v>
      </c>
      <c r="AD30" s="28">
        <v>0</v>
      </c>
      <c r="AE30" s="28">
        <v>0</v>
      </c>
      <c r="AF30" s="28">
        <v>0</v>
      </c>
      <c r="AG30" s="28">
        <v>0</v>
      </c>
      <c r="AH30" s="28">
        <v>0</v>
      </c>
      <c r="AI30" s="28">
        <v>0</v>
      </c>
      <c r="AJ30" s="28">
        <v>0</v>
      </c>
      <c r="AK30" s="28">
        <v>0</v>
      </c>
      <c r="AL30" s="28">
        <v>0</v>
      </c>
      <c r="AM30" s="28">
        <v>0</v>
      </c>
      <c r="AN30" s="28">
        <v>0</v>
      </c>
      <c r="AO30" s="28">
        <v>0</v>
      </c>
      <c r="AP30" s="28">
        <v>0</v>
      </c>
      <c r="AQ30" s="28">
        <v>0</v>
      </c>
      <c r="AR30" s="28">
        <v>0</v>
      </c>
      <c r="AS30" s="28">
        <v>0</v>
      </c>
      <c r="AT30" s="28">
        <v>0</v>
      </c>
      <c r="AU30" s="28">
        <v>0</v>
      </c>
      <c r="AV30" s="28">
        <v>0</v>
      </c>
      <c r="AW30" s="28">
        <v>0</v>
      </c>
      <c r="AX30" s="28">
        <v>0</v>
      </c>
      <c r="AY30" s="28">
        <v>0</v>
      </c>
    </row>
    <row r="31" spans="1:51">
      <c r="A31" s="16">
        <v>29</v>
      </c>
      <c r="B31" s="17" t="s">
        <v>3</v>
      </c>
      <c r="C31" s="17">
        <v>0</v>
      </c>
      <c r="D31" s="17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17">
        <v>0</v>
      </c>
      <c r="S31" s="17">
        <v>0</v>
      </c>
      <c r="T31" s="17">
        <v>0</v>
      </c>
      <c r="U31" s="17">
        <v>0</v>
      </c>
      <c r="V31" s="28">
        <v>0</v>
      </c>
      <c r="W31" s="28">
        <v>0</v>
      </c>
      <c r="X31" s="28">
        <v>0</v>
      </c>
      <c r="Y31" s="28">
        <v>0</v>
      </c>
      <c r="Z31" s="28">
        <v>0</v>
      </c>
      <c r="AA31" s="28">
        <v>0</v>
      </c>
      <c r="AB31" s="28">
        <v>0</v>
      </c>
      <c r="AC31" s="28">
        <v>0</v>
      </c>
      <c r="AD31" s="28">
        <v>0</v>
      </c>
      <c r="AE31" s="28">
        <v>0</v>
      </c>
      <c r="AF31" s="28">
        <v>0</v>
      </c>
      <c r="AG31" s="28">
        <v>0</v>
      </c>
      <c r="AH31" s="28">
        <v>0</v>
      </c>
      <c r="AI31" s="28">
        <v>0</v>
      </c>
      <c r="AJ31" s="28">
        <v>0</v>
      </c>
      <c r="AK31" s="28">
        <v>0</v>
      </c>
      <c r="AL31" s="28">
        <v>0</v>
      </c>
      <c r="AM31" s="28">
        <v>0</v>
      </c>
      <c r="AN31" s="28">
        <v>0</v>
      </c>
      <c r="AO31" s="28">
        <v>0</v>
      </c>
      <c r="AP31" s="28">
        <v>0</v>
      </c>
      <c r="AQ31" s="28">
        <v>0</v>
      </c>
      <c r="AR31" s="28">
        <v>0</v>
      </c>
      <c r="AS31" s="28">
        <v>0</v>
      </c>
      <c r="AT31" s="28">
        <v>0</v>
      </c>
      <c r="AU31" s="28">
        <v>0</v>
      </c>
      <c r="AV31" s="28">
        <v>0</v>
      </c>
      <c r="AW31" s="28">
        <v>0</v>
      </c>
      <c r="AX31" s="28">
        <v>0</v>
      </c>
      <c r="AY31" s="28">
        <v>0</v>
      </c>
    </row>
    <row r="32" spans="1:51">
      <c r="A32" s="16">
        <v>30</v>
      </c>
      <c r="B32" s="17" t="s">
        <v>4</v>
      </c>
      <c r="C32" s="17">
        <v>0</v>
      </c>
      <c r="D32" s="17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17">
        <v>0</v>
      </c>
      <c r="S32" s="17">
        <v>0</v>
      </c>
      <c r="T32" s="17">
        <v>0</v>
      </c>
      <c r="U32" s="17">
        <v>0</v>
      </c>
      <c r="V32" s="28">
        <v>0</v>
      </c>
      <c r="W32" s="28">
        <v>0</v>
      </c>
      <c r="X32" s="28">
        <v>0</v>
      </c>
      <c r="Y32" s="28">
        <v>0</v>
      </c>
      <c r="Z32" s="28">
        <v>-8</v>
      </c>
      <c r="AA32" s="28">
        <v>-8</v>
      </c>
      <c r="AB32" s="28">
        <v>-8</v>
      </c>
      <c r="AC32" s="28">
        <v>-8</v>
      </c>
      <c r="AD32" s="28">
        <v>-8</v>
      </c>
      <c r="AE32" s="28">
        <v>-8</v>
      </c>
      <c r="AF32" s="28">
        <v>-8</v>
      </c>
      <c r="AG32" s="28">
        <v>-8</v>
      </c>
      <c r="AH32" s="28">
        <v>-8</v>
      </c>
      <c r="AI32" s="28">
        <v>-8</v>
      </c>
      <c r="AJ32" s="28">
        <v>-8</v>
      </c>
      <c r="AK32" s="28">
        <v>-8</v>
      </c>
      <c r="AL32" s="28">
        <v>-8</v>
      </c>
      <c r="AM32" s="28">
        <v>-8</v>
      </c>
      <c r="AN32" s="28">
        <v>-8</v>
      </c>
      <c r="AO32" s="28">
        <v>-8</v>
      </c>
      <c r="AP32" s="28">
        <v>-8</v>
      </c>
      <c r="AQ32" s="28">
        <v>-8</v>
      </c>
      <c r="AR32" s="28">
        <v>-8</v>
      </c>
      <c r="AS32" s="28">
        <v>-8</v>
      </c>
      <c r="AT32" s="28">
        <v>-8</v>
      </c>
      <c r="AU32" s="28">
        <v>-8</v>
      </c>
      <c r="AV32" s="28">
        <v>-8</v>
      </c>
      <c r="AW32" s="28">
        <v>-8</v>
      </c>
      <c r="AX32" s="28">
        <v>-8</v>
      </c>
      <c r="AY32" s="28">
        <v>-8</v>
      </c>
    </row>
    <row r="33" spans="1:51">
      <c r="A33" s="16">
        <v>31</v>
      </c>
      <c r="B33" s="17" t="s">
        <v>5</v>
      </c>
      <c r="C33" s="17">
        <v>0</v>
      </c>
      <c r="D33" s="17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17">
        <v>0</v>
      </c>
      <c r="S33" s="17">
        <v>0</v>
      </c>
      <c r="T33" s="17">
        <v>0</v>
      </c>
      <c r="U33" s="17">
        <v>0</v>
      </c>
      <c r="V33" s="28">
        <v>0</v>
      </c>
      <c r="W33" s="28">
        <v>0</v>
      </c>
      <c r="X33" s="28">
        <v>0</v>
      </c>
      <c r="Y33" s="28">
        <v>0</v>
      </c>
      <c r="Z33" s="28">
        <v>0</v>
      </c>
      <c r="AA33" s="28">
        <v>0</v>
      </c>
      <c r="AB33" s="28">
        <v>0</v>
      </c>
      <c r="AC33" s="28">
        <v>0</v>
      </c>
      <c r="AD33" s="28">
        <v>0</v>
      </c>
      <c r="AE33" s="28">
        <v>0</v>
      </c>
      <c r="AF33" s="28">
        <v>0</v>
      </c>
      <c r="AG33" s="28">
        <v>0</v>
      </c>
      <c r="AH33" s="28">
        <v>0</v>
      </c>
      <c r="AI33" s="28">
        <v>0</v>
      </c>
      <c r="AJ33" s="28">
        <v>0</v>
      </c>
      <c r="AK33" s="28">
        <v>0</v>
      </c>
      <c r="AL33" s="28">
        <v>0</v>
      </c>
      <c r="AM33" s="28">
        <v>0</v>
      </c>
      <c r="AN33" s="28">
        <v>0</v>
      </c>
      <c r="AO33" s="28">
        <v>0</v>
      </c>
      <c r="AP33" s="28">
        <v>0</v>
      </c>
      <c r="AQ33" s="28">
        <v>0</v>
      </c>
      <c r="AR33" s="28">
        <v>0</v>
      </c>
      <c r="AS33" s="28">
        <v>0</v>
      </c>
      <c r="AT33" s="28">
        <v>0</v>
      </c>
      <c r="AU33" s="28">
        <v>0</v>
      </c>
      <c r="AV33" s="28">
        <v>0</v>
      </c>
      <c r="AW33" s="28">
        <v>0</v>
      </c>
      <c r="AX33" s="28">
        <v>0</v>
      </c>
      <c r="AY33" s="28">
        <v>0</v>
      </c>
    </row>
    <row r="34" spans="1:51">
      <c r="A34" s="16">
        <v>32</v>
      </c>
      <c r="B34" s="17" t="s">
        <v>63</v>
      </c>
      <c r="C34" s="17">
        <v>0</v>
      </c>
      <c r="D34" s="17">
        <v>0</v>
      </c>
      <c r="E34" s="26">
        <v>0</v>
      </c>
      <c r="F34" s="26">
        <v>0</v>
      </c>
      <c r="G34" s="26">
        <v>0</v>
      </c>
      <c r="H34" s="30">
        <v>0</v>
      </c>
      <c r="I34" s="30">
        <v>0</v>
      </c>
      <c r="J34" s="30">
        <v>0</v>
      </c>
      <c r="K34" s="30">
        <v>0</v>
      </c>
      <c r="L34" s="30">
        <v>7</v>
      </c>
      <c r="M34" s="30">
        <v>7</v>
      </c>
      <c r="N34" s="30">
        <v>7</v>
      </c>
      <c r="O34" s="30">
        <v>7</v>
      </c>
      <c r="P34" s="30">
        <v>7</v>
      </c>
      <c r="Q34" s="30">
        <v>7</v>
      </c>
      <c r="R34" s="17">
        <v>0</v>
      </c>
      <c r="S34" s="17">
        <v>0</v>
      </c>
      <c r="T34" s="17">
        <v>0</v>
      </c>
      <c r="U34" s="17">
        <v>0</v>
      </c>
      <c r="V34" s="28">
        <v>-295</v>
      </c>
      <c r="W34" s="28">
        <v>-295</v>
      </c>
      <c r="X34" s="28">
        <v>0</v>
      </c>
      <c r="Y34" s="28">
        <v>0</v>
      </c>
      <c r="Z34" s="28">
        <v>0</v>
      </c>
      <c r="AA34" s="28">
        <v>0</v>
      </c>
      <c r="AB34" s="28">
        <v>0</v>
      </c>
      <c r="AC34" s="28">
        <v>0</v>
      </c>
      <c r="AD34" s="28">
        <v>0</v>
      </c>
      <c r="AE34" s="28">
        <v>0</v>
      </c>
      <c r="AF34" s="28">
        <v>0</v>
      </c>
      <c r="AG34" s="28">
        <v>0</v>
      </c>
      <c r="AH34" s="28">
        <v>0</v>
      </c>
      <c r="AI34" s="28">
        <v>0</v>
      </c>
      <c r="AJ34" s="28">
        <v>0</v>
      </c>
      <c r="AK34" s="28">
        <v>0</v>
      </c>
      <c r="AL34" s="28">
        <v>0</v>
      </c>
      <c r="AM34" s="28">
        <v>0</v>
      </c>
      <c r="AN34" s="28">
        <v>0</v>
      </c>
      <c r="AO34" s="28">
        <v>0</v>
      </c>
      <c r="AP34" s="28">
        <v>0</v>
      </c>
      <c r="AQ34" s="28">
        <v>0</v>
      </c>
      <c r="AR34" s="28">
        <v>0</v>
      </c>
      <c r="AS34" s="28">
        <v>0</v>
      </c>
      <c r="AT34" s="28">
        <v>0</v>
      </c>
      <c r="AU34" s="28">
        <v>0</v>
      </c>
      <c r="AV34" s="28">
        <v>0</v>
      </c>
      <c r="AW34" s="28">
        <v>0</v>
      </c>
      <c r="AX34" s="28">
        <v>0</v>
      </c>
      <c r="AY34" s="28">
        <v>0</v>
      </c>
    </row>
    <row r="35" spans="1:51" s="8" customFormat="1">
      <c r="A35" s="16">
        <v>33</v>
      </c>
      <c r="B35" s="17" t="s">
        <v>64</v>
      </c>
      <c r="C35" s="17">
        <v>0</v>
      </c>
      <c r="D35" s="17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2</v>
      </c>
      <c r="M35" s="26">
        <v>2</v>
      </c>
      <c r="N35" s="26">
        <v>2</v>
      </c>
      <c r="O35" s="26">
        <v>2</v>
      </c>
      <c r="P35" s="26">
        <v>2</v>
      </c>
      <c r="Q35" s="26">
        <v>2</v>
      </c>
      <c r="R35" s="17">
        <v>2</v>
      </c>
      <c r="S35" s="17">
        <v>2</v>
      </c>
      <c r="T35" s="17">
        <v>2</v>
      </c>
      <c r="U35" s="17">
        <v>2</v>
      </c>
      <c r="V35" s="8">
        <v>2</v>
      </c>
      <c r="W35" s="8">
        <v>2</v>
      </c>
      <c r="X35" s="8">
        <v>2</v>
      </c>
      <c r="Y35" s="8">
        <v>2</v>
      </c>
      <c r="Z35" s="8">
        <v>2</v>
      </c>
      <c r="AA35" s="8">
        <v>2</v>
      </c>
      <c r="AB35" s="8">
        <v>2</v>
      </c>
      <c r="AC35" s="8">
        <v>2</v>
      </c>
      <c r="AD35" s="8">
        <v>2</v>
      </c>
      <c r="AE35" s="8">
        <v>2</v>
      </c>
      <c r="AF35" s="8">
        <v>2</v>
      </c>
      <c r="AG35" s="8">
        <v>2</v>
      </c>
      <c r="AH35" s="8">
        <v>2</v>
      </c>
      <c r="AI35" s="8">
        <v>2</v>
      </c>
      <c r="AJ35" s="8">
        <v>2</v>
      </c>
      <c r="AK35" s="8">
        <v>2</v>
      </c>
      <c r="AL35" s="8">
        <v>2</v>
      </c>
      <c r="AM35" s="8">
        <v>2</v>
      </c>
      <c r="AN35" s="8">
        <v>2</v>
      </c>
      <c r="AO35" s="8">
        <v>2</v>
      </c>
      <c r="AP35" s="8">
        <v>2</v>
      </c>
      <c r="AQ35" s="8">
        <v>2</v>
      </c>
      <c r="AR35" s="8">
        <v>2</v>
      </c>
      <c r="AS35" s="8">
        <v>2</v>
      </c>
      <c r="AT35" s="8">
        <v>2</v>
      </c>
      <c r="AU35" s="8">
        <v>2</v>
      </c>
      <c r="AV35" s="8">
        <v>2</v>
      </c>
      <c r="AW35" s="8">
        <v>2</v>
      </c>
      <c r="AX35" s="8">
        <v>2</v>
      </c>
      <c r="AY35" s="8">
        <v>2</v>
      </c>
    </row>
    <row r="36" spans="1:51" s="8" customFormat="1">
      <c r="A36" s="16">
        <v>34</v>
      </c>
      <c r="B36" s="17" t="s">
        <v>65</v>
      </c>
      <c r="C36" s="17">
        <v>242</v>
      </c>
      <c r="D36" s="17">
        <v>242</v>
      </c>
      <c r="E36" s="26">
        <v>242</v>
      </c>
      <c r="F36" s="26">
        <v>242</v>
      </c>
      <c r="G36" s="26">
        <v>242</v>
      </c>
      <c r="H36" s="26">
        <v>242</v>
      </c>
      <c r="I36" s="26">
        <v>242</v>
      </c>
      <c r="J36" s="26">
        <v>242</v>
      </c>
      <c r="K36" s="26">
        <v>242</v>
      </c>
      <c r="L36" s="26">
        <v>242</v>
      </c>
      <c r="M36" s="26">
        <v>242</v>
      </c>
      <c r="N36" s="26">
        <v>242</v>
      </c>
      <c r="O36" s="26">
        <v>242</v>
      </c>
      <c r="P36" s="26">
        <v>242</v>
      </c>
      <c r="Q36" s="26">
        <v>242</v>
      </c>
      <c r="R36" s="17">
        <v>242</v>
      </c>
      <c r="S36" s="17">
        <v>242</v>
      </c>
      <c r="T36" s="17">
        <v>242</v>
      </c>
      <c r="U36" s="17">
        <v>242</v>
      </c>
      <c r="V36" s="8">
        <v>242</v>
      </c>
      <c r="W36" s="8">
        <v>242</v>
      </c>
      <c r="X36" s="8">
        <v>242</v>
      </c>
      <c r="Y36" s="8">
        <v>242</v>
      </c>
      <c r="Z36" s="8">
        <v>242</v>
      </c>
      <c r="AA36" s="8">
        <v>242</v>
      </c>
      <c r="AB36" s="8">
        <v>242</v>
      </c>
      <c r="AC36" s="8">
        <v>242</v>
      </c>
      <c r="AD36" s="8">
        <v>242</v>
      </c>
      <c r="AE36" s="8">
        <v>242</v>
      </c>
      <c r="AF36" s="8">
        <v>242</v>
      </c>
      <c r="AG36" s="8">
        <v>242</v>
      </c>
      <c r="AH36" s="8">
        <v>242</v>
      </c>
      <c r="AI36" s="8">
        <v>242</v>
      </c>
      <c r="AJ36" s="8">
        <v>242</v>
      </c>
      <c r="AK36" s="8">
        <v>242</v>
      </c>
      <c r="AL36" s="8">
        <v>242</v>
      </c>
      <c r="AM36" s="8">
        <v>242</v>
      </c>
      <c r="AN36" s="8">
        <v>242</v>
      </c>
      <c r="AO36" s="8">
        <v>242</v>
      </c>
      <c r="AP36" s="8">
        <v>242</v>
      </c>
      <c r="AQ36" s="8">
        <v>242</v>
      </c>
      <c r="AR36" s="8">
        <v>242</v>
      </c>
      <c r="AS36" s="8">
        <v>242</v>
      </c>
      <c r="AT36" s="8">
        <v>242</v>
      </c>
      <c r="AU36" s="8">
        <v>242</v>
      </c>
      <c r="AV36" s="8">
        <v>242</v>
      </c>
      <c r="AW36" s="8">
        <v>242</v>
      </c>
      <c r="AX36" s="8">
        <v>242</v>
      </c>
      <c r="AY36" s="8">
        <v>242</v>
      </c>
    </row>
    <row r="37" spans="1:51" s="8" customFormat="1">
      <c r="A37" s="16">
        <v>35</v>
      </c>
      <c r="B37" s="17" t="s">
        <v>66</v>
      </c>
      <c r="C37" s="17">
        <v>-3</v>
      </c>
      <c r="D37" s="17">
        <v>-3</v>
      </c>
      <c r="E37" s="26">
        <v>-300000</v>
      </c>
      <c r="F37" s="26">
        <v>-300000</v>
      </c>
      <c r="G37" s="26">
        <v>-300000</v>
      </c>
      <c r="H37" s="26">
        <v>-3</v>
      </c>
      <c r="I37" s="26">
        <v>-3</v>
      </c>
      <c r="J37" s="26">
        <v>-3</v>
      </c>
      <c r="K37" s="26">
        <v>-3</v>
      </c>
      <c r="L37" s="26">
        <v>-3</v>
      </c>
      <c r="M37" s="26">
        <v>-3</v>
      </c>
      <c r="N37" s="26">
        <v>-3</v>
      </c>
      <c r="O37" s="26">
        <v>-3</v>
      </c>
      <c r="P37" s="26">
        <v>-3</v>
      </c>
      <c r="Q37" s="26">
        <v>-3</v>
      </c>
      <c r="R37" s="17">
        <v>-3</v>
      </c>
      <c r="S37" s="17">
        <v>-3</v>
      </c>
      <c r="T37" s="17">
        <v>-3</v>
      </c>
      <c r="U37" s="17">
        <v>-3</v>
      </c>
      <c r="V37" s="8">
        <v>-3</v>
      </c>
      <c r="W37" s="8">
        <v>-3</v>
      </c>
      <c r="X37" s="8">
        <v>-3</v>
      </c>
      <c r="Y37" s="8">
        <v>-3</v>
      </c>
      <c r="Z37" s="8">
        <v>-3</v>
      </c>
      <c r="AA37" s="8">
        <v>-3</v>
      </c>
      <c r="AB37" s="8">
        <v>-3</v>
      </c>
      <c r="AC37" s="8">
        <v>-3</v>
      </c>
      <c r="AD37" s="8">
        <v>-3</v>
      </c>
      <c r="AE37" s="8">
        <v>-3</v>
      </c>
      <c r="AF37" s="8">
        <v>-3</v>
      </c>
      <c r="AG37" s="8">
        <v>-3</v>
      </c>
      <c r="AH37" s="8">
        <v>-3</v>
      </c>
      <c r="AI37" s="8">
        <v>-3</v>
      </c>
      <c r="AJ37" s="8">
        <v>-3</v>
      </c>
      <c r="AK37" s="8">
        <v>-3</v>
      </c>
      <c r="AL37" s="8">
        <v>-3</v>
      </c>
      <c r="AM37" s="8">
        <v>-3</v>
      </c>
      <c r="AN37" s="8">
        <v>-3</v>
      </c>
      <c r="AO37" s="8">
        <v>-3</v>
      </c>
      <c r="AP37" s="8">
        <v>-3</v>
      </c>
      <c r="AQ37" s="8">
        <v>-3</v>
      </c>
      <c r="AR37" s="8">
        <v>-3</v>
      </c>
      <c r="AS37" s="8">
        <v>-3</v>
      </c>
      <c r="AT37" s="8">
        <v>-3</v>
      </c>
      <c r="AU37" s="8" t="s">
        <v>312</v>
      </c>
      <c r="AV37" s="8" t="s">
        <v>312</v>
      </c>
      <c r="AW37" s="8" t="s">
        <v>312</v>
      </c>
      <c r="AX37" s="8" t="s">
        <v>312</v>
      </c>
      <c r="AY37" s="8" t="s">
        <v>312</v>
      </c>
    </row>
    <row r="38" spans="1:51" s="8" customFormat="1">
      <c r="A38" s="16">
        <v>36</v>
      </c>
      <c r="B38" s="17" t="s">
        <v>67</v>
      </c>
      <c r="C38" s="17">
        <v>770</v>
      </c>
      <c r="D38" s="17">
        <v>770</v>
      </c>
      <c r="E38" s="26">
        <v>770</v>
      </c>
      <c r="F38" s="26">
        <v>770</v>
      </c>
      <c r="G38" s="26">
        <v>770</v>
      </c>
      <c r="H38" s="26">
        <v>770</v>
      </c>
      <c r="I38" s="26">
        <v>770</v>
      </c>
      <c r="J38" s="26">
        <v>770</v>
      </c>
      <c r="K38" s="26">
        <v>770</v>
      </c>
      <c r="L38" s="26">
        <v>770</v>
      </c>
      <c r="M38" s="26">
        <v>770</v>
      </c>
      <c r="N38" s="26">
        <v>770</v>
      </c>
      <c r="O38" s="26">
        <v>770</v>
      </c>
      <c r="P38" s="26">
        <v>770</v>
      </c>
      <c r="Q38" s="26">
        <v>770</v>
      </c>
      <c r="R38" s="17">
        <v>770</v>
      </c>
      <c r="S38" s="17">
        <v>770</v>
      </c>
      <c r="T38" s="17">
        <v>770</v>
      </c>
      <c r="U38" s="17">
        <v>770</v>
      </c>
      <c r="V38" s="8">
        <v>770</v>
      </c>
      <c r="W38" s="8">
        <v>770</v>
      </c>
      <c r="X38" s="8">
        <v>770</v>
      </c>
      <c r="Y38" s="8">
        <v>770</v>
      </c>
      <c r="Z38" s="8">
        <v>770</v>
      </c>
      <c r="AA38" s="8">
        <v>770</v>
      </c>
      <c r="AB38" s="8">
        <v>770</v>
      </c>
      <c r="AC38" s="8">
        <v>770</v>
      </c>
      <c r="AD38" s="8">
        <v>770</v>
      </c>
      <c r="AE38" s="8">
        <v>770</v>
      </c>
      <c r="AF38" s="8">
        <v>770</v>
      </c>
      <c r="AG38" s="8">
        <v>770</v>
      </c>
      <c r="AH38" s="8">
        <v>770</v>
      </c>
      <c r="AI38" s="8">
        <v>770</v>
      </c>
      <c r="AJ38" s="8">
        <v>770</v>
      </c>
      <c r="AK38" s="8">
        <v>770</v>
      </c>
      <c r="AL38" s="8">
        <v>770</v>
      </c>
      <c r="AM38" s="8">
        <v>770</v>
      </c>
      <c r="AN38" s="8">
        <v>770</v>
      </c>
      <c r="AO38" s="8">
        <v>770</v>
      </c>
      <c r="AP38" s="8">
        <v>770</v>
      </c>
      <c r="AQ38" s="8">
        <v>770</v>
      </c>
      <c r="AR38" s="8">
        <v>770</v>
      </c>
      <c r="AS38" s="8">
        <v>770</v>
      </c>
      <c r="AT38" s="8">
        <v>770</v>
      </c>
      <c r="AU38" s="8">
        <v>73799494</v>
      </c>
      <c r="AV38" s="8">
        <v>78870</v>
      </c>
      <c r="AW38" s="8">
        <v>72815633</v>
      </c>
      <c r="AX38" s="8">
        <v>72815633</v>
      </c>
      <c r="AY38" s="8">
        <v>72815633</v>
      </c>
    </row>
    <row r="39" spans="1:51" s="8" customFormat="1">
      <c r="A39" s="16">
        <v>37</v>
      </c>
      <c r="B39" s="17" t="s">
        <v>68</v>
      </c>
      <c r="C39" s="17">
        <v>740</v>
      </c>
      <c r="D39" s="17">
        <v>740</v>
      </c>
      <c r="E39" s="26">
        <v>740</v>
      </c>
      <c r="F39" s="26">
        <v>740</v>
      </c>
      <c r="G39" s="26">
        <v>740</v>
      </c>
      <c r="H39" s="26">
        <v>740</v>
      </c>
      <c r="I39" s="26">
        <v>740</v>
      </c>
      <c r="J39" s="26">
        <v>740</v>
      </c>
      <c r="K39" s="26">
        <v>740</v>
      </c>
      <c r="L39" s="26">
        <v>740</v>
      </c>
      <c r="M39" s="26">
        <v>740</v>
      </c>
      <c r="N39" s="26">
        <v>740</v>
      </c>
      <c r="O39" s="26">
        <v>740</v>
      </c>
      <c r="P39" s="26">
        <v>740</v>
      </c>
      <c r="Q39" s="26">
        <v>740</v>
      </c>
      <c r="R39" s="17">
        <v>740</v>
      </c>
      <c r="S39" s="17">
        <v>740</v>
      </c>
      <c r="T39" s="17">
        <v>740</v>
      </c>
      <c r="U39" s="17">
        <v>740</v>
      </c>
      <c r="V39" s="8">
        <v>740</v>
      </c>
      <c r="W39" s="8">
        <v>740</v>
      </c>
      <c r="X39" s="8">
        <v>740</v>
      </c>
      <c r="Y39" s="8">
        <v>740</v>
      </c>
      <c r="Z39" s="8">
        <v>740</v>
      </c>
      <c r="AA39" s="8">
        <v>740</v>
      </c>
      <c r="AB39" s="8">
        <v>740</v>
      </c>
      <c r="AC39" s="8">
        <v>740</v>
      </c>
      <c r="AD39" s="8">
        <v>740</v>
      </c>
      <c r="AE39" s="8">
        <v>740</v>
      </c>
      <c r="AF39" s="8">
        <v>740</v>
      </c>
      <c r="AG39" s="8">
        <v>740</v>
      </c>
      <c r="AH39" s="8">
        <v>740</v>
      </c>
      <c r="AI39" s="8">
        <v>740</v>
      </c>
      <c r="AJ39" s="8">
        <v>740</v>
      </c>
      <c r="AK39" s="8">
        <v>740</v>
      </c>
      <c r="AL39" s="8">
        <v>740</v>
      </c>
      <c r="AM39" s="8">
        <v>740</v>
      </c>
      <c r="AN39" s="8">
        <v>740</v>
      </c>
      <c r="AO39" s="8">
        <v>740</v>
      </c>
      <c r="AP39" s="8">
        <v>740</v>
      </c>
      <c r="AQ39" s="8">
        <v>740</v>
      </c>
      <c r="AR39" s="8">
        <v>740</v>
      </c>
      <c r="AS39" s="8">
        <v>740</v>
      </c>
      <c r="AT39" s="8">
        <v>740</v>
      </c>
      <c r="AU39" s="8">
        <v>61672607</v>
      </c>
      <c r="AV39" s="8">
        <v>78035</v>
      </c>
      <c r="AW39" s="8">
        <v>61485032</v>
      </c>
      <c r="AX39" s="8">
        <v>61485032</v>
      </c>
      <c r="AY39" s="8">
        <v>61485032</v>
      </c>
    </row>
    <row r="40" spans="1:51" s="8" customFormat="1">
      <c r="A40" s="16">
        <v>38</v>
      </c>
      <c r="B40" s="17" t="s">
        <v>69</v>
      </c>
      <c r="C40" s="17">
        <v>8028</v>
      </c>
      <c r="D40" s="17">
        <v>8028</v>
      </c>
      <c r="E40" s="26">
        <v>8028</v>
      </c>
      <c r="F40" s="26">
        <v>8028</v>
      </c>
      <c r="G40" s="26">
        <v>8028</v>
      </c>
      <c r="H40" s="26">
        <v>8028</v>
      </c>
      <c r="I40" s="26">
        <v>8028</v>
      </c>
      <c r="J40" s="26">
        <v>8028</v>
      </c>
      <c r="K40" s="26">
        <v>8028</v>
      </c>
      <c r="L40" s="26">
        <v>8028</v>
      </c>
      <c r="M40" s="26">
        <v>8028</v>
      </c>
      <c r="N40" s="26">
        <v>8028</v>
      </c>
      <c r="O40" s="26">
        <v>8028</v>
      </c>
      <c r="P40" s="26">
        <v>8028</v>
      </c>
      <c r="Q40" s="26">
        <v>8028</v>
      </c>
      <c r="R40" s="17">
        <v>8028</v>
      </c>
      <c r="S40" s="17">
        <v>8028</v>
      </c>
      <c r="T40" s="17">
        <v>8028</v>
      </c>
      <c r="U40" s="17">
        <v>8028</v>
      </c>
      <c r="V40" s="8">
        <v>8028</v>
      </c>
      <c r="W40" s="8">
        <v>8028</v>
      </c>
      <c r="X40" s="8">
        <v>8028</v>
      </c>
      <c r="Y40" s="8">
        <v>8028</v>
      </c>
      <c r="Z40" s="8">
        <v>8028</v>
      </c>
      <c r="AA40" s="8">
        <v>8028</v>
      </c>
      <c r="AB40" s="8">
        <v>8028</v>
      </c>
      <c r="AC40" s="8">
        <v>8028</v>
      </c>
      <c r="AD40" s="8">
        <v>8028</v>
      </c>
      <c r="AE40" s="8">
        <v>8028</v>
      </c>
      <c r="AF40" s="8">
        <v>8028</v>
      </c>
      <c r="AG40" s="8">
        <v>8028</v>
      </c>
      <c r="AH40" s="8">
        <v>8028</v>
      </c>
      <c r="AI40" s="8">
        <v>8028</v>
      </c>
      <c r="AJ40" s="8">
        <v>8028</v>
      </c>
      <c r="AK40" s="8">
        <v>8028</v>
      </c>
      <c r="AL40" s="8">
        <v>8028</v>
      </c>
      <c r="AM40" s="8">
        <v>8028</v>
      </c>
      <c r="AN40" s="8">
        <v>8028</v>
      </c>
      <c r="AO40" s="8">
        <v>8028</v>
      </c>
      <c r="AP40" s="8">
        <v>8028</v>
      </c>
      <c r="AQ40" s="8">
        <v>8028</v>
      </c>
      <c r="AR40" s="8">
        <v>8028</v>
      </c>
      <c r="AS40" s="8">
        <v>8028</v>
      </c>
      <c r="AT40" s="8">
        <v>8028</v>
      </c>
      <c r="AU40" s="8">
        <v>105571827</v>
      </c>
      <c r="AV40" s="8">
        <v>80350</v>
      </c>
      <c r="AW40" s="8">
        <v>106318375</v>
      </c>
      <c r="AX40" s="8">
        <v>106318375</v>
      </c>
      <c r="AY40" s="8">
        <v>106318375</v>
      </c>
    </row>
    <row r="41" spans="1:51" s="8" customFormat="1">
      <c r="A41" s="16">
        <v>39</v>
      </c>
      <c r="B41" s="17" t="s">
        <v>70</v>
      </c>
      <c r="C41" s="17">
        <v>178</v>
      </c>
      <c r="D41" s="17">
        <v>178</v>
      </c>
      <c r="E41" s="26">
        <v>178</v>
      </c>
      <c r="F41" s="26">
        <v>178</v>
      </c>
      <c r="G41" s="26">
        <v>178</v>
      </c>
      <c r="H41" s="26">
        <v>178</v>
      </c>
      <c r="I41" s="26">
        <v>178</v>
      </c>
      <c r="J41" s="26">
        <v>178</v>
      </c>
      <c r="K41" s="26">
        <v>178</v>
      </c>
      <c r="L41" s="26">
        <v>178</v>
      </c>
      <c r="M41" s="26">
        <v>178</v>
      </c>
      <c r="N41" s="26">
        <v>178</v>
      </c>
      <c r="O41" s="26">
        <v>178</v>
      </c>
      <c r="P41" s="26">
        <v>178</v>
      </c>
      <c r="Q41" s="26">
        <v>178</v>
      </c>
      <c r="R41" s="17">
        <v>178</v>
      </c>
      <c r="S41" s="17">
        <v>178</v>
      </c>
      <c r="T41" s="17">
        <v>178</v>
      </c>
      <c r="U41" s="17">
        <v>178</v>
      </c>
      <c r="V41" s="8">
        <v>178</v>
      </c>
      <c r="W41" s="8">
        <v>178</v>
      </c>
      <c r="X41" s="8">
        <v>178</v>
      </c>
      <c r="Y41" s="8">
        <v>178</v>
      </c>
      <c r="Z41" s="8">
        <v>178</v>
      </c>
      <c r="AA41" s="8">
        <v>178</v>
      </c>
      <c r="AB41" s="8">
        <v>178</v>
      </c>
      <c r="AC41" s="8">
        <v>178</v>
      </c>
      <c r="AD41" s="8">
        <v>178</v>
      </c>
      <c r="AE41" s="8">
        <v>178</v>
      </c>
      <c r="AF41" s="8">
        <v>178</v>
      </c>
      <c r="AG41" s="8">
        <v>178</v>
      </c>
      <c r="AH41" s="8">
        <v>178</v>
      </c>
      <c r="AI41" s="8">
        <v>178</v>
      </c>
      <c r="AJ41" s="8">
        <v>178</v>
      </c>
      <c r="AK41" s="8">
        <v>178</v>
      </c>
      <c r="AL41" s="8">
        <v>178</v>
      </c>
      <c r="AM41" s="8">
        <v>178</v>
      </c>
      <c r="AN41" s="8">
        <v>178</v>
      </c>
      <c r="AO41" s="8">
        <v>178</v>
      </c>
      <c r="AP41" s="8">
        <v>178</v>
      </c>
      <c r="AQ41" s="8">
        <v>178</v>
      </c>
      <c r="AR41" s="8">
        <v>178</v>
      </c>
      <c r="AS41" s="8">
        <v>178</v>
      </c>
      <c r="AT41" s="8">
        <v>178</v>
      </c>
      <c r="AU41" s="8">
        <v>111802925</v>
      </c>
      <c r="AV41" s="8">
        <v>80560</v>
      </c>
      <c r="AW41" s="8">
        <v>114516340</v>
      </c>
      <c r="AX41" s="8">
        <v>114516340</v>
      </c>
      <c r="AY41" s="8">
        <v>114516340</v>
      </c>
    </row>
    <row r="42" spans="1:51" s="8" customFormat="1">
      <c r="A42" s="16">
        <v>40</v>
      </c>
      <c r="B42" s="17" t="s">
        <v>71</v>
      </c>
      <c r="C42" s="17">
        <v>2505</v>
      </c>
      <c r="D42" s="17">
        <v>2505</v>
      </c>
      <c r="E42" s="3">
        <v>2505</v>
      </c>
      <c r="F42" s="3">
        <v>2505</v>
      </c>
      <c r="G42" s="3">
        <v>2505</v>
      </c>
      <c r="H42" s="26">
        <v>2505</v>
      </c>
      <c r="I42" s="26">
        <v>2505</v>
      </c>
      <c r="J42" s="26">
        <v>2505</v>
      </c>
      <c r="K42" s="26">
        <v>2505</v>
      </c>
      <c r="L42" s="26">
        <v>2505</v>
      </c>
      <c r="M42" s="26">
        <v>2505</v>
      </c>
      <c r="N42" s="26">
        <v>2505</v>
      </c>
      <c r="O42" s="26">
        <v>2505</v>
      </c>
      <c r="P42" s="26">
        <v>2505</v>
      </c>
      <c r="Q42" s="26">
        <v>2505</v>
      </c>
      <c r="R42" s="17">
        <v>2505</v>
      </c>
      <c r="S42" s="17">
        <v>2505</v>
      </c>
      <c r="T42" s="17">
        <v>2505</v>
      </c>
      <c r="U42" s="17">
        <v>2505</v>
      </c>
      <c r="V42" s="8">
        <v>2505</v>
      </c>
      <c r="W42" s="8">
        <v>2505</v>
      </c>
      <c r="X42" s="8">
        <v>2505</v>
      </c>
      <c r="Y42" s="8">
        <v>2505</v>
      </c>
      <c r="Z42" s="8">
        <v>2505</v>
      </c>
      <c r="AA42" s="8">
        <v>2505</v>
      </c>
      <c r="AB42" s="8">
        <v>2505</v>
      </c>
      <c r="AC42" s="8">
        <v>2505</v>
      </c>
      <c r="AD42" s="8">
        <v>2505</v>
      </c>
      <c r="AE42" s="8">
        <v>2505</v>
      </c>
      <c r="AF42" s="8">
        <v>2505</v>
      </c>
      <c r="AG42" s="8">
        <v>2505</v>
      </c>
      <c r="AH42" s="8">
        <v>2505</v>
      </c>
      <c r="AI42" s="8">
        <v>2505</v>
      </c>
      <c r="AJ42" s="8">
        <v>2505</v>
      </c>
      <c r="AK42" s="8">
        <v>2505</v>
      </c>
      <c r="AL42" s="8">
        <v>2505</v>
      </c>
      <c r="AM42" s="8">
        <v>2505</v>
      </c>
      <c r="AN42" s="8">
        <v>2505</v>
      </c>
      <c r="AO42" s="8">
        <v>2505</v>
      </c>
      <c r="AP42" s="8">
        <v>2505</v>
      </c>
      <c r="AQ42" s="8">
        <v>2505</v>
      </c>
      <c r="AR42" s="8">
        <v>2505</v>
      </c>
      <c r="AS42" s="8">
        <v>2505</v>
      </c>
      <c r="AT42" s="8">
        <v>2505</v>
      </c>
      <c r="AU42" s="8">
        <v>126128700</v>
      </c>
      <c r="AV42" s="8">
        <v>81040</v>
      </c>
      <c r="AW42" s="8">
        <v>129150519</v>
      </c>
      <c r="AX42" s="8">
        <v>129150519</v>
      </c>
      <c r="AY42" s="8">
        <v>129150519</v>
      </c>
    </row>
    <row r="43" spans="1:51">
      <c r="A43" s="16">
        <v>41</v>
      </c>
      <c r="B43" s="17" t="s">
        <v>72</v>
      </c>
      <c r="C43" s="17">
        <v>0.99280000000000002</v>
      </c>
      <c r="D43" s="17">
        <v>0.99280000000000002</v>
      </c>
      <c r="E43" s="3">
        <v>0.99280000000000002</v>
      </c>
      <c r="F43" s="3">
        <v>0.99280000000000002</v>
      </c>
      <c r="G43" s="3">
        <v>0.99280000000000002</v>
      </c>
      <c r="H43" s="30">
        <v>0.99280000000000002</v>
      </c>
      <c r="I43" s="30">
        <v>0.99280000000000002</v>
      </c>
      <c r="J43" s="30">
        <v>0.99280000000000002</v>
      </c>
      <c r="K43" s="30">
        <v>0.99280000000000002</v>
      </c>
      <c r="L43" s="30">
        <v>0.99199999999999999</v>
      </c>
      <c r="M43" s="30">
        <v>0.99199999999999999</v>
      </c>
      <c r="N43" s="30">
        <v>0.99199999999999999</v>
      </c>
      <c r="O43" s="30">
        <v>0.99199999999999999</v>
      </c>
      <c r="P43" s="30">
        <v>0.99199999999999999</v>
      </c>
      <c r="Q43" s="30">
        <v>0.99199999999999999</v>
      </c>
      <c r="R43" s="17">
        <v>0.99</v>
      </c>
      <c r="S43" s="17">
        <v>0.99</v>
      </c>
      <c r="T43" s="17">
        <v>0.99</v>
      </c>
      <c r="U43" s="17">
        <v>0.99</v>
      </c>
      <c r="V43" s="28">
        <v>0.99</v>
      </c>
      <c r="W43" s="28">
        <v>0.99</v>
      </c>
      <c r="X43" s="28">
        <v>0.99</v>
      </c>
      <c r="Y43" s="28">
        <v>0.99</v>
      </c>
      <c r="Z43" s="28">
        <v>0.99099999999999999</v>
      </c>
      <c r="AA43" s="28">
        <v>0.99099999999999999</v>
      </c>
      <c r="AB43" s="28">
        <v>0.99099999999999999</v>
      </c>
      <c r="AC43" s="28">
        <v>0.99099999999999999</v>
      </c>
      <c r="AD43" s="28">
        <v>0.99099999999999999</v>
      </c>
      <c r="AE43" s="28">
        <v>0.99099999999999999</v>
      </c>
      <c r="AF43" s="28">
        <v>0.99099999999999999</v>
      </c>
      <c r="AG43" s="28">
        <v>0.99099999999999999</v>
      </c>
      <c r="AH43" s="28">
        <v>0.99099999999999999</v>
      </c>
      <c r="AI43" s="28">
        <v>0.99099999999999999</v>
      </c>
      <c r="AJ43" s="28">
        <v>0.99099999999999999</v>
      </c>
      <c r="AK43" s="28">
        <v>0.99099999999999999</v>
      </c>
      <c r="AL43" s="28">
        <v>0.99099999999999999</v>
      </c>
      <c r="AM43" s="28">
        <v>0.99099999999999999</v>
      </c>
      <c r="AN43" s="28">
        <v>0.99099999999999999</v>
      </c>
      <c r="AO43" s="28">
        <v>0.99099999999999999</v>
      </c>
      <c r="AP43" s="28">
        <v>0.99099999999999999</v>
      </c>
      <c r="AQ43" s="28">
        <v>0.99099999999999999</v>
      </c>
      <c r="AR43" s="28">
        <v>0.99099999999999999</v>
      </c>
      <c r="AS43" s="28">
        <v>0.99099999999999999</v>
      </c>
      <c r="AT43" s="28">
        <v>0.99099999999999999</v>
      </c>
      <c r="AU43" s="28">
        <v>0.99099999999999999</v>
      </c>
      <c r="AV43" s="28">
        <v>0.99099999999999999</v>
      </c>
      <c r="AW43" s="28">
        <v>0.99099999999999999</v>
      </c>
      <c r="AX43" s="28">
        <v>0.99099999999999999</v>
      </c>
      <c r="AY43" s="28">
        <v>0.99099999999999999</v>
      </c>
    </row>
    <row r="44" spans="1:51">
      <c r="A44" s="16">
        <v>42</v>
      </c>
      <c r="B44" s="17" t="s">
        <v>73</v>
      </c>
      <c r="C44" s="17">
        <v>8</v>
      </c>
      <c r="D44" s="17">
        <v>8</v>
      </c>
      <c r="E44" s="33">
        <v>800000</v>
      </c>
      <c r="F44" s="33">
        <v>800000</v>
      </c>
      <c r="G44" s="33">
        <v>800000</v>
      </c>
      <c r="H44" s="30">
        <v>8</v>
      </c>
      <c r="I44" s="30">
        <v>8</v>
      </c>
      <c r="J44" s="30">
        <v>8</v>
      </c>
      <c r="K44" s="30">
        <v>8</v>
      </c>
      <c r="L44" s="30">
        <v>8</v>
      </c>
      <c r="M44" s="30">
        <v>8</v>
      </c>
      <c r="N44" s="30">
        <v>8</v>
      </c>
      <c r="O44" s="30">
        <v>8</v>
      </c>
      <c r="P44" s="30">
        <v>8</v>
      </c>
      <c r="Q44" s="30">
        <v>8</v>
      </c>
      <c r="R44" s="17">
        <v>18</v>
      </c>
      <c r="S44" s="17">
        <v>18</v>
      </c>
      <c r="T44" s="17">
        <v>18</v>
      </c>
      <c r="U44" s="17">
        <v>18</v>
      </c>
      <c r="V44" s="28">
        <v>18</v>
      </c>
      <c r="W44" s="28">
        <v>18</v>
      </c>
      <c r="X44" s="28">
        <v>18</v>
      </c>
      <c r="Y44" s="28">
        <v>18</v>
      </c>
      <c r="Z44" s="28">
        <v>22</v>
      </c>
      <c r="AA44" s="28">
        <v>22</v>
      </c>
      <c r="AB44" s="28">
        <v>22</v>
      </c>
      <c r="AC44" s="28">
        <v>22</v>
      </c>
      <c r="AD44" s="28">
        <v>22</v>
      </c>
      <c r="AE44" s="28">
        <v>22</v>
      </c>
      <c r="AF44" s="28">
        <v>22</v>
      </c>
      <c r="AG44" s="28">
        <v>22</v>
      </c>
      <c r="AH44" s="28">
        <v>22</v>
      </c>
      <c r="AI44" s="28">
        <v>22</v>
      </c>
      <c r="AJ44" s="28">
        <v>22</v>
      </c>
      <c r="AK44" s="28">
        <v>22</v>
      </c>
      <c r="AL44" s="28">
        <v>22</v>
      </c>
      <c r="AM44" s="28">
        <v>22</v>
      </c>
      <c r="AN44" s="28">
        <v>22</v>
      </c>
      <c r="AO44" s="28">
        <v>22</v>
      </c>
      <c r="AP44" s="28">
        <v>22</v>
      </c>
      <c r="AQ44" s="28">
        <v>22</v>
      </c>
      <c r="AR44" s="28">
        <v>22</v>
      </c>
      <c r="AS44" s="28">
        <v>22</v>
      </c>
      <c r="AT44" s="28">
        <v>22</v>
      </c>
      <c r="AU44" s="28">
        <v>22</v>
      </c>
      <c r="AV44" s="28">
        <v>22</v>
      </c>
      <c r="AW44" s="28">
        <v>22</v>
      </c>
      <c r="AX44" s="28">
        <v>22</v>
      </c>
      <c r="AY44" s="28">
        <v>22</v>
      </c>
    </row>
    <row r="45" spans="1:51" s="8" customFormat="1" ht="11.25" customHeight="1">
      <c r="A45" s="16">
        <v>43</v>
      </c>
      <c r="B45" s="17" t="s">
        <v>74</v>
      </c>
      <c r="C45" s="17">
        <v>2469</v>
      </c>
      <c r="D45" s="17">
        <v>2469</v>
      </c>
      <c r="E45" s="33">
        <v>1732</v>
      </c>
      <c r="F45" s="33">
        <v>1732</v>
      </c>
      <c r="G45" s="33">
        <v>1732</v>
      </c>
      <c r="H45" s="26">
        <v>1732</v>
      </c>
      <c r="I45" s="26">
        <v>1732</v>
      </c>
      <c r="J45" s="26">
        <v>1732</v>
      </c>
      <c r="K45" s="26">
        <v>1732</v>
      </c>
      <c r="L45" s="26">
        <v>1732</v>
      </c>
      <c r="M45" s="26">
        <v>1732</v>
      </c>
      <c r="N45" s="26">
        <v>1732</v>
      </c>
      <c r="O45" s="26">
        <v>1732</v>
      </c>
      <c r="P45" s="26">
        <v>1732</v>
      </c>
      <c r="Q45" s="26">
        <v>1732</v>
      </c>
      <c r="R45" s="17">
        <v>1732</v>
      </c>
      <c r="S45" s="17">
        <v>1732</v>
      </c>
      <c r="T45" s="17">
        <v>1732</v>
      </c>
      <c r="U45" s="17">
        <v>1732</v>
      </c>
      <c r="V45" s="8">
        <v>1732</v>
      </c>
      <c r="W45" s="8">
        <v>1732</v>
      </c>
      <c r="X45" s="8">
        <v>1732</v>
      </c>
      <c r="Y45" s="8">
        <v>1732</v>
      </c>
      <c r="Z45" s="8">
        <v>1732</v>
      </c>
      <c r="AA45" s="8">
        <v>1732</v>
      </c>
      <c r="AB45" s="8">
        <v>1732</v>
      </c>
      <c r="AC45" s="8">
        <v>1732</v>
      </c>
      <c r="AD45" s="8">
        <v>1732</v>
      </c>
      <c r="AE45" s="8">
        <v>1732</v>
      </c>
      <c r="AF45" s="8">
        <v>1732</v>
      </c>
      <c r="AG45" s="8">
        <v>1732</v>
      </c>
      <c r="AH45" s="8">
        <v>1732</v>
      </c>
      <c r="AI45" s="8">
        <v>1732</v>
      </c>
      <c r="AJ45" s="8">
        <v>1732</v>
      </c>
      <c r="AK45" s="8">
        <v>1732</v>
      </c>
      <c r="AL45" s="8">
        <v>1732</v>
      </c>
      <c r="AM45" s="8">
        <v>1732</v>
      </c>
      <c r="AN45" s="8">
        <v>1732</v>
      </c>
      <c r="AO45" s="8">
        <v>1732</v>
      </c>
      <c r="AP45" s="8">
        <v>1732</v>
      </c>
      <c r="AQ45" s="8">
        <v>1732</v>
      </c>
      <c r="AR45" s="8">
        <v>1732</v>
      </c>
      <c r="AS45" s="8">
        <v>1732</v>
      </c>
      <c r="AT45" s="8">
        <v>1732</v>
      </c>
      <c r="AU45" s="8">
        <v>1732</v>
      </c>
      <c r="AV45" s="8">
        <v>1732</v>
      </c>
      <c r="AW45" s="8">
        <v>1732</v>
      </c>
      <c r="AX45" s="8">
        <v>1732</v>
      </c>
      <c r="AY45" s="8">
        <v>1732</v>
      </c>
    </row>
    <row r="46" spans="1:51" s="8" customFormat="1">
      <c r="A46" s="16">
        <v>44</v>
      </c>
      <c r="B46" s="17" t="s">
        <v>75</v>
      </c>
      <c r="C46" s="17">
        <v>250</v>
      </c>
      <c r="D46" s="17">
        <v>250</v>
      </c>
      <c r="E46" s="33">
        <v>250</v>
      </c>
      <c r="F46" s="33">
        <v>250</v>
      </c>
      <c r="G46" s="33">
        <v>250</v>
      </c>
      <c r="H46" s="26">
        <v>250</v>
      </c>
      <c r="I46" s="26">
        <v>250</v>
      </c>
      <c r="J46" s="26">
        <v>250</v>
      </c>
      <c r="K46" s="26">
        <v>250</v>
      </c>
      <c r="L46" s="26">
        <v>250</v>
      </c>
      <c r="M46" s="26">
        <v>250</v>
      </c>
      <c r="N46" s="26">
        <v>250</v>
      </c>
      <c r="O46" s="26">
        <v>250</v>
      </c>
      <c r="P46" s="26">
        <v>250</v>
      </c>
      <c r="Q46" s="26">
        <v>250</v>
      </c>
      <c r="R46" s="17">
        <v>250</v>
      </c>
      <c r="S46" s="17">
        <v>250</v>
      </c>
      <c r="T46" s="17">
        <v>250</v>
      </c>
      <c r="U46" s="17">
        <v>250</v>
      </c>
      <c r="V46" s="8">
        <v>250</v>
      </c>
      <c r="W46" s="8">
        <v>250</v>
      </c>
      <c r="X46" s="8">
        <v>250</v>
      </c>
      <c r="Y46" s="8">
        <v>250</v>
      </c>
      <c r="Z46" s="8">
        <v>250</v>
      </c>
      <c r="AA46" s="8">
        <v>250</v>
      </c>
      <c r="AB46" s="8">
        <v>250</v>
      </c>
      <c r="AC46" s="8">
        <v>250</v>
      </c>
      <c r="AD46" s="8">
        <v>250</v>
      </c>
      <c r="AE46" s="8">
        <v>250</v>
      </c>
      <c r="AF46" s="8">
        <v>250</v>
      </c>
      <c r="AG46" s="8">
        <v>250</v>
      </c>
      <c r="AH46" s="8">
        <v>250</v>
      </c>
      <c r="AI46" s="8">
        <v>250</v>
      </c>
      <c r="AJ46" s="8">
        <v>250</v>
      </c>
      <c r="AK46" s="8">
        <v>250</v>
      </c>
      <c r="AL46" s="8">
        <v>250</v>
      </c>
      <c r="AM46" s="8">
        <v>250</v>
      </c>
      <c r="AN46" s="8">
        <v>250</v>
      </c>
      <c r="AO46" s="8">
        <v>250</v>
      </c>
      <c r="AP46" s="8">
        <v>250</v>
      </c>
      <c r="AQ46" s="8">
        <v>250</v>
      </c>
      <c r="AR46" s="8">
        <v>250</v>
      </c>
      <c r="AS46" s="8">
        <v>250</v>
      </c>
      <c r="AT46" s="8">
        <v>250</v>
      </c>
      <c r="AU46" s="8">
        <v>250</v>
      </c>
      <c r="AV46" s="8">
        <v>250</v>
      </c>
      <c r="AW46" s="8">
        <v>250</v>
      </c>
      <c r="AX46" s="8">
        <v>250</v>
      </c>
      <c r="AY46" s="8">
        <v>250</v>
      </c>
    </row>
    <row r="47" spans="1:51" s="8" customFormat="1">
      <c r="A47" s="16">
        <v>45</v>
      </c>
      <c r="B47" s="17" t="s">
        <v>76</v>
      </c>
      <c r="C47" s="17">
        <v>0</v>
      </c>
      <c r="D47" s="17">
        <v>0</v>
      </c>
      <c r="E47" s="33">
        <v>0.2</v>
      </c>
      <c r="F47" s="33">
        <v>0.2</v>
      </c>
      <c r="G47" s="33">
        <v>0.2</v>
      </c>
      <c r="H47" s="26">
        <v>0</v>
      </c>
      <c r="I47" s="26">
        <v>0</v>
      </c>
      <c r="J47" s="26">
        <v>0</v>
      </c>
      <c r="K47" s="26">
        <v>0</v>
      </c>
      <c r="L47" s="26">
        <v>0</v>
      </c>
      <c r="M47" s="26">
        <v>0</v>
      </c>
      <c r="N47" s="26">
        <v>0</v>
      </c>
      <c r="O47" s="26">
        <v>0</v>
      </c>
      <c r="P47" s="26">
        <v>0</v>
      </c>
      <c r="Q47" s="26">
        <v>0</v>
      </c>
      <c r="R47" s="17">
        <v>0.2</v>
      </c>
      <c r="S47" s="17">
        <v>0.2</v>
      </c>
      <c r="T47" s="17">
        <v>0.2</v>
      </c>
      <c r="U47" s="17">
        <v>0.2</v>
      </c>
      <c r="V47" s="8">
        <v>0.4</v>
      </c>
      <c r="W47" s="8">
        <v>0.4</v>
      </c>
      <c r="X47" s="8">
        <v>0.4</v>
      </c>
      <c r="Y47" s="8">
        <v>0.4</v>
      </c>
      <c r="Z47" s="8">
        <v>0.4</v>
      </c>
      <c r="AA47" s="8">
        <v>0.4</v>
      </c>
      <c r="AB47" s="8">
        <v>0.4</v>
      </c>
      <c r="AC47" s="8">
        <v>0.4</v>
      </c>
      <c r="AD47" s="8">
        <v>0.4</v>
      </c>
      <c r="AE47" s="8">
        <v>0.4</v>
      </c>
      <c r="AF47" s="8">
        <v>0.4</v>
      </c>
      <c r="AG47" s="8">
        <v>0.4</v>
      </c>
      <c r="AH47" s="8">
        <v>0.4</v>
      </c>
      <c r="AI47" s="8">
        <v>0.4</v>
      </c>
      <c r="AJ47" s="8">
        <v>0.4</v>
      </c>
      <c r="AK47" s="8">
        <v>0.4</v>
      </c>
      <c r="AL47" s="8">
        <v>0.4</v>
      </c>
      <c r="AM47" s="8">
        <v>0.4</v>
      </c>
      <c r="AN47" s="8">
        <v>0.4</v>
      </c>
      <c r="AO47" s="8">
        <v>0.4</v>
      </c>
      <c r="AP47" s="8">
        <v>0.4</v>
      </c>
      <c r="AQ47" s="8">
        <v>0.4</v>
      </c>
      <c r="AR47" s="8">
        <v>0.4</v>
      </c>
      <c r="AS47" s="8">
        <v>0.4</v>
      </c>
      <c r="AT47" s="8">
        <v>0.4</v>
      </c>
      <c r="AU47" s="8">
        <v>0.4</v>
      </c>
      <c r="AV47" s="8">
        <v>0.4</v>
      </c>
      <c r="AW47" s="8">
        <v>0.4</v>
      </c>
      <c r="AX47" s="8">
        <v>0.4</v>
      </c>
      <c r="AY47" s="8">
        <v>0.4</v>
      </c>
    </row>
    <row r="48" spans="1:51" s="8" customFormat="1">
      <c r="A48" s="16">
        <v>46</v>
      </c>
      <c r="B48" s="17" t="s">
        <v>77</v>
      </c>
      <c r="C48" s="17">
        <v>64</v>
      </c>
      <c r="D48" s="17">
        <v>64</v>
      </c>
      <c r="E48" s="33">
        <v>0</v>
      </c>
      <c r="F48" s="33">
        <v>0</v>
      </c>
      <c r="G48" s="33">
        <v>0</v>
      </c>
      <c r="H48" s="26">
        <v>0</v>
      </c>
      <c r="I48" s="26">
        <v>0</v>
      </c>
      <c r="J48" s="26">
        <v>0</v>
      </c>
      <c r="K48" s="26">
        <v>0</v>
      </c>
      <c r="L48" s="26">
        <v>0</v>
      </c>
      <c r="M48" s="26">
        <v>0</v>
      </c>
      <c r="N48" s="26">
        <v>0</v>
      </c>
      <c r="O48" s="26">
        <v>0</v>
      </c>
      <c r="P48" s="26">
        <v>0</v>
      </c>
      <c r="Q48" s="26">
        <v>0</v>
      </c>
      <c r="R48" s="17">
        <v>0</v>
      </c>
      <c r="S48" s="17">
        <v>0</v>
      </c>
      <c r="T48" s="17">
        <v>0</v>
      </c>
      <c r="U48" s="17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</row>
    <row r="49" spans="1:51" s="8" customFormat="1">
      <c r="A49" s="16">
        <v>47</v>
      </c>
      <c r="B49" s="17" t="s">
        <v>78</v>
      </c>
      <c r="C49" s="17">
        <v>256</v>
      </c>
      <c r="D49" s="17">
        <v>256</v>
      </c>
      <c r="E49" s="33">
        <v>256</v>
      </c>
      <c r="F49" s="33">
        <v>256</v>
      </c>
      <c r="G49" s="33">
        <v>256</v>
      </c>
      <c r="H49" s="26">
        <v>256</v>
      </c>
      <c r="I49" s="26">
        <v>256</v>
      </c>
      <c r="J49" s="26">
        <v>256</v>
      </c>
      <c r="K49" s="26">
        <v>256</v>
      </c>
      <c r="L49" s="26">
        <v>256</v>
      </c>
      <c r="M49" s="26">
        <v>256</v>
      </c>
      <c r="N49" s="26">
        <v>256</v>
      </c>
      <c r="O49" s="26">
        <v>256</v>
      </c>
      <c r="P49" s="26">
        <v>256</v>
      </c>
      <c r="Q49" s="26">
        <v>256</v>
      </c>
      <c r="R49" s="17">
        <v>256</v>
      </c>
      <c r="S49" s="17">
        <v>256</v>
      </c>
      <c r="T49" s="17">
        <v>256</v>
      </c>
      <c r="U49" s="17">
        <v>256</v>
      </c>
      <c r="V49" s="8">
        <v>256</v>
      </c>
      <c r="W49" s="8">
        <v>256</v>
      </c>
      <c r="X49" s="8">
        <v>256</v>
      </c>
      <c r="Y49" s="8">
        <v>256</v>
      </c>
      <c r="Z49" s="8">
        <v>256</v>
      </c>
      <c r="AA49" s="8">
        <v>256</v>
      </c>
      <c r="AB49" s="8">
        <v>256</v>
      </c>
      <c r="AC49" s="8">
        <v>256</v>
      </c>
      <c r="AD49" s="8">
        <v>256</v>
      </c>
      <c r="AE49" s="8">
        <v>256</v>
      </c>
      <c r="AF49" s="8">
        <v>256</v>
      </c>
      <c r="AG49" s="8">
        <v>256</v>
      </c>
      <c r="AH49" s="8">
        <v>256</v>
      </c>
      <c r="AI49" s="8">
        <v>256</v>
      </c>
      <c r="AJ49" s="8">
        <v>256</v>
      </c>
      <c r="AK49" s="8">
        <v>256</v>
      </c>
      <c r="AL49" s="8">
        <v>256</v>
      </c>
      <c r="AM49" s="8">
        <v>256</v>
      </c>
      <c r="AN49" s="8">
        <v>256</v>
      </c>
      <c r="AO49" s="8">
        <v>256</v>
      </c>
      <c r="AP49" s="8">
        <v>256</v>
      </c>
      <c r="AQ49" s="8">
        <v>256</v>
      </c>
      <c r="AR49" s="8">
        <v>256</v>
      </c>
      <c r="AS49" s="8">
        <v>256</v>
      </c>
      <c r="AT49" s="8">
        <v>256</v>
      </c>
      <c r="AU49" s="8">
        <v>256</v>
      </c>
      <c r="AV49" s="8">
        <v>256</v>
      </c>
      <c r="AW49" s="8">
        <v>256</v>
      </c>
      <c r="AX49" s="8">
        <v>256</v>
      </c>
      <c r="AY49" s="8">
        <v>256</v>
      </c>
    </row>
    <row r="50" spans="1:51" s="8" customFormat="1">
      <c r="A50" s="16">
        <v>48</v>
      </c>
      <c r="B50" s="17" t="s">
        <v>79</v>
      </c>
      <c r="C50" s="17">
        <v>0</v>
      </c>
      <c r="D50" s="17">
        <v>0</v>
      </c>
      <c r="E50" s="33">
        <v>0</v>
      </c>
      <c r="F50" s="33">
        <v>0</v>
      </c>
      <c r="G50" s="33">
        <v>0</v>
      </c>
      <c r="H50" s="26">
        <v>0</v>
      </c>
      <c r="I50" s="26">
        <v>0</v>
      </c>
      <c r="J50" s="26">
        <v>0</v>
      </c>
      <c r="K50" s="26">
        <v>0</v>
      </c>
      <c r="L50" s="26">
        <v>0</v>
      </c>
      <c r="M50" s="26">
        <v>0</v>
      </c>
      <c r="N50" s="26">
        <v>0</v>
      </c>
      <c r="O50" s="26">
        <v>0</v>
      </c>
      <c r="P50" s="26">
        <v>0</v>
      </c>
      <c r="Q50" s="26">
        <v>0</v>
      </c>
      <c r="R50" s="17">
        <v>0</v>
      </c>
      <c r="S50" s="17">
        <v>0</v>
      </c>
      <c r="T50" s="17">
        <v>0</v>
      </c>
      <c r="U50" s="17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</row>
    <row r="51" spans="1:51" s="8" customFormat="1">
      <c r="A51" s="16">
        <v>49</v>
      </c>
      <c r="B51" s="17" t="s">
        <v>80</v>
      </c>
      <c r="C51" s="17">
        <v>0</v>
      </c>
      <c r="D51" s="17">
        <v>0</v>
      </c>
      <c r="E51" s="33">
        <v>64</v>
      </c>
      <c r="F51" s="33">
        <v>64</v>
      </c>
      <c r="G51" s="33">
        <v>64</v>
      </c>
      <c r="H51" s="26">
        <v>64</v>
      </c>
      <c r="I51" s="26">
        <v>64</v>
      </c>
      <c r="J51" s="26">
        <v>64</v>
      </c>
      <c r="K51" s="26">
        <v>64</v>
      </c>
      <c r="L51" s="26">
        <v>64</v>
      </c>
      <c r="M51" s="26">
        <v>64</v>
      </c>
      <c r="N51" s="26">
        <v>64</v>
      </c>
      <c r="O51" s="26">
        <v>64</v>
      </c>
      <c r="P51" s="26">
        <v>64</v>
      </c>
      <c r="Q51" s="26">
        <v>64</v>
      </c>
      <c r="R51" s="17">
        <v>64</v>
      </c>
      <c r="S51" s="17">
        <v>64</v>
      </c>
      <c r="T51" s="17">
        <v>64</v>
      </c>
      <c r="U51" s="17">
        <v>64</v>
      </c>
      <c r="V51" s="8">
        <v>64</v>
      </c>
      <c r="W51" s="8">
        <v>64</v>
      </c>
      <c r="X51" s="8">
        <v>64</v>
      </c>
      <c r="Y51" s="8">
        <v>64</v>
      </c>
      <c r="Z51" s="8">
        <v>64</v>
      </c>
      <c r="AA51" s="8">
        <v>64</v>
      </c>
      <c r="AB51" s="8">
        <v>64</v>
      </c>
      <c r="AC51" s="8">
        <v>64</v>
      </c>
      <c r="AD51" s="8">
        <v>64</v>
      </c>
      <c r="AE51" s="8">
        <v>64</v>
      </c>
      <c r="AF51" s="8">
        <v>64</v>
      </c>
      <c r="AG51" s="8">
        <v>64</v>
      </c>
      <c r="AH51" s="8">
        <v>64</v>
      </c>
      <c r="AI51" s="8">
        <v>64</v>
      </c>
      <c r="AJ51" s="8">
        <v>64</v>
      </c>
      <c r="AK51" s="8">
        <v>64</v>
      </c>
      <c r="AL51" s="8">
        <v>64</v>
      </c>
      <c r="AM51" s="8">
        <v>64</v>
      </c>
      <c r="AN51" s="8">
        <v>64</v>
      </c>
      <c r="AO51" s="8">
        <v>64</v>
      </c>
      <c r="AP51" s="8">
        <v>64</v>
      </c>
      <c r="AQ51" s="8">
        <v>64</v>
      </c>
      <c r="AR51" s="8">
        <v>64</v>
      </c>
      <c r="AS51" s="8">
        <v>64</v>
      </c>
      <c r="AT51" s="8">
        <v>64</v>
      </c>
      <c r="AU51" s="8">
        <v>64</v>
      </c>
      <c r="AV51" s="8">
        <v>64</v>
      </c>
      <c r="AW51" s="8">
        <v>64</v>
      </c>
      <c r="AX51" s="8">
        <v>64</v>
      </c>
      <c r="AY51" s="8">
        <v>64</v>
      </c>
    </row>
    <row r="52" spans="1:51" s="8" customFormat="1">
      <c r="A52" s="16">
        <v>50</v>
      </c>
      <c r="B52" s="17" t="s">
        <v>81</v>
      </c>
      <c r="C52" s="17">
        <v>9</v>
      </c>
      <c r="D52" s="17">
        <v>9</v>
      </c>
      <c r="E52" s="33">
        <v>0</v>
      </c>
      <c r="F52" s="33">
        <v>0</v>
      </c>
      <c r="G52" s="33">
        <v>0</v>
      </c>
      <c r="H52" s="26">
        <v>0</v>
      </c>
      <c r="I52" s="26">
        <v>0</v>
      </c>
      <c r="J52" s="26">
        <v>0</v>
      </c>
      <c r="K52" s="26">
        <v>0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17">
        <v>0</v>
      </c>
      <c r="S52" s="17">
        <v>0</v>
      </c>
      <c r="T52" s="17">
        <v>0</v>
      </c>
      <c r="U52" s="17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</row>
    <row r="53" spans="1:51" s="8" customFormat="1">
      <c r="A53" s="16">
        <v>51</v>
      </c>
      <c r="B53" s="17" t="s">
        <v>82</v>
      </c>
      <c r="C53" s="17">
        <v>2210</v>
      </c>
      <c r="D53" s="17">
        <v>2210</v>
      </c>
      <c r="E53" s="3">
        <v>2217</v>
      </c>
      <c r="F53" s="3">
        <v>2217</v>
      </c>
      <c r="G53" s="3">
        <v>2217</v>
      </c>
      <c r="H53" s="26">
        <v>2217</v>
      </c>
      <c r="I53" s="26">
        <v>2217</v>
      </c>
      <c r="J53" s="26">
        <v>2217</v>
      </c>
      <c r="K53" s="26">
        <v>2217</v>
      </c>
      <c r="L53" s="26">
        <v>2224</v>
      </c>
      <c r="M53" s="26">
        <v>2224</v>
      </c>
      <c r="N53" s="26">
        <v>2224</v>
      </c>
      <c r="O53" s="26">
        <v>2224</v>
      </c>
      <c r="P53" s="26">
        <v>2224</v>
      </c>
      <c r="Q53" s="26">
        <v>2224</v>
      </c>
      <c r="R53" s="17">
        <v>2224</v>
      </c>
      <c r="S53" s="17">
        <v>2224</v>
      </c>
      <c r="T53" s="17">
        <v>2224</v>
      </c>
      <c r="U53" s="17">
        <v>2224</v>
      </c>
      <c r="V53" s="8">
        <v>2224</v>
      </c>
      <c r="W53" s="8">
        <v>2224</v>
      </c>
      <c r="X53" s="8">
        <v>2224</v>
      </c>
      <c r="Y53" s="8">
        <v>2260</v>
      </c>
      <c r="Z53" s="8">
        <v>2260</v>
      </c>
      <c r="AA53" s="8">
        <v>2260</v>
      </c>
      <c r="AB53" s="8">
        <v>2260</v>
      </c>
      <c r="AC53" s="8">
        <v>2260</v>
      </c>
      <c r="AD53" s="8">
        <v>2260</v>
      </c>
      <c r="AE53" s="8">
        <v>2260</v>
      </c>
      <c r="AF53" s="8">
        <v>2260</v>
      </c>
      <c r="AG53" s="8">
        <v>2260</v>
      </c>
      <c r="AH53" s="8">
        <v>2260</v>
      </c>
      <c r="AI53" s="8">
        <v>2260</v>
      </c>
      <c r="AJ53" s="8">
        <v>2260</v>
      </c>
      <c r="AK53" s="8">
        <v>2215</v>
      </c>
      <c r="AL53" s="8">
        <v>2215</v>
      </c>
      <c r="AM53" s="8">
        <v>2215</v>
      </c>
      <c r="AN53" s="8">
        <v>2215</v>
      </c>
      <c r="AO53" s="8">
        <v>2215</v>
      </c>
      <c r="AP53" s="8">
        <v>2220</v>
      </c>
      <c r="AQ53" s="8">
        <v>2220</v>
      </c>
      <c r="AR53" s="8">
        <v>2207</v>
      </c>
      <c r="AS53" s="8">
        <v>2207</v>
      </c>
      <c r="AT53" s="8">
        <v>2207</v>
      </c>
      <c r="AU53" s="8">
        <v>2207</v>
      </c>
      <c r="AV53" s="8">
        <v>2207</v>
      </c>
      <c r="AW53" s="8">
        <v>2207</v>
      </c>
      <c r="AX53" s="8">
        <v>2207</v>
      </c>
      <c r="AY53" s="8">
        <v>2207</v>
      </c>
    </row>
    <row r="54" spans="1:51">
      <c r="A54" s="16">
        <v>52</v>
      </c>
      <c r="B54" s="17" t="s">
        <v>7</v>
      </c>
      <c r="E54" s="30" t="s">
        <v>6</v>
      </c>
      <c r="F54" s="30" t="s">
        <v>6</v>
      </c>
      <c r="G54" s="30" t="s">
        <v>6</v>
      </c>
      <c r="H54" s="30" t="s">
        <v>6</v>
      </c>
      <c r="I54" s="30" t="s">
        <v>6</v>
      </c>
      <c r="J54" s="30" t="s">
        <v>6</v>
      </c>
      <c r="K54" s="30" t="s">
        <v>6</v>
      </c>
      <c r="L54" s="35">
        <v>38231</v>
      </c>
      <c r="V54" s="29" t="s">
        <v>99</v>
      </c>
      <c r="W54" s="29" t="s">
        <v>99</v>
      </c>
    </row>
  </sheetData>
  <phoneticPr fontId="5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 enableFormatConditionsCalculation="0"/>
  <dimension ref="A1:F49"/>
  <sheetViews>
    <sheetView topLeftCell="A40" workbookViewId="0">
      <selection activeCell="C49" sqref="C49"/>
    </sheetView>
  </sheetViews>
  <sheetFormatPr baseColWidth="10" defaultRowHeight="14" x14ac:dyDescent="0"/>
  <cols>
    <col min="1" max="1" width="11.5" style="1" customWidth="1"/>
    <col min="3" max="3" width="38.5" customWidth="1"/>
    <col min="4" max="4" width="17" customWidth="1"/>
  </cols>
  <sheetData>
    <row r="1" spans="1:6">
      <c r="A1" s="1">
        <f>+B1-693960</f>
        <v>38245</v>
      </c>
      <c r="B1" s="4">
        <v>732205</v>
      </c>
      <c r="C1" t="s">
        <v>11</v>
      </c>
      <c r="D1" t="s">
        <v>200</v>
      </c>
      <c r="E1">
        <v>386</v>
      </c>
    </row>
    <row r="2" spans="1:6">
      <c r="A2" s="1">
        <f>+B2-693960</f>
        <v>38341</v>
      </c>
      <c r="B2" s="4">
        <v>732301</v>
      </c>
      <c r="C2" t="s">
        <v>202</v>
      </c>
      <c r="E2">
        <v>366</v>
      </c>
    </row>
    <row r="3" spans="1:6">
      <c r="A3" s="1">
        <f t="shared" ref="A3:A29" si="0">+B3-693960</f>
        <v>39000</v>
      </c>
      <c r="B3" s="4">
        <v>732960</v>
      </c>
      <c r="C3" t="s">
        <v>11</v>
      </c>
      <c r="D3" t="s">
        <v>90</v>
      </c>
      <c r="E3">
        <v>400</v>
      </c>
    </row>
    <row r="4" spans="1:6">
      <c r="A4" s="1">
        <f t="shared" si="0"/>
        <v>39089</v>
      </c>
      <c r="B4" s="4">
        <v>733049</v>
      </c>
      <c r="C4" t="s">
        <v>14</v>
      </c>
      <c r="D4" t="s">
        <v>90</v>
      </c>
      <c r="E4">
        <v>400</v>
      </c>
    </row>
    <row r="5" spans="1:6">
      <c r="A5" s="1">
        <f t="shared" si="0"/>
        <v>39091</v>
      </c>
      <c r="B5" s="4">
        <v>733051</v>
      </c>
      <c r="C5" t="s">
        <v>11</v>
      </c>
      <c r="D5" t="s">
        <v>90</v>
      </c>
      <c r="E5">
        <v>410</v>
      </c>
    </row>
    <row r="6" spans="1:6">
      <c r="A6" s="1">
        <f t="shared" si="0"/>
        <v>39627</v>
      </c>
      <c r="B6" s="4">
        <v>733587</v>
      </c>
      <c r="C6" t="s">
        <v>8</v>
      </c>
      <c r="D6" t="s">
        <v>90</v>
      </c>
      <c r="E6">
        <v>410</v>
      </c>
    </row>
    <row r="7" spans="1:6">
      <c r="A7" s="1">
        <f t="shared" si="0"/>
        <v>39982</v>
      </c>
      <c r="B7" s="4">
        <v>733942</v>
      </c>
      <c r="C7" t="s">
        <v>96</v>
      </c>
      <c r="D7" t="s">
        <v>90</v>
      </c>
      <c r="E7">
        <v>410</v>
      </c>
    </row>
    <row r="8" spans="1:6">
      <c r="A8" s="1">
        <f t="shared" si="0"/>
        <v>40019</v>
      </c>
      <c r="B8" s="4">
        <v>733979</v>
      </c>
      <c r="C8" t="s">
        <v>10</v>
      </c>
      <c r="D8" t="s">
        <v>90</v>
      </c>
      <c r="E8">
        <v>410</v>
      </c>
    </row>
    <row r="9" spans="1:6">
      <c r="A9" s="2">
        <f t="shared" si="0"/>
        <v>40045</v>
      </c>
      <c r="B9" s="4">
        <v>734005</v>
      </c>
      <c r="C9" t="s">
        <v>89</v>
      </c>
      <c r="D9" t="s">
        <v>9</v>
      </c>
      <c r="E9">
        <v>485</v>
      </c>
    </row>
    <row r="10" spans="1:6">
      <c r="A10" s="2">
        <f t="shared" si="0"/>
        <v>40061</v>
      </c>
      <c r="B10" s="4">
        <v>734021</v>
      </c>
      <c r="C10" t="s">
        <v>95</v>
      </c>
      <c r="D10" t="s">
        <v>12</v>
      </c>
      <c r="E10">
        <v>335</v>
      </c>
    </row>
    <row r="11" spans="1:6">
      <c r="A11" s="2">
        <f t="shared" si="0"/>
        <v>40081</v>
      </c>
      <c r="B11">
        <v>734041</v>
      </c>
      <c r="C11" t="s">
        <v>87</v>
      </c>
      <c r="D11" t="s">
        <v>12</v>
      </c>
      <c r="E11">
        <v>335</v>
      </c>
    </row>
    <row r="12" spans="1:6">
      <c r="A12" s="2">
        <f t="shared" si="0"/>
        <v>40179</v>
      </c>
      <c r="B12">
        <v>734139</v>
      </c>
      <c r="C12" t="s">
        <v>88</v>
      </c>
      <c r="D12" t="s">
        <v>12</v>
      </c>
      <c r="E12">
        <v>335</v>
      </c>
    </row>
    <row r="13" spans="1:6">
      <c r="A13" s="2">
        <f t="shared" si="0"/>
        <v>40239</v>
      </c>
      <c r="B13">
        <v>734199</v>
      </c>
      <c r="C13" t="s">
        <v>86</v>
      </c>
      <c r="D13" t="s">
        <v>12</v>
      </c>
      <c r="E13">
        <v>335</v>
      </c>
    </row>
    <row r="14" spans="1:6">
      <c r="A14" s="2">
        <f t="shared" si="0"/>
        <v>40256</v>
      </c>
      <c r="B14">
        <v>734216</v>
      </c>
      <c r="C14" t="s">
        <v>94</v>
      </c>
      <c r="D14" t="s">
        <v>12</v>
      </c>
      <c r="E14">
        <v>335</v>
      </c>
    </row>
    <row r="15" spans="1:6">
      <c r="A15" s="2">
        <f t="shared" si="0"/>
        <v>40290</v>
      </c>
      <c r="B15">
        <v>734250</v>
      </c>
      <c r="C15" t="s">
        <v>85</v>
      </c>
      <c r="D15" t="s">
        <v>12</v>
      </c>
      <c r="E15">
        <v>335</v>
      </c>
      <c r="F15" t="s">
        <v>112</v>
      </c>
    </row>
    <row r="16" spans="1:6">
      <c r="A16" s="2">
        <f t="shared" si="0"/>
        <v>40445</v>
      </c>
      <c r="B16">
        <v>734405</v>
      </c>
      <c r="C16" t="s">
        <v>84</v>
      </c>
      <c r="D16" t="s">
        <v>91</v>
      </c>
      <c r="E16">
        <v>335</v>
      </c>
    </row>
    <row r="17" spans="1:6">
      <c r="A17" s="2">
        <f>+B17-693960</f>
        <v>40512</v>
      </c>
      <c r="B17">
        <v>734472</v>
      </c>
      <c r="C17" t="s">
        <v>141</v>
      </c>
      <c r="D17" t="s">
        <v>91</v>
      </c>
      <c r="E17">
        <v>335</v>
      </c>
    </row>
    <row r="18" spans="1:6">
      <c r="A18" s="2">
        <f t="shared" si="0"/>
        <v>40702</v>
      </c>
      <c r="B18">
        <v>734662</v>
      </c>
      <c r="C18" s="6" t="s">
        <v>83</v>
      </c>
      <c r="D18" t="s">
        <v>91</v>
      </c>
      <c r="E18">
        <v>335</v>
      </c>
    </row>
    <row r="19" spans="1:6">
      <c r="A19" s="2">
        <f t="shared" si="0"/>
        <v>40742</v>
      </c>
      <c r="B19">
        <v>734702</v>
      </c>
      <c r="C19" t="s">
        <v>135</v>
      </c>
      <c r="D19" t="s">
        <v>136</v>
      </c>
      <c r="E19">
        <v>335</v>
      </c>
    </row>
    <row r="20" spans="1:6">
      <c r="A20" s="2">
        <f t="shared" si="0"/>
        <v>40759</v>
      </c>
      <c r="B20" s="5">
        <v>734719</v>
      </c>
      <c r="C20" t="s">
        <v>101</v>
      </c>
      <c r="D20" t="s">
        <v>100</v>
      </c>
      <c r="E20">
        <v>335</v>
      </c>
    </row>
    <row r="21" spans="1:6">
      <c r="A21" s="2">
        <f t="shared" si="0"/>
        <v>40854</v>
      </c>
      <c r="B21" s="5">
        <v>734814</v>
      </c>
      <c r="C21" t="s">
        <v>88</v>
      </c>
      <c r="D21" t="s">
        <v>100</v>
      </c>
      <c r="E21">
        <v>335</v>
      </c>
    </row>
    <row r="22" spans="1:6">
      <c r="A22" s="2">
        <f t="shared" si="0"/>
        <v>40940</v>
      </c>
      <c r="B22" s="5">
        <v>734900</v>
      </c>
      <c r="C22" t="s">
        <v>125</v>
      </c>
      <c r="D22" t="s">
        <v>124</v>
      </c>
      <c r="E22">
        <v>335</v>
      </c>
    </row>
    <row r="23" spans="1:6">
      <c r="A23" s="2">
        <f t="shared" si="0"/>
        <v>40975</v>
      </c>
      <c r="B23">
        <v>734935</v>
      </c>
      <c r="C23" t="s">
        <v>126</v>
      </c>
      <c r="D23" t="s">
        <v>124</v>
      </c>
      <c r="E23">
        <v>335</v>
      </c>
    </row>
    <row r="24" spans="1:6">
      <c r="A24" s="2">
        <f t="shared" si="0"/>
        <v>40992</v>
      </c>
      <c r="B24">
        <v>734952</v>
      </c>
      <c r="C24" t="s">
        <v>130</v>
      </c>
      <c r="D24" t="s">
        <v>139</v>
      </c>
      <c r="E24">
        <v>345</v>
      </c>
    </row>
    <row r="25" spans="1:6">
      <c r="A25" s="2">
        <f t="shared" si="0"/>
        <v>41057</v>
      </c>
      <c r="B25" s="8">
        <v>735017</v>
      </c>
      <c r="C25" t="s">
        <v>88</v>
      </c>
      <c r="D25" t="s">
        <v>139</v>
      </c>
      <c r="E25">
        <v>345</v>
      </c>
    </row>
    <row r="26" spans="1:6">
      <c r="A26" s="2">
        <f t="shared" si="0"/>
        <v>41075</v>
      </c>
      <c r="B26">
        <v>735035</v>
      </c>
      <c r="C26" t="s">
        <v>137</v>
      </c>
      <c r="D26" t="s">
        <v>139</v>
      </c>
      <c r="E26">
        <v>345</v>
      </c>
    </row>
    <row r="27" spans="1:6">
      <c r="A27" s="2">
        <f t="shared" si="0"/>
        <v>41097</v>
      </c>
      <c r="B27">
        <v>735057</v>
      </c>
      <c r="C27" t="s">
        <v>138</v>
      </c>
      <c r="D27" t="s">
        <v>139</v>
      </c>
      <c r="E27">
        <v>345</v>
      </c>
      <c r="F27" t="s">
        <v>140</v>
      </c>
    </row>
    <row r="28" spans="1:6">
      <c r="A28" s="2">
        <f t="shared" si="0"/>
        <v>41172</v>
      </c>
      <c r="B28">
        <v>735132</v>
      </c>
      <c r="C28" t="s">
        <v>143</v>
      </c>
      <c r="D28" t="s">
        <v>139</v>
      </c>
      <c r="E28">
        <v>345</v>
      </c>
    </row>
    <row r="29" spans="1:6">
      <c r="A29" s="2">
        <f t="shared" si="0"/>
        <v>41205</v>
      </c>
      <c r="B29">
        <v>735165</v>
      </c>
      <c r="C29" t="s">
        <v>144</v>
      </c>
      <c r="D29" t="s">
        <v>139</v>
      </c>
      <c r="E29">
        <v>345</v>
      </c>
    </row>
    <row r="30" spans="1:6">
      <c r="A30" s="2">
        <f t="shared" ref="A30:A35" si="1">+B30-693960</f>
        <v>41213</v>
      </c>
      <c r="B30" s="13">
        <v>735173</v>
      </c>
      <c r="C30" t="s">
        <v>145</v>
      </c>
      <c r="D30" t="s">
        <v>139</v>
      </c>
      <c r="E30">
        <v>345</v>
      </c>
    </row>
    <row r="31" spans="1:6">
      <c r="A31" s="2">
        <f t="shared" si="1"/>
        <v>41228</v>
      </c>
      <c r="B31">
        <v>735188</v>
      </c>
      <c r="C31" t="s">
        <v>137</v>
      </c>
      <c r="D31" t="s">
        <v>139</v>
      </c>
      <c r="E31">
        <v>345</v>
      </c>
    </row>
    <row r="32" spans="1:6">
      <c r="A32" s="2">
        <f t="shared" si="1"/>
        <v>41253</v>
      </c>
      <c r="B32">
        <v>735213</v>
      </c>
      <c r="C32" t="s">
        <v>137</v>
      </c>
      <c r="D32" t="s">
        <v>151</v>
      </c>
      <c r="E32">
        <v>350</v>
      </c>
    </row>
    <row r="33" spans="1:5">
      <c r="A33" s="2">
        <f t="shared" si="1"/>
        <v>41340</v>
      </c>
      <c r="B33">
        <v>735300</v>
      </c>
      <c r="C33" t="s">
        <v>157</v>
      </c>
      <c r="D33" t="s">
        <v>160</v>
      </c>
      <c r="E33">
        <v>383</v>
      </c>
    </row>
    <row r="34" spans="1:5">
      <c r="A34" s="2">
        <f t="shared" si="1"/>
        <v>41428</v>
      </c>
      <c r="B34" s="13">
        <v>735388</v>
      </c>
      <c r="C34" t="s">
        <v>161</v>
      </c>
      <c r="D34" t="s">
        <v>160</v>
      </c>
      <c r="E34">
        <v>383</v>
      </c>
    </row>
    <row r="35" spans="1:5">
      <c r="A35" s="2">
        <f t="shared" si="1"/>
        <v>41450</v>
      </c>
      <c r="B35" s="13">
        <v>735410</v>
      </c>
      <c r="C35" t="s">
        <v>162</v>
      </c>
      <c r="D35" t="s">
        <v>163</v>
      </c>
      <c r="E35">
        <v>383</v>
      </c>
    </row>
    <row r="36" spans="1:5">
      <c r="A36" s="2">
        <f t="shared" ref="A36:A42" si="2">+B36-693960</f>
        <v>41506</v>
      </c>
      <c r="B36" s="13">
        <v>735466</v>
      </c>
      <c r="C36" t="s">
        <v>164</v>
      </c>
      <c r="D36" t="s">
        <v>163</v>
      </c>
      <c r="E36">
        <v>315</v>
      </c>
    </row>
    <row r="37" spans="1:5">
      <c r="A37" s="2">
        <f t="shared" si="2"/>
        <v>41556</v>
      </c>
      <c r="B37" s="13">
        <v>735516</v>
      </c>
      <c r="C37" t="s">
        <v>166</v>
      </c>
      <c r="D37" t="s">
        <v>165</v>
      </c>
      <c r="E37">
        <v>325</v>
      </c>
    </row>
    <row r="38" spans="1:5">
      <c r="A38" s="2">
        <f t="shared" si="2"/>
        <v>41576</v>
      </c>
      <c r="B38" s="13">
        <v>735536</v>
      </c>
      <c r="C38" t="s">
        <v>138</v>
      </c>
      <c r="D38" t="s">
        <v>165</v>
      </c>
      <c r="E38">
        <v>325</v>
      </c>
    </row>
    <row r="39" spans="1:5">
      <c r="A39" s="2">
        <f t="shared" si="2"/>
        <v>41627</v>
      </c>
      <c r="B39" s="13">
        <v>735587</v>
      </c>
      <c r="C39" t="s">
        <v>187</v>
      </c>
      <c r="D39" t="s">
        <v>165</v>
      </c>
      <c r="E39">
        <v>335</v>
      </c>
    </row>
    <row r="40" spans="1:5">
      <c r="A40" s="2">
        <f t="shared" si="2"/>
        <v>41634</v>
      </c>
      <c r="B40" s="13">
        <v>735594</v>
      </c>
      <c r="C40" t="s">
        <v>190</v>
      </c>
      <c r="D40" t="s">
        <v>165</v>
      </c>
      <c r="E40">
        <v>325</v>
      </c>
    </row>
    <row r="41" spans="1:5">
      <c r="A41" s="2">
        <f>+B41-693960</f>
        <v>41650</v>
      </c>
      <c r="B41" s="13">
        <v>735610</v>
      </c>
      <c r="C41" t="s">
        <v>194</v>
      </c>
      <c r="D41" t="s">
        <v>165</v>
      </c>
      <c r="E41">
        <v>325</v>
      </c>
    </row>
    <row r="42" spans="1:5">
      <c r="A42" s="2">
        <f t="shared" si="2"/>
        <v>41682</v>
      </c>
      <c r="B42" s="13">
        <v>735642</v>
      </c>
      <c r="C42" t="s">
        <v>144</v>
      </c>
      <c r="D42" t="s">
        <v>193</v>
      </c>
      <c r="E42">
        <v>325</v>
      </c>
    </row>
    <row r="43" spans="1:5">
      <c r="A43" s="2">
        <f t="shared" ref="A43:A49" si="3">+B43-693960</f>
        <v>41710</v>
      </c>
      <c r="B43" s="13">
        <v>735670</v>
      </c>
      <c r="C43" t="s">
        <v>195</v>
      </c>
      <c r="D43" t="s">
        <v>193</v>
      </c>
      <c r="E43">
        <v>320</v>
      </c>
    </row>
    <row r="44" spans="1:5">
      <c r="A44" s="2">
        <f t="shared" si="3"/>
        <v>41753</v>
      </c>
      <c r="B44" s="8">
        <v>735713</v>
      </c>
      <c r="C44" t="s">
        <v>88</v>
      </c>
      <c r="D44" t="s">
        <v>193</v>
      </c>
      <c r="E44">
        <v>320</v>
      </c>
    </row>
    <row r="45" spans="1:5">
      <c r="A45" s="37">
        <f t="shared" si="3"/>
        <v>41974</v>
      </c>
      <c r="B45" s="36">
        <v>735934</v>
      </c>
      <c r="C45" t="s">
        <v>209</v>
      </c>
      <c r="D45" t="s">
        <v>193</v>
      </c>
      <c r="E45">
        <v>320</v>
      </c>
    </row>
    <row r="46" spans="1:5">
      <c r="A46" s="37">
        <f t="shared" si="3"/>
        <v>41997</v>
      </c>
      <c r="B46" s="36">
        <v>735957</v>
      </c>
      <c r="C46" t="s">
        <v>210</v>
      </c>
      <c r="D46" t="s">
        <v>193</v>
      </c>
      <c r="E46">
        <v>348</v>
      </c>
    </row>
    <row r="47" spans="1:5">
      <c r="A47" s="2">
        <f t="shared" si="3"/>
        <v>42028</v>
      </c>
      <c r="B47" s="36">
        <v>735988</v>
      </c>
      <c r="C47" t="s">
        <v>144</v>
      </c>
      <c r="D47" t="s">
        <v>311</v>
      </c>
      <c r="E47">
        <v>390</v>
      </c>
    </row>
    <row r="48" spans="1:5">
      <c r="A48" s="2">
        <f t="shared" si="3"/>
        <v>42085</v>
      </c>
      <c r="B48" s="36">
        <v>736045</v>
      </c>
      <c r="C48" t="s">
        <v>319</v>
      </c>
      <c r="D48" t="s">
        <v>311</v>
      </c>
      <c r="E48">
        <v>390</v>
      </c>
    </row>
    <row r="49" spans="1:5">
      <c r="A49" s="2">
        <f t="shared" si="3"/>
        <v>42104</v>
      </c>
      <c r="B49" s="36">
        <v>736064</v>
      </c>
      <c r="C49" t="s">
        <v>316</v>
      </c>
      <c r="D49" t="s">
        <v>311</v>
      </c>
      <c r="E49">
        <v>390</v>
      </c>
    </row>
  </sheetData>
  <phoneticPr fontId="0" type="noConversion"/>
  <pageMargins left="0.7" right="0.7" top="0.75" bottom="0.75" header="0.3" footer="0.3"/>
  <pageSetup paperSize="9" orientation="portrait"/>
  <customProperties>
    <customPr name="DVSECTIONID" r:id="rId1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 enableFormatConditionsCalculation="0"/>
  <dimension ref="A1:E117"/>
  <sheetViews>
    <sheetView topLeftCell="A101" workbookViewId="0">
      <selection activeCell="B118" sqref="B118"/>
    </sheetView>
  </sheetViews>
  <sheetFormatPr baseColWidth="10" defaultRowHeight="14" x14ac:dyDescent="0"/>
  <cols>
    <col min="1" max="1" width="12.1640625" style="11" customWidth="1"/>
    <col min="2" max="2" width="43" style="11" customWidth="1"/>
    <col min="3" max="3" width="10.83203125" customWidth="1"/>
    <col min="4" max="4" width="16.5" customWidth="1"/>
    <col min="5" max="5" width="18" customWidth="1"/>
  </cols>
  <sheetData>
    <row r="1" spans="1:5">
      <c r="A1" s="10">
        <v>38245</v>
      </c>
      <c r="B1" s="11" t="s">
        <v>201</v>
      </c>
    </row>
    <row r="2" spans="1:5">
      <c r="A2" s="10">
        <v>38341</v>
      </c>
      <c r="B2" s="11" t="s">
        <v>203</v>
      </c>
    </row>
    <row r="3" spans="1:5">
      <c r="A3" s="10">
        <v>39275</v>
      </c>
      <c r="B3" s="11" t="s">
        <v>19</v>
      </c>
    </row>
    <row r="4" spans="1:5">
      <c r="A4" s="10">
        <v>39285</v>
      </c>
      <c r="B4" s="11" t="s">
        <v>15</v>
      </c>
    </row>
    <row r="5" spans="1:5">
      <c r="A5" s="10">
        <v>39385</v>
      </c>
      <c r="B5" s="11" t="s">
        <v>16</v>
      </c>
    </row>
    <row r="6" spans="1:5">
      <c r="A6" s="10">
        <v>39356</v>
      </c>
      <c r="B6" s="11" t="s">
        <v>17</v>
      </c>
    </row>
    <row r="7" spans="1:5">
      <c r="A7" s="10">
        <v>39428</v>
      </c>
      <c r="B7" s="11" t="s">
        <v>18</v>
      </c>
    </row>
    <row r="8" spans="1:5">
      <c r="A8" s="10">
        <v>40198</v>
      </c>
      <c r="B8" s="11" t="s">
        <v>114</v>
      </c>
      <c r="C8" t="s">
        <v>268</v>
      </c>
      <c r="D8" t="s">
        <v>270</v>
      </c>
      <c r="E8" t="s">
        <v>269</v>
      </c>
    </row>
    <row r="9" spans="1:5">
      <c r="A9" s="10">
        <v>40228</v>
      </c>
      <c r="B9" s="11" t="s">
        <v>114</v>
      </c>
      <c r="C9" t="s">
        <v>116</v>
      </c>
    </row>
    <row r="10" spans="1:5">
      <c r="A10" s="10">
        <v>40336</v>
      </c>
      <c r="B10" s="11" t="s">
        <v>114</v>
      </c>
      <c r="C10" t="s">
        <v>115</v>
      </c>
    </row>
    <row r="11" spans="1:5" ht="28">
      <c r="A11" s="10">
        <v>40342</v>
      </c>
      <c r="B11" s="11" t="s">
        <v>148</v>
      </c>
      <c r="C11" t="s">
        <v>271</v>
      </c>
    </row>
    <row r="12" spans="1:5" ht="28">
      <c r="A12" s="10">
        <v>40515</v>
      </c>
      <c r="B12" s="6" t="s">
        <v>20</v>
      </c>
    </row>
    <row r="13" spans="1:5" ht="28">
      <c r="A13" s="10">
        <v>40584</v>
      </c>
      <c r="B13" s="6" t="s">
        <v>111</v>
      </c>
      <c r="C13" t="s">
        <v>110</v>
      </c>
    </row>
    <row r="14" spans="1:5" ht="42" customHeight="1">
      <c r="A14" s="10">
        <v>40608</v>
      </c>
      <c r="B14" s="6" t="s">
        <v>113</v>
      </c>
      <c r="C14" t="s">
        <v>22</v>
      </c>
    </row>
    <row r="15" spans="1:5" ht="42" customHeight="1">
      <c r="A15" s="10">
        <v>40609</v>
      </c>
      <c r="B15" s="6" t="s">
        <v>21</v>
      </c>
      <c r="C15" t="s">
        <v>23</v>
      </c>
    </row>
    <row r="16" spans="1:5" ht="20" customHeight="1">
      <c r="A16" s="10">
        <v>40616</v>
      </c>
      <c r="B16" s="6" t="s">
        <v>24</v>
      </c>
      <c r="C16" t="s">
        <v>25</v>
      </c>
    </row>
    <row r="17" spans="1:5" ht="21.75" customHeight="1">
      <c r="A17" s="10">
        <v>40617</v>
      </c>
      <c r="B17" s="6" t="s">
        <v>24</v>
      </c>
      <c r="C17" t="s">
        <v>26</v>
      </c>
    </row>
    <row r="18" spans="1:5" ht="29.25" customHeight="1">
      <c r="A18" s="10">
        <v>40618</v>
      </c>
      <c r="B18" s="6" t="s">
        <v>27</v>
      </c>
      <c r="C18" t="s">
        <v>28</v>
      </c>
    </row>
    <row r="19" spans="1:5" ht="28">
      <c r="A19" s="10">
        <v>40638</v>
      </c>
      <c r="B19" s="6" t="s">
        <v>30</v>
      </c>
      <c r="C19" t="s">
        <v>29</v>
      </c>
    </row>
    <row r="20" spans="1:5">
      <c r="A20" s="10">
        <v>40651</v>
      </c>
      <c r="B20" s="6" t="s">
        <v>33</v>
      </c>
    </row>
    <row r="21" spans="1:5" ht="70">
      <c r="A21" s="10">
        <v>40664</v>
      </c>
      <c r="B21" s="6" t="s">
        <v>149</v>
      </c>
      <c r="C21" t="s">
        <v>31</v>
      </c>
    </row>
    <row r="22" spans="1:5" ht="28">
      <c r="A22" s="10">
        <v>40674</v>
      </c>
      <c r="B22" s="6" t="s">
        <v>32</v>
      </c>
    </row>
    <row r="23" spans="1:5" ht="28">
      <c r="A23" s="10">
        <v>40701</v>
      </c>
      <c r="B23" s="6" t="s">
        <v>34</v>
      </c>
      <c r="C23" t="s">
        <v>35</v>
      </c>
    </row>
    <row r="24" spans="1:5">
      <c r="A24" s="10">
        <v>40702</v>
      </c>
      <c r="B24" s="6" t="s">
        <v>36</v>
      </c>
    </row>
    <row r="25" spans="1:5">
      <c r="A25" s="10">
        <v>40711</v>
      </c>
      <c r="B25" s="6" t="s">
        <v>97</v>
      </c>
      <c r="C25" t="s">
        <v>98</v>
      </c>
    </row>
    <row r="26" spans="1:5" ht="28">
      <c r="A26" s="10">
        <v>40759</v>
      </c>
      <c r="B26" s="6" t="s">
        <v>102</v>
      </c>
    </row>
    <row r="27" spans="1:5">
      <c r="A27" s="10">
        <v>40813</v>
      </c>
      <c r="B27" s="6" t="s">
        <v>105</v>
      </c>
      <c r="C27" t="s">
        <v>107</v>
      </c>
    </row>
    <row r="28" spans="1:5">
      <c r="A28" s="10">
        <v>40814</v>
      </c>
      <c r="B28" s="6" t="s">
        <v>105</v>
      </c>
      <c r="C28" t="s">
        <v>106</v>
      </c>
    </row>
    <row r="29" spans="1:5" ht="28">
      <c r="A29" s="10">
        <v>40816</v>
      </c>
      <c r="B29" s="6" t="s">
        <v>103</v>
      </c>
      <c r="C29" t="s">
        <v>104</v>
      </c>
    </row>
    <row r="30" spans="1:5">
      <c r="A30" s="10">
        <v>40819</v>
      </c>
      <c r="B30" s="6" t="s">
        <v>108</v>
      </c>
      <c r="C30" t="s">
        <v>109</v>
      </c>
    </row>
    <row r="31" spans="1:5">
      <c r="A31" s="10">
        <v>40812</v>
      </c>
      <c r="B31" s="6" t="s">
        <v>272</v>
      </c>
      <c r="C31" t="s">
        <v>280</v>
      </c>
      <c r="D31" t="s">
        <v>281</v>
      </c>
      <c r="E31" t="s">
        <v>282</v>
      </c>
    </row>
    <row r="32" spans="1:5">
      <c r="A32" s="10">
        <v>40813</v>
      </c>
      <c r="B32" s="6" t="s">
        <v>272</v>
      </c>
      <c r="C32" t="s">
        <v>107</v>
      </c>
      <c r="D32" t="s">
        <v>283</v>
      </c>
      <c r="E32" t="s">
        <v>284</v>
      </c>
    </row>
    <row r="33" spans="1:5">
      <c r="A33" s="10">
        <v>40814</v>
      </c>
      <c r="B33" s="6" t="s">
        <v>272</v>
      </c>
      <c r="C33" t="s">
        <v>106</v>
      </c>
      <c r="D33" t="s">
        <v>285</v>
      </c>
      <c r="E33" t="s">
        <v>286</v>
      </c>
    </row>
    <row r="34" spans="1:5">
      <c r="A34" s="10">
        <v>40816</v>
      </c>
      <c r="B34" s="6" t="s">
        <v>272</v>
      </c>
      <c r="C34" t="s">
        <v>104</v>
      </c>
      <c r="D34" t="s">
        <v>287</v>
      </c>
      <c r="E34" t="s">
        <v>288</v>
      </c>
    </row>
    <row r="35" spans="1:5">
      <c r="A35" s="10">
        <v>40819</v>
      </c>
      <c r="B35" s="6" t="s">
        <v>272</v>
      </c>
      <c r="C35" t="s">
        <v>109</v>
      </c>
      <c r="D35" t="s">
        <v>289</v>
      </c>
      <c r="E35" t="s">
        <v>290</v>
      </c>
    </row>
    <row r="36" spans="1:5">
      <c r="A36" s="10">
        <v>40822</v>
      </c>
      <c r="B36" s="6" t="s">
        <v>272</v>
      </c>
      <c r="C36" t="s">
        <v>273</v>
      </c>
      <c r="D36" t="s">
        <v>291</v>
      </c>
      <c r="E36" t="s">
        <v>292</v>
      </c>
    </row>
    <row r="37" spans="1:5">
      <c r="A37" s="10">
        <v>40823</v>
      </c>
      <c r="B37" s="6" t="s">
        <v>272</v>
      </c>
      <c r="C37" t="s">
        <v>293</v>
      </c>
      <c r="D37" t="s">
        <v>294</v>
      </c>
      <c r="E37" t="s">
        <v>295</v>
      </c>
    </row>
    <row r="38" spans="1:5">
      <c r="A38" s="10">
        <v>40824</v>
      </c>
      <c r="B38" s="6" t="s">
        <v>272</v>
      </c>
      <c r="C38" t="s">
        <v>296</v>
      </c>
      <c r="D38" t="s">
        <v>297</v>
      </c>
      <c r="E38" t="s">
        <v>298</v>
      </c>
    </row>
    <row r="39" spans="1:5">
      <c r="A39" s="10">
        <v>40825</v>
      </c>
      <c r="B39" s="6" t="s">
        <v>272</v>
      </c>
      <c r="C39" t="s">
        <v>276</v>
      </c>
      <c r="D39" t="s">
        <v>274</v>
      </c>
      <c r="E39" t="s">
        <v>275</v>
      </c>
    </row>
    <row r="40" spans="1:5">
      <c r="A40" s="10">
        <v>40825</v>
      </c>
      <c r="B40" s="6" t="s">
        <v>272</v>
      </c>
      <c r="C40" t="s">
        <v>277</v>
      </c>
      <c r="D40" t="s">
        <v>279</v>
      </c>
      <c r="E40" t="s">
        <v>278</v>
      </c>
    </row>
    <row r="41" spans="1:5">
      <c r="A41" s="10">
        <v>40854</v>
      </c>
      <c r="B41" s="6" t="s">
        <v>118</v>
      </c>
    </row>
    <row r="42" spans="1:5">
      <c r="A42" s="10">
        <v>40870</v>
      </c>
      <c r="B42" s="11" t="s">
        <v>119</v>
      </c>
    </row>
    <row r="43" spans="1:5" ht="28">
      <c r="A43" s="10">
        <v>40892</v>
      </c>
      <c r="B43" s="11" t="s">
        <v>120</v>
      </c>
    </row>
    <row r="44" spans="1:5">
      <c r="A44" s="10">
        <v>40925</v>
      </c>
      <c r="B44" s="11" t="s">
        <v>121</v>
      </c>
    </row>
    <row r="45" spans="1:5" ht="28">
      <c r="A45" s="10">
        <v>40932</v>
      </c>
      <c r="B45" s="11" t="s">
        <v>122</v>
      </c>
    </row>
    <row r="46" spans="1:5" ht="28">
      <c r="A46" s="10">
        <v>40934</v>
      </c>
      <c r="B46" s="6" t="s">
        <v>225</v>
      </c>
      <c r="C46" t="s">
        <v>117</v>
      </c>
    </row>
    <row r="47" spans="1:5" ht="42">
      <c r="A47" s="10">
        <v>40940</v>
      </c>
      <c r="B47" s="11" t="s">
        <v>123</v>
      </c>
    </row>
    <row r="48" spans="1:5">
      <c r="A48" s="10">
        <v>40975</v>
      </c>
      <c r="B48" s="38" t="s">
        <v>127</v>
      </c>
    </row>
    <row r="49" spans="1:5" ht="28">
      <c r="A49" s="10">
        <v>40982</v>
      </c>
      <c r="B49" s="11" t="s">
        <v>128</v>
      </c>
    </row>
    <row r="50" spans="1:5">
      <c r="A50" s="10">
        <v>40992</v>
      </c>
      <c r="B50" s="38" t="s">
        <v>129</v>
      </c>
    </row>
    <row r="51" spans="1:5" ht="28">
      <c r="A51" s="10">
        <v>41029</v>
      </c>
      <c r="B51" s="6" t="s">
        <v>131</v>
      </c>
      <c r="C51" t="s">
        <v>132</v>
      </c>
      <c r="D51" t="s">
        <v>264</v>
      </c>
      <c r="E51" t="s">
        <v>265</v>
      </c>
    </row>
    <row r="52" spans="1:5" ht="28">
      <c r="A52" s="10">
        <v>41030</v>
      </c>
      <c r="B52" s="6" t="s">
        <v>134</v>
      </c>
      <c r="C52" t="s">
        <v>133</v>
      </c>
      <c r="D52" t="s">
        <v>266</v>
      </c>
      <c r="E52" t="s">
        <v>267</v>
      </c>
    </row>
    <row r="53" spans="1:5">
      <c r="A53" s="10">
        <v>41057</v>
      </c>
      <c r="B53" s="38" t="s">
        <v>170</v>
      </c>
    </row>
    <row r="54" spans="1:5">
      <c r="A54" s="10">
        <v>41075</v>
      </c>
      <c r="B54" s="38" t="s">
        <v>171</v>
      </c>
    </row>
    <row r="55" spans="1:5">
      <c r="A55" s="10">
        <v>41097</v>
      </c>
      <c r="B55" s="38" t="s">
        <v>172</v>
      </c>
    </row>
    <row r="56" spans="1:5" ht="17.25" customHeight="1">
      <c r="A56" s="10">
        <v>41135</v>
      </c>
      <c r="B56" s="11" t="s">
        <v>142</v>
      </c>
    </row>
    <row r="57" spans="1:5">
      <c r="A57" s="10">
        <v>41142</v>
      </c>
      <c r="B57" s="11" t="s">
        <v>142</v>
      </c>
    </row>
    <row r="58" spans="1:5">
      <c r="A58" s="10">
        <v>41172</v>
      </c>
      <c r="B58" s="11" t="s">
        <v>121</v>
      </c>
    </row>
    <row r="59" spans="1:5">
      <c r="A59" s="12">
        <v>41205</v>
      </c>
      <c r="B59" s="38" t="s">
        <v>147</v>
      </c>
    </row>
    <row r="60" spans="1:5" s="14" customFormat="1">
      <c r="A60" s="15">
        <v>41213</v>
      </c>
      <c r="B60" s="11" t="s">
        <v>146</v>
      </c>
    </row>
    <row r="61" spans="1:5" s="14" customFormat="1">
      <c r="A61" s="15">
        <v>41228</v>
      </c>
      <c r="B61" s="38" t="s">
        <v>171</v>
      </c>
    </row>
    <row r="62" spans="1:5">
      <c r="A62" s="10">
        <v>41253</v>
      </c>
      <c r="B62" s="11" t="s">
        <v>121</v>
      </c>
    </row>
    <row r="63" spans="1:5">
      <c r="A63" s="10">
        <v>41257</v>
      </c>
      <c r="B63" s="11" t="s">
        <v>150</v>
      </c>
    </row>
    <row r="64" spans="1:5">
      <c r="A64" s="10">
        <v>41335</v>
      </c>
      <c r="B64" s="11" t="s">
        <v>152</v>
      </c>
    </row>
    <row r="65" spans="1:5" ht="28">
      <c r="A65" s="10">
        <v>41339</v>
      </c>
      <c r="B65" s="11" t="s">
        <v>154</v>
      </c>
    </row>
    <row r="66" spans="1:5" ht="28">
      <c r="A66" s="10">
        <v>41340</v>
      </c>
      <c r="B66" s="11" t="s">
        <v>153</v>
      </c>
    </row>
    <row r="67" spans="1:5" ht="28">
      <c r="A67" s="10">
        <v>41354</v>
      </c>
      <c r="B67" s="11" t="s">
        <v>156</v>
      </c>
      <c r="C67" t="s">
        <v>155</v>
      </c>
    </row>
    <row r="68" spans="1:5">
      <c r="A68" s="10">
        <v>41372</v>
      </c>
      <c r="B68" s="11" t="s">
        <v>158</v>
      </c>
      <c r="C68" t="s">
        <v>155</v>
      </c>
      <c r="D68" t="s">
        <v>246</v>
      </c>
      <c r="E68" t="s">
        <v>247</v>
      </c>
    </row>
    <row r="69" spans="1:5">
      <c r="A69" s="10">
        <v>41376</v>
      </c>
      <c r="B69" s="11" t="s">
        <v>142</v>
      </c>
    </row>
    <row r="70" spans="1:5">
      <c r="A70" s="10">
        <v>41389</v>
      </c>
      <c r="B70" s="11" t="s">
        <v>159</v>
      </c>
    </row>
    <row r="71" spans="1:5">
      <c r="A71" s="10">
        <v>41428</v>
      </c>
      <c r="B71" s="38" t="s">
        <v>168</v>
      </c>
    </row>
    <row r="72" spans="1:5">
      <c r="A72" s="10">
        <v>41450</v>
      </c>
      <c r="B72" s="38" t="s">
        <v>169</v>
      </c>
    </row>
    <row r="73" spans="1:5">
      <c r="A73" s="21">
        <v>41506</v>
      </c>
      <c r="B73" s="38" t="s">
        <v>167</v>
      </c>
    </row>
    <row r="74" spans="1:5" ht="28">
      <c r="A74" s="10">
        <v>41556</v>
      </c>
      <c r="B74" s="11" t="s">
        <v>173</v>
      </c>
      <c r="C74" t="s">
        <v>175</v>
      </c>
      <c r="D74" t="s">
        <v>242</v>
      </c>
      <c r="E74" t="s">
        <v>243</v>
      </c>
    </row>
    <row r="75" spans="1:5">
      <c r="A75" s="10">
        <v>41557</v>
      </c>
      <c r="B75" s="6" t="s">
        <v>174</v>
      </c>
      <c r="C75" t="s">
        <v>176</v>
      </c>
      <c r="D75" t="s">
        <v>244</v>
      </c>
      <c r="E75" t="s">
        <v>245</v>
      </c>
    </row>
    <row r="76" spans="1:5">
      <c r="A76" s="10">
        <v>41562</v>
      </c>
      <c r="B76" s="6" t="s">
        <v>177</v>
      </c>
    </row>
    <row r="77" spans="1:5">
      <c r="A77" s="10">
        <v>41566</v>
      </c>
      <c r="B77" s="6" t="s">
        <v>178</v>
      </c>
    </row>
    <row r="78" spans="1:5">
      <c r="A78" s="10">
        <v>41576</v>
      </c>
      <c r="B78" s="11" t="s">
        <v>179</v>
      </c>
    </row>
    <row r="79" spans="1:5" ht="28">
      <c r="A79" s="10">
        <v>41616</v>
      </c>
      <c r="B79" s="11" t="s">
        <v>183</v>
      </c>
    </row>
    <row r="80" spans="1:5">
      <c r="A80" s="10">
        <v>41617</v>
      </c>
      <c r="B80" s="11" t="s">
        <v>184</v>
      </c>
    </row>
    <row r="81" spans="1:5">
      <c r="A81" s="10">
        <v>41621</v>
      </c>
      <c r="B81" s="11" t="s">
        <v>185</v>
      </c>
    </row>
    <row r="82" spans="1:5">
      <c r="A82" s="10">
        <v>41627</v>
      </c>
      <c r="B82" s="11" t="s">
        <v>186</v>
      </c>
      <c r="C82" t="s">
        <v>239</v>
      </c>
      <c r="D82" t="s">
        <v>240</v>
      </c>
      <c r="E82" t="s">
        <v>241</v>
      </c>
    </row>
    <row r="83" spans="1:5">
      <c r="A83" s="10">
        <v>41628</v>
      </c>
      <c r="B83" s="11" t="s">
        <v>188</v>
      </c>
    </row>
    <row r="84" spans="1:5" ht="28">
      <c r="A84" s="10">
        <v>41631</v>
      </c>
      <c r="B84" s="11" t="s">
        <v>189</v>
      </c>
    </row>
    <row r="85" spans="1:5" ht="28">
      <c r="A85" s="10">
        <v>41634</v>
      </c>
      <c r="B85" s="11" t="s">
        <v>191</v>
      </c>
    </row>
    <row r="86" spans="1:5">
      <c r="A86" s="10">
        <v>41650</v>
      </c>
      <c r="B86" s="11" t="s">
        <v>192</v>
      </c>
    </row>
    <row r="87" spans="1:5">
      <c r="A87" s="10">
        <v>41682</v>
      </c>
      <c r="B87" s="11" t="s">
        <v>147</v>
      </c>
    </row>
    <row r="88" spans="1:5">
      <c r="A88" s="10">
        <v>41710</v>
      </c>
      <c r="B88" s="11" t="s">
        <v>196</v>
      </c>
      <c r="C88" t="s">
        <v>236</v>
      </c>
      <c r="D88" t="s">
        <v>237</v>
      </c>
      <c r="E88" t="s">
        <v>238</v>
      </c>
    </row>
    <row r="89" spans="1:5">
      <c r="A89" s="10">
        <v>41725</v>
      </c>
      <c r="B89" s="6" t="s">
        <v>197</v>
      </c>
    </row>
    <row r="90" spans="1:5">
      <c r="A90" s="10">
        <v>41729</v>
      </c>
      <c r="B90" s="6" t="s">
        <v>197</v>
      </c>
    </row>
    <row r="91" spans="1:5">
      <c r="A91" s="10">
        <v>41750</v>
      </c>
      <c r="B91" s="6" t="s">
        <v>198</v>
      </c>
    </row>
    <row r="92" spans="1:5">
      <c r="A92" s="10">
        <v>41753</v>
      </c>
      <c r="B92" s="6" t="s">
        <v>199</v>
      </c>
    </row>
    <row r="93" spans="1:5">
      <c r="A93" s="10">
        <v>41926</v>
      </c>
      <c r="B93" s="6" t="s">
        <v>232</v>
      </c>
      <c r="C93" t="s">
        <v>233</v>
      </c>
      <c r="D93" t="s">
        <v>234</v>
      </c>
      <c r="E93" t="s">
        <v>235</v>
      </c>
    </row>
    <row r="94" spans="1:5">
      <c r="A94" s="10">
        <v>41929</v>
      </c>
      <c r="B94" s="6" t="s">
        <v>204</v>
      </c>
    </row>
    <row r="95" spans="1:5">
      <c r="A95" s="10">
        <v>41934</v>
      </c>
      <c r="B95" s="6" t="s">
        <v>205</v>
      </c>
    </row>
    <row r="96" spans="1:5">
      <c r="A96" s="10">
        <v>41961</v>
      </c>
      <c r="B96" s="6" t="s">
        <v>204</v>
      </c>
    </row>
    <row r="97" spans="1:5">
      <c r="A97" s="10">
        <v>41967</v>
      </c>
      <c r="B97" s="6" t="s">
        <v>206</v>
      </c>
      <c r="C97" t="s">
        <v>229</v>
      </c>
      <c r="D97" t="s">
        <v>230</v>
      </c>
      <c r="E97" t="s">
        <v>231</v>
      </c>
    </row>
    <row r="98" spans="1:5">
      <c r="A98" s="10">
        <v>41969</v>
      </c>
      <c r="B98" s="6" t="s">
        <v>204</v>
      </c>
    </row>
    <row r="99" spans="1:5">
      <c r="A99" s="10">
        <v>41974</v>
      </c>
      <c r="B99" s="6" t="s">
        <v>207</v>
      </c>
    </row>
    <row r="100" spans="1:5">
      <c r="A100" s="10">
        <v>41979</v>
      </c>
      <c r="B100" s="6" t="s">
        <v>214</v>
      </c>
      <c r="C100" t="s">
        <v>226</v>
      </c>
      <c r="D100" t="s">
        <v>227</v>
      </c>
      <c r="E100" t="s">
        <v>228</v>
      </c>
    </row>
    <row r="101" spans="1:5">
      <c r="A101" s="10">
        <v>41987</v>
      </c>
      <c r="B101" s="6" t="s">
        <v>214</v>
      </c>
      <c r="C101" t="s">
        <v>211</v>
      </c>
      <c r="D101" t="s">
        <v>213</v>
      </c>
      <c r="E101" t="s">
        <v>212</v>
      </c>
    </row>
    <row r="102" spans="1:5">
      <c r="A102" s="10">
        <v>41990</v>
      </c>
      <c r="B102" s="6" t="s">
        <v>214</v>
      </c>
      <c r="C102" t="s">
        <v>217</v>
      </c>
      <c r="D102" t="s">
        <v>218</v>
      </c>
      <c r="E102" t="s">
        <v>220</v>
      </c>
    </row>
    <row r="103" spans="1:5">
      <c r="A103" s="10">
        <v>41994</v>
      </c>
      <c r="B103" s="6" t="s">
        <v>214</v>
      </c>
      <c r="C103" t="s">
        <v>215</v>
      </c>
      <c r="D103" t="s">
        <v>219</v>
      </c>
      <c r="E103" t="s">
        <v>216</v>
      </c>
    </row>
    <row r="104" spans="1:5">
      <c r="A104" s="10">
        <v>41997</v>
      </c>
      <c r="B104" s="6" t="s">
        <v>222</v>
      </c>
      <c r="C104" t="s">
        <v>221</v>
      </c>
      <c r="D104" t="s">
        <v>223</v>
      </c>
      <c r="E104" t="s">
        <v>224</v>
      </c>
    </row>
    <row r="105" spans="1:5">
      <c r="A105" s="10">
        <v>42004</v>
      </c>
      <c r="B105" s="6" t="s">
        <v>248</v>
      </c>
      <c r="C105" t="s">
        <v>260</v>
      </c>
      <c r="D105" t="s">
        <v>261</v>
      </c>
      <c r="E105" t="s">
        <v>262</v>
      </c>
    </row>
    <row r="106" spans="1:5">
      <c r="A106" s="10">
        <v>42005</v>
      </c>
      <c r="B106" s="6" t="s">
        <v>248</v>
      </c>
      <c r="C106" t="s">
        <v>249</v>
      </c>
      <c r="D106" t="s">
        <v>250</v>
      </c>
      <c r="E106" t="s">
        <v>251</v>
      </c>
    </row>
    <row r="107" spans="1:5">
      <c r="A107" s="10">
        <v>42007</v>
      </c>
      <c r="B107" s="6" t="s">
        <v>248</v>
      </c>
      <c r="C107" t="s">
        <v>252</v>
      </c>
      <c r="D107" t="s">
        <v>253</v>
      </c>
      <c r="E107" t="s">
        <v>254</v>
      </c>
    </row>
    <row r="108" spans="1:5">
      <c r="A108" s="10">
        <v>42008</v>
      </c>
      <c r="B108" s="6" t="s">
        <v>248</v>
      </c>
      <c r="C108" t="s">
        <v>257</v>
      </c>
      <c r="D108" t="s">
        <v>255</v>
      </c>
      <c r="E108" t="s">
        <v>256</v>
      </c>
    </row>
    <row r="109" spans="1:5">
      <c r="A109" s="10">
        <v>42009</v>
      </c>
      <c r="B109" s="6" t="s">
        <v>248</v>
      </c>
      <c r="C109" t="s">
        <v>258</v>
      </c>
      <c r="D109" t="s">
        <v>259</v>
      </c>
      <c r="E109" t="s">
        <v>263</v>
      </c>
    </row>
    <row r="110" spans="1:5">
      <c r="A110" s="10">
        <v>42010</v>
      </c>
      <c r="B110" s="6" t="s">
        <v>248</v>
      </c>
      <c r="C110" t="s">
        <v>299</v>
      </c>
      <c r="D110" t="s">
        <v>300</v>
      </c>
      <c r="E110" t="s">
        <v>301</v>
      </c>
    </row>
    <row r="111" spans="1:5">
      <c r="A111" s="10">
        <v>42012</v>
      </c>
      <c r="B111" s="6" t="s">
        <v>248</v>
      </c>
      <c r="C111" t="s">
        <v>302</v>
      </c>
      <c r="D111" t="s">
        <v>303</v>
      </c>
      <c r="E111" t="s">
        <v>304</v>
      </c>
    </row>
    <row r="112" spans="1:5">
      <c r="A112" s="10">
        <v>42022</v>
      </c>
      <c r="B112" s="6" t="s">
        <v>248</v>
      </c>
      <c r="C112" t="s">
        <v>305</v>
      </c>
      <c r="D112" t="s">
        <v>306</v>
      </c>
      <c r="E112" t="s">
        <v>307</v>
      </c>
    </row>
    <row r="113" spans="1:5">
      <c r="A113" s="10">
        <v>42023</v>
      </c>
      <c r="B113" s="6" t="s">
        <v>248</v>
      </c>
      <c r="C113" t="s">
        <v>308</v>
      </c>
      <c r="D113" t="s">
        <v>310</v>
      </c>
      <c r="E113" t="s">
        <v>309</v>
      </c>
    </row>
    <row r="114" spans="1:5">
      <c r="A114" s="10">
        <v>42028</v>
      </c>
      <c r="B114" s="6" t="s">
        <v>147</v>
      </c>
    </row>
    <row r="115" spans="1:5">
      <c r="A115" s="10">
        <v>41994</v>
      </c>
      <c r="B115" s="6" t="s">
        <v>272</v>
      </c>
      <c r="C115" t="s">
        <v>313</v>
      </c>
      <c r="D115" t="s">
        <v>314</v>
      </c>
      <c r="E115" t="s">
        <v>315</v>
      </c>
    </row>
    <row r="116" spans="1:5">
      <c r="A116" s="10">
        <v>42085</v>
      </c>
      <c r="B116" s="6" t="s">
        <v>318</v>
      </c>
    </row>
    <row r="117" spans="1:5">
      <c r="A117" s="10">
        <v>42104</v>
      </c>
      <c r="B117" s="6" t="s">
        <v>317</v>
      </c>
    </row>
  </sheetData>
  <phoneticPr fontId="0" type="noConversion"/>
  <pageMargins left="0.7" right="0.7" top="0.75" bottom="0.75" header="0.3" footer="0.3"/>
  <pageSetup paperSize="9" orientation="portrait"/>
  <customProperties>
    <customPr name="DVSECTIONID" r:id="rId1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G22" workbookViewId="0">
      <selection activeCell="G34" sqref="G34"/>
    </sheetView>
  </sheetViews>
  <sheetFormatPr baseColWidth="10" defaultRowHeight="14" x14ac:dyDescent="0"/>
  <cols>
    <col min="1" max="2" width="11.5" style="1" customWidth="1"/>
    <col min="3" max="6" width="11.5" style="9" customWidth="1"/>
    <col min="7" max="7" width="22.83203125" customWidth="1"/>
    <col min="8" max="9" width="20.1640625" customWidth="1"/>
    <col min="10" max="10" width="32.1640625" style="22" customWidth="1"/>
  </cols>
  <sheetData>
    <row r="1" spans="1:10">
      <c r="C1" s="9" t="s">
        <v>92</v>
      </c>
      <c r="D1" s="9" t="s">
        <v>180</v>
      </c>
      <c r="E1" t="s">
        <v>93</v>
      </c>
      <c r="F1"/>
      <c r="G1" t="s">
        <v>181</v>
      </c>
      <c r="H1" t="s">
        <v>182</v>
      </c>
    </row>
    <row r="2" spans="1:10">
      <c r="A2" s="2">
        <f>C2-693960</f>
        <v>39000</v>
      </c>
      <c r="C2" s="9">
        <f t="array" ref="C2:C41">TRANSPOSE(icf.183!E2:AS2)</f>
        <v>732960</v>
      </c>
      <c r="D2" s="9">
        <f t="array" ref="D2:D41">TRANSPOSE(icf_a.183!E2:AS2)</f>
        <v>732960</v>
      </c>
      <c r="E2" s="7">
        <f>Eventos.183!B3</f>
        <v>732960</v>
      </c>
      <c r="F2" s="7"/>
      <c r="G2" s="7">
        <f>C2-E2</f>
        <v>0</v>
      </c>
      <c r="H2" s="7">
        <f>D2-E2</f>
        <v>0</v>
      </c>
      <c r="I2" s="7"/>
      <c r="J2" s="23" t="str">
        <f>Eventos.183!C3</f>
        <v>"IOS calibration"</v>
      </c>
    </row>
    <row r="3" spans="1:10">
      <c r="A3" s="2">
        <f t="shared" ref="A3:A41" si="0">C3-693960</f>
        <v>39089</v>
      </c>
      <c r="C3" s="9">
        <v>733049</v>
      </c>
      <c r="D3" s="9">
        <v>733049</v>
      </c>
      <c r="E3" s="7">
        <f>Eventos.183!B4</f>
        <v>733049</v>
      </c>
      <c r="F3" s="7"/>
      <c r="G3" s="7">
        <f t="shared" ref="G3:G41" si="1">C3-E3</f>
        <v>0</v>
      </c>
      <c r="H3" s="7">
        <f t="shared" ref="H3:H41" si="2">D3-E3</f>
        <v>0</v>
      </c>
      <c r="I3" s="7"/>
      <c r="J3" s="23" t="str">
        <f>Eventos.183!C4</f>
        <v>"R6 change"</v>
      </c>
    </row>
    <row r="4" spans="1:10">
      <c r="A4" s="2">
        <f t="shared" si="0"/>
        <v>39091</v>
      </c>
      <c r="C4" s="9">
        <v>733051</v>
      </c>
      <c r="D4" s="9">
        <v>733051</v>
      </c>
      <c r="E4" s="7">
        <f>Eventos.183!B5</f>
        <v>733051</v>
      </c>
      <c r="F4" s="7"/>
      <c r="G4" s="7">
        <f t="shared" si="1"/>
        <v>0</v>
      </c>
      <c r="H4" s="7">
        <f t="shared" si="2"/>
        <v>0</v>
      </c>
      <c r="I4" s="7"/>
      <c r="J4" s="23" t="str">
        <f>Eventos.183!C5</f>
        <v>"IOS calibration"</v>
      </c>
    </row>
    <row r="5" spans="1:10">
      <c r="A5" s="2">
        <f t="shared" si="0"/>
        <v>39627</v>
      </c>
      <c r="C5" s="9">
        <v>733587</v>
      </c>
      <c r="D5" s="9">
        <v>733587</v>
      </c>
      <c r="E5" s="7">
        <f>Eventos.183!B6</f>
        <v>733587</v>
      </c>
      <c r="F5" s="7"/>
      <c r="G5" s="7">
        <f t="shared" si="1"/>
        <v>0</v>
      </c>
      <c r="H5" s="7">
        <f t="shared" si="2"/>
        <v>0</v>
      </c>
      <c r="I5" s="7"/>
      <c r="J5" s="23" t="str">
        <f>Eventos.183!C6</f>
        <v>"inicial 2008"</v>
      </c>
    </row>
    <row r="6" spans="1:10">
      <c r="A6" s="2">
        <f t="shared" si="0"/>
        <v>39982</v>
      </c>
      <c r="C6" s="9">
        <v>733942</v>
      </c>
      <c r="D6" s="9">
        <v>733942</v>
      </c>
      <c r="E6" s="7">
        <f>Eventos.183!B7</f>
        <v>733942</v>
      </c>
      <c r="F6" s="7"/>
      <c r="G6" s="7">
        <f t="shared" si="1"/>
        <v>0</v>
      </c>
      <c r="H6" s="7">
        <f t="shared" si="2"/>
        <v>0</v>
      </c>
      <c r="I6" s="7"/>
      <c r="J6" s="23" t="str">
        <f>Eventos.183!C7</f>
        <v>"AFC"</v>
      </c>
    </row>
    <row r="7" spans="1:10">
      <c r="A7" s="2">
        <f t="shared" si="0"/>
        <v>40019</v>
      </c>
      <c r="C7" s="9">
        <v>733979</v>
      </c>
      <c r="D7" s="9">
        <v>733979</v>
      </c>
      <c r="E7" s="7">
        <f>Eventos.183!B8</f>
        <v>733979</v>
      </c>
      <c r="F7" s="7"/>
      <c r="G7" s="7">
        <f t="shared" si="1"/>
        <v>0</v>
      </c>
      <c r="H7" s="7">
        <f t="shared" si="2"/>
        <v>0</v>
      </c>
      <c r="I7" s="7"/>
      <c r="J7" s="23" t="str">
        <f>Eventos.183!C8</f>
        <v>"noisier R6"</v>
      </c>
    </row>
    <row r="8" spans="1:10">
      <c r="A8" s="2">
        <f t="shared" si="0"/>
        <v>40045</v>
      </c>
      <c r="C8" s="9">
        <v>734005</v>
      </c>
      <c r="D8" s="9">
        <v>734005</v>
      </c>
      <c r="E8" s="7">
        <f>Eventos.183!B9</f>
        <v>734005</v>
      </c>
      <c r="F8" s="7"/>
      <c r="G8" s="7">
        <f t="shared" si="1"/>
        <v>0</v>
      </c>
      <c r="H8" s="7">
        <f t="shared" si="2"/>
        <v>0</v>
      </c>
      <c r="I8" s="7"/>
      <c r="J8" s="23" t="str">
        <f>Eventos.183!C9</f>
        <v>"SL jump. Lab. Etc SUG. New SLref"</v>
      </c>
    </row>
    <row r="9" spans="1:10">
      <c r="A9" s="2">
        <f t="shared" si="0"/>
        <v>40061</v>
      </c>
      <c r="C9" s="9">
        <v>734021</v>
      </c>
      <c r="D9" s="9">
        <v>734021</v>
      </c>
      <c r="E9" s="7">
        <f>Eventos.183!B10</f>
        <v>734021</v>
      </c>
      <c r="F9" s="7"/>
      <c r="G9" s="7">
        <f t="shared" si="1"/>
        <v>0</v>
      </c>
      <c r="H9" s="7">
        <f t="shared" si="2"/>
        <v>0</v>
      </c>
      <c r="I9" s="7"/>
      <c r="J9" s="23" t="str">
        <f>Eventos.183!C10</f>
        <v>"IOS09"</v>
      </c>
    </row>
    <row r="10" spans="1:10">
      <c r="A10" s="2">
        <f t="shared" si="0"/>
        <v>40081</v>
      </c>
      <c r="C10" s="9">
        <v>734041</v>
      </c>
      <c r="D10" s="9">
        <v>734041</v>
      </c>
      <c r="E10" s="7">
        <f>Eventos.183!B11</f>
        <v>734041</v>
      </c>
      <c r="F10" s="7"/>
      <c r="G10" s="7">
        <f t="shared" si="1"/>
        <v>0</v>
      </c>
      <c r="H10" s="7">
        <f t="shared" si="2"/>
        <v>0</v>
      </c>
      <c r="I10" s="7"/>
      <c r="J10" s="23" t="str">
        <f>Eventos.183!C11</f>
        <v>"Chg. Cal?"</v>
      </c>
    </row>
    <row r="11" spans="1:10">
      <c r="A11" s="2">
        <f t="shared" si="0"/>
        <v>40179</v>
      </c>
      <c r="C11" s="9">
        <v>734139</v>
      </c>
      <c r="D11" s="9">
        <v>734139</v>
      </c>
      <c r="E11" s="7">
        <f>Eventos.183!B12</f>
        <v>734139</v>
      </c>
      <c r="F11" s="7"/>
      <c r="G11" s="7">
        <f t="shared" si="1"/>
        <v>0</v>
      </c>
      <c r="H11" s="7">
        <f t="shared" si="2"/>
        <v>0</v>
      </c>
      <c r="I11" s="7"/>
      <c r="J11" s="23" t="str">
        <f>Eventos.183!C12</f>
        <v>"Lab"</v>
      </c>
    </row>
    <row r="12" spans="1:10">
      <c r="A12" s="2">
        <f t="shared" si="0"/>
        <v>40239</v>
      </c>
      <c r="C12" s="9">
        <v>734199</v>
      </c>
      <c r="D12" s="9">
        <v>734199</v>
      </c>
      <c r="E12" s="7">
        <f>Eventos.183!B13</f>
        <v>734199</v>
      </c>
      <c r="F12" s="7"/>
      <c r="G12" s="7">
        <f t="shared" si="1"/>
        <v>0</v>
      </c>
      <c r="H12" s="7">
        <f t="shared" si="2"/>
        <v>0</v>
      </c>
      <c r="I12" s="7"/>
      <c r="J12" s="23" t="str">
        <f>Eventos.183!C13</f>
        <v>"Setup, 5a"</v>
      </c>
    </row>
    <row r="13" spans="1:10">
      <c r="A13" s="2">
        <f t="shared" si="0"/>
        <v>40256</v>
      </c>
      <c r="C13" s="9">
        <v>734216</v>
      </c>
      <c r="D13" s="9">
        <v>734216</v>
      </c>
      <c r="E13" s="7">
        <f>Eventos.183!B14</f>
        <v>734216</v>
      </c>
      <c r="F13" s="7"/>
      <c r="G13" s="7">
        <f t="shared" si="1"/>
        <v>0</v>
      </c>
      <c r="H13" s="7">
        <f t="shared" si="2"/>
        <v>0</v>
      </c>
      <c r="I13" s="7"/>
      <c r="J13" s="23" t="str">
        <f>Eventos.183!C14</f>
        <v>"Mic troub. Chg. R6"</v>
      </c>
    </row>
    <row r="14" spans="1:10">
      <c r="A14" s="2">
        <f t="shared" si="0"/>
        <v>40290</v>
      </c>
      <c r="C14" s="9">
        <v>734250</v>
      </c>
      <c r="D14" s="9">
        <v>734250</v>
      </c>
      <c r="E14" s="7">
        <f>Eventos.183!B15</f>
        <v>734250</v>
      </c>
      <c r="F14" s="7"/>
      <c r="G14" s="7">
        <f t="shared" si="1"/>
        <v>0</v>
      </c>
      <c r="H14" s="7">
        <f t="shared" si="2"/>
        <v>0</v>
      </c>
      <c r="I14" s="7"/>
      <c r="J14" s="23" t="str">
        <f>Eventos.183!C15</f>
        <v>"Ctes. Mic, Gel"</v>
      </c>
    </row>
    <row r="15" spans="1:10">
      <c r="A15" s="2">
        <f t="shared" si="0"/>
        <v>40445</v>
      </c>
      <c r="C15" s="9">
        <v>734405</v>
      </c>
      <c r="D15" s="9">
        <v>734405</v>
      </c>
      <c r="E15" s="7">
        <f>Eventos.183!B16</f>
        <v>734405</v>
      </c>
      <c r="F15" s="7"/>
      <c r="G15" s="7">
        <f t="shared" si="1"/>
        <v>0</v>
      </c>
      <c r="H15" s="7">
        <f t="shared" si="2"/>
        <v>0</v>
      </c>
      <c r="I15" s="7"/>
      <c r="J15" s="23" t="str">
        <f>Eventos.183!C16</f>
        <v>"IOS10"</v>
      </c>
    </row>
    <row r="16" spans="1:10">
      <c r="A16" s="2">
        <f t="shared" si="0"/>
        <v>40512</v>
      </c>
      <c r="C16" s="9">
        <v>734472</v>
      </c>
      <c r="D16" s="9">
        <v>734472</v>
      </c>
      <c r="E16" s="7">
        <f>Eventos.183!B17</f>
        <v>734472</v>
      </c>
      <c r="F16" s="7"/>
      <c r="G16" s="7">
        <f t="shared" si="1"/>
        <v>0</v>
      </c>
      <c r="H16" s="7">
        <f t="shared" si="2"/>
        <v>0</v>
      </c>
      <c r="I16" s="7"/>
      <c r="J16" s="23" t="str">
        <f>Eventos.183!C17</f>
        <v>"Brewer down"</v>
      </c>
    </row>
    <row r="17" spans="1:10">
      <c r="A17" s="2">
        <f t="shared" si="0"/>
        <v>40702</v>
      </c>
      <c r="C17" s="9">
        <v>734662</v>
      </c>
      <c r="D17" s="9">
        <v>734662</v>
      </c>
      <c r="E17" s="7">
        <f>Eventos.183!B18</f>
        <v>734662</v>
      </c>
      <c r="F17" s="7"/>
      <c r="G17" s="7">
        <f t="shared" si="1"/>
        <v>0</v>
      </c>
      <c r="H17" s="7">
        <f t="shared" si="2"/>
        <v>0</v>
      </c>
      <c r="I17" s="7"/>
      <c r="J17" s="23" t="str">
        <f>Eventos.183!C18</f>
        <v>"AFC Maintenance"</v>
      </c>
    </row>
    <row r="18" spans="1:10">
      <c r="A18" s="2">
        <f t="shared" si="0"/>
        <v>40742</v>
      </c>
      <c r="C18" s="9">
        <v>734702</v>
      </c>
      <c r="D18" s="9">
        <v>734702</v>
      </c>
      <c r="E18" s="7">
        <f>Eventos.183!B19</f>
        <v>734702</v>
      </c>
      <c r="F18" s="7"/>
      <c r="G18" s="7">
        <f t="shared" si="1"/>
        <v>0</v>
      </c>
      <c r="H18" s="7">
        <f t="shared" si="2"/>
        <v>0</v>
      </c>
      <c r="I18" s="7"/>
      <c r="J18" s="23" t="str">
        <f>Eventos.183!C19</f>
        <v>"IOS11"</v>
      </c>
    </row>
    <row r="19" spans="1:10">
      <c r="A19" s="2">
        <f t="shared" si="0"/>
        <v>40759</v>
      </c>
      <c r="C19" s="9">
        <v>734719</v>
      </c>
      <c r="D19" s="9">
        <v>734719</v>
      </c>
      <c r="E19" s="7">
        <f>Eventos.183!B20</f>
        <v>734719</v>
      </c>
      <c r="F19" s="7"/>
      <c r="G19" s="7">
        <f t="shared" si="1"/>
        <v>0</v>
      </c>
      <c r="H19" s="7">
        <f t="shared" si="2"/>
        <v>0</v>
      </c>
      <c r="I19" s="7"/>
      <c r="J19" s="23" t="str">
        <f>Eventos.183!C20</f>
        <v>"Calc-step change. A updated to 0.3435"</v>
      </c>
    </row>
    <row r="20" spans="1:10">
      <c r="A20" s="2">
        <f t="shared" si="0"/>
        <v>40854</v>
      </c>
      <c r="C20" s="9">
        <v>734814</v>
      </c>
      <c r="D20" s="9">
        <v>734814</v>
      </c>
      <c r="E20" s="7">
        <f>Eventos.183!B21</f>
        <v>734814</v>
      </c>
      <c r="F20" s="7"/>
      <c r="G20" s="7">
        <f t="shared" si="1"/>
        <v>0</v>
      </c>
      <c r="H20" s="7">
        <f t="shared" si="2"/>
        <v>0</v>
      </c>
      <c r="I20" s="7"/>
      <c r="J20" s="23" t="str">
        <f>Eventos.183!C21</f>
        <v>"Lab"</v>
      </c>
    </row>
    <row r="21" spans="1:10">
      <c r="A21" s="2">
        <f t="shared" si="0"/>
        <v>40940</v>
      </c>
      <c r="C21" s="9">
        <v>734900</v>
      </c>
      <c r="D21" s="9">
        <v>734900</v>
      </c>
      <c r="E21" s="7">
        <f>Eventos.183!B22</f>
        <v>734900</v>
      </c>
      <c r="F21" s="7"/>
      <c r="G21" s="7">
        <f t="shared" si="1"/>
        <v>0</v>
      </c>
      <c r="H21" s="7">
        <f t="shared" si="2"/>
        <v>0</v>
      </c>
      <c r="I21" s="7"/>
      <c r="J21" s="23" t="str">
        <f>Eventos.183!C22</f>
        <v>"New mics. And slit mask offsets"</v>
      </c>
    </row>
    <row r="22" spans="1:10">
      <c r="A22" s="2">
        <f t="shared" si="0"/>
        <v>40975</v>
      </c>
      <c r="C22" s="9">
        <v>734935</v>
      </c>
      <c r="D22" s="9">
        <v>734935</v>
      </c>
      <c r="E22" s="7">
        <f>Eventos.183!B23</f>
        <v>734935</v>
      </c>
      <c r="F22" s="7"/>
      <c r="G22" s="7">
        <f t="shared" si="1"/>
        <v>0</v>
      </c>
      <c r="H22" s="7">
        <f t="shared" si="2"/>
        <v>0</v>
      </c>
      <c r="I22" s="7"/>
      <c r="J22" s="23" t="str">
        <f>Eventos.183!C23</f>
        <v>"Laboratory.  New board replacement"</v>
      </c>
    </row>
    <row r="23" spans="1:10">
      <c r="A23" s="2">
        <f t="shared" si="0"/>
        <v>40992</v>
      </c>
      <c r="C23" s="9">
        <v>734952</v>
      </c>
      <c r="D23" s="9">
        <v>734952</v>
      </c>
      <c r="E23" s="7">
        <f>Eventos.183!B24</f>
        <v>734952</v>
      </c>
      <c r="F23" s="7"/>
      <c r="G23" s="7">
        <f t="shared" si="1"/>
        <v>0</v>
      </c>
      <c r="H23" s="7">
        <f t="shared" si="2"/>
        <v>0</v>
      </c>
      <c r="I23" s="7"/>
      <c r="J23" s="23" t="str">
        <f>Eventos.183!C24</f>
        <v>"Final setup"</v>
      </c>
    </row>
    <row r="24" spans="1:10">
      <c r="A24" s="2">
        <f t="shared" si="0"/>
        <v>41057</v>
      </c>
      <c r="C24" s="9">
        <v>735017</v>
      </c>
      <c r="D24" s="9">
        <v>735017</v>
      </c>
      <c r="E24" s="7">
        <f>Eventos.183!B25</f>
        <v>735017</v>
      </c>
      <c r="F24" s="7"/>
      <c r="G24" s="7">
        <f t="shared" si="1"/>
        <v>0</v>
      </c>
      <c r="H24" s="7">
        <f t="shared" si="2"/>
        <v>0</v>
      </c>
      <c r="I24" s="7"/>
      <c r="J24" s="23" t="str">
        <f>Eventos.183!C25</f>
        <v>"Lab"</v>
      </c>
    </row>
    <row r="25" spans="1:10">
      <c r="A25" s="2">
        <f t="shared" si="0"/>
        <v>41075</v>
      </c>
      <c r="C25" s="9">
        <v>735035</v>
      </c>
      <c r="D25" s="9">
        <v>735035</v>
      </c>
      <c r="E25" s="7">
        <f>Eventos.183!B26</f>
        <v>735035</v>
      </c>
      <c r="F25" s="7"/>
      <c r="G25" s="7">
        <f t="shared" si="1"/>
        <v>0</v>
      </c>
      <c r="H25" s="7">
        <f t="shared" si="2"/>
        <v>0</v>
      </c>
      <c r="I25" s="7"/>
      <c r="J25" s="23" t="str">
        <f>Eventos.183!C26</f>
        <v>"SL rplc."</v>
      </c>
    </row>
    <row r="26" spans="1:10">
      <c r="A26" s="2">
        <f t="shared" si="0"/>
        <v>41097</v>
      </c>
      <c r="C26" s="9">
        <v>735057</v>
      </c>
      <c r="D26" s="9">
        <v>735057</v>
      </c>
      <c r="E26" s="7">
        <f>Eventos.183!B27</f>
        <v>735057</v>
      </c>
      <c r="F26" s="7"/>
      <c r="G26" s="7">
        <f t="shared" si="1"/>
        <v>0</v>
      </c>
      <c r="H26" s="7">
        <f t="shared" si="2"/>
        <v>0</v>
      </c>
      <c r="I26" s="7"/>
      <c r="J26" s="23" t="str">
        <f>Eventos.183!C27</f>
        <v>"Hg rplc."</v>
      </c>
    </row>
    <row r="27" spans="1:10">
      <c r="A27" s="2">
        <f t="shared" si="0"/>
        <v>41172</v>
      </c>
      <c r="C27" s="9">
        <v>735132</v>
      </c>
      <c r="D27" s="9">
        <v>735132</v>
      </c>
      <c r="E27" s="7">
        <f>Eventos.183!B28</f>
        <v>735132</v>
      </c>
      <c r="F27" s="7"/>
      <c r="G27" s="7">
        <f t="shared" si="1"/>
        <v>0</v>
      </c>
      <c r="H27" s="7">
        <f t="shared" si="2"/>
        <v>0</v>
      </c>
      <c r="I27" s="7"/>
      <c r="J27" s="23" t="str">
        <f>Eventos.183!C28</f>
        <v>"SL rplc"</v>
      </c>
    </row>
    <row r="28" spans="1:10">
      <c r="A28" s="2">
        <f t="shared" si="0"/>
        <v>41205</v>
      </c>
      <c r="C28" s="9">
        <v>735165</v>
      </c>
      <c r="D28" s="9">
        <v>735165</v>
      </c>
      <c r="E28" s="7">
        <f>Eventos.183!B29</f>
        <v>735165</v>
      </c>
      <c r="F28" s="7"/>
      <c r="G28" s="7">
        <f t="shared" si="1"/>
        <v>0</v>
      </c>
      <c r="H28" s="7">
        <f t="shared" si="2"/>
        <v>0</v>
      </c>
      <c r="I28" s="7"/>
      <c r="J28" s="23" t="str">
        <f>Eventos.183!C29</f>
        <v>"K&amp;Z maintenance"</v>
      </c>
    </row>
    <row r="29" spans="1:10">
      <c r="A29" s="2">
        <f t="shared" si="0"/>
        <v>41213</v>
      </c>
      <c r="C29" s="9">
        <v>735173</v>
      </c>
      <c r="D29" s="9">
        <v>735173</v>
      </c>
      <c r="E29" s="7">
        <f>Eventos.183!B30</f>
        <v>735173</v>
      </c>
      <c r="F29" s="7"/>
      <c r="G29" s="7">
        <f t="shared" si="1"/>
        <v>0</v>
      </c>
      <c r="H29" s="7">
        <f t="shared" si="2"/>
        <v>0</v>
      </c>
      <c r="I29" s="7"/>
      <c r="J29" s="23" t="str">
        <f>Eventos.183!C30</f>
        <v>"Severe weather. Indoor"</v>
      </c>
    </row>
    <row r="30" spans="1:10">
      <c r="A30" s="2">
        <f t="shared" si="0"/>
        <v>41228</v>
      </c>
      <c r="C30" s="9">
        <v>735188</v>
      </c>
      <c r="D30" s="9">
        <v>735188</v>
      </c>
      <c r="E30" s="7">
        <f>Eventos.183!B31</f>
        <v>735188</v>
      </c>
      <c r="F30" s="7"/>
      <c r="G30" s="7">
        <f t="shared" si="1"/>
        <v>0</v>
      </c>
      <c r="H30" s="7">
        <f t="shared" si="2"/>
        <v>0</v>
      </c>
      <c r="I30" s="7"/>
      <c r="J30" s="23" t="str">
        <f>Eventos.183!C31</f>
        <v>"SL rplc."</v>
      </c>
    </row>
    <row r="31" spans="1:10">
      <c r="A31" s="2">
        <f t="shared" si="0"/>
        <v>41253</v>
      </c>
      <c r="C31" s="9">
        <v>735213</v>
      </c>
      <c r="D31" s="9">
        <v>735213</v>
      </c>
      <c r="E31" s="7">
        <f>Eventos.183!B32</f>
        <v>735213</v>
      </c>
      <c r="F31" s="7"/>
      <c r="G31" s="7">
        <f t="shared" si="1"/>
        <v>0</v>
      </c>
      <c r="H31" s="7">
        <f t="shared" si="2"/>
        <v>0</v>
      </c>
      <c r="I31" s="7"/>
      <c r="J31" s="23" t="str">
        <f>Eventos.183!C32</f>
        <v>"SL rplc."</v>
      </c>
    </row>
    <row r="32" spans="1:10">
      <c r="A32" s="2">
        <f t="shared" si="0"/>
        <v>41340</v>
      </c>
      <c r="C32" s="9">
        <v>735300</v>
      </c>
      <c r="D32" s="9">
        <v>735300</v>
      </c>
      <c r="E32" s="7">
        <f>Eventos.183!B33</f>
        <v>735300</v>
      </c>
      <c r="F32" s="7"/>
      <c r="G32" s="7">
        <f t="shared" si="1"/>
        <v>0</v>
      </c>
      <c r="H32" s="7">
        <f t="shared" si="2"/>
        <v>0</v>
      </c>
      <c r="I32" s="7"/>
      <c r="J32" s="23" t="str">
        <f>Eventos.183!C33</f>
        <v>"Indoor. Slitmask trouble"</v>
      </c>
    </row>
    <row r="33" spans="1:10">
      <c r="A33" s="2">
        <f t="shared" si="0"/>
        <v>41428</v>
      </c>
      <c r="C33" s="9">
        <v>735388</v>
      </c>
      <c r="D33" s="9">
        <v>735388</v>
      </c>
      <c r="E33" s="7">
        <f>Eventos.183!B34</f>
        <v>735388</v>
      </c>
      <c r="F33" s="7"/>
      <c r="G33" s="7">
        <f t="shared" si="1"/>
        <v>0</v>
      </c>
      <c r="H33" s="7">
        <f t="shared" si="2"/>
        <v>0</v>
      </c>
      <c r="I33" s="7"/>
      <c r="J33" s="23" t="str">
        <f>Eventos.183!C34</f>
        <v>"Arenosillo2013"</v>
      </c>
    </row>
    <row r="34" spans="1:10">
      <c r="A34" s="2">
        <f t="shared" si="0"/>
        <v>41450</v>
      </c>
      <c r="C34" s="9">
        <v>735410</v>
      </c>
      <c r="D34" s="9">
        <v>735410</v>
      </c>
      <c r="E34" s="7">
        <f>Eventos.183!B35</f>
        <v>735410</v>
      </c>
      <c r="F34" s="7"/>
      <c r="G34" s="7">
        <f t="shared" si="1"/>
        <v>0</v>
      </c>
      <c r="H34" s="7">
        <f t="shared" si="2"/>
        <v>0</v>
      </c>
      <c r="I34" s="7"/>
      <c r="J34" s="23" t="str">
        <f>Eventos.183!C35</f>
        <v>"Back IZO. Slit Troubles. New TU"</v>
      </c>
    </row>
    <row r="35" spans="1:10">
      <c r="A35" s="2">
        <f t="shared" si="0"/>
        <v>41506</v>
      </c>
      <c r="C35" s="9">
        <v>735466</v>
      </c>
      <c r="D35" s="9">
        <v>735466</v>
      </c>
      <c r="E35" s="7">
        <f>Eventos.183!B36</f>
        <v>735466</v>
      </c>
      <c r="F35" s="7"/>
      <c r="G35" s="7">
        <f t="shared" si="1"/>
        <v>0</v>
      </c>
      <c r="H35" s="7">
        <f t="shared" si="2"/>
        <v>0</v>
      </c>
      <c r="I35" s="7"/>
      <c r="J35" s="23" t="str">
        <f>Eventos.183!C36</f>
        <v>"Lab: Inoperative"</v>
      </c>
    </row>
    <row r="36" spans="1:10">
      <c r="A36" s="2">
        <f t="shared" si="0"/>
        <v>41556</v>
      </c>
      <c r="C36" s="9">
        <v>735516</v>
      </c>
      <c r="D36" s="9">
        <v>735516</v>
      </c>
      <c r="E36" s="7">
        <f>Eventos.183!B37</f>
        <v>735516</v>
      </c>
      <c r="F36" s="7"/>
      <c r="G36" s="7">
        <f t="shared" si="1"/>
        <v>0</v>
      </c>
      <c r="H36" s="7">
        <f t="shared" si="2"/>
        <v>0</v>
      </c>
      <c r="I36" s="7"/>
      <c r="J36" s="23" t="str">
        <f>Eventos.183!C37</f>
        <v>"Operative outdoor. Old Board"</v>
      </c>
    </row>
    <row r="37" spans="1:10">
      <c r="A37" s="2">
        <f t="shared" si="0"/>
        <v>41576</v>
      </c>
      <c r="C37" s="9">
        <v>735536</v>
      </c>
      <c r="D37" s="9">
        <v>735536</v>
      </c>
      <c r="E37" s="7">
        <f>Eventos.183!B38</f>
        <v>735536</v>
      </c>
      <c r="F37" s="7"/>
      <c r="G37" s="7">
        <f t="shared" si="1"/>
        <v>0</v>
      </c>
      <c r="H37" s="7">
        <f t="shared" si="2"/>
        <v>0</v>
      </c>
      <c r="I37" s="7"/>
      <c r="J37" s="23" t="str">
        <f>Eventos.183!C38</f>
        <v>"Hg rplc."</v>
      </c>
    </row>
    <row r="38" spans="1:10">
      <c r="A38" s="2">
        <f t="shared" si="0"/>
        <v>41627</v>
      </c>
      <c r="C38" s="9">
        <v>735587</v>
      </c>
      <c r="D38" s="9">
        <v>735587</v>
      </c>
      <c r="E38" s="7">
        <f>Eventos.183!B39</f>
        <v>735587</v>
      </c>
      <c r="F38" s="7"/>
      <c r="G38" s="7">
        <f t="shared" si="1"/>
        <v>0</v>
      </c>
      <c r="H38" s="7">
        <f t="shared" si="2"/>
        <v>0</v>
      </c>
      <c r="I38" s="7"/>
      <c r="J38" s="23" t="str">
        <f>Eventos.183!C39</f>
        <v>"SL rplc. R6 chg not real"</v>
      </c>
    </row>
    <row r="39" spans="1:10">
      <c r="A39" s="2">
        <f t="shared" si="0"/>
        <v>41634</v>
      </c>
      <c r="C39" s="9">
        <v>735594</v>
      </c>
      <c r="D39" s="9">
        <v>735594</v>
      </c>
      <c r="E39" s="7">
        <f>Eventos.183!B40</f>
        <v>735594</v>
      </c>
      <c r="F39" s="7"/>
      <c r="G39" s="7">
        <f t="shared" si="1"/>
        <v>0</v>
      </c>
      <c r="H39" s="7">
        <f t="shared" si="2"/>
        <v>0</v>
      </c>
      <c r="I39" s="7"/>
      <c r="J39" s="23" t="str">
        <f>Eventos.183!C40</f>
        <v>"Prism alignment. New tu"</v>
      </c>
    </row>
    <row r="40" spans="1:10">
      <c r="A40" s="2">
        <f t="shared" si="0"/>
        <v>41650</v>
      </c>
      <c r="C40" s="9">
        <v>735610</v>
      </c>
      <c r="D40" s="9">
        <v>735610</v>
      </c>
      <c r="E40" s="7">
        <f>Eventos.183!B42</f>
        <v>735642</v>
      </c>
      <c r="F40" s="7"/>
      <c r="G40" s="7">
        <f t="shared" si="1"/>
        <v>-32</v>
      </c>
      <c r="H40" s="7">
        <f t="shared" si="2"/>
        <v>-32</v>
      </c>
      <c r="I40" s="7"/>
      <c r="J40" s="23" t="str">
        <f>Eventos.183!C42</f>
        <v>"K&amp;Z maintenance"</v>
      </c>
    </row>
    <row r="41" spans="1:10">
      <c r="A41" s="2">
        <f t="shared" si="0"/>
        <v>41682</v>
      </c>
      <c r="C41" s="9">
        <v>735642</v>
      </c>
      <c r="D41" s="9">
        <v>735642</v>
      </c>
      <c r="E41" s="7">
        <f>Eventos.183!B43</f>
        <v>735670</v>
      </c>
      <c r="F41" s="7"/>
      <c r="G41" s="7">
        <f t="shared" si="1"/>
        <v>-28</v>
      </c>
      <c r="H41" s="7">
        <f t="shared" si="2"/>
        <v>-28</v>
      </c>
      <c r="I41" s="7"/>
      <c r="J41" s="23" t="str">
        <f>Eventos.183!C43</f>
        <v>"Hg replacement"</v>
      </c>
    </row>
    <row r="42" spans="1:10">
      <c r="E42" s="7">
        <f>Eventos.183!B44</f>
        <v>735713</v>
      </c>
      <c r="F42" s="7"/>
      <c r="G42" s="7"/>
      <c r="J42" s="23" t="str">
        <f>Eventos.183!C44</f>
        <v>"Lab"</v>
      </c>
    </row>
    <row r="43" spans="1:10">
      <c r="E43" s="7">
        <f>Eventos.183!B45</f>
        <v>735934</v>
      </c>
      <c r="F43" s="7"/>
      <c r="G43" s="7"/>
      <c r="J43" s="23" t="str">
        <f>Eventos.183!C45</f>
        <v>"SlitMask &amp; Tracker troubles"</v>
      </c>
    </row>
    <row r="44" spans="1:10">
      <c r="E44" s="7">
        <f>Eventos.183!B46</f>
        <v>735957</v>
      </c>
      <c r="F44" s="7"/>
      <c r="G44" s="7"/>
      <c r="J44" s="23" t="str">
        <f>Eventos.183!C46</f>
        <v>"SlitMask troubles. Cal. Chg."</v>
      </c>
    </row>
    <row r="45" spans="1:10">
      <c r="E45" s="7">
        <f>Eventos.183!B47</f>
        <v>735988</v>
      </c>
      <c r="F45" s="7"/>
      <c r="G45" s="7"/>
      <c r="J45" s="23" t="str">
        <f>Eventos.183!C47</f>
        <v>"K&amp;Z maintenance"</v>
      </c>
    </row>
    <row r="46" spans="1:10">
      <c r="E46" s="7">
        <f>Eventos.183!B49</f>
        <v>736064</v>
      </c>
      <c r="F46" s="7"/>
      <c r="G46" s="8"/>
      <c r="J46" s="23" t="str">
        <f>Eventos.183!C49</f>
        <v>"SL replc."</v>
      </c>
    </row>
    <row r="47" spans="1:10">
      <c r="E47" s="7">
        <f>Eventos.183!B50</f>
        <v>0</v>
      </c>
      <c r="F47" s="7"/>
      <c r="G47" s="8"/>
      <c r="J47" s="23">
        <f>Eventos.183!C50</f>
        <v>0</v>
      </c>
    </row>
    <row r="48" spans="1:10">
      <c r="E48" s="7">
        <f>Eventos.183!B51</f>
        <v>0</v>
      </c>
      <c r="F48" s="7"/>
      <c r="G48" s="8"/>
      <c r="J48" s="23">
        <f>Eventos.183!C51</f>
        <v>0</v>
      </c>
    </row>
    <row r="49" spans="5:10">
      <c r="E49" s="7">
        <f>Eventos.183!B52</f>
        <v>0</v>
      </c>
      <c r="F49" s="7"/>
      <c r="G49" s="8"/>
      <c r="J49" s="23">
        <f>Eventos.183!C52</f>
        <v>0</v>
      </c>
    </row>
    <row r="50" spans="5:10">
      <c r="E50" s="7">
        <f>Eventos.183!B53</f>
        <v>0</v>
      </c>
      <c r="F50" s="7"/>
      <c r="G50" s="8"/>
      <c r="J50" s="23">
        <f>Eventos.183!C53</f>
        <v>0</v>
      </c>
    </row>
    <row r="51" spans="5:10">
      <c r="E51" s="7">
        <f>Eventos.183!B54</f>
        <v>0</v>
      </c>
      <c r="F51" s="7"/>
      <c r="G51" s="7"/>
      <c r="J51" s="23">
        <f>Eventos.183!C54</f>
        <v>0</v>
      </c>
    </row>
    <row r="52" spans="5:10">
      <c r="E52" s="7">
        <f>Eventos.183!B55</f>
        <v>0</v>
      </c>
      <c r="F52" s="7"/>
      <c r="G52" s="7"/>
      <c r="J52" s="23">
        <f>Eventos.183!C55</f>
        <v>0</v>
      </c>
    </row>
  </sheetData>
  <phoneticPr fontId="5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 enableFormatConditionsCalculation="0"/>
  <dimension ref="A1:IV3"/>
  <sheetViews>
    <sheetView workbookViewId="0">
      <selection activeCell="IJ2" sqref="IJ2"/>
    </sheetView>
  </sheetViews>
  <sheetFormatPr baseColWidth="10" defaultRowHeight="14" x14ac:dyDescent="0"/>
  <sheetData>
    <row r="1" spans="1:256">
      <c r="A1">
        <f>IF(icf.183!1:1,"AAAAAC77/wA=",0)</f>
        <v>0</v>
      </c>
      <c r="B1" t="e">
        <f>AND(icf.183!A1,"AAAAAC77/wE=")</f>
        <v>#VALUE!</v>
      </c>
      <c r="C1" t="e">
        <f>AND(icf.183!#REF!,"AAAAAC77/wI=")</f>
        <v>#REF!</v>
      </c>
      <c r="D1" t="e">
        <f>AND(icf.183!H1,"AAAAAC77/wM=")</f>
        <v>#VALUE!</v>
      </c>
      <c r="E1" t="e">
        <f>AND(icf.183!#REF!,"AAAAAC77/wQ=")</f>
        <v>#REF!</v>
      </c>
      <c r="F1" t="e">
        <f>AND(icf.183!J1,"AAAAAC77/wU=")</f>
        <v>#VALUE!</v>
      </c>
      <c r="G1" t="e">
        <f>AND(icf.183!K1,"AAAAAC77/wY=")</f>
        <v>#VALUE!</v>
      </c>
      <c r="H1" t="e">
        <f>AND(icf.183!L1,"AAAAAC77/wc=")</f>
        <v>#VALUE!</v>
      </c>
      <c r="I1" t="str">
        <f>IF(icf.183!2:2,"AAAAAC77/wg=",0)</f>
        <v>AAAAAC77/wg=</v>
      </c>
      <c r="J1" t="e">
        <f>AND(icf.183!A2,"AAAAAC77/wk=")</f>
        <v>#VALUE!</v>
      </c>
      <c r="K1" t="e">
        <f>AND(icf.183!#REF!,"AAAAAC77/wo=")</f>
        <v>#REF!</v>
      </c>
      <c r="L1" t="e">
        <f>AND(icf.183!H2,"AAAAAC77/ws=")</f>
        <v>#VALUE!</v>
      </c>
      <c r="M1" t="e">
        <f>AND(icf.183!#REF!,"AAAAAC77/ww=")</f>
        <v>#REF!</v>
      </c>
      <c r="N1" t="e">
        <f>AND(icf.183!J2,"AAAAAC77/w0=")</f>
        <v>#VALUE!</v>
      </c>
      <c r="O1" t="e">
        <f>AND(icf.183!K2,"AAAAAC77/w4=")</f>
        <v>#VALUE!</v>
      </c>
      <c r="P1" t="e">
        <f>AND(icf.183!L2,"AAAAAC77/w8=")</f>
        <v>#VALUE!</v>
      </c>
      <c r="Q1">
        <f>IF(icf.183!3:3,"AAAAAC77/xA=",0)</f>
        <v>0</v>
      </c>
      <c r="R1" t="e">
        <f>AND(icf.183!A3,"AAAAAC77/xE=")</f>
        <v>#VALUE!</v>
      </c>
      <c r="S1" t="e">
        <f>AND(icf.183!#REF!,"AAAAAC77/xI=")</f>
        <v>#REF!</v>
      </c>
      <c r="T1" t="e">
        <f>AND(icf.183!H3,"AAAAAC77/xM=")</f>
        <v>#VALUE!</v>
      </c>
      <c r="U1" t="e">
        <f>AND(icf.183!#REF!,"AAAAAC77/xQ=")</f>
        <v>#REF!</v>
      </c>
      <c r="V1" t="e">
        <f>AND(icf.183!J3,"AAAAAC77/xU=")</f>
        <v>#VALUE!</v>
      </c>
      <c r="W1" t="e">
        <f>AND(icf.183!K3,"AAAAAC77/xY=")</f>
        <v>#VALUE!</v>
      </c>
      <c r="X1" t="e">
        <f>AND(icf.183!L3,"AAAAAC77/xc=")</f>
        <v>#VALUE!</v>
      </c>
      <c r="Y1" t="str">
        <f>IF(icf.183!4:4,"AAAAAC77/xg=",0)</f>
        <v>AAAAAC77/xg=</v>
      </c>
      <c r="Z1" t="e">
        <f>AND(icf.183!A4,"AAAAAC77/xk=")</f>
        <v>#VALUE!</v>
      </c>
      <c r="AA1" t="e">
        <f>AND(icf.183!#REF!,"AAAAAC77/xo=")</f>
        <v>#REF!</v>
      </c>
      <c r="AB1" t="e">
        <f>AND(icf.183!H4,"AAAAAC77/xs=")</f>
        <v>#VALUE!</v>
      </c>
      <c r="AC1" t="e">
        <f>AND(icf.183!#REF!,"AAAAAC77/xw=")</f>
        <v>#REF!</v>
      </c>
      <c r="AD1" t="e">
        <f>AND(icf.183!J4,"AAAAAC77/x0=")</f>
        <v>#VALUE!</v>
      </c>
      <c r="AE1" t="e">
        <f>AND(icf.183!K4,"AAAAAC77/x4=")</f>
        <v>#VALUE!</v>
      </c>
      <c r="AF1" t="e">
        <f>AND(icf.183!L4,"AAAAAC77/x8=")</f>
        <v>#VALUE!</v>
      </c>
      <c r="AG1" t="str">
        <f>IF(icf.183!5:5,"AAAAAC77/yA=",0)</f>
        <v>AAAAAC77/yA=</v>
      </c>
      <c r="AH1" t="e">
        <f>AND(icf.183!A5,"AAAAAC77/yE=")</f>
        <v>#VALUE!</v>
      </c>
      <c r="AI1" t="e">
        <f>AND(icf.183!#REF!,"AAAAAC77/yI=")</f>
        <v>#REF!</v>
      </c>
      <c r="AJ1" t="e">
        <f>AND(icf.183!H5,"AAAAAC77/yM=")</f>
        <v>#VALUE!</v>
      </c>
      <c r="AK1" t="e">
        <f>AND(icf.183!#REF!,"AAAAAC77/yQ=")</f>
        <v>#REF!</v>
      </c>
      <c r="AL1" t="e">
        <f>AND(icf.183!J5,"AAAAAC77/yU=")</f>
        <v>#VALUE!</v>
      </c>
      <c r="AM1" t="e">
        <f>AND(icf.183!K5,"AAAAAC77/yY=")</f>
        <v>#VALUE!</v>
      </c>
      <c r="AN1" t="e">
        <f>AND(icf.183!L5,"AAAAAC77/yc=")</f>
        <v>#VALUE!</v>
      </c>
      <c r="AO1" t="str">
        <f>IF(icf.183!6:6,"AAAAAC77/yg=",0)</f>
        <v>AAAAAC77/yg=</v>
      </c>
      <c r="AP1" t="e">
        <f>AND(icf.183!A6,"AAAAAC77/yk=")</f>
        <v>#VALUE!</v>
      </c>
      <c r="AQ1" t="e">
        <f>AND(icf.183!#REF!,"AAAAAC77/yo=")</f>
        <v>#REF!</v>
      </c>
      <c r="AR1" t="e">
        <f>AND(icf.183!H6,"AAAAAC77/ys=")</f>
        <v>#VALUE!</v>
      </c>
      <c r="AS1" t="e">
        <f>AND(icf.183!#REF!,"AAAAAC77/yw=")</f>
        <v>#REF!</v>
      </c>
      <c r="AT1" t="e">
        <f>AND(icf.183!J6,"AAAAAC77/y0=")</f>
        <v>#VALUE!</v>
      </c>
      <c r="AU1" t="e">
        <f>AND(icf.183!K6,"AAAAAC77/y4=")</f>
        <v>#VALUE!</v>
      </c>
      <c r="AV1" t="e">
        <f>AND(icf.183!L6,"AAAAAC77/y8=")</f>
        <v>#VALUE!</v>
      </c>
      <c r="AW1" t="str">
        <f>IF(icf.183!7:7,"AAAAAC77/zA=",0)</f>
        <v>AAAAAC77/zA=</v>
      </c>
      <c r="AX1" t="e">
        <f>AND(icf.183!A7,"AAAAAC77/zE=")</f>
        <v>#VALUE!</v>
      </c>
      <c r="AY1" t="e">
        <f>AND(icf.183!#REF!,"AAAAAC77/zI=")</f>
        <v>#REF!</v>
      </c>
      <c r="AZ1" t="e">
        <f>AND(icf.183!H7,"AAAAAC77/zM=")</f>
        <v>#VALUE!</v>
      </c>
      <c r="BA1" t="e">
        <f>AND(icf.183!#REF!,"AAAAAC77/zQ=")</f>
        <v>#REF!</v>
      </c>
      <c r="BB1" t="e">
        <f>AND(icf.183!J7,"AAAAAC77/zU=")</f>
        <v>#VALUE!</v>
      </c>
      <c r="BC1" t="e">
        <f>AND(icf.183!K7,"AAAAAC77/zY=")</f>
        <v>#VALUE!</v>
      </c>
      <c r="BD1" t="e">
        <f>AND(icf.183!L7,"AAAAAC77/zc=")</f>
        <v>#VALUE!</v>
      </c>
      <c r="BE1">
        <f>IF(icf.183!8:8,"AAAAAC77/zg=",0)</f>
        <v>0</v>
      </c>
      <c r="BF1" t="e">
        <f>AND(icf.183!A8,"AAAAAC77/zk=")</f>
        <v>#VALUE!</v>
      </c>
      <c r="BG1" t="e">
        <f>AND(icf.183!#REF!,"AAAAAC77/zo=")</f>
        <v>#REF!</v>
      </c>
      <c r="BH1" t="e">
        <f>AND(icf.183!H8,"AAAAAC77/zs=")</f>
        <v>#VALUE!</v>
      </c>
      <c r="BI1" t="e">
        <f>AND(icf.183!#REF!,"AAAAAC77/zw=")</f>
        <v>#REF!</v>
      </c>
      <c r="BJ1" t="e">
        <f>AND(icf.183!J8,"AAAAAC77/z0=")</f>
        <v>#VALUE!</v>
      </c>
      <c r="BK1" t="e">
        <f>AND(icf.183!K8,"AAAAAC77/z4=")</f>
        <v>#VALUE!</v>
      </c>
      <c r="BL1" t="e">
        <f>AND(icf.183!L8,"AAAAAC77/z8=")</f>
        <v>#VALUE!</v>
      </c>
      <c r="BM1">
        <f>IF(icf.183!9:9,"AAAAAC77/0A=",0)</f>
        <v>0</v>
      </c>
      <c r="BN1" t="e">
        <f>AND(icf.183!A9,"AAAAAC77/0E=")</f>
        <v>#VALUE!</v>
      </c>
      <c r="BO1" t="e">
        <f>AND(icf.183!#REF!,"AAAAAC77/0I=")</f>
        <v>#REF!</v>
      </c>
      <c r="BP1" t="e">
        <f>AND(icf.183!H9,"AAAAAC77/0M=")</f>
        <v>#VALUE!</v>
      </c>
      <c r="BQ1" t="e">
        <f>AND(icf.183!#REF!,"AAAAAC77/0Q=")</f>
        <v>#REF!</v>
      </c>
      <c r="BR1" t="e">
        <f>AND(icf.183!J9,"AAAAAC77/0U=")</f>
        <v>#VALUE!</v>
      </c>
      <c r="BS1" t="e">
        <f>AND(icf.183!K9,"AAAAAC77/0Y=")</f>
        <v>#VALUE!</v>
      </c>
      <c r="BT1" t="e">
        <f>AND(icf.183!L9,"AAAAAC77/0c=")</f>
        <v>#VALUE!</v>
      </c>
      <c r="BU1">
        <f>IF(icf.183!10:10,"AAAAAC77/0g=",0)</f>
        <v>0</v>
      </c>
      <c r="BV1" t="e">
        <f>AND(icf.183!A10,"AAAAAC77/0k=")</f>
        <v>#VALUE!</v>
      </c>
      <c r="BW1" t="e">
        <f>AND(icf.183!#REF!,"AAAAAC77/0o=")</f>
        <v>#REF!</v>
      </c>
      <c r="BX1" t="e">
        <f>AND(icf.183!H10,"AAAAAC77/0s=")</f>
        <v>#VALUE!</v>
      </c>
      <c r="BY1" t="e">
        <f>AND(icf.183!#REF!,"AAAAAC77/0w=")</f>
        <v>#REF!</v>
      </c>
      <c r="BZ1" t="e">
        <f>AND(icf.183!J10,"AAAAAC77/00=")</f>
        <v>#VALUE!</v>
      </c>
      <c r="CA1" t="e">
        <f>AND(icf.183!K10,"AAAAAC77/04=")</f>
        <v>#VALUE!</v>
      </c>
      <c r="CB1" t="e">
        <f>AND(icf.183!L10,"AAAAAC77/08=")</f>
        <v>#VALUE!</v>
      </c>
      <c r="CC1">
        <f>IF(icf.183!11:11,"AAAAAC77/1A=",0)</f>
        <v>0</v>
      </c>
      <c r="CD1" t="e">
        <f>AND(icf.183!A11,"AAAAAC77/1E=")</f>
        <v>#VALUE!</v>
      </c>
      <c r="CE1" t="e">
        <f>AND(icf.183!#REF!,"AAAAAC77/1I=")</f>
        <v>#REF!</v>
      </c>
      <c r="CF1" t="e">
        <f>AND(icf.183!H11,"AAAAAC77/1M=")</f>
        <v>#VALUE!</v>
      </c>
      <c r="CG1" t="e">
        <f>AND(icf.183!#REF!,"AAAAAC77/1Q=")</f>
        <v>#REF!</v>
      </c>
      <c r="CH1" t="e">
        <f>AND(icf.183!J11,"AAAAAC77/1U=")</f>
        <v>#VALUE!</v>
      </c>
      <c r="CI1" t="e">
        <f>AND(icf.183!K11,"AAAAAC77/1Y=")</f>
        <v>#VALUE!</v>
      </c>
      <c r="CJ1" t="e">
        <f>AND(icf.183!L11,"AAAAAC77/1c=")</f>
        <v>#VALUE!</v>
      </c>
      <c r="CK1">
        <f>IF(icf.183!12:12,"AAAAAC77/1g=",0)</f>
        <v>0</v>
      </c>
      <c r="CL1" t="e">
        <f>AND(icf.183!A12,"AAAAAC77/1k=")</f>
        <v>#VALUE!</v>
      </c>
      <c r="CM1" t="e">
        <f>AND(icf.183!#REF!,"AAAAAC77/1o=")</f>
        <v>#REF!</v>
      </c>
      <c r="CN1" t="e">
        <f>AND(icf.183!H12,"AAAAAC77/1s=")</f>
        <v>#VALUE!</v>
      </c>
      <c r="CO1" t="e">
        <f>AND(icf.183!#REF!,"AAAAAC77/1w=")</f>
        <v>#REF!</v>
      </c>
      <c r="CP1" t="e">
        <f>AND(icf.183!J12,"AAAAAC77/10=")</f>
        <v>#VALUE!</v>
      </c>
      <c r="CQ1" t="e">
        <f>AND(icf.183!K12,"AAAAAC77/14=")</f>
        <v>#VALUE!</v>
      </c>
      <c r="CR1" t="e">
        <f>AND(icf.183!L12,"AAAAAC77/18=")</f>
        <v>#VALUE!</v>
      </c>
      <c r="CS1">
        <f>IF(icf.183!13:13,"AAAAAC77/2A=",0)</f>
        <v>0</v>
      </c>
      <c r="CT1" t="e">
        <f>AND(icf.183!A13,"AAAAAC77/2E=")</f>
        <v>#VALUE!</v>
      </c>
      <c r="CU1" t="e">
        <f>AND(icf.183!#REF!,"AAAAAC77/2I=")</f>
        <v>#REF!</v>
      </c>
      <c r="CV1" t="e">
        <f>AND(icf.183!H13,"AAAAAC77/2M=")</f>
        <v>#VALUE!</v>
      </c>
      <c r="CW1" t="e">
        <f>AND(icf.183!#REF!,"AAAAAC77/2Q=")</f>
        <v>#REF!</v>
      </c>
      <c r="CX1" t="e">
        <f>AND(icf.183!J13,"AAAAAC77/2U=")</f>
        <v>#VALUE!</v>
      </c>
      <c r="CY1" t="e">
        <f>AND(icf.183!K13,"AAAAAC77/2Y=")</f>
        <v>#VALUE!</v>
      </c>
      <c r="CZ1" t="e">
        <f>AND(icf.183!L13,"AAAAAC77/2c=")</f>
        <v>#VALUE!</v>
      </c>
      <c r="DA1">
        <f>IF(icf.183!14:14,"AAAAAC77/2g=",0)</f>
        <v>0</v>
      </c>
      <c r="DB1" t="e">
        <f>AND(icf.183!A14,"AAAAAC77/2k=")</f>
        <v>#VALUE!</v>
      </c>
      <c r="DC1" t="e">
        <f>AND(icf.183!#REF!,"AAAAAC77/2o=")</f>
        <v>#REF!</v>
      </c>
      <c r="DD1" t="e">
        <f>AND(icf.183!H14,"AAAAAC77/2s=")</f>
        <v>#VALUE!</v>
      </c>
      <c r="DE1" t="e">
        <f>AND(icf.183!#REF!,"AAAAAC77/2w=")</f>
        <v>#REF!</v>
      </c>
      <c r="DF1" t="e">
        <f>AND(icf.183!J14,"AAAAAC77/20=")</f>
        <v>#VALUE!</v>
      </c>
      <c r="DG1" t="e">
        <f>AND(icf.183!K14,"AAAAAC77/24=")</f>
        <v>#VALUE!</v>
      </c>
      <c r="DH1" t="e">
        <f>AND(icf.183!L14,"AAAAAC77/28=")</f>
        <v>#VALUE!</v>
      </c>
      <c r="DI1">
        <f>IF(icf.183!15:15,"AAAAAC77/3A=",0)</f>
        <v>0</v>
      </c>
      <c r="DJ1" t="e">
        <f>AND(icf.183!A15,"AAAAAC77/3E=")</f>
        <v>#VALUE!</v>
      </c>
      <c r="DK1" t="e">
        <f>AND(icf.183!#REF!,"AAAAAC77/3I=")</f>
        <v>#REF!</v>
      </c>
      <c r="DL1" t="e">
        <f>AND(icf.183!H15,"AAAAAC77/3M=")</f>
        <v>#VALUE!</v>
      </c>
      <c r="DM1" t="e">
        <f>AND(icf.183!#REF!,"AAAAAC77/3Q=")</f>
        <v>#REF!</v>
      </c>
      <c r="DN1" t="e">
        <f>AND(icf.183!J15,"AAAAAC77/3U=")</f>
        <v>#VALUE!</v>
      </c>
      <c r="DO1" t="e">
        <f>AND(icf.183!K15,"AAAAAC77/3Y=")</f>
        <v>#VALUE!</v>
      </c>
      <c r="DP1" t="e">
        <f>AND(icf.183!L15,"AAAAAC77/3c=")</f>
        <v>#VALUE!</v>
      </c>
      <c r="DQ1">
        <f>IF(icf.183!16:16,"AAAAAC77/3g=",0)</f>
        <v>0</v>
      </c>
      <c r="DR1" t="e">
        <f>AND(icf.183!A16,"AAAAAC77/3k=")</f>
        <v>#VALUE!</v>
      </c>
      <c r="DS1" t="e">
        <f>AND(icf.183!#REF!,"AAAAAC77/3o=")</f>
        <v>#REF!</v>
      </c>
      <c r="DT1" t="e">
        <f>AND(icf.183!H16,"AAAAAC77/3s=")</f>
        <v>#VALUE!</v>
      </c>
      <c r="DU1" t="e">
        <f>AND(icf.183!#REF!,"AAAAAC77/3w=")</f>
        <v>#REF!</v>
      </c>
      <c r="DV1" t="e">
        <f>AND(icf.183!J16,"AAAAAC77/30=")</f>
        <v>#VALUE!</v>
      </c>
      <c r="DW1" t="e">
        <f>AND(icf.183!K16,"AAAAAC77/34=")</f>
        <v>#VALUE!</v>
      </c>
      <c r="DX1" t="e">
        <f>AND(icf.183!L16,"AAAAAC77/38=")</f>
        <v>#VALUE!</v>
      </c>
      <c r="DY1">
        <f>IF(icf.183!17:17,"AAAAAC77/4A=",0)</f>
        <v>0</v>
      </c>
      <c r="DZ1" t="e">
        <f>AND(icf.183!A17,"AAAAAC77/4E=")</f>
        <v>#VALUE!</v>
      </c>
      <c r="EA1" t="e">
        <f>AND(icf.183!#REF!,"AAAAAC77/4I=")</f>
        <v>#REF!</v>
      </c>
      <c r="EB1" t="e">
        <f>AND(icf.183!H17,"AAAAAC77/4M=")</f>
        <v>#VALUE!</v>
      </c>
      <c r="EC1" t="e">
        <f>AND(icf.183!#REF!,"AAAAAC77/4Q=")</f>
        <v>#REF!</v>
      </c>
      <c r="ED1" t="e">
        <f>AND(icf.183!J17,"AAAAAC77/4U=")</f>
        <v>#VALUE!</v>
      </c>
      <c r="EE1" t="e">
        <f>AND(icf.183!K17,"AAAAAC77/4Y=")</f>
        <v>#VALUE!</v>
      </c>
      <c r="EF1" t="e">
        <f>AND(icf.183!L17,"AAAAAC77/4c=")</f>
        <v>#VALUE!</v>
      </c>
      <c r="EG1">
        <f>IF(icf.183!18:18,"AAAAAC77/4g=",0)</f>
        <v>0</v>
      </c>
      <c r="EH1" t="e">
        <f>AND(icf.183!A18,"AAAAAC77/4k=")</f>
        <v>#VALUE!</v>
      </c>
      <c r="EI1" t="e">
        <f>AND(icf.183!#REF!,"AAAAAC77/4o=")</f>
        <v>#REF!</v>
      </c>
      <c r="EJ1" t="e">
        <f>AND(icf.183!H18,"AAAAAC77/4s=")</f>
        <v>#VALUE!</v>
      </c>
      <c r="EK1" t="e">
        <f>AND(icf.183!#REF!,"AAAAAC77/4w=")</f>
        <v>#REF!</v>
      </c>
      <c r="EL1" t="e">
        <f>AND(icf.183!J18,"AAAAAC77/40=")</f>
        <v>#VALUE!</v>
      </c>
      <c r="EM1" t="e">
        <f>AND(icf.183!K18,"AAAAAC77/44=")</f>
        <v>#VALUE!</v>
      </c>
      <c r="EN1" t="e">
        <f>AND(icf.183!L18,"AAAAAC77/48=")</f>
        <v>#VALUE!</v>
      </c>
      <c r="EO1">
        <f>IF(icf.183!19:19,"AAAAAC77/5A=",0)</f>
        <v>0</v>
      </c>
      <c r="EP1" t="e">
        <f>AND(icf.183!A19,"AAAAAC77/5E=")</f>
        <v>#VALUE!</v>
      </c>
      <c r="EQ1" t="e">
        <f>AND(icf.183!#REF!,"AAAAAC77/5I=")</f>
        <v>#REF!</v>
      </c>
      <c r="ER1" t="e">
        <f>AND(icf.183!H19,"AAAAAC77/5M=")</f>
        <v>#VALUE!</v>
      </c>
      <c r="ES1" t="e">
        <f>AND(icf.183!#REF!,"AAAAAC77/5Q=")</f>
        <v>#REF!</v>
      </c>
      <c r="ET1" t="e">
        <f>AND(icf.183!J19,"AAAAAC77/5U=")</f>
        <v>#VALUE!</v>
      </c>
      <c r="EU1" t="e">
        <f>AND(icf.183!K19,"AAAAAC77/5Y=")</f>
        <v>#VALUE!</v>
      </c>
      <c r="EV1" t="e">
        <f>AND(icf.183!L19,"AAAAAC77/5c=")</f>
        <v>#VALUE!</v>
      </c>
      <c r="EW1">
        <f>IF(icf.183!20:20,"AAAAAC77/5g=",0)</f>
        <v>0</v>
      </c>
      <c r="EX1" t="e">
        <f>AND(icf.183!A20,"AAAAAC77/5k=")</f>
        <v>#VALUE!</v>
      </c>
      <c r="EY1" t="e">
        <f>AND(icf.183!#REF!,"AAAAAC77/5o=")</f>
        <v>#REF!</v>
      </c>
      <c r="EZ1" t="e">
        <f>AND(icf.183!H20,"AAAAAC77/5s=")</f>
        <v>#VALUE!</v>
      </c>
      <c r="FA1" t="e">
        <f>AND(icf.183!#REF!,"AAAAAC77/5w=")</f>
        <v>#REF!</v>
      </c>
      <c r="FB1" t="e">
        <f>AND(icf.183!J20,"AAAAAC77/50=")</f>
        <v>#VALUE!</v>
      </c>
      <c r="FC1" t="e">
        <f>AND(icf.183!K20,"AAAAAC77/54=")</f>
        <v>#VALUE!</v>
      </c>
      <c r="FD1" t="e">
        <f>AND(icf.183!L20,"AAAAAC77/58=")</f>
        <v>#VALUE!</v>
      </c>
      <c r="FE1">
        <f>IF(icf.183!21:21,"AAAAAC77/6A=",0)</f>
        <v>0</v>
      </c>
      <c r="FF1" t="e">
        <f>AND(icf.183!A21,"AAAAAC77/6E=")</f>
        <v>#VALUE!</v>
      </c>
      <c r="FG1" t="e">
        <f>AND(icf.183!#REF!,"AAAAAC77/6I=")</f>
        <v>#REF!</v>
      </c>
      <c r="FH1" t="e">
        <f>AND(icf.183!H21,"AAAAAC77/6M=")</f>
        <v>#VALUE!</v>
      </c>
      <c r="FI1" t="e">
        <f>AND(icf.183!#REF!,"AAAAAC77/6Q=")</f>
        <v>#REF!</v>
      </c>
      <c r="FJ1" t="e">
        <f>AND(icf.183!J21,"AAAAAC77/6U=")</f>
        <v>#VALUE!</v>
      </c>
      <c r="FK1" t="e">
        <f>AND(icf.183!K21,"AAAAAC77/6Y=")</f>
        <v>#VALUE!</v>
      </c>
      <c r="FL1" t="e">
        <f>AND(icf.183!L21,"AAAAAC77/6c=")</f>
        <v>#VALUE!</v>
      </c>
      <c r="FM1">
        <f>IF(icf.183!22:22,"AAAAAC77/6g=",0)</f>
        <v>0</v>
      </c>
      <c r="FN1" t="e">
        <f>AND(icf.183!A22,"AAAAAC77/6k=")</f>
        <v>#VALUE!</v>
      </c>
      <c r="FO1" t="e">
        <f>AND(icf.183!#REF!,"AAAAAC77/6o=")</f>
        <v>#REF!</v>
      </c>
      <c r="FP1" t="e">
        <f>AND(icf.183!H22,"AAAAAC77/6s=")</f>
        <v>#VALUE!</v>
      </c>
      <c r="FQ1" t="e">
        <f>AND(icf.183!#REF!,"AAAAAC77/6w=")</f>
        <v>#REF!</v>
      </c>
      <c r="FR1" t="e">
        <f>AND(icf.183!J22,"AAAAAC77/60=")</f>
        <v>#VALUE!</v>
      </c>
      <c r="FS1" t="e">
        <f>AND(icf.183!K22,"AAAAAC77/64=")</f>
        <v>#VALUE!</v>
      </c>
      <c r="FT1" t="e">
        <f>AND(icf.183!L22,"AAAAAC77/68=")</f>
        <v>#VALUE!</v>
      </c>
      <c r="FU1">
        <f>IF(icf.183!23:23,"AAAAAC77/7A=",0)</f>
        <v>0</v>
      </c>
      <c r="FV1" t="e">
        <f>AND(icf.183!A23,"AAAAAC77/7E=")</f>
        <v>#VALUE!</v>
      </c>
      <c r="FW1" t="e">
        <f>AND(icf.183!#REF!,"AAAAAC77/7I=")</f>
        <v>#REF!</v>
      </c>
      <c r="FX1" t="e">
        <f>AND(icf.183!H23,"AAAAAC77/7M=")</f>
        <v>#VALUE!</v>
      </c>
      <c r="FY1" t="e">
        <f>AND(icf.183!#REF!,"AAAAAC77/7Q=")</f>
        <v>#REF!</v>
      </c>
      <c r="FZ1" t="e">
        <f>AND(icf.183!J23,"AAAAAC77/7U=")</f>
        <v>#VALUE!</v>
      </c>
      <c r="GA1" t="e">
        <f>AND(icf.183!K23,"AAAAAC77/7Y=")</f>
        <v>#VALUE!</v>
      </c>
      <c r="GB1" t="e">
        <f>AND(icf.183!L23,"AAAAAC77/7c=")</f>
        <v>#VALUE!</v>
      </c>
      <c r="GC1">
        <f>IF(icf.183!24:24,"AAAAAC77/7g=",0)</f>
        <v>0</v>
      </c>
      <c r="GD1" t="e">
        <f>AND(icf.183!A24,"AAAAAC77/7k=")</f>
        <v>#VALUE!</v>
      </c>
      <c r="GE1" t="e">
        <f>AND(icf.183!#REF!,"AAAAAC77/7o=")</f>
        <v>#REF!</v>
      </c>
      <c r="GF1" t="e">
        <f>AND(icf.183!H24,"AAAAAC77/7s=")</f>
        <v>#VALUE!</v>
      </c>
      <c r="GG1" t="e">
        <f>AND(icf.183!#REF!,"AAAAAC77/7w=")</f>
        <v>#REF!</v>
      </c>
      <c r="GH1" t="e">
        <f>AND(icf.183!J24,"AAAAAC77/70=")</f>
        <v>#VALUE!</v>
      </c>
      <c r="GI1" t="e">
        <f>AND(icf.183!K24,"AAAAAC77/74=")</f>
        <v>#VALUE!</v>
      </c>
      <c r="GJ1" t="e">
        <f>AND(icf.183!L24,"AAAAAC77/78=")</f>
        <v>#VALUE!</v>
      </c>
      <c r="GK1">
        <f>IF(icf.183!25:25,"AAAAAC77/8A=",0)</f>
        <v>0</v>
      </c>
      <c r="GL1" t="e">
        <f>AND(icf.183!A25,"AAAAAC77/8E=")</f>
        <v>#VALUE!</v>
      </c>
      <c r="GM1" t="e">
        <f>AND(icf.183!#REF!,"AAAAAC77/8I=")</f>
        <v>#REF!</v>
      </c>
      <c r="GN1" t="e">
        <f>AND(icf.183!H25,"AAAAAC77/8M=")</f>
        <v>#VALUE!</v>
      </c>
      <c r="GO1" t="e">
        <f>AND(icf.183!#REF!,"AAAAAC77/8Q=")</f>
        <v>#REF!</v>
      </c>
      <c r="GP1" t="e">
        <f>AND(icf.183!J25,"AAAAAC77/8U=")</f>
        <v>#VALUE!</v>
      </c>
      <c r="GQ1" t="e">
        <f>AND(icf.183!K25,"AAAAAC77/8Y=")</f>
        <v>#VALUE!</v>
      </c>
      <c r="GR1" t="e">
        <f>AND(icf.183!L25,"AAAAAC77/8c=")</f>
        <v>#VALUE!</v>
      </c>
      <c r="GS1">
        <f>IF(icf.183!26:26,"AAAAAC77/8g=",0)</f>
        <v>0</v>
      </c>
      <c r="GT1" t="e">
        <f>AND(icf.183!A26,"AAAAAC77/8k=")</f>
        <v>#VALUE!</v>
      </c>
      <c r="GU1" t="e">
        <f>AND(icf.183!#REF!,"AAAAAC77/8o=")</f>
        <v>#REF!</v>
      </c>
      <c r="GV1" t="e">
        <f>AND(icf.183!H26,"AAAAAC77/8s=")</f>
        <v>#VALUE!</v>
      </c>
      <c r="GW1" t="e">
        <f>AND(icf.183!#REF!,"AAAAAC77/8w=")</f>
        <v>#REF!</v>
      </c>
      <c r="GX1" t="e">
        <f>AND(icf.183!J26,"AAAAAC77/80=")</f>
        <v>#VALUE!</v>
      </c>
      <c r="GY1" t="e">
        <f>AND(icf.183!K26,"AAAAAC77/84=")</f>
        <v>#VALUE!</v>
      </c>
      <c r="GZ1" t="e">
        <f>AND(icf.183!L26,"AAAAAC77/88=")</f>
        <v>#VALUE!</v>
      </c>
      <c r="HA1">
        <f>IF(icf.183!27:27,"AAAAAC77/9A=",0)</f>
        <v>0</v>
      </c>
      <c r="HB1" t="e">
        <f>AND(icf.183!A27,"AAAAAC77/9E=")</f>
        <v>#VALUE!</v>
      </c>
      <c r="HC1" t="e">
        <f>AND(icf.183!#REF!,"AAAAAC77/9I=")</f>
        <v>#REF!</v>
      </c>
      <c r="HD1" t="e">
        <f>AND(icf.183!H27,"AAAAAC77/9M=")</f>
        <v>#VALUE!</v>
      </c>
      <c r="HE1" t="e">
        <f>AND(icf.183!#REF!,"AAAAAC77/9Q=")</f>
        <v>#REF!</v>
      </c>
      <c r="HF1" t="e">
        <f>AND(icf.183!J27,"AAAAAC77/9U=")</f>
        <v>#VALUE!</v>
      </c>
      <c r="HG1" t="e">
        <f>AND(icf.183!K27,"AAAAAC77/9Y=")</f>
        <v>#VALUE!</v>
      </c>
      <c r="HH1" t="e">
        <f>AND(icf.183!L27,"AAAAAC77/9c=")</f>
        <v>#VALUE!</v>
      </c>
      <c r="HI1">
        <f>IF(icf.183!28:28,"AAAAAC77/9g=",0)</f>
        <v>0</v>
      </c>
      <c r="HJ1" t="e">
        <f>AND(icf.183!A28,"AAAAAC77/9k=")</f>
        <v>#VALUE!</v>
      </c>
      <c r="HK1" t="e">
        <f>AND(icf.183!#REF!,"AAAAAC77/9o=")</f>
        <v>#REF!</v>
      </c>
      <c r="HL1" t="e">
        <f>AND(icf.183!H28,"AAAAAC77/9s=")</f>
        <v>#VALUE!</v>
      </c>
      <c r="HM1" t="e">
        <f>AND(icf.183!#REF!,"AAAAAC77/9w=")</f>
        <v>#REF!</v>
      </c>
      <c r="HN1" t="e">
        <f>AND(icf.183!J28,"AAAAAC77/90=")</f>
        <v>#VALUE!</v>
      </c>
      <c r="HO1" t="e">
        <f>AND(icf.183!K28,"AAAAAC77/94=")</f>
        <v>#VALUE!</v>
      </c>
      <c r="HP1" t="e">
        <f>AND(icf.183!L28,"AAAAAC77/98=")</f>
        <v>#VALUE!</v>
      </c>
      <c r="HQ1">
        <f>IF(icf.183!29:29,"AAAAAC77/+A=",0)</f>
        <v>0</v>
      </c>
      <c r="HR1" t="e">
        <f>AND(icf.183!A29,"AAAAAC77/+E=")</f>
        <v>#VALUE!</v>
      </c>
      <c r="HS1" t="e">
        <f>AND(icf.183!#REF!,"AAAAAC77/+I=")</f>
        <v>#REF!</v>
      </c>
      <c r="HT1" t="e">
        <f>AND(icf.183!H29,"AAAAAC77/+M=")</f>
        <v>#VALUE!</v>
      </c>
      <c r="HU1" t="e">
        <f>AND(icf.183!#REF!,"AAAAAC77/+Q=")</f>
        <v>#REF!</v>
      </c>
      <c r="HV1" t="e">
        <f>AND(icf.183!J29,"AAAAAC77/+U=")</f>
        <v>#VALUE!</v>
      </c>
      <c r="HW1" t="e">
        <f>AND(icf.183!K29,"AAAAAC77/+Y=")</f>
        <v>#VALUE!</v>
      </c>
      <c r="HX1" t="e">
        <f>AND(icf.183!L29,"AAAAAC77/+c=")</f>
        <v>#VALUE!</v>
      </c>
      <c r="HY1">
        <f>IF(icf.183!30:30,"AAAAAC77/+g=",0)</f>
        <v>0</v>
      </c>
      <c r="HZ1" t="e">
        <f>AND(icf.183!A30,"AAAAAC77/+k=")</f>
        <v>#VALUE!</v>
      </c>
      <c r="IA1" t="e">
        <f>AND(icf.183!#REF!,"AAAAAC77/+o=")</f>
        <v>#REF!</v>
      </c>
      <c r="IB1" t="e">
        <f>AND(icf.183!H30,"AAAAAC77/+s=")</f>
        <v>#VALUE!</v>
      </c>
      <c r="IC1" t="e">
        <f>AND(icf.183!#REF!,"AAAAAC77/+w=")</f>
        <v>#REF!</v>
      </c>
      <c r="ID1" t="e">
        <f>AND(icf.183!J30,"AAAAAC77/+0=")</f>
        <v>#VALUE!</v>
      </c>
      <c r="IE1" t="e">
        <f>AND(icf.183!K30,"AAAAAC77/+4=")</f>
        <v>#VALUE!</v>
      </c>
      <c r="IF1" t="e">
        <f>AND(icf.183!L30,"AAAAAC77/+8=")</f>
        <v>#VALUE!</v>
      </c>
      <c r="IG1">
        <f>IF(icf.183!31:31,"AAAAAC77//A=",0)</f>
        <v>0</v>
      </c>
      <c r="IH1" t="e">
        <f>AND(icf.183!A31,"AAAAAC77//E=")</f>
        <v>#VALUE!</v>
      </c>
      <c r="II1" t="e">
        <f>AND(icf.183!#REF!,"AAAAAC77//I=")</f>
        <v>#REF!</v>
      </c>
      <c r="IJ1" t="e">
        <f>AND(icf.183!H31,"AAAAAC77//M=")</f>
        <v>#VALUE!</v>
      </c>
      <c r="IK1" t="e">
        <f>AND(icf.183!#REF!,"AAAAAC77//Q=")</f>
        <v>#REF!</v>
      </c>
      <c r="IL1" t="e">
        <f>AND(icf.183!J31,"AAAAAC77//U=")</f>
        <v>#VALUE!</v>
      </c>
      <c r="IM1" t="e">
        <f>AND(icf.183!K31,"AAAAAC77//Y=")</f>
        <v>#VALUE!</v>
      </c>
      <c r="IN1" t="e">
        <f>AND(icf.183!L31,"AAAAAC77//c=")</f>
        <v>#VALUE!</v>
      </c>
      <c r="IO1">
        <f>IF(icf.183!32:32,"AAAAAC77//g=",0)</f>
        <v>0</v>
      </c>
      <c r="IP1" t="e">
        <f>AND(icf.183!A32,"AAAAAC77//k=")</f>
        <v>#VALUE!</v>
      </c>
      <c r="IQ1" t="e">
        <f>AND(icf.183!#REF!,"AAAAAC77//o=")</f>
        <v>#REF!</v>
      </c>
      <c r="IR1" t="e">
        <f>AND(icf.183!H32,"AAAAAC77//s=")</f>
        <v>#VALUE!</v>
      </c>
      <c r="IS1" t="e">
        <f>AND(icf.183!#REF!,"AAAAAC77//w=")</f>
        <v>#REF!</v>
      </c>
      <c r="IT1" t="e">
        <f>AND(icf.183!J32,"AAAAAC77//0=")</f>
        <v>#VALUE!</v>
      </c>
      <c r="IU1" t="e">
        <f>AND(icf.183!K32,"AAAAAC77//4=")</f>
        <v>#VALUE!</v>
      </c>
      <c r="IV1" t="e">
        <f>AND(icf.183!L32,"AAAAAC77//8=")</f>
        <v>#VALUE!</v>
      </c>
    </row>
    <row r="2" spans="1:256">
      <c r="A2" t="str">
        <f>IF(icf.183!33:33,"AAAAAH/OzAA=",0)</f>
        <v>AAAAAH/OzAA=</v>
      </c>
      <c r="B2" t="e">
        <f>AND(icf.183!A33,"AAAAAH/OzAE=")</f>
        <v>#VALUE!</v>
      </c>
      <c r="C2" t="e">
        <f>AND(icf.183!#REF!,"AAAAAH/OzAI=")</f>
        <v>#REF!</v>
      </c>
      <c r="D2" t="e">
        <f>AND(icf.183!H33,"AAAAAH/OzAM=")</f>
        <v>#VALUE!</v>
      </c>
      <c r="E2" t="e">
        <f>AND(icf.183!#REF!,"AAAAAH/OzAQ=")</f>
        <v>#REF!</v>
      </c>
      <c r="F2" t="e">
        <f>AND(icf.183!J33,"AAAAAH/OzAU=")</f>
        <v>#VALUE!</v>
      </c>
      <c r="G2" t="e">
        <f>AND(icf.183!K33,"AAAAAH/OzAY=")</f>
        <v>#VALUE!</v>
      </c>
      <c r="H2" t="e">
        <f>AND(icf.183!L33,"AAAAAH/OzAc=")</f>
        <v>#VALUE!</v>
      </c>
      <c r="I2">
        <f>IF(icf.183!34:34,"AAAAAH/OzAg=",0)</f>
        <v>0</v>
      </c>
      <c r="J2" t="e">
        <f>AND(icf.183!A34,"AAAAAH/OzAk=")</f>
        <v>#VALUE!</v>
      </c>
      <c r="K2" t="e">
        <f>AND(icf.183!#REF!,"AAAAAH/OzAo=")</f>
        <v>#REF!</v>
      </c>
      <c r="L2" t="e">
        <f>AND(icf.183!H34,"AAAAAH/OzAs=")</f>
        <v>#VALUE!</v>
      </c>
      <c r="M2" t="e">
        <f>AND(icf.183!#REF!,"AAAAAH/OzAw=")</f>
        <v>#REF!</v>
      </c>
      <c r="N2" t="e">
        <f>AND(icf.183!J34,"AAAAAH/OzA0=")</f>
        <v>#VALUE!</v>
      </c>
      <c r="O2" t="e">
        <f>AND(icf.183!K34,"AAAAAH/OzA4=")</f>
        <v>#VALUE!</v>
      </c>
      <c r="P2" t="e">
        <f>AND(icf.183!L34,"AAAAAH/OzA8=")</f>
        <v>#VALUE!</v>
      </c>
      <c r="Q2" t="str">
        <f>IF(icf.183!35:35,"AAAAAH/OzBA=",0)</f>
        <v>AAAAAH/OzBA=</v>
      </c>
      <c r="R2" t="e">
        <f>AND(icf.183!A35,"AAAAAH/OzBE=")</f>
        <v>#VALUE!</v>
      </c>
      <c r="S2" t="e">
        <f>AND(icf.183!#REF!,"AAAAAH/OzBI=")</f>
        <v>#REF!</v>
      </c>
      <c r="T2" t="e">
        <f>AND(icf.183!H35,"AAAAAH/OzBM=")</f>
        <v>#VALUE!</v>
      </c>
      <c r="U2" t="e">
        <f>AND(icf.183!#REF!,"AAAAAH/OzBQ=")</f>
        <v>#REF!</v>
      </c>
      <c r="V2" t="e">
        <f>AND(icf.183!J35,"AAAAAH/OzBU=")</f>
        <v>#VALUE!</v>
      </c>
      <c r="W2" t="e">
        <f>AND(icf.183!K35,"AAAAAH/OzBY=")</f>
        <v>#VALUE!</v>
      </c>
      <c r="X2" t="e">
        <f>AND(icf.183!L35,"AAAAAH/OzBc=")</f>
        <v>#VALUE!</v>
      </c>
      <c r="Y2" t="str">
        <f>IF(icf.183!36:36,"AAAAAH/OzBg=",0)</f>
        <v>AAAAAH/OzBg=</v>
      </c>
      <c r="Z2" t="e">
        <f>AND(icf.183!A36,"AAAAAH/OzBk=")</f>
        <v>#VALUE!</v>
      </c>
      <c r="AA2" t="e">
        <f>AND(icf.183!#REF!,"AAAAAH/OzBo=")</f>
        <v>#REF!</v>
      </c>
      <c r="AB2" t="e">
        <f>AND(icf.183!H36,"AAAAAH/OzBs=")</f>
        <v>#VALUE!</v>
      </c>
      <c r="AC2" t="e">
        <f>AND(icf.183!#REF!,"AAAAAH/OzBw=")</f>
        <v>#REF!</v>
      </c>
      <c r="AD2" t="e">
        <f>AND(icf.183!J36,"AAAAAH/OzB0=")</f>
        <v>#VALUE!</v>
      </c>
      <c r="AE2" t="e">
        <f>AND(icf.183!K36,"AAAAAH/OzB4=")</f>
        <v>#VALUE!</v>
      </c>
      <c r="AF2" t="e">
        <f>AND(icf.183!L36,"AAAAAH/OzB8=")</f>
        <v>#VALUE!</v>
      </c>
      <c r="AG2" t="e">
        <f>IF(icf.183!37:37,"AAAAAH/OzCA=",0)</f>
        <v>#VALUE!</v>
      </c>
      <c r="AH2" t="e">
        <f>AND(icf.183!A37,"AAAAAH/OzCE=")</f>
        <v>#VALUE!</v>
      </c>
      <c r="AI2" t="e">
        <f>AND(icf.183!#REF!,"AAAAAH/OzCI=")</f>
        <v>#REF!</v>
      </c>
      <c r="AJ2" t="e">
        <f>AND(icf.183!H37,"AAAAAH/OzCM=")</f>
        <v>#VALUE!</v>
      </c>
      <c r="AK2" t="e">
        <f>AND(icf.183!#REF!,"AAAAAH/OzCQ=")</f>
        <v>#REF!</v>
      </c>
      <c r="AL2" t="e">
        <f>AND(icf.183!J37,"AAAAAH/OzCU=")</f>
        <v>#VALUE!</v>
      </c>
      <c r="AM2" t="e">
        <f>AND(icf.183!K37,"AAAAAH/OzCY=")</f>
        <v>#VALUE!</v>
      </c>
      <c r="AN2" t="e">
        <f>AND(icf.183!L37,"AAAAAH/OzCc=")</f>
        <v>#VALUE!</v>
      </c>
      <c r="AO2" t="str">
        <f>IF(icf.183!38:38,"AAAAAH/OzCg=",0)</f>
        <v>AAAAAH/OzCg=</v>
      </c>
      <c r="AP2" t="e">
        <f>AND(icf.183!A38,"AAAAAH/OzCk=")</f>
        <v>#VALUE!</v>
      </c>
      <c r="AQ2" t="e">
        <f>AND(icf.183!#REF!,"AAAAAH/OzCo=")</f>
        <v>#REF!</v>
      </c>
      <c r="AR2" t="e">
        <f>AND(icf.183!H38,"AAAAAH/OzCs=")</f>
        <v>#VALUE!</v>
      </c>
      <c r="AS2" t="e">
        <f>AND(icf.183!#REF!,"AAAAAH/OzCw=")</f>
        <v>#REF!</v>
      </c>
      <c r="AT2" t="e">
        <f>AND(icf.183!J38,"AAAAAH/OzC0=")</f>
        <v>#VALUE!</v>
      </c>
      <c r="AU2" t="e">
        <f>AND(icf.183!K38,"AAAAAH/OzC4=")</f>
        <v>#VALUE!</v>
      </c>
      <c r="AV2" t="e">
        <f>AND(icf.183!L38,"AAAAAH/OzC8=")</f>
        <v>#VALUE!</v>
      </c>
      <c r="AW2" t="str">
        <f>IF(icf.183!39:39,"AAAAAH/OzDA=",0)</f>
        <v>AAAAAH/OzDA=</v>
      </c>
      <c r="AX2" t="e">
        <f>AND(icf.183!A39,"AAAAAH/OzDE=")</f>
        <v>#VALUE!</v>
      </c>
      <c r="AY2" t="e">
        <f>AND(icf.183!#REF!,"AAAAAH/OzDI=")</f>
        <v>#REF!</v>
      </c>
      <c r="AZ2" t="e">
        <f>AND(icf.183!H39,"AAAAAH/OzDM=")</f>
        <v>#VALUE!</v>
      </c>
      <c r="BA2" t="e">
        <f>AND(icf.183!#REF!,"AAAAAH/OzDQ=")</f>
        <v>#REF!</v>
      </c>
      <c r="BB2" t="e">
        <f>AND(icf.183!J39,"AAAAAH/OzDU=")</f>
        <v>#VALUE!</v>
      </c>
      <c r="BC2" t="e">
        <f>AND(icf.183!K39,"AAAAAH/OzDY=")</f>
        <v>#VALUE!</v>
      </c>
      <c r="BD2" t="e">
        <f>AND(icf.183!L39,"AAAAAH/OzDc=")</f>
        <v>#VALUE!</v>
      </c>
      <c r="BE2">
        <f>IF(icf.183!40:40,"AAAAAH/OzDg=",0)</f>
        <v>0</v>
      </c>
      <c r="BF2" t="e">
        <f>AND(icf.183!A40,"AAAAAH/OzDk=")</f>
        <v>#VALUE!</v>
      </c>
      <c r="BG2" t="e">
        <f>AND(icf.183!#REF!,"AAAAAH/OzDo=")</f>
        <v>#REF!</v>
      </c>
      <c r="BH2" t="e">
        <f>AND(icf.183!H40,"AAAAAH/OzDs=")</f>
        <v>#VALUE!</v>
      </c>
      <c r="BI2" t="e">
        <f>AND(icf.183!#REF!,"AAAAAH/OzDw=")</f>
        <v>#REF!</v>
      </c>
      <c r="BJ2" t="e">
        <f>AND(icf.183!J40,"AAAAAH/OzD0=")</f>
        <v>#VALUE!</v>
      </c>
      <c r="BK2" t="e">
        <f>AND(icf.183!K40,"AAAAAH/OzD4=")</f>
        <v>#VALUE!</v>
      </c>
      <c r="BL2" t="e">
        <f>AND(icf.183!L40,"AAAAAH/OzD8=")</f>
        <v>#VALUE!</v>
      </c>
      <c r="BM2">
        <f>IF(icf.183!41:41,"AAAAAH/OzEA=",0)</f>
        <v>0</v>
      </c>
      <c r="BN2" t="e">
        <f>AND(icf.183!A41,"AAAAAH/OzEE=")</f>
        <v>#VALUE!</v>
      </c>
      <c r="BO2" t="e">
        <f>AND(icf.183!#REF!,"AAAAAH/OzEI=")</f>
        <v>#REF!</v>
      </c>
      <c r="BP2" t="e">
        <f>AND(icf.183!H41,"AAAAAH/OzEM=")</f>
        <v>#VALUE!</v>
      </c>
      <c r="BQ2" t="e">
        <f>AND(icf.183!#REF!,"AAAAAH/OzEQ=")</f>
        <v>#REF!</v>
      </c>
      <c r="BR2" t="e">
        <f>AND(icf.183!J41,"AAAAAH/OzEU=")</f>
        <v>#VALUE!</v>
      </c>
      <c r="BS2" t="e">
        <f>AND(icf.183!K41,"AAAAAH/OzEY=")</f>
        <v>#VALUE!</v>
      </c>
      <c r="BT2" t="e">
        <f>AND(icf.183!L41,"AAAAAH/OzEc=")</f>
        <v>#VALUE!</v>
      </c>
      <c r="BU2">
        <f>IF(icf.183!42:42,"AAAAAH/OzEg=",0)</f>
        <v>0</v>
      </c>
      <c r="BV2" t="e">
        <f>AND(icf.183!A42,"AAAAAH/OzEk=")</f>
        <v>#VALUE!</v>
      </c>
      <c r="BW2" t="e">
        <f>AND(icf.183!#REF!,"AAAAAH/OzEo=")</f>
        <v>#REF!</v>
      </c>
      <c r="BX2" t="e">
        <f>AND(icf.183!H42,"AAAAAH/OzEs=")</f>
        <v>#VALUE!</v>
      </c>
      <c r="BY2" t="e">
        <f>AND(icf.183!#REF!,"AAAAAH/OzEw=")</f>
        <v>#REF!</v>
      </c>
      <c r="BZ2" t="e">
        <f>AND(icf.183!J42,"AAAAAH/OzE0=")</f>
        <v>#VALUE!</v>
      </c>
      <c r="CA2" t="e">
        <f>AND(icf.183!K42,"AAAAAH/OzE4=")</f>
        <v>#VALUE!</v>
      </c>
      <c r="CB2" t="e">
        <f>AND(icf.183!L42,"AAAAAH/OzE8=")</f>
        <v>#VALUE!</v>
      </c>
      <c r="CC2">
        <f>IF(icf.183!43:43,"AAAAAH/OzFA=",0)</f>
        <v>0</v>
      </c>
      <c r="CD2" t="e">
        <f>AND(icf.183!A43,"AAAAAH/OzFE=")</f>
        <v>#VALUE!</v>
      </c>
      <c r="CE2" t="e">
        <f>AND(icf.183!#REF!,"AAAAAH/OzFI=")</f>
        <v>#REF!</v>
      </c>
      <c r="CF2" t="e">
        <f>AND(icf.183!H43,"AAAAAH/OzFM=")</f>
        <v>#VALUE!</v>
      </c>
      <c r="CG2" t="e">
        <f>AND(icf.183!#REF!,"AAAAAH/OzFQ=")</f>
        <v>#REF!</v>
      </c>
      <c r="CH2" t="e">
        <f>AND(icf.183!J43,"AAAAAH/OzFU=")</f>
        <v>#VALUE!</v>
      </c>
      <c r="CI2" t="e">
        <f>AND(icf.183!K43,"AAAAAH/OzFY=")</f>
        <v>#VALUE!</v>
      </c>
      <c r="CJ2" t="e">
        <f>AND(icf.183!L43,"AAAAAH/OzFc=")</f>
        <v>#VALUE!</v>
      </c>
      <c r="CK2">
        <f>IF(icf.183!44:44,"AAAAAH/OzFg=",0)</f>
        <v>0</v>
      </c>
      <c r="CL2" t="e">
        <f>AND(icf.183!A44,"AAAAAH/OzFk=")</f>
        <v>#VALUE!</v>
      </c>
      <c r="CM2" t="e">
        <f>AND(icf.183!#REF!,"AAAAAH/OzFo=")</f>
        <v>#REF!</v>
      </c>
      <c r="CN2" t="e">
        <f>AND(icf.183!H44,"AAAAAH/OzFs=")</f>
        <v>#VALUE!</v>
      </c>
      <c r="CO2" t="e">
        <f>AND(icf.183!#REF!,"AAAAAH/OzFw=")</f>
        <v>#REF!</v>
      </c>
      <c r="CP2" t="e">
        <f>AND(icf.183!J44,"AAAAAH/OzF0=")</f>
        <v>#VALUE!</v>
      </c>
      <c r="CQ2" t="e">
        <f>AND(icf.183!K44,"AAAAAH/OzF4=")</f>
        <v>#VALUE!</v>
      </c>
      <c r="CR2" t="e">
        <f>AND(icf.183!L44,"AAAAAH/OzF8=")</f>
        <v>#VALUE!</v>
      </c>
      <c r="CS2">
        <f>IF(icf.183!45:45,"AAAAAH/OzGA=",0)</f>
        <v>0</v>
      </c>
      <c r="CT2" t="e">
        <f>AND(icf.183!A45,"AAAAAH/OzGE=")</f>
        <v>#VALUE!</v>
      </c>
      <c r="CU2" t="e">
        <f>AND(icf.183!#REF!,"AAAAAH/OzGI=")</f>
        <v>#REF!</v>
      </c>
      <c r="CV2" t="e">
        <f>AND(icf.183!H45,"AAAAAH/OzGM=")</f>
        <v>#VALUE!</v>
      </c>
      <c r="CW2" t="e">
        <f>AND(icf.183!#REF!,"AAAAAH/OzGQ=")</f>
        <v>#REF!</v>
      </c>
      <c r="CX2" t="e">
        <f>AND(icf.183!J45,"AAAAAH/OzGU=")</f>
        <v>#VALUE!</v>
      </c>
      <c r="CY2" t="e">
        <f>AND(icf.183!K45,"AAAAAH/OzGY=")</f>
        <v>#VALUE!</v>
      </c>
      <c r="CZ2" t="e">
        <f>AND(icf.183!L45,"AAAAAH/OzGc=")</f>
        <v>#VALUE!</v>
      </c>
      <c r="DA2">
        <f>IF(icf.183!46:46,"AAAAAH/OzGg=",0)</f>
        <v>0</v>
      </c>
      <c r="DB2" t="e">
        <f>AND(icf.183!A46,"AAAAAH/OzGk=")</f>
        <v>#VALUE!</v>
      </c>
      <c r="DC2" t="e">
        <f>AND(icf.183!#REF!,"AAAAAH/OzGo=")</f>
        <v>#REF!</v>
      </c>
      <c r="DD2" t="e">
        <f>AND(icf.183!H46,"AAAAAH/OzGs=")</f>
        <v>#VALUE!</v>
      </c>
      <c r="DE2" t="e">
        <f>AND(icf.183!#REF!,"AAAAAH/OzGw=")</f>
        <v>#REF!</v>
      </c>
      <c r="DF2" t="e">
        <f>AND(icf.183!J46,"AAAAAH/OzG0=")</f>
        <v>#VALUE!</v>
      </c>
      <c r="DG2" t="e">
        <f>AND(icf.183!K46,"AAAAAH/OzG4=")</f>
        <v>#VALUE!</v>
      </c>
      <c r="DH2" t="e">
        <f>AND(icf.183!L46,"AAAAAH/OzG8=")</f>
        <v>#VALUE!</v>
      </c>
      <c r="DI2">
        <f>IF(icf.183!47:47,"AAAAAH/OzHA=",0)</f>
        <v>0</v>
      </c>
      <c r="DJ2" t="e">
        <f>AND(icf.183!A47,"AAAAAH/OzHE=")</f>
        <v>#VALUE!</v>
      </c>
      <c r="DK2" t="e">
        <f>AND(icf.183!#REF!,"AAAAAH/OzHI=")</f>
        <v>#REF!</v>
      </c>
      <c r="DL2" t="e">
        <f>AND(icf.183!H47,"AAAAAH/OzHM=")</f>
        <v>#VALUE!</v>
      </c>
      <c r="DM2" t="e">
        <f>AND(icf.183!#REF!,"AAAAAH/OzHQ=")</f>
        <v>#REF!</v>
      </c>
      <c r="DN2" t="e">
        <f>AND(icf.183!J47,"AAAAAH/OzHU=")</f>
        <v>#VALUE!</v>
      </c>
      <c r="DO2" t="e">
        <f>AND(icf.183!K47,"AAAAAH/OzHY=")</f>
        <v>#VALUE!</v>
      </c>
      <c r="DP2" t="e">
        <f>AND(icf.183!L47,"AAAAAH/OzHc=")</f>
        <v>#VALUE!</v>
      </c>
      <c r="DQ2">
        <f>IF(icf.183!48:48,"AAAAAH/OzHg=",0)</f>
        <v>0</v>
      </c>
      <c r="DR2" t="e">
        <f>AND(icf.183!A48,"AAAAAH/OzHk=")</f>
        <v>#VALUE!</v>
      </c>
      <c r="DS2" t="e">
        <f>AND(icf.183!#REF!,"AAAAAH/OzHo=")</f>
        <v>#REF!</v>
      </c>
      <c r="DT2" t="e">
        <f>AND(icf.183!H48,"AAAAAH/OzHs=")</f>
        <v>#VALUE!</v>
      </c>
      <c r="DU2" t="e">
        <f>AND(icf.183!#REF!,"AAAAAH/OzHw=")</f>
        <v>#REF!</v>
      </c>
      <c r="DV2" t="e">
        <f>AND(icf.183!J48,"AAAAAH/OzH0=")</f>
        <v>#VALUE!</v>
      </c>
      <c r="DW2" t="e">
        <f>AND(icf.183!K48,"AAAAAH/OzH4=")</f>
        <v>#VALUE!</v>
      </c>
      <c r="DX2" t="e">
        <f>AND(icf.183!L48,"AAAAAH/OzH8=")</f>
        <v>#VALUE!</v>
      </c>
      <c r="DY2">
        <f>IF(icf.183!49:49,"AAAAAH/OzIA=",0)</f>
        <v>0</v>
      </c>
      <c r="DZ2" t="e">
        <f>AND(icf.183!A49,"AAAAAH/OzIE=")</f>
        <v>#VALUE!</v>
      </c>
      <c r="EA2" t="e">
        <f>AND(icf.183!#REF!,"AAAAAH/OzII=")</f>
        <v>#REF!</v>
      </c>
      <c r="EB2" t="e">
        <f>AND(icf.183!H49,"AAAAAH/OzIM=")</f>
        <v>#VALUE!</v>
      </c>
      <c r="EC2" t="e">
        <f>AND(icf.183!#REF!,"AAAAAH/OzIQ=")</f>
        <v>#REF!</v>
      </c>
      <c r="ED2" t="e">
        <f>AND(icf.183!J49,"AAAAAH/OzIU=")</f>
        <v>#VALUE!</v>
      </c>
      <c r="EE2" t="e">
        <f>AND(icf.183!K49,"AAAAAH/OzIY=")</f>
        <v>#VALUE!</v>
      </c>
      <c r="EF2" t="e">
        <f>AND(icf.183!L49,"AAAAAH/OzIc=")</f>
        <v>#VALUE!</v>
      </c>
      <c r="EG2">
        <f>IF(icf.183!50:50,"AAAAAH/OzIg=",0)</f>
        <v>0</v>
      </c>
      <c r="EH2" t="e">
        <f>AND(icf.183!A50,"AAAAAH/OzIk=")</f>
        <v>#VALUE!</v>
      </c>
      <c r="EI2" t="e">
        <f>AND(icf.183!#REF!,"AAAAAH/OzIo=")</f>
        <v>#REF!</v>
      </c>
      <c r="EJ2" t="e">
        <f>AND(icf.183!H50,"AAAAAH/OzIs=")</f>
        <v>#VALUE!</v>
      </c>
      <c r="EK2" t="e">
        <f>AND(icf.183!#REF!,"AAAAAH/OzIw=")</f>
        <v>#REF!</v>
      </c>
      <c r="EL2" t="e">
        <f>AND(icf.183!J50,"AAAAAH/OzI0=")</f>
        <v>#VALUE!</v>
      </c>
      <c r="EM2" t="e">
        <f>AND(icf.183!K50,"AAAAAH/OzI4=")</f>
        <v>#VALUE!</v>
      </c>
      <c r="EN2" t="e">
        <f>AND(icf.183!L50,"AAAAAH/OzI8=")</f>
        <v>#VALUE!</v>
      </c>
      <c r="EO2">
        <f>IF(icf.183!51:51,"AAAAAH/OzJA=",0)</f>
        <v>0</v>
      </c>
      <c r="EP2" t="e">
        <f>AND(icf.183!A51,"AAAAAH/OzJE=")</f>
        <v>#VALUE!</v>
      </c>
      <c r="EQ2" t="e">
        <f>AND(icf.183!#REF!,"AAAAAH/OzJI=")</f>
        <v>#REF!</v>
      </c>
      <c r="ER2" t="e">
        <f>AND(icf.183!H51,"AAAAAH/OzJM=")</f>
        <v>#VALUE!</v>
      </c>
      <c r="ES2" t="e">
        <f>AND(icf.183!#REF!,"AAAAAH/OzJQ=")</f>
        <v>#REF!</v>
      </c>
      <c r="ET2" t="e">
        <f>AND(icf.183!J51,"AAAAAH/OzJU=")</f>
        <v>#VALUE!</v>
      </c>
      <c r="EU2" t="e">
        <f>AND(icf.183!K51,"AAAAAH/OzJY=")</f>
        <v>#VALUE!</v>
      </c>
      <c r="EV2" t="e">
        <f>AND(icf.183!L51,"AAAAAH/OzJc=")</f>
        <v>#VALUE!</v>
      </c>
      <c r="EW2">
        <f>IF(icf.183!52:52,"AAAAAH/OzJg=",0)</f>
        <v>0</v>
      </c>
      <c r="EX2" t="e">
        <f>AND(icf.183!A52,"AAAAAH/OzJk=")</f>
        <v>#VALUE!</v>
      </c>
      <c r="EY2" t="e">
        <f>AND(icf.183!#REF!,"AAAAAH/OzJo=")</f>
        <v>#REF!</v>
      </c>
      <c r="EZ2" t="e">
        <f>AND(icf.183!H52,"AAAAAH/OzJs=")</f>
        <v>#VALUE!</v>
      </c>
      <c r="FA2" t="e">
        <f>AND(icf.183!#REF!,"AAAAAH/OzJw=")</f>
        <v>#REF!</v>
      </c>
      <c r="FB2" t="e">
        <f>AND(icf.183!J52,"AAAAAH/OzJ0=")</f>
        <v>#VALUE!</v>
      </c>
      <c r="FC2" t="e">
        <f>AND(icf.183!K52,"AAAAAH/OzJ4=")</f>
        <v>#VALUE!</v>
      </c>
      <c r="FD2" t="e">
        <f>AND(icf.183!L52,"AAAAAH/OzJ8=")</f>
        <v>#VALUE!</v>
      </c>
      <c r="FE2">
        <f>IF(icf.183!53:53,"AAAAAH/OzKA=",0)</f>
        <v>0</v>
      </c>
      <c r="FF2" t="e">
        <f>AND(icf.183!A53,"AAAAAH/OzKE=")</f>
        <v>#VALUE!</v>
      </c>
      <c r="FG2" t="e">
        <f>AND(icf.183!#REF!,"AAAAAH/OzKI=")</f>
        <v>#REF!</v>
      </c>
      <c r="FH2" t="e">
        <f>AND(icf.183!H53,"AAAAAH/OzKM=")</f>
        <v>#VALUE!</v>
      </c>
      <c r="FI2" t="e">
        <f>AND(icf.183!#REF!,"AAAAAH/OzKQ=")</f>
        <v>#REF!</v>
      </c>
      <c r="FJ2" t="e">
        <f>AND(icf.183!J53,"AAAAAH/OzKU=")</f>
        <v>#VALUE!</v>
      </c>
      <c r="FK2" t="e">
        <f>AND(icf.183!K53,"AAAAAH/OzKY=")</f>
        <v>#VALUE!</v>
      </c>
      <c r="FL2" t="e">
        <f>AND(icf.183!L53,"AAAAAH/OzKc=")</f>
        <v>#VALUE!</v>
      </c>
      <c r="FM2">
        <f>IF(icf.183!54:54,"AAAAAH/OzKg=",0)</f>
        <v>0</v>
      </c>
      <c r="FN2" t="e">
        <f>AND(icf.183!A54,"AAAAAH/OzKk=")</f>
        <v>#VALUE!</v>
      </c>
      <c r="FO2" t="e">
        <f>AND(icf.183!#REF!,"AAAAAH/OzKo=")</f>
        <v>#REF!</v>
      </c>
      <c r="FP2" t="e">
        <f>AND(icf.183!H54,"AAAAAH/OzKs=")</f>
        <v>#VALUE!</v>
      </c>
      <c r="FQ2" t="e">
        <f>AND(icf.183!#REF!,"AAAAAH/OzKw=")</f>
        <v>#REF!</v>
      </c>
      <c r="FR2" t="e">
        <f>AND(icf.183!J54,"AAAAAH/OzK0=")</f>
        <v>#VALUE!</v>
      </c>
      <c r="FS2" t="e">
        <f>AND(icf.183!K54,"AAAAAH/OzK4=")</f>
        <v>#VALUE!</v>
      </c>
      <c r="FT2" t="e">
        <f>AND(icf.183!L54,"AAAAAH/OzK8=")</f>
        <v>#VALUE!</v>
      </c>
      <c r="FU2" t="e">
        <f>IF(icf.183!A:A,"AAAAAH/OzLA=",0)</f>
        <v>#VALUE!</v>
      </c>
      <c r="FV2" t="e">
        <f>IF(icf.183!#REF!,"AAAAAH/OzLE=",0)</f>
        <v>#REF!</v>
      </c>
      <c r="FW2" t="str">
        <f>IF(icf.183!H:H,"AAAAAH/OzLI=",0)</f>
        <v>AAAAAH/OzLI=</v>
      </c>
      <c r="FX2" t="e">
        <f>IF(icf.183!#REF!,"AAAAAH/OzLM=",0)</f>
        <v>#REF!</v>
      </c>
      <c r="FY2" t="str">
        <f>IF(icf.183!J:J,"AAAAAH/OzLQ=",0)</f>
        <v>AAAAAH/OzLQ=</v>
      </c>
      <c r="FZ2" t="str">
        <f>IF(icf.183!K:K,"AAAAAH/OzLU=",0)</f>
        <v>AAAAAH/OzLU=</v>
      </c>
      <c r="GA2" t="str">
        <f>IF(icf.183!L:L,"AAAAAH/OzLY=",0)</f>
        <v>AAAAAH/OzLY=</v>
      </c>
      <c r="GB2" t="str">
        <f>IF(icf.183!M:M,"AAAAAH/OzLc=",0)</f>
        <v>AAAAAH/OzLc=</v>
      </c>
      <c r="GC2" t="str">
        <f>IF(icf.183!N:N,"AAAAAH/OzLg=",0)</f>
        <v>AAAAAH/OzLg=</v>
      </c>
      <c r="GD2" t="str">
        <f>IF(icf.183!O:O,"AAAAAH/OzLk=",0)</f>
        <v>AAAAAH/OzLk=</v>
      </c>
      <c r="GE2" t="str">
        <f>IF(icf.183!P:P,"AAAAAH/OzLo=",0)</f>
        <v>AAAAAH/OzLo=</v>
      </c>
      <c r="GF2" t="str">
        <f>IF(icf.183!Q:Q,"AAAAAH/OzLs=",0)</f>
        <v>AAAAAH/OzLs=</v>
      </c>
      <c r="GG2" t="str">
        <f>IF(icf.183!R:R,"AAAAAH/OzLw=",0)</f>
        <v>AAAAAH/OzLw=</v>
      </c>
      <c r="GH2" t="str">
        <f>IF(icf.183!T:T,"AAAAAH/OzL0=",0)</f>
        <v>AAAAAH/OzL0=</v>
      </c>
      <c r="GI2" t="str">
        <f>IF(icf.183!U:U,"AAAAAH/OzL4=",0)</f>
        <v>AAAAAH/OzL4=</v>
      </c>
      <c r="GJ2" t="str">
        <f>IF(icf.183!V:V,"AAAAAH/OzL8=",0)</f>
        <v>AAAAAH/OzL8=</v>
      </c>
      <c r="GK2" t="str">
        <f>IF(icf.183!W:W,"AAAAAH/OzMA=",0)</f>
        <v>AAAAAH/OzMA=</v>
      </c>
      <c r="GL2" t="str">
        <f>IF(icf.183!X:X,"AAAAAH/OzME=",0)</f>
        <v>AAAAAH/OzME=</v>
      </c>
      <c r="GM2" t="str">
        <f>IF(icf.183!Y:Y,"AAAAAH/OzMI=",0)</f>
        <v>AAAAAH/OzMI=</v>
      </c>
      <c r="GN2" t="str">
        <f>IF(icf.183!Z:Z,"AAAAAH/OzMM=",0)</f>
        <v>AAAAAH/OzMM=</v>
      </c>
      <c r="GO2" t="str">
        <f>IF(icf.183!AA:AA,"AAAAAH/OzMQ=",0)</f>
        <v>AAAAAH/OzMQ=</v>
      </c>
      <c r="GP2" t="str">
        <f>IF(icf.183!AB:AB,"AAAAAH/OzMU=",0)</f>
        <v>AAAAAH/OzMU=</v>
      </c>
      <c r="GQ2" t="str">
        <f>IF(icf.183!AC:AC,"AAAAAH/OzMY=",0)</f>
        <v>AAAAAH/OzMY=</v>
      </c>
      <c r="GR2" t="e">
        <f>IF(Eventos.183!#REF!,"AAAAAH/OzMc=",0)</f>
        <v>#REF!</v>
      </c>
      <c r="GS2" t="e">
        <f>AND(Eventos.183!#REF!,"AAAAAH/OzMg=")</f>
        <v>#REF!</v>
      </c>
      <c r="GT2" t="e">
        <f>AND(Eventos.183!#REF!,"AAAAAH/OzMk=")</f>
        <v>#REF!</v>
      </c>
      <c r="GU2" t="e">
        <f>AND(Eventos.183!#REF!,"AAAAAH/OzMo=")</f>
        <v>#REF!</v>
      </c>
      <c r="GV2" t="e">
        <f>AND(Eventos.183!#REF!,"AAAAAH/OzMs=")</f>
        <v>#REF!</v>
      </c>
      <c r="GW2" t="e">
        <f>AND(Eventos.183!#REF!,"AAAAAH/OzMw=")</f>
        <v>#REF!</v>
      </c>
      <c r="GX2">
        <f>IF(Eventos.183!6:6,"AAAAAH/OzM0=",0)</f>
        <v>0</v>
      </c>
      <c r="GY2" t="e">
        <f>AND(Eventos.183!A6,"AAAAAH/OzM4=")</f>
        <v>#VALUE!</v>
      </c>
      <c r="GZ2" t="e">
        <f>AND(Eventos.183!B6,"AAAAAH/OzM8=")</f>
        <v>#VALUE!</v>
      </c>
      <c r="HA2" t="e">
        <f>AND(Eventos.183!C6,"AAAAAH/OzNA=")</f>
        <v>#VALUE!</v>
      </c>
      <c r="HB2" t="e">
        <f>AND(Eventos.183!D6,"AAAAAH/OzNE=")</f>
        <v>#VALUE!</v>
      </c>
      <c r="HC2" t="e">
        <f>AND(Eventos.183!E6,"AAAAAH/OzNI=")</f>
        <v>#VALUE!</v>
      </c>
      <c r="HD2" t="e">
        <f>IF(Eventos.183!#REF!,"AAAAAH/OzNM=",0)</f>
        <v>#REF!</v>
      </c>
      <c r="HE2" t="e">
        <f>AND(Eventos.183!#REF!,"AAAAAH/OzNQ=")</f>
        <v>#REF!</v>
      </c>
      <c r="HF2" t="e">
        <f>AND(Eventos.183!#REF!,"AAAAAH/OzNU=")</f>
        <v>#REF!</v>
      </c>
      <c r="HG2" t="e">
        <f>AND(Eventos.183!#REF!,"AAAAAH/OzNY=")</f>
        <v>#REF!</v>
      </c>
      <c r="HH2" t="e">
        <f>AND(Eventos.183!#REF!,"AAAAAH/OzNc=")</f>
        <v>#REF!</v>
      </c>
      <c r="HI2" t="e">
        <f>AND(Eventos.183!#REF!,"AAAAAH/OzNg=")</f>
        <v>#REF!</v>
      </c>
      <c r="HJ2">
        <f>IF(Eventos.183!8:8,"AAAAAH/OzNk=",0)</f>
        <v>0</v>
      </c>
      <c r="HK2" t="e">
        <f>AND(Eventos.183!A8,"AAAAAH/OzNo=")</f>
        <v>#VALUE!</v>
      </c>
      <c r="HL2" t="e">
        <f>AND(Eventos.183!B8,"AAAAAH/OzNs=")</f>
        <v>#VALUE!</v>
      </c>
      <c r="HM2" t="e">
        <f>AND(Eventos.183!C8,"AAAAAH/OzNw=")</f>
        <v>#VALUE!</v>
      </c>
      <c r="HN2" t="e">
        <f>AND(Eventos.183!D8,"AAAAAH/OzN0=")</f>
        <v>#VALUE!</v>
      </c>
      <c r="HO2" t="e">
        <f>AND(Eventos.183!E8,"AAAAAH/OzN4=")</f>
        <v>#VALUE!</v>
      </c>
      <c r="HP2">
        <f>IF(Eventos.183!9:9,"AAAAAH/OzN8=",0)</f>
        <v>0</v>
      </c>
      <c r="HQ2" t="e">
        <f>AND(Eventos.183!A9,"AAAAAH/OzOA=")</f>
        <v>#VALUE!</v>
      </c>
      <c r="HR2" t="e">
        <f>AND(Eventos.183!B9,"AAAAAH/OzOE=")</f>
        <v>#VALUE!</v>
      </c>
      <c r="HS2" t="e">
        <f>AND(Eventos.183!C9,"AAAAAH/OzOI=")</f>
        <v>#VALUE!</v>
      </c>
      <c r="HT2" t="e">
        <f>AND(Eventos.183!D9,"AAAAAH/OzOM=")</f>
        <v>#VALUE!</v>
      </c>
      <c r="HU2" t="e">
        <f>AND(Eventos.183!E9,"AAAAAH/OzOQ=")</f>
        <v>#VALUE!</v>
      </c>
      <c r="HV2">
        <f>IF(Eventos.183!10:10,"AAAAAH/OzOU=",0)</f>
        <v>0</v>
      </c>
      <c r="HW2" t="e">
        <f>AND(Eventos.183!A10,"AAAAAH/OzOY=")</f>
        <v>#VALUE!</v>
      </c>
      <c r="HX2" t="e">
        <f>AND(Eventos.183!B10,"AAAAAH/OzOc=")</f>
        <v>#VALUE!</v>
      </c>
      <c r="HY2" t="e">
        <f>AND(Eventos.183!C10,"AAAAAH/OzOg=")</f>
        <v>#VALUE!</v>
      </c>
      <c r="HZ2" t="e">
        <f>AND(Eventos.183!D10,"AAAAAH/OzOk=")</f>
        <v>#VALUE!</v>
      </c>
      <c r="IA2" t="e">
        <f>AND(Eventos.183!E10,"AAAAAH/OzOo=")</f>
        <v>#VALUE!</v>
      </c>
      <c r="IB2" t="str">
        <f>IF(Eventos.183!A:A,"AAAAAH/OzOs=",0)</f>
        <v>AAAAAH/OzOs=</v>
      </c>
      <c r="IC2" t="str">
        <f>IF(Eventos.183!B:B,"AAAAAH/OzOw=",0)</f>
        <v>AAAAAH/OzOw=</v>
      </c>
      <c r="ID2" t="e">
        <f>IF(Eventos.183!C:C,"AAAAAH/OzO0=",0)</f>
        <v>#VALUE!</v>
      </c>
      <c r="IE2">
        <f>IF(Eventos.183!D:D,"AAAAAH/OzO4=",0)</f>
        <v>0</v>
      </c>
      <c r="IF2" t="str">
        <f>IF(Eventos.183!E:E,"AAAAAH/OzO8=",0)</f>
        <v>AAAAAH/OzO8=</v>
      </c>
      <c r="IG2">
        <f>IF(Incidencias.183!4:4,"AAAAAH/OzPA=",0)</f>
        <v>0</v>
      </c>
      <c r="IH2" t="e">
        <f>AND(Incidencias.183!A4,"AAAAAH/OzPE=")</f>
        <v>#VALUE!</v>
      </c>
      <c r="II2" t="str">
        <f>IF(Incidencias.183!A:A,"AAAAAH/OzPI=",0)</f>
        <v>AAAAAH/OzPI=</v>
      </c>
      <c r="IJ2" t="s">
        <v>13</v>
      </c>
    </row>
    <row r="3" spans="1:256">
      <c r="A3" t="e">
        <f>AND(icf.183!E1,"AAAAAF//7wA=")</f>
        <v>#VALUE!</v>
      </c>
      <c r="B3" t="e">
        <f>AND(icf.183!F1,"AAAAAF//7wE=")</f>
        <v>#VALUE!</v>
      </c>
      <c r="C3" t="e">
        <f>AND(icf.183!G1,"AAAAAF//7wI=")</f>
        <v>#VALUE!</v>
      </c>
      <c r="D3" t="e">
        <f>AND(icf.183!E2,"AAAAAF//7wM=")</f>
        <v>#VALUE!</v>
      </c>
      <c r="E3" t="e">
        <f>AND(icf.183!F2,"AAAAAF//7wQ=")</f>
        <v>#VALUE!</v>
      </c>
      <c r="F3" t="e">
        <f>AND(icf.183!G2,"AAAAAF//7wU=")</f>
        <v>#VALUE!</v>
      </c>
      <c r="G3" t="e">
        <f>AND(icf.183!E3,"AAAAAF//7wY=")</f>
        <v>#VALUE!</v>
      </c>
      <c r="H3" t="e">
        <f>AND(icf.183!F3,"AAAAAF//7wc=")</f>
        <v>#VALUE!</v>
      </c>
      <c r="I3" t="e">
        <f>AND(icf.183!G3,"AAAAAF//7wg=")</f>
        <v>#VALUE!</v>
      </c>
      <c r="J3" t="e">
        <f>AND(icf.183!E4,"AAAAAF//7wk=")</f>
        <v>#VALUE!</v>
      </c>
      <c r="K3" t="e">
        <f>AND(icf.183!F4,"AAAAAF//7wo=")</f>
        <v>#VALUE!</v>
      </c>
      <c r="L3" t="e">
        <f>AND(icf.183!G4,"AAAAAF//7ws=")</f>
        <v>#VALUE!</v>
      </c>
      <c r="M3" t="e">
        <f>AND(icf.183!E5,"AAAAAF//7ww=")</f>
        <v>#VALUE!</v>
      </c>
      <c r="N3" t="e">
        <f>AND(icf.183!F5,"AAAAAF//7w0=")</f>
        <v>#VALUE!</v>
      </c>
      <c r="O3" t="e">
        <f>AND(icf.183!G5,"AAAAAF//7w4=")</f>
        <v>#VALUE!</v>
      </c>
      <c r="P3" t="e">
        <f>AND(icf.183!E6,"AAAAAF//7w8=")</f>
        <v>#VALUE!</v>
      </c>
      <c r="Q3" t="e">
        <f>AND(icf.183!F6,"AAAAAF//7xA=")</f>
        <v>#VALUE!</v>
      </c>
      <c r="R3" t="e">
        <f>AND(icf.183!G6,"AAAAAF//7xE=")</f>
        <v>#VALUE!</v>
      </c>
      <c r="S3" t="e">
        <f>AND(icf.183!E7,"AAAAAF//7xI=")</f>
        <v>#VALUE!</v>
      </c>
      <c r="T3" t="e">
        <f>AND(icf.183!F7,"AAAAAF//7xM=")</f>
        <v>#VALUE!</v>
      </c>
      <c r="U3" t="e">
        <f>AND(icf.183!G7,"AAAAAF//7xQ=")</f>
        <v>#VALUE!</v>
      </c>
      <c r="V3" t="e">
        <f>AND(icf.183!E8,"AAAAAF//7xU=")</f>
        <v>#VALUE!</v>
      </c>
      <c r="W3" t="e">
        <f>AND(icf.183!F8,"AAAAAF//7xY=")</f>
        <v>#VALUE!</v>
      </c>
      <c r="X3" t="e">
        <f>AND(icf.183!G8,"AAAAAF//7xc=")</f>
        <v>#VALUE!</v>
      </c>
      <c r="Y3" t="e">
        <f>AND(icf.183!E9,"AAAAAF//7xg=")</f>
        <v>#VALUE!</v>
      </c>
      <c r="Z3" t="e">
        <f>AND(icf.183!F9,"AAAAAF//7xk=")</f>
        <v>#VALUE!</v>
      </c>
      <c r="AA3" t="e">
        <f>AND(icf.183!G9,"AAAAAF//7xo=")</f>
        <v>#VALUE!</v>
      </c>
      <c r="AB3" t="e">
        <f>AND(icf.183!E10,"AAAAAF//7xs=")</f>
        <v>#VALUE!</v>
      </c>
      <c r="AC3" t="e">
        <f>AND(icf.183!F10,"AAAAAF//7xw=")</f>
        <v>#VALUE!</v>
      </c>
      <c r="AD3" t="e">
        <f>AND(icf.183!G10,"AAAAAF//7x0=")</f>
        <v>#VALUE!</v>
      </c>
      <c r="AE3" t="e">
        <f>AND(icf.183!E11,"AAAAAF//7x4=")</f>
        <v>#VALUE!</v>
      </c>
      <c r="AF3" t="e">
        <f>AND(icf.183!F11,"AAAAAF//7x8=")</f>
        <v>#VALUE!</v>
      </c>
      <c r="AG3" t="e">
        <f>AND(icf.183!G11,"AAAAAF//7yA=")</f>
        <v>#VALUE!</v>
      </c>
      <c r="AH3" t="e">
        <f>AND(icf.183!E12,"AAAAAF//7yE=")</f>
        <v>#VALUE!</v>
      </c>
      <c r="AI3" t="e">
        <f>AND(icf.183!F12,"AAAAAF//7yI=")</f>
        <v>#VALUE!</v>
      </c>
      <c r="AJ3" t="e">
        <f>AND(icf.183!G12,"AAAAAF//7yM=")</f>
        <v>#VALUE!</v>
      </c>
      <c r="AK3" t="e">
        <f>AND(icf.183!E13,"AAAAAF//7yQ=")</f>
        <v>#VALUE!</v>
      </c>
      <c r="AL3" t="e">
        <f>AND(icf.183!F13,"AAAAAF//7yU=")</f>
        <v>#VALUE!</v>
      </c>
      <c r="AM3" t="e">
        <f>AND(icf.183!G13,"AAAAAF//7yY=")</f>
        <v>#VALUE!</v>
      </c>
      <c r="AN3" t="e">
        <f>AND(icf.183!E14,"AAAAAF//7yc=")</f>
        <v>#VALUE!</v>
      </c>
      <c r="AO3" t="e">
        <f>AND(icf.183!F14,"AAAAAF//7yg=")</f>
        <v>#VALUE!</v>
      </c>
      <c r="AP3" t="e">
        <f>AND(icf.183!G14,"AAAAAF//7yk=")</f>
        <v>#VALUE!</v>
      </c>
      <c r="AQ3" t="e">
        <f>AND(icf.183!E15,"AAAAAF//7yo=")</f>
        <v>#VALUE!</v>
      </c>
      <c r="AR3" t="e">
        <f>AND(icf.183!F15,"AAAAAF//7ys=")</f>
        <v>#VALUE!</v>
      </c>
      <c r="AS3" t="e">
        <f>AND(icf.183!G15,"AAAAAF//7yw=")</f>
        <v>#VALUE!</v>
      </c>
      <c r="AT3" t="e">
        <f>AND(icf.183!E16,"AAAAAF//7y0=")</f>
        <v>#VALUE!</v>
      </c>
      <c r="AU3" t="e">
        <f>AND(icf.183!F16,"AAAAAF//7y4=")</f>
        <v>#VALUE!</v>
      </c>
      <c r="AV3" t="e">
        <f>AND(icf.183!G16,"AAAAAF//7y8=")</f>
        <v>#VALUE!</v>
      </c>
      <c r="AW3" t="e">
        <f>AND(icf.183!E17,"AAAAAF//7zA=")</f>
        <v>#VALUE!</v>
      </c>
      <c r="AX3" t="e">
        <f>AND(icf.183!F17,"AAAAAF//7zE=")</f>
        <v>#VALUE!</v>
      </c>
      <c r="AY3" t="e">
        <f>AND(icf.183!G17,"AAAAAF//7zI=")</f>
        <v>#VALUE!</v>
      </c>
      <c r="AZ3" t="e">
        <f>AND(icf.183!E18,"AAAAAF//7zM=")</f>
        <v>#VALUE!</v>
      </c>
      <c r="BA3" t="e">
        <f>AND(icf.183!F18,"AAAAAF//7zQ=")</f>
        <v>#VALUE!</v>
      </c>
      <c r="BB3" t="e">
        <f>AND(icf.183!G18,"AAAAAF//7zU=")</f>
        <v>#VALUE!</v>
      </c>
      <c r="BC3" t="e">
        <f>AND(icf.183!E19,"AAAAAF//7zY=")</f>
        <v>#VALUE!</v>
      </c>
      <c r="BD3" t="e">
        <f>AND(icf.183!F19,"AAAAAF//7zc=")</f>
        <v>#VALUE!</v>
      </c>
      <c r="BE3" t="e">
        <f>AND(icf.183!G19,"AAAAAF//7zg=")</f>
        <v>#VALUE!</v>
      </c>
      <c r="BF3" t="e">
        <f>AND(icf.183!E20,"AAAAAF//7zk=")</f>
        <v>#VALUE!</v>
      </c>
      <c r="BG3" t="e">
        <f>AND(icf.183!F20,"AAAAAF//7zo=")</f>
        <v>#VALUE!</v>
      </c>
      <c r="BH3" t="e">
        <f>AND(icf.183!G20,"AAAAAF//7zs=")</f>
        <v>#VALUE!</v>
      </c>
      <c r="BI3" t="e">
        <f>AND(icf.183!E21,"AAAAAF//7zw=")</f>
        <v>#VALUE!</v>
      </c>
      <c r="BJ3" t="e">
        <f>AND(icf.183!F21,"AAAAAF//7z0=")</f>
        <v>#VALUE!</v>
      </c>
      <c r="BK3" t="e">
        <f>AND(icf.183!G21,"AAAAAF//7z4=")</f>
        <v>#VALUE!</v>
      </c>
      <c r="BL3" t="e">
        <f>AND(icf.183!E22,"AAAAAF//7z8=")</f>
        <v>#VALUE!</v>
      </c>
      <c r="BM3" t="e">
        <f>AND(icf.183!F22,"AAAAAF//70A=")</f>
        <v>#VALUE!</v>
      </c>
      <c r="BN3" t="e">
        <f>AND(icf.183!G22,"AAAAAF//70E=")</f>
        <v>#VALUE!</v>
      </c>
      <c r="BO3" t="e">
        <f>AND(icf.183!E23,"AAAAAF//70I=")</f>
        <v>#VALUE!</v>
      </c>
      <c r="BP3" t="e">
        <f>AND(icf.183!F23,"AAAAAF//70M=")</f>
        <v>#VALUE!</v>
      </c>
      <c r="BQ3" t="e">
        <f>AND(icf.183!G23,"AAAAAF//70Q=")</f>
        <v>#VALUE!</v>
      </c>
      <c r="BR3" t="e">
        <f>AND(icf.183!E24,"AAAAAF//70U=")</f>
        <v>#VALUE!</v>
      </c>
      <c r="BS3" t="e">
        <f>AND(icf.183!F24,"AAAAAF//70Y=")</f>
        <v>#VALUE!</v>
      </c>
      <c r="BT3" t="e">
        <f>AND(icf.183!G24,"AAAAAF//70c=")</f>
        <v>#VALUE!</v>
      </c>
      <c r="BU3" t="e">
        <f>AND(icf.183!E25,"AAAAAF//70g=")</f>
        <v>#VALUE!</v>
      </c>
      <c r="BV3" t="e">
        <f>AND(icf.183!F25,"AAAAAF//70k=")</f>
        <v>#VALUE!</v>
      </c>
      <c r="BW3" t="e">
        <f>AND(icf.183!G25,"AAAAAF//70o=")</f>
        <v>#VALUE!</v>
      </c>
      <c r="BX3" t="e">
        <f>AND(icf.183!E26,"AAAAAF//70s=")</f>
        <v>#VALUE!</v>
      </c>
      <c r="BY3" t="e">
        <f>AND(icf.183!F26,"AAAAAF//70w=")</f>
        <v>#VALUE!</v>
      </c>
      <c r="BZ3" t="e">
        <f>AND(icf.183!G26,"AAAAAF//700=")</f>
        <v>#VALUE!</v>
      </c>
      <c r="CA3" t="e">
        <f>AND(icf.183!E27,"AAAAAF//704=")</f>
        <v>#VALUE!</v>
      </c>
      <c r="CB3" t="e">
        <f>AND(icf.183!F27,"AAAAAF//708=")</f>
        <v>#VALUE!</v>
      </c>
      <c r="CC3" t="e">
        <f>AND(icf.183!G27,"AAAAAF//71A=")</f>
        <v>#VALUE!</v>
      </c>
      <c r="CD3" t="e">
        <f>AND(icf.183!E28,"AAAAAF//71E=")</f>
        <v>#VALUE!</v>
      </c>
      <c r="CE3" t="e">
        <f>AND(icf.183!F28,"AAAAAF//71I=")</f>
        <v>#VALUE!</v>
      </c>
      <c r="CF3" t="e">
        <f>AND(icf.183!G28,"AAAAAF//71M=")</f>
        <v>#VALUE!</v>
      </c>
      <c r="CG3" t="e">
        <f>AND(icf.183!E29,"AAAAAF//71Q=")</f>
        <v>#VALUE!</v>
      </c>
      <c r="CH3" t="e">
        <f>AND(icf.183!F29,"AAAAAF//71U=")</f>
        <v>#VALUE!</v>
      </c>
      <c r="CI3" t="e">
        <f>AND(icf.183!G29,"AAAAAF//71Y=")</f>
        <v>#VALUE!</v>
      </c>
      <c r="CJ3" t="e">
        <f>AND(icf.183!E30,"AAAAAF//71c=")</f>
        <v>#VALUE!</v>
      </c>
      <c r="CK3" t="e">
        <f>AND(icf.183!F30,"AAAAAF//71g=")</f>
        <v>#VALUE!</v>
      </c>
      <c r="CL3" t="e">
        <f>AND(icf.183!G30,"AAAAAF//71k=")</f>
        <v>#VALUE!</v>
      </c>
      <c r="CM3" t="e">
        <f>AND(icf.183!E31,"AAAAAF//71o=")</f>
        <v>#VALUE!</v>
      </c>
      <c r="CN3" t="e">
        <f>AND(icf.183!F31,"AAAAAF//71s=")</f>
        <v>#VALUE!</v>
      </c>
      <c r="CO3" t="e">
        <f>AND(icf.183!G31,"AAAAAF//71w=")</f>
        <v>#VALUE!</v>
      </c>
      <c r="CP3" t="e">
        <f>AND(icf.183!E32,"AAAAAF//710=")</f>
        <v>#VALUE!</v>
      </c>
      <c r="CQ3" t="e">
        <f>AND(icf.183!F32,"AAAAAF//714=")</f>
        <v>#VALUE!</v>
      </c>
      <c r="CR3" t="e">
        <f>AND(icf.183!G32,"AAAAAF//718=")</f>
        <v>#VALUE!</v>
      </c>
      <c r="CS3" t="e">
        <f>AND(icf.183!E33,"AAAAAF//72A=")</f>
        <v>#VALUE!</v>
      </c>
      <c r="CT3" t="e">
        <f>AND(icf.183!F33,"AAAAAF//72E=")</f>
        <v>#VALUE!</v>
      </c>
      <c r="CU3" t="e">
        <f>AND(icf.183!G33,"AAAAAF//72I=")</f>
        <v>#VALUE!</v>
      </c>
      <c r="CV3" t="e">
        <f>AND(icf.183!E34,"AAAAAF//72M=")</f>
        <v>#VALUE!</v>
      </c>
      <c r="CW3" t="e">
        <f>AND(icf.183!F34,"AAAAAF//72Q=")</f>
        <v>#VALUE!</v>
      </c>
      <c r="CX3" t="e">
        <f>AND(icf.183!G34,"AAAAAF//72U=")</f>
        <v>#VALUE!</v>
      </c>
      <c r="CY3" t="e">
        <f>AND(icf.183!E35,"AAAAAF//72Y=")</f>
        <v>#VALUE!</v>
      </c>
      <c r="CZ3" t="e">
        <f>AND(icf.183!F35,"AAAAAF//72c=")</f>
        <v>#VALUE!</v>
      </c>
      <c r="DA3" t="e">
        <f>AND(icf.183!G35,"AAAAAF//72g=")</f>
        <v>#VALUE!</v>
      </c>
      <c r="DB3" t="e">
        <f>AND(icf.183!E36,"AAAAAF//72k=")</f>
        <v>#VALUE!</v>
      </c>
      <c r="DC3" t="e">
        <f>AND(icf.183!F36,"AAAAAF//72o=")</f>
        <v>#VALUE!</v>
      </c>
      <c r="DD3" t="e">
        <f>AND(icf.183!G36,"AAAAAF//72s=")</f>
        <v>#VALUE!</v>
      </c>
      <c r="DE3" t="e">
        <f>AND(icf.183!E37,"AAAAAF//72w=")</f>
        <v>#VALUE!</v>
      </c>
      <c r="DF3" t="e">
        <f>AND(icf.183!F37,"AAAAAF//720=")</f>
        <v>#VALUE!</v>
      </c>
      <c r="DG3" t="e">
        <f>AND(icf.183!G37,"AAAAAF//724=")</f>
        <v>#VALUE!</v>
      </c>
      <c r="DH3" t="e">
        <f>AND(icf.183!E38,"AAAAAF//728=")</f>
        <v>#VALUE!</v>
      </c>
      <c r="DI3" t="e">
        <f>AND(icf.183!F38,"AAAAAF//73A=")</f>
        <v>#VALUE!</v>
      </c>
      <c r="DJ3" t="e">
        <f>AND(icf.183!G38,"AAAAAF//73E=")</f>
        <v>#VALUE!</v>
      </c>
      <c r="DK3" t="e">
        <f>AND(icf.183!E39,"AAAAAF//73I=")</f>
        <v>#VALUE!</v>
      </c>
      <c r="DL3" t="e">
        <f>AND(icf.183!F39,"AAAAAF//73M=")</f>
        <v>#VALUE!</v>
      </c>
      <c r="DM3" t="e">
        <f>AND(icf.183!G39,"AAAAAF//73Q=")</f>
        <v>#VALUE!</v>
      </c>
      <c r="DN3" t="e">
        <f>AND(icf.183!E40,"AAAAAF//73U=")</f>
        <v>#VALUE!</v>
      </c>
      <c r="DO3" t="e">
        <f>AND(icf.183!F40,"AAAAAF//73Y=")</f>
        <v>#VALUE!</v>
      </c>
      <c r="DP3" t="e">
        <f>AND(icf.183!G40,"AAAAAF//73c=")</f>
        <v>#VALUE!</v>
      </c>
      <c r="DQ3" t="e">
        <f>AND(icf.183!E41,"AAAAAF//73g=")</f>
        <v>#VALUE!</v>
      </c>
      <c r="DR3" t="e">
        <f>AND(icf.183!F41,"AAAAAF//73k=")</f>
        <v>#VALUE!</v>
      </c>
      <c r="DS3" t="e">
        <f>AND(icf.183!G41,"AAAAAF//73o=")</f>
        <v>#VALUE!</v>
      </c>
      <c r="DT3" t="e">
        <f>AND(icf.183!E42,"AAAAAF//73s=")</f>
        <v>#VALUE!</v>
      </c>
      <c r="DU3" t="e">
        <f>AND(icf.183!F42,"AAAAAF//73w=")</f>
        <v>#VALUE!</v>
      </c>
      <c r="DV3" t="e">
        <f>AND(icf.183!G42,"AAAAAF//730=")</f>
        <v>#VALUE!</v>
      </c>
      <c r="DW3" t="e">
        <f>AND(icf.183!E43,"AAAAAF//734=")</f>
        <v>#VALUE!</v>
      </c>
      <c r="DX3" t="e">
        <f>AND(icf.183!F43,"AAAAAF//738=")</f>
        <v>#VALUE!</v>
      </c>
      <c r="DY3" t="e">
        <f>AND(icf.183!G43,"AAAAAF//74A=")</f>
        <v>#VALUE!</v>
      </c>
      <c r="DZ3" t="e">
        <f>AND(icf.183!E44,"AAAAAF//74E=")</f>
        <v>#VALUE!</v>
      </c>
      <c r="EA3" t="e">
        <f>AND(icf.183!F44,"AAAAAF//74I=")</f>
        <v>#VALUE!</v>
      </c>
      <c r="EB3" t="e">
        <f>AND(icf.183!G44,"AAAAAF//74M=")</f>
        <v>#VALUE!</v>
      </c>
      <c r="EC3" t="e">
        <f>AND(icf.183!E45,"AAAAAF//74Q=")</f>
        <v>#VALUE!</v>
      </c>
      <c r="ED3" t="e">
        <f>AND(icf.183!F45,"AAAAAF//74U=")</f>
        <v>#VALUE!</v>
      </c>
      <c r="EE3" t="e">
        <f>AND(icf.183!G45,"AAAAAF//74Y=")</f>
        <v>#VALUE!</v>
      </c>
      <c r="EF3" t="e">
        <f>AND(icf.183!E46,"AAAAAF//74c=")</f>
        <v>#VALUE!</v>
      </c>
      <c r="EG3" t="e">
        <f>AND(icf.183!F46,"AAAAAF//74g=")</f>
        <v>#VALUE!</v>
      </c>
      <c r="EH3" t="e">
        <f>AND(icf.183!G46,"AAAAAF//74k=")</f>
        <v>#VALUE!</v>
      </c>
      <c r="EI3" t="e">
        <f>AND(icf.183!E47,"AAAAAF//74o=")</f>
        <v>#VALUE!</v>
      </c>
      <c r="EJ3" t="e">
        <f>AND(icf.183!F47,"AAAAAF//74s=")</f>
        <v>#VALUE!</v>
      </c>
      <c r="EK3" t="e">
        <f>AND(icf.183!G47,"AAAAAF//74w=")</f>
        <v>#VALUE!</v>
      </c>
      <c r="EL3" t="e">
        <f>AND(icf.183!E48,"AAAAAF//740=")</f>
        <v>#VALUE!</v>
      </c>
      <c r="EM3" t="e">
        <f>AND(icf.183!F48,"AAAAAF//744=")</f>
        <v>#VALUE!</v>
      </c>
      <c r="EN3" t="e">
        <f>AND(icf.183!G48,"AAAAAF//748=")</f>
        <v>#VALUE!</v>
      </c>
      <c r="EO3" t="e">
        <f>AND(icf.183!E49,"AAAAAF//75A=")</f>
        <v>#VALUE!</v>
      </c>
      <c r="EP3" t="e">
        <f>AND(icf.183!F49,"AAAAAF//75E=")</f>
        <v>#VALUE!</v>
      </c>
      <c r="EQ3" t="e">
        <f>AND(icf.183!G49,"AAAAAF//75I=")</f>
        <v>#VALUE!</v>
      </c>
      <c r="ER3" t="e">
        <f>AND(icf.183!E50,"AAAAAF//75M=")</f>
        <v>#VALUE!</v>
      </c>
      <c r="ES3" t="e">
        <f>AND(icf.183!F50,"AAAAAF//75Q=")</f>
        <v>#VALUE!</v>
      </c>
      <c r="ET3" t="e">
        <f>AND(icf.183!G50,"AAAAAF//75U=")</f>
        <v>#VALUE!</v>
      </c>
      <c r="EU3" t="e">
        <f>AND(icf.183!E51,"AAAAAF//75Y=")</f>
        <v>#VALUE!</v>
      </c>
      <c r="EV3" t="e">
        <f>AND(icf.183!F51,"AAAAAF//75c=")</f>
        <v>#VALUE!</v>
      </c>
      <c r="EW3" t="e">
        <f>AND(icf.183!G51,"AAAAAF//75g=")</f>
        <v>#VALUE!</v>
      </c>
      <c r="EX3" t="e">
        <f>AND(icf.183!E52,"AAAAAF//75k=")</f>
        <v>#VALUE!</v>
      </c>
      <c r="EY3" t="e">
        <f>AND(icf.183!F52,"AAAAAF//75o=")</f>
        <v>#VALUE!</v>
      </c>
      <c r="EZ3" t="e">
        <f>AND(icf.183!G52,"AAAAAF//75s=")</f>
        <v>#VALUE!</v>
      </c>
      <c r="FA3" t="e">
        <f>AND(icf.183!E53,"AAAAAF//75w=")</f>
        <v>#VALUE!</v>
      </c>
      <c r="FB3" t="e">
        <f>AND(icf.183!F53,"AAAAAF//750=")</f>
        <v>#VALUE!</v>
      </c>
      <c r="FC3" t="e">
        <f>AND(icf.183!G53,"AAAAAF//754=")</f>
        <v>#VALUE!</v>
      </c>
      <c r="FD3" t="e">
        <f>AND(icf.183!E54,"AAAAAF//758=")</f>
        <v>#VALUE!</v>
      </c>
      <c r="FE3" t="e">
        <f>AND(icf.183!F54,"AAAAAF//76A=")</f>
        <v>#VALUE!</v>
      </c>
      <c r="FF3" t="e">
        <f>AND(icf.183!G54,"AAAAAF//76E=")</f>
        <v>#VALUE!</v>
      </c>
      <c r="FG3">
        <f>IF(icf.183!E:E,"AAAAAF//76I=",0)</f>
        <v>0</v>
      </c>
      <c r="FH3">
        <f>IF(icf.183!F:F,"AAAAAF//76M=",0)</f>
        <v>0</v>
      </c>
      <c r="FI3">
        <f>IF(icf.183!G:G,"AAAAAF//76Q=",0)</f>
        <v>0</v>
      </c>
      <c r="FJ3">
        <f>IF(Eventos.183!3:3,"AAAAAF//76U=",0)</f>
        <v>0</v>
      </c>
      <c r="FK3" t="e">
        <f>AND(Eventos.183!A3,"AAAAAF//76Y=")</f>
        <v>#VALUE!</v>
      </c>
      <c r="FL3" t="e">
        <f>AND(Eventos.183!B3,"AAAAAF//76c=")</f>
        <v>#VALUE!</v>
      </c>
      <c r="FM3" t="e">
        <f>AND(Eventos.183!C3,"AAAAAF//76g=")</f>
        <v>#VALUE!</v>
      </c>
      <c r="FN3" t="e">
        <f>AND(Eventos.183!D3,"AAAAAF//76k=")</f>
        <v>#VALUE!</v>
      </c>
      <c r="FO3" t="e">
        <f>AND(Eventos.183!E3,"AAAAAF//76o=")</f>
        <v>#VALUE!</v>
      </c>
      <c r="FP3">
        <f>IF(Eventos.183!4:4,"AAAAAF//76s=",0)</f>
        <v>0</v>
      </c>
      <c r="FQ3" t="e">
        <f>AND(Eventos.183!A4,"AAAAAF//76w=")</f>
        <v>#VALUE!</v>
      </c>
      <c r="FR3" t="e">
        <f>AND(Eventos.183!B4,"AAAAAF//760=")</f>
        <v>#VALUE!</v>
      </c>
      <c r="FS3" t="e">
        <f>AND(Eventos.183!C4,"AAAAAF//764=")</f>
        <v>#VALUE!</v>
      </c>
      <c r="FT3" t="e">
        <f>AND(Eventos.183!D4,"AAAAAF//768=")</f>
        <v>#VALUE!</v>
      </c>
      <c r="FU3" t="e">
        <f>AND(Eventos.183!E4,"AAAAAF//77A=")</f>
        <v>#VALUE!</v>
      </c>
      <c r="FV3">
        <f>IF(Eventos.183!5:5,"AAAAAF//77E=",0)</f>
        <v>0</v>
      </c>
      <c r="FW3" t="e">
        <f>AND(Eventos.183!A5,"AAAAAF//77I=")</f>
        <v>#VALUE!</v>
      </c>
      <c r="FX3" t="e">
        <f>AND(Eventos.183!B5,"AAAAAF//77M=")</f>
        <v>#VALUE!</v>
      </c>
      <c r="FY3" t="e">
        <f>AND(Eventos.183!C5,"AAAAAF//77Q=")</f>
        <v>#VALUE!</v>
      </c>
      <c r="FZ3" t="e">
        <f>AND(Eventos.183!D5,"AAAAAF//77U=")</f>
        <v>#VALUE!</v>
      </c>
      <c r="GA3" t="e">
        <f>AND(Eventos.183!E5,"AAAAAF//77Y=")</f>
        <v>#VALUE!</v>
      </c>
      <c r="GB3">
        <f>IF(Incidencias.183!3:3,"AAAAAF//77c=",0)</f>
        <v>0</v>
      </c>
      <c r="GC3" t="e">
        <f>AND(Incidencias.183!A3,"AAAAAF//77g=")</f>
        <v>#VALUE!</v>
      </c>
      <c r="GD3" t="e">
        <f>AND(Incidencias.183!B3,"AAAAAF//77k=")</f>
        <v>#VALUE!</v>
      </c>
      <c r="GE3" t="e">
        <f>AND(Incidencias.183!B4,"AAAAAF//77o=")</f>
        <v>#VALUE!</v>
      </c>
      <c r="GF3">
        <f>IF(Incidencias.183!5:5,"AAAAAF//77s=",0)</f>
        <v>0</v>
      </c>
      <c r="GG3" t="e">
        <f>AND(Incidencias.183!A5,"AAAAAF//77w=")</f>
        <v>#VALUE!</v>
      </c>
      <c r="GH3" t="e">
        <f>AND(Incidencias.183!B5,"AAAAAF//770=")</f>
        <v>#VALUE!</v>
      </c>
      <c r="GI3">
        <f>IF(Incidencias.183!6:6,"AAAAAF//774=",0)</f>
        <v>0</v>
      </c>
      <c r="GJ3" t="e">
        <f>AND(Incidencias.183!A6,"AAAAAF//778=")</f>
        <v>#VALUE!</v>
      </c>
      <c r="GK3" t="e">
        <f>AND(Incidencias.183!B6,"AAAAAF//78A=")</f>
        <v>#VALUE!</v>
      </c>
      <c r="GL3">
        <f>IF(Incidencias.183!7:7,"AAAAAF//78E=",0)</f>
        <v>0</v>
      </c>
      <c r="GM3" t="e">
        <f>AND(Incidencias.183!A7,"AAAAAF//78I=")</f>
        <v>#VALUE!</v>
      </c>
      <c r="GN3" t="e">
        <f>AND(Incidencias.183!B7,"AAAAAF//78M=")</f>
        <v>#VALUE!</v>
      </c>
      <c r="GO3" t="e">
        <f>IF(Incidencias.183!B:B,"AAAAAF//78Q=",0)</f>
        <v>#VALUE!</v>
      </c>
    </row>
  </sheetData>
  <phoneticPr fontId="0" type="noConversion"/>
  <pageMargins left="0.7" right="0.7" top="0.75" bottom="0.75" header="0.3" footer="0.3"/>
  <customProperties>
    <customPr name="DVSECTIONID" r:id="rId1"/>
  </customPropertie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icf.183</vt:lpstr>
      <vt:lpstr>icf_a.183</vt:lpstr>
      <vt:lpstr>Eventos.183</vt:lpstr>
      <vt:lpstr>Incidencias.183</vt:lpstr>
      <vt:lpstr>Check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topo_z</dc:creator>
  <cp:lastModifiedBy>Topo Z</cp:lastModifiedBy>
  <dcterms:created xsi:type="dcterms:W3CDTF">2010-12-23T01:20:18Z</dcterms:created>
  <dcterms:modified xsi:type="dcterms:W3CDTF">2015-06-08T09:56:30Z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oogle.Documents.Tracking">
    <vt:lpwstr>false</vt:lpwstr>
  </property>
  <property fmtid="{D5CDD505-2E9C-101B-9397-08002B2CF9AE}" pid="3" name="Google.Documents.DocumentId">
    <vt:lpwstr>1QiuVXCYH-sDfgO15w5rLdGtFNOsfqTg5UDymQ0Q8hmI</vt:lpwstr>
  </property>
  <property fmtid="{D5CDD505-2E9C-101B-9397-08002B2CF9AE}" pid="4" name="Google.Documents.RevisionId">
    <vt:lpwstr>01296154537540343294</vt:lpwstr>
  </property>
  <property fmtid="{D5CDD505-2E9C-101B-9397-08002B2CF9AE}" pid="5" name="Google.Documents.PreviousRevisionId">
    <vt:lpwstr>08036707113885643100</vt:lpwstr>
  </property>
  <property fmtid="{D5CDD505-2E9C-101B-9397-08002B2CF9AE}" pid="6" name="Google.Documents.PluginVersion">
    <vt:lpwstr>2.0.2026.3768</vt:lpwstr>
  </property>
  <property fmtid="{D5CDD505-2E9C-101B-9397-08002B2CF9AE}" pid="7" name="Google.Documents.MergeIncapabilityFlags">
    <vt:i4>0</vt:i4>
  </property>
</Properties>
</file>