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dential SS up to 100m2" sheetId="1" r:id="rId4"/>
    <sheet state="visible" name="Residential SS  Above 201 M2" sheetId="2" r:id="rId5"/>
    <sheet state="visible" name="Residential SS 101-200M2" sheetId="3" r:id="rId6"/>
    <sheet state="visible" name="Boundary Wall" sheetId="4" r:id="rId7"/>
    <sheet state="visible" name="Outbuilding" sheetId="5" r:id="rId8"/>
    <sheet state="visible" name="Residential DS UP TO 450M2" sheetId="6" r:id="rId9"/>
    <sheet state="visible" name="SHHA House Types" sheetId="7" r:id="rId10"/>
    <sheet state="visible" name="Residential DS ABOVE 450M2" sheetId="8" r:id="rId11"/>
    <sheet state="visible" name="Residential DS Exclusive" sheetId="9" r:id="rId12"/>
    <sheet state="visible" name="Multi res SS up to 500m2" sheetId="10" r:id="rId13"/>
    <sheet state="visible" name="Multi res SS Above 501M2" sheetId="11" r:id="rId14"/>
    <sheet state="visible" name="Multi Res DS up to 500m2" sheetId="12" r:id="rId15"/>
    <sheet state="visible" name="Multi Res DS Above 500M2" sheetId="13" r:id="rId16"/>
    <sheet state="visible" name="Guest House Single Storey" sheetId="14" r:id="rId17"/>
    <sheet state="visible" name="Hotels Single Storey" sheetId="15" r:id="rId18"/>
    <sheet state="visible" name="Hotel DS" sheetId="16" r:id="rId19"/>
    <sheet state="visible" name="Warehouses" sheetId="17" r:id="rId20"/>
    <sheet state="visible" name="Warehouse with mezzanine" sheetId="18" r:id="rId21"/>
    <sheet state="visible" name="Schools" sheetId="19" r:id="rId22"/>
    <sheet state="visible" name="Filling Stations" sheetId="20" r:id="rId23"/>
    <sheet state="visible" name="Office single storey" sheetId="21" r:id="rId24"/>
    <sheet state="visible" name="Office DS" sheetId="22" r:id="rId25"/>
    <sheet state="visible" name="Shopping Mall" sheetId="23" r:id="rId26"/>
    <sheet state="visible" name="External Works Residential" sheetId="24" r:id="rId27"/>
    <sheet state="visible" name="External Works Commercial" sheetId="25" r:id="rId28"/>
  </sheets>
  <definedNames/>
  <calcPr/>
  <extLst>
    <ext uri="GoogleSheetsCustomDataVersion2">
      <go:sheetsCustomData xmlns:go="http://customooxmlschemas.google.com/" r:id="rId29" roundtripDataChecksum="i6vtQChZEePtolkMMyTAbkxVPdo4GoMANuhbxWELtks="/>
    </ext>
  </extLst>
</workbook>
</file>

<file path=xl/sharedStrings.xml><?xml version="1.0" encoding="utf-8"?>
<sst xmlns="http://schemas.openxmlformats.org/spreadsheetml/2006/main" count="3123" uniqueCount="210">
  <si>
    <t>RESIDENTIAL SINGLE STOREY CONSTRUCTION COST CALCULATOR</t>
  </si>
  <si>
    <t>UP-TO 100M2</t>
  </si>
  <si>
    <t>TYPICAL PROPERTY CONSTRUCTION COST ESTIMATE</t>
  </si>
  <si>
    <t xml:space="preserve">QUALITY CODE </t>
  </si>
  <si>
    <t xml:space="preserve">NAME OF THE PROJECT </t>
  </si>
  <si>
    <t>QIALITY CODE/TONE</t>
  </si>
  <si>
    <t>REF</t>
  </si>
  <si>
    <t>ELEMENT</t>
  </si>
  <si>
    <t>Multiplier for VAT, preliminaries, proffesional fees</t>
  </si>
  <si>
    <t>2021-2023</t>
  </si>
  <si>
    <t>2014-2021</t>
  </si>
  <si>
    <t>2010-2013</t>
  </si>
  <si>
    <t>OPTIONS AVAILABLE</t>
  </si>
  <si>
    <t>ENTER EXISTING PROPERTY OPTIONS</t>
  </si>
  <si>
    <t>TOTAL CONSTRUCTION ESTIMATE</t>
  </si>
  <si>
    <t>AV AMOUNT</t>
  </si>
  <si>
    <t>AV AMOUNT fixed</t>
  </si>
  <si>
    <t>AV COST/M2</t>
  </si>
  <si>
    <t>CHOOSE QUALITY CODE</t>
  </si>
  <si>
    <t>ENTER PROPERTY  FLOOR AREA</t>
  </si>
  <si>
    <t>CHOOSE YEAR OF THE DEVELOPMENT</t>
  </si>
  <si>
    <t>YEAR ADJUSTER</t>
  </si>
  <si>
    <t>FOUNDATIONS</t>
  </si>
  <si>
    <t>EXCELLENT</t>
  </si>
  <si>
    <t>CONCRETE (RING BEAMS, COLUMNS, SLABS)</t>
  </si>
  <si>
    <t>YES</t>
  </si>
  <si>
    <t>NO</t>
  </si>
  <si>
    <t xml:space="preserve">BRICKWORK </t>
  </si>
  <si>
    <t>STOCK BRICKS</t>
  </si>
  <si>
    <t>BLOCKS</t>
  </si>
  <si>
    <t>FACE BRICK</t>
  </si>
  <si>
    <t>NO BRICKWORK DONE</t>
  </si>
  <si>
    <t>ROOFING: COVER</t>
  </si>
  <si>
    <t>CONCRETE ROOF TILES</t>
  </si>
  <si>
    <t>IBR</t>
  </si>
  <si>
    <t>CORRUGATED ROOFING SHEETS</t>
  </si>
  <si>
    <t>NO ROOFING</t>
  </si>
  <si>
    <t>ROOFING: TRUSSES</t>
  </si>
  <si>
    <t>TIMBER ROOF TRUSSES</t>
  </si>
  <si>
    <t>TIMBER ROOF TRUSSES: PITCHED</t>
  </si>
  <si>
    <t>TIMBER ROOF TRUSSES: FLAT</t>
  </si>
  <si>
    <t>NO ROOF TRUSSES</t>
  </si>
  <si>
    <t xml:space="preserve">CARPENTRY AND JOINERY (DOORS </t>
  </si>
  <si>
    <t>carpentry</t>
  </si>
  <si>
    <t>doors</t>
  </si>
  <si>
    <t>CARPENTRY AND JOINERY: FITTED KITCHEN</t>
  </si>
  <si>
    <t>kitchen</t>
  </si>
  <si>
    <t>wardrobes</t>
  </si>
  <si>
    <t>ENTER NUMBER OF WARDROBES</t>
  </si>
  <si>
    <t>CARPENTRY AND JOINERY: FITTED WARDROBES</t>
  </si>
  <si>
    <t>CEILINGS</t>
  </si>
  <si>
    <t xml:space="preserve">FLOOR COVERINGS </t>
  </si>
  <si>
    <t>TILING FLOORING</t>
  </si>
  <si>
    <t>VINYL FLOORING</t>
  </si>
  <si>
    <t>TIMBER FLOORING</t>
  </si>
  <si>
    <t>CARPETS FLOORING</t>
  </si>
  <si>
    <t>NO FLOORING</t>
  </si>
  <si>
    <t>METALWORK (DOOR/WINDOW FRAMES)</t>
  </si>
  <si>
    <t>ALUMINIUM WINDOW FRAMES</t>
  </si>
  <si>
    <t>STEEL WINDOW FRAMES</t>
  </si>
  <si>
    <t>NO WINDOWS FITTED</t>
  </si>
  <si>
    <t>PLASTERING</t>
  </si>
  <si>
    <t>WALL FINISHES (TILING)</t>
  </si>
  <si>
    <t>ENTER NUMBER OF BATHROOMS</t>
  </si>
  <si>
    <t xml:space="preserve">PLUMBING AND DRAINAGE </t>
  </si>
  <si>
    <t>PAINTWORK</t>
  </si>
  <si>
    <t>ELECTRICAL  WORKS</t>
  </si>
  <si>
    <t>ENTER NUMBER OF AIRCON</t>
  </si>
  <si>
    <t>MECHANICAL WORKS</t>
  </si>
  <si>
    <t>ENTER VERANDAH FLOOR AREA</t>
  </si>
  <si>
    <t>VERANDA</t>
  </si>
  <si>
    <t>SUB-TOTAL</t>
  </si>
  <si>
    <t>PRELIMINARIES</t>
  </si>
  <si>
    <t>VAT 14%</t>
  </si>
  <si>
    <t>TOTAL BUILDING ESTIMATE (INCLUDING VAT 14%)</t>
  </si>
  <si>
    <t>COST/M2 (INCLUDING VAT 14%)</t>
  </si>
  <si>
    <t>TOTAL BUILDING ESTIMATE (EXCLUDING VAT)</t>
  </si>
  <si>
    <t>COST/M2 (EXCLUDING VAT)</t>
  </si>
  <si>
    <t>201 TO 450M2</t>
  </si>
  <si>
    <t>ELEMENTAL COST/M2</t>
  </si>
  <si>
    <t>OPTIONS TO ENTER</t>
  </si>
  <si>
    <t>YEAR</t>
  </si>
  <si>
    <t>VERY GOOD</t>
  </si>
  <si>
    <t>BRICKWORK</t>
  </si>
  <si>
    <t>NO BRICK WORK DONE</t>
  </si>
  <si>
    <t>ROOFING</t>
  </si>
  <si>
    <t>NO ROFFING DONE</t>
  </si>
  <si>
    <t>DELAPIDATED</t>
  </si>
  <si>
    <t>CARPENTRY AND JOINERY: DOORS</t>
  </si>
  <si>
    <t>ENTER NUMBER OF AIRCONS</t>
  </si>
  <si>
    <t>101 TO 200M2</t>
  </si>
  <si>
    <t>AVERAGE</t>
  </si>
  <si>
    <t>WALL FINISHES ( TILING)</t>
  </si>
  <si>
    <t>PLUMBING AND DRAINAGE</t>
  </si>
  <si>
    <t>ELECTRICAL WORKS</t>
  </si>
  <si>
    <t xml:space="preserve"> BOUNDARY WALL CONSTRUCTION COST CALCULATOR</t>
  </si>
  <si>
    <t>ELEMENTAL COST/LM</t>
  </si>
  <si>
    <t>TOTAL AMOUNT</t>
  </si>
  <si>
    <t>options</t>
  </si>
  <si>
    <t>multiplier</t>
  </si>
  <si>
    <t>ENTER LENGTH OF THE BOUNDARY WALL</t>
  </si>
  <si>
    <t>BOUNDARY WALL</t>
  </si>
  <si>
    <t>PRE-CAST SLABS</t>
  </si>
  <si>
    <t xml:space="preserve"> </t>
  </si>
  <si>
    <t>BLOCKS WITH PALISADE</t>
  </si>
  <si>
    <t>STOCK BRICKS WITH PALISADE</t>
  </si>
  <si>
    <t>FACE BRICKS</t>
  </si>
  <si>
    <t>FACE BRICK WITH PALISADE</t>
  </si>
  <si>
    <t>CLEAR-VU</t>
  </si>
  <si>
    <t>PALISADE</t>
  </si>
  <si>
    <t>DIAMOND MESH</t>
  </si>
  <si>
    <t>ELECTRIC FENCE</t>
  </si>
  <si>
    <t>GATE</t>
  </si>
  <si>
    <t>METAL GATE MOTORISED</t>
  </si>
  <si>
    <t>METAL GATE NOT MOTORISED</t>
  </si>
  <si>
    <t>NO GAtE</t>
  </si>
  <si>
    <t>TOTAL COST ESTIMATE</t>
  </si>
  <si>
    <t>OUTBUILDINGS CONSTRUCTION COST CALCULATOR</t>
  </si>
  <si>
    <t xml:space="preserve">                                               OPTIONS TO ENTER</t>
  </si>
  <si>
    <t>CARPENTRY AND JOINERY DOORS</t>
  </si>
  <si>
    <t>RESIDENTIAL DOUBLE STOREY CONSTRUCTION COST CALCULATOR</t>
  </si>
  <si>
    <t>NAME OF THE PROJECT</t>
  </si>
  <si>
    <t>ROOFING : COVER</t>
  </si>
  <si>
    <t xml:space="preserve">ELECTRICAL </t>
  </si>
  <si>
    <t xml:space="preserve"> MECHANICAL WORKS</t>
  </si>
  <si>
    <t>SHHA HOUSE  CONSTRUCTION COST CALCULATOR</t>
  </si>
  <si>
    <t xml:space="preserve"> OPTIONS TO ENTER</t>
  </si>
  <si>
    <t>ROOFING; COVER</t>
  </si>
  <si>
    <t>Delapidated</t>
  </si>
  <si>
    <t xml:space="preserve">ABOVE 450M2 </t>
  </si>
  <si>
    <t>NAME OF HE PROJECT</t>
  </si>
  <si>
    <t>COST/M2</t>
  </si>
  <si>
    <t>EXCLUSIVE</t>
  </si>
  <si>
    <t>MUITI-RES SINGLE STOREY  CONSTRUCTION COST CALCULATOR</t>
  </si>
  <si>
    <t>UP-TO 500M2</t>
  </si>
  <si>
    <t xml:space="preserve">NAME OF THE PROJETS </t>
  </si>
  <si>
    <t>NUMBER OF UNITS</t>
  </si>
  <si>
    <t>STRUCTURAL STEEL TRUSSES</t>
  </si>
  <si>
    <t>GOOD</t>
  </si>
  <si>
    <t>POOR</t>
  </si>
  <si>
    <t xml:space="preserve">ABOVE 501M2 </t>
  </si>
  <si>
    <t>NAME OF THE  PROJECT</t>
  </si>
  <si>
    <t>CARPENTRY AND JOINERY;DOORS</t>
  </si>
  <si>
    <t>TOTAL BUILDING ESTIMATE</t>
  </si>
  <si>
    <t>MUITI-RES DOUBLE STOREY  CONSTRUCTION COST CALCULATOR</t>
  </si>
  <si>
    <t>TIMBBER FLOORING</t>
  </si>
  <si>
    <t>GUEST HOUSE SINGLE STOREY CONSTRUCTION COST CALCULATOR</t>
  </si>
  <si>
    <t>NAME OF THE PROJET</t>
  </si>
  <si>
    <t>CARPENTRY AND JOINERY  DOORS</t>
  </si>
  <si>
    <t>ELECTRICAL</t>
  </si>
  <si>
    <t>ENTER NUMBER OF ROOMS</t>
  </si>
  <si>
    <t>FURNITURE &amp; FITTINGS</t>
  </si>
  <si>
    <t>HOTELS SINGLE STOREY CONSTRUCTION COST CALCULATOR</t>
  </si>
  <si>
    <t>ABOVE 501M2</t>
  </si>
  <si>
    <t xml:space="preserve">CARPENTRY AND JOINERY DOORS, </t>
  </si>
  <si>
    <t>WOODEN FLOORING</t>
  </si>
  <si>
    <t>VERANDAH</t>
  </si>
  <si>
    <t xml:space="preserve"> HOTEL DOUBLE STOREY CONSTRUCTION COST CALCULATOR</t>
  </si>
  <si>
    <t>ROOFING: TRUUSES</t>
  </si>
  <si>
    <t>WAREHOUSE CONSTRUCTION COST CALCULATOR</t>
  </si>
  <si>
    <t>UP-TO 1000M2</t>
  </si>
  <si>
    <t>NAME  OF THE PROJECTS</t>
  </si>
  <si>
    <t>STRUCTURAL STEEL</t>
  </si>
  <si>
    <t>ENTER NUMBER OF WC &amp; SHOWERS</t>
  </si>
  <si>
    <t xml:space="preserve">  MECHANICAL WORKS</t>
  </si>
  <si>
    <t xml:space="preserve"> WAREHOUSE WITH MEZZANINE CONSTRUCTION COST CALCULATOR</t>
  </si>
  <si>
    <t xml:space="preserve">                       OPTIONS TO ENTER</t>
  </si>
  <si>
    <t>ENTER NUMBER OF WC/SHOWERS</t>
  </si>
  <si>
    <t>SCHOOL CONSTRUCTION COST CALCULATOR</t>
  </si>
  <si>
    <t>TOTAL FLOOR AREA</t>
  </si>
  <si>
    <t>CARPET FLOORING</t>
  </si>
  <si>
    <t>FILLING STATIONS CONSTRUCTION COST CALCULATOR</t>
  </si>
  <si>
    <t>NAME OF PROJECT</t>
  </si>
  <si>
    <t>LOCATION</t>
  </si>
  <si>
    <t>CARPENTRY AND JOINERY ;DOORS</t>
  </si>
  <si>
    <t>STRUCTURAL STEEL:</t>
  </si>
  <si>
    <t>ELECTRICAL  WORKS: GENERAL</t>
  </si>
  <si>
    <t>ELECTRICAL  WORKS: BACK-UP GENERATOR</t>
  </si>
  <si>
    <t>EXTERNAL WORKS: ACCESS ROAD</t>
  </si>
  <si>
    <t>ENTER NUMBER OF PUMPS</t>
  </si>
  <si>
    <t>FILLING STATION EQUIPMENT (PUMPS, CANOPY, QUICK-SHOP EQUIPMENT)</t>
  </si>
  <si>
    <t>3 Pumps</t>
  </si>
  <si>
    <t>2 Pumps</t>
  </si>
  <si>
    <t>4 Pumps</t>
  </si>
  <si>
    <t>5 Pumps</t>
  </si>
  <si>
    <t>6 Pumps</t>
  </si>
  <si>
    <t>7 Pumps</t>
  </si>
  <si>
    <t>COMMERCIAL OFFICE BUILDING SINGLE STOREY</t>
  </si>
  <si>
    <t>ROOFING COVER</t>
  </si>
  <si>
    <t>IRONMONGERY (DOOR LOCKS)</t>
  </si>
  <si>
    <t>FLOOR COVERING</t>
  </si>
  <si>
    <t>GLAZING</t>
  </si>
  <si>
    <t>Proffesional Fees</t>
  </si>
  <si>
    <t>OFFICE DOUBLE STOREY  CONSTRUCTION COST CALCULATOR</t>
  </si>
  <si>
    <t>FAIR</t>
  </si>
  <si>
    <t xml:space="preserve">CARPENTRY AND JOINERY: FITTED </t>
  </si>
  <si>
    <t>STRUCTURAL STEEL (ROOFING TRUSS  TYPE)</t>
  </si>
  <si>
    <t>SHOPPING MALLS</t>
  </si>
  <si>
    <t>PRECAST CONCRETE</t>
  </si>
  <si>
    <t>CARPENTRY AND JOINERY ;DOORS,</t>
  </si>
  <si>
    <t>PROFFESIONAL FEES</t>
  </si>
  <si>
    <t xml:space="preserve"> EXTERNAL WORKS (RESIDENTIAL) CONSTRUCTION COST CALCULATOR</t>
  </si>
  <si>
    <t>ENTER AREA OF POOL</t>
  </si>
  <si>
    <t xml:space="preserve">SWIMMING POOL </t>
  </si>
  <si>
    <t>SIZE (M2)</t>
  </si>
  <si>
    <t>ENTER AREA OF PAVING</t>
  </si>
  <si>
    <t>PAVING</t>
  </si>
  <si>
    <t>ENTER AREA OF CAR PORT</t>
  </si>
  <si>
    <t>CAR PORT</t>
  </si>
  <si>
    <t xml:space="preserve"> EXTERNAL WORKS (COMMERCIAL) CONSTRUCTION COST CALCULATOR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</si>
</sst>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_ ;[Red]\-#,##0.00\ "/>
    <numFmt numFmtId="165" formatCode="#,##0_ ;[Red]\-#,##0\ "/>
    <numFmt numFmtId="166" formatCode="_(* #,##0.00_);_(* \(#,##0.00\);_(* &quot;-&quot;??_);_(@_)"/>
  </numFmts>
  <fonts count="44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20.0"/>
      <color theme="1"/>
      <name val="Arial"/>
    </font>
    <font>
      <b/>
      <sz val="18.0"/>
      <color theme="1"/>
      <name val="Arial"/>
    </font>
    <font>
      <b/>
      <sz val="16.0"/>
      <color theme="1"/>
      <name val="Arial"/>
    </font>
    <font/>
    <font>
      <sz val="14.0"/>
      <color theme="1"/>
      <name val="Arial"/>
    </font>
    <font>
      <b/>
      <sz val="14.0"/>
      <color theme="1"/>
      <name val="Arial"/>
    </font>
    <font>
      <b/>
      <sz val="14.0"/>
      <color rgb="FF0070C0"/>
      <name val="Arial"/>
    </font>
    <font>
      <b/>
      <sz val="16.0"/>
      <color rgb="FF0070C0"/>
      <name val="Arial"/>
    </font>
    <font>
      <b/>
      <sz val="14.0"/>
      <color rgb="FFD0CECE"/>
      <name val="Arial"/>
    </font>
    <font>
      <sz val="14.0"/>
      <color rgb="FF000000"/>
      <name val="Arial"/>
    </font>
    <font>
      <sz val="14.0"/>
      <color rgb="FF0070C0"/>
      <name val="Arial"/>
    </font>
    <font>
      <b/>
      <sz val="14.0"/>
      <color theme="1"/>
      <name val="Calibri"/>
    </font>
    <font>
      <sz val="18.0"/>
      <color theme="1"/>
      <name val="Arial"/>
    </font>
    <font>
      <sz val="16.0"/>
      <color theme="1"/>
      <name val="Arial"/>
    </font>
    <font>
      <b/>
      <sz val="18.0"/>
      <color rgb="FF0070C0"/>
      <name val="Arial"/>
    </font>
    <font>
      <b/>
      <sz val="14.0"/>
      <color theme="4"/>
      <name val="Arial"/>
    </font>
    <font>
      <sz val="12.0"/>
      <color theme="1"/>
      <name val="Arial"/>
    </font>
    <font>
      <b/>
      <sz val="14.0"/>
      <color rgb="FF98A8BD"/>
      <name val="Arial"/>
    </font>
    <font>
      <sz val="14.0"/>
      <color theme="4"/>
      <name val="Arial"/>
    </font>
    <font>
      <sz val="14.0"/>
      <color rgb="FF98A8BD"/>
      <name val="Arial"/>
    </font>
    <font>
      <b/>
      <sz val="11.0"/>
      <color theme="1"/>
      <name val="Arial"/>
    </font>
    <font>
      <b/>
      <sz val="8.0"/>
      <color theme="1"/>
      <name val="Arial"/>
    </font>
    <font>
      <b/>
      <sz val="10.0"/>
      <color theme="4"/>
      <name val="Arial"/>
    </font>
    <font>
      <sz val="20.0"/>
      <color theme="1"/>
      <name val="Arial"/>
    </font>
    <font>
      <sz val="11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14.0"/>
      <color theme="1"/>
      <name val="Calibri"/>
    </font>
    <font>
      <color theme="1"/>
      <name val="Arial"/>
      <scheme val="minor"/>
    </font>
    <font>
      <b/>
      <sz val="48.0"/>
      <color theme="1"/>
      <name val="Arial"/>
    </font>
    <font>
      <b/>
      <sz val="14.0"/>
      <color rgb="FF657C9C"/>
      <name val="Arial"/>
    </font>
    <font>
      <b/>
      <sz val="22.0"/>
      <color theme="1"/>
      <name val="Arial"/>
    </font>
    <font>
      <b/>
      <sz val="12.0"/>
      <color theme="1"/>
      <name val="Arial"/>
    </font>
    <font>
      <b/>
      <sz val="12.0"/>
      <color theme="1"/>
      <name val="Calibri"/>
    </font>
    <font>
      <b/>
      <sz val="14.0"/>
      <color rgb="FF8EAADB"/>
      <name val="Arial"/>
    </font>
    <font>
      <b/>
      <sz val="14.0"/>
      <color rgb="FFD9E2F3"/>
      <name val="Arial"/>
    </font>
    <font>
      <b/>
      <sz val="12.0"/>
      <color rgb="FF0070C0"/>
      <name val="Arial"/>
    </font>
    <font>
      <b/>
      <sz val="24.0"/>
      <color theme="1"/>
      <name val="Arial"/>
    </font>
    <font>
      <b/>
      <sz val="14.0"/>
      <color rgb="FF000000"/>
      <name val="Arial"/>
    </font>
    <font>
      <sz val="26.0"/>
      <color theme="1"/>
      <name val="Arial"/>
    </font>
    <font>
      <sz val="10.0"/>
      <color theme="4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BF9000"/>
        <bgColor rgb="FFBF9000"/>
      </patternFill>
    </fill>
    <fill>
      <patternFill patternType="solid">
        <fgColor rgb="FFDEEAF6"/>
        <bgColor rgb="FFDEEAF6"/>
      </patternFill>
    </fill>
    <fill>
      <patternFill patternType="solid">
        <fgColor rgb="FFD0CECE"/>
        <bgColor rgb="FFD0CECE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CBD3DE"/>
        <bgColor rgb="FFCBD3D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</fills>
  <borders count="6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3" xfId="0" applyFont="1" applyNumberFormat="1"/>
    <xf borderId="0" fillId="0" fontId="1" numFmtId="3" xfId="0" applyAlignment="1" applyFont="1" applyNumberFormat="1">
      <alignment horizontal="center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/>
    </xf>
    <xf borderId="2" fillId="0" fontId="6" numFmtId="0" xfId="0" applyBorder="1" applyFont="1"/>
    <xf borderId="1" fillId="3" fontId="5" numFmtId="0" xfId="0" applyAlignment="1" applyBorder="1" applyFill="1" applyFont="1">
      <alignment horizontal="center"/>
    </xf>
    <xf borderId="3" fillId="0" fontId="7" numFmtId="0" xfId="0" applyAlignment="1" applyBorder="1" applyFont="1">
      <alignment horizontal="center"/>
    </xf>
    <xf borderId="3" fillId="0" fontId="7" numFmtId="0" xfId="0" applyBorder="1" applyFont="1"/>
    <xf borderId="3" fillId="0" fontId="7" numFmtId="164" xfId="0" applyAlignment="1" applyBorder="1" applyFont="1" applyNumberFormat="1">
      <alignment horizontal="center" shrinkToFit="0" wrapText="1"/>
    </xf>
    <xf borderId="3" fillId="0" fontId="8" numFmtId="3" xfId="0" applyAlignment="1" applyBorder="1" applyFont="1" applyNumberFormat="1">
      <alignment horizontal="center" shrinkToFit="0" wrapText="1"/>
    </xf>
    <xf borderId="4" fillId="4" fontId="7" numFmtId="4" xfId="0" applyAlignment="1" applyBorder="1" applyFill="1" applyFont="1" applyNumberFormat="1">
      <alignment horizontal="center"/>
    </xf>
    <xf borderId="5" fillId="4" fontId="7" numFmtId="3" xfId="0" applyAlignment="1" applyBorder="1" applyFont="1" applyNumberFormat="1">
      <alignment horizontal="center"/>
    </xf>
    <xf borderId="5" fillId="4" fontId="9" numFmtId="4" xfId="0" applyAlignment="1" applyBorder="1" applyFont="1" applyNumberFormat="1">
      <alignment horizontal="center"/>
    </xf>
    <xf borderId="0" fillId="0" fontId="7" numFmtId="164" xfId="0" applyFont="1" applyNumberFormat="1"/>
    <xf borderId="0" fillId="0" fontId="7" numFmtId="0" xfId="0" applyFont="1"/>
    <xf borderId="6" fillId="5" fontId="7" numFmtId="0" xfId="0" applyAlignment="1" applyBorder="1" applyFill="1" applyFont="1">
      <alignment horizontal="center"/>
    </xf>
    <xf borderId="7" fillId="0" fontId="6" numFmtId="0" xfId="0" applyBorder="1" applyFont="1"/>
    <xf borderId="0" fillId="0" fontId="7" numFmtId="0" xfId="0" applyAlignment="1" applyFont="1">
      <alignment horizontal="center" vertical="center"/>
    </xf>
    <xf borderId="8" fillId="6" fontId="5" numFmtId="0" xfId="0" applyAlignment="1" applyBorder="1" applyFill="1" applyFont="1">
      <alignment horizontal="center" vertical="center"/>
    </xf>
    <xf borderId="8" fillId="6" fontId="5" numFmtId="164" xfId="0" applyAlignment="1" applyBorder="1" applyFont="1" applyNumberFormat="1">
      <alignment horizontal="center" shrinkToFit="0" vertical="center" wrapText="1"/>
    </xf>
    <xf borderId="8" fillId="7" fontId="5" numFmtId="164" xfId="0" applyAlignment="1" applyBorder="1" applyFill="1" applyFont="1" applyNumberFormat="1">
      <alignment horizontal="center" shrinkToFit="0" vertical="center" wrapText="1"/>
    </xf>
    <xf borderId="8" fillId="6" fontId="5" numFmtId="3" xfId="0" applyAlignment="1" applyBorder="1" applyFont="1" applyNumberFormat="1">
      <alignment horizontal="center" shrinkToFit="0" vertical="center" wrapText="1"/>
    </xf>
    <xf borderId="8" fillId="6" fontId="10" numFmtId="0" xfId="0" applyAlignment="1" applyBorder="1" applyFont="1">
      <alignment horizontal="center" shrinkToFit="0" vertical="center" wrapText="1"/>
    </xf>
    <xf borderId="9" fillId="6" fontId="5" numFmtId="0" xfId="0" applyAlignment="1" applyBorder="1" applyFont="1">
      <alignment horizontal="center" shrinkToFit="0" vertical="center" wrapText="1"/>
    </xf>
    <xf borderId="8" fillId="4" fontId="5" numFmtId="4" xfId="0" applyAlignment="1" applyBorder="1" applyFont="1" applyNumberFormat="1">
      <alignment horizontal="center" vertical="center"/>
    </xf>
    <xf borderId="8" fillId="4" fontId="5" numFmtId="3" xfId="0" applyAlignment="1" applyBorder="1" applyFont="1" applyNumberFormat="1">
      <alignment horizontal="center" vertical="center"/>
    </xf>
    <xf borderId="8" fillId="4" fontId="10" numFmtId="4" xfId="0" applyAlignment="1" applyBorder="1" applyFont="1" applyNumberFormat="1">
      <alignment horizontal="center" vertical="center"/>
    </xf>
    <xf borderId="8" fillId="0" fontId="5" numFmtId="0" xfId="0" applyAlignment="1" applyBorder="1" applyFont="1">
      <alignment horizontal="center" vertical="center"/>
    </xf>
    <xf borderId="8" fillId="6" fontId="5" numFmtId="4" xfId="0" applyAlignment="1" applyBorder="1" applyFont="1" applyNumberFormat="1">
      <alignment horizontal="center" shrinkToFit="0" vertical="center" wrapText="1"/>
    </xf>
    <xf borderId="5" fillId="8" fontId="2" numFmtId="0" xfId="0" applyAlignment="1" applyBorder="1" applyFill="1" applyFont="1">
      <alignment horizontal="center"/>
    </xf>
    <xf borderId="5" fillId="8" fontId="2" numFmtId="0" xfId="0" applyBorder="1" applyFont="1"/>
    <xf borderId="0" fillId="0" fontId="7" numFmtId="0" xfId="0" applyAlignment="1" applyFont="1">
      <alignment vertical="center"/>
    </xf>
    <xf borderId="8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right" vertical="center"/>
    </xf>
    <xf borderId="8" fillId="2" fontId="8" numFmtId="165" xfId="0" applyAlignment="1" applyBorder="1" applyFont="1" applyNumberFormat="1">
      <alignment horizontal="center" vertical="center"/>
    </xf>
    <xf borderId="8" fillId="9" fontId="11" numFmtId="165" xfId="0" applyAlignment="1" applyBorder="1" applyFill="1" applyFont="1" applyNumberFormat="1">
      <alignment horizontal="center" vertical="center"/>
    </xf>
    <xf borderId="10" fillId="10" fontId="8" numFmtId="165" xfId="0" applyAlignment="1" applyBorder="1" applyFill="1" applyFont="1" applyNumberFormat="1">
      <alignment horizontal="center" vertical="center"/>
    </xf>
    <xf borderId="11" fillId="11" fontId="8" numFmtId="165" xfId="0" applyAlignment="1" applyBorder="1" applyFill="1" applyFont="1" applyNumberFormat="1">
      <alignment horizontal="center" vertical="center"/>
    </xf>
    <xf borderId="2" fillId="0" fontId="8" numFmtId="3" xfId="0" applyAlignment="1" applyBorder="1" applyFont="1" applyNumberFormat="1">
      <alignment horizontal="center" vertical="center"/>
    </xf>
    <xf borderId="8" fillId="8" fontId="7" numFmtId="164" xfId="0" applyAlignment="1" applyBorder="1" applyFont="1" applyNumberFormat="1">
      <alignment horizontal="center" vertical="center"/>
    </xf>
    <xf borderId="8" fillId="0" fontId="7" numFmtId="3" xfId="0" applyAlignment="1" applyBorder="1" applyFont="1" applyNumberFormat="1">
      <alignment horizontal="center" vertical="center"/>
    </xf>
    <xf borderId="8" fillId="0" fontId="7" numFmtId="0" xfId="0" applyAlignment="1" applyBorder="1" applyFont="1">
      <alignment horizontal="center" vertical="center"/>
    </xf>
    <xf borderId="8" fillId="12" fontId="8" numFmtId="3" xfId="0" applyAlignment="1" applyBorder="1" applyFill="1" applyFont="1" applyNumberFormat="1">
      <alignment horizontal="center" vertical="center"/>
    </xf>
    <xf borderId="5" fillId="13" fontId="7" numFmtId="0" xfId="0" applyAlignment="1" applyBorder="1" applyFill="1" applyFont="1">
      <alignment vertical="center"/>
    </xf>
    <xf borderId="8" fillId="12" fontId="9" numFmtId="0" xfId="0" applyAlignment="1" applyBorder="1" applyFont="1">
      <alignment horizontal="right" vertical="center"/>
    </xf>
    <xf borderId="8" fillId="11" fontId="8" numFmtId="165" xfId="0" applyAlignment="1" applyBorder="1" applyFont="1" applyNumberFormat="1">
      <alignment horizontal="center" vertical="center"/>
    </xf>
    <xf borderId="8" fillId="10" fontId="8" numFmtId="165" xfId="0" applyAlignment="1" applyBorder="1" applyFont="1" applyNumberFormat="1">
      <alignment horizontal="center" vertical="center"/>
    </xf>
    <xf borderId="12" fillId="14" fontId="8" numFmtId="165" xfId="0" applyAlignment="1" applyBorder="1" applyFill="1" applyFont="1" applyNumberFormat="1">
      <alignment horizontal="center" vertical="center"/>
    </xf>
    <xf borderId="8" fillId="0" fontId="8" numFmtId="3" xfId="0" applyAlignment="1" applyBorder="1" applyFont="1" applyNumberFormat="1">
      <alignment horizontal="center" vertical="center"/>
    </xf>
    <xf borderId="8" fillId="0" fontId="8" numFmtId="0" xfId="0" applyAlignment="1" applyBorder="1" applyFont="1">
      <alignment horizontal="center"/>
    </xf>
    <xf borderId="8" fillId="12" fontId="8" numFmtId="0" xfId="0" applyAlignment="1" applyBorder="1" applyFont="1">
      <alignment horizontal="center"/>
    </xf>
    <xf borderId="8" fillId="11" fontId="8" numFmtId="165" xfId="0" applyAlignment="1" applyBorder="1" applyFont="1" applyNumberFormat="1">
      <alignment horizontal="center"/>
    </xf>
    <xf borderId="8" fillId="9" fontId="11" numFmtId="165" xfId="0" applyAlignment="1" applyBorder="1" applyFont="1" applyNumberFormat="1">
      <alignment horizontal="center"/>
    </xf>
    <xf borderId="8" fillId="10" fontId="8" numFmtId="165" xfId="0" applyAlignment="1" applyBorder="1" applyFont="1" applyNumberFormat="1">
      <alignment horizontal="center"/>
    </xf>
    <xf borderId="8" fillId="13" fontId="8" numFmtId="165" xfId="0" applyAlignment="1" applyBorder="1" applyFont="1" applyNumberFormat="1">
      <alignment horizontal="center"/>
    </xf>
    <xf borderId="8" fillId="10" fontId="8" numFmtId="3" xfId="0" applyAlignment="1" applyBorder="1" applyFont="1" applyNumberFormat="1">
      <alignment horizontal="center"/>
    </xf>
    <xf borderId="8" fillId="8" fontId="7" numFmtId="164" xfId="0" applyAlignment="1" applyBorder="1" applyFont="1" applyNumberFormat="1">
      <alignment horizontal="center"/>
    </xf>
    <xf borderId="8" fillId="0" fontId="7" numFmtId="3" xfId="0" applyAlignment="1" applyBorder="1" applyFont="1" applyNumberFormat="1">
      <alignment horizontal="center"/>
    </xf>
    <xf borderId="8" fillId="0" fontId="7" numFmtId="0" xfId="0" applyAlignment="1" applyBorder="1" applyFont="1">
      <alignment horizontal="center"/>
    </xf>
    <xf borderId="8" fillId="15" fontId="8" numFmtId="3" xfId="0" applyAlignment="1" applyBorder="1" applyFill="1" applyFont="1" applyNumberFormat="1">
      <alignment horizontal="center"/>
    </xf>
    <xf borderId="8" fillId="5" fontId="8" numFmtId="39" xfId="0" applyAlignment="1" applyBorder="1" applyFont="1" applyNumberFormat="1">
      <alignment horizontal="center"/>
    </xf>
    <xf borderId="8" fillId="3" fontId="7" numFmtId="166" xfId="0" applyAlignment="1" applyBorder="1" applyFont="1" applyNumberFormat="1">
      <alignment horizontal="center"/>
    </xf>
    <xf borderId="8" fillId="0" fontId="12" numFmtId="0" xfId="0" applyAlignment="1" applyBorder="1" applyFont="1">
      <alignment horizontal="left" shrinkToFit="0" vertical="center" wrapText="1"/>
    </xf>
    <xf borderId="8" fillId="0" fontId="7" numFmtId="164" xfId="0" applyAlignment="1" applyBorder="1" applyFont="1" applyNumberFormat="1">
      <alignment horizontal="center" vertical="center"/>
    </xf>
    <xf borderId="8" fillId="9" fontId="7" numFmtId="164" xfId="0" applyAlignment="1" applyBorder="1" applyFont="1" applyNumberFormat="1">
      <alignment horizontal="center" vertical="center"/>
    </xf>
    <xf borderId="8" fillId="10" fontId="7" numFmtId="164" xfId="0" applyAlignment="1" applyBorder="1" applyFont="1" applyNumberFormat="1">
      <alignment horizontal="center" vertical="center"/>
    </xf>
    <xf borderId="8" fillId="13" fontId="8" numFmtId="164" xfId="0" applyAlignment="1" applyBorder="1" applyFont="1" applyNumberFormat="1">
      <alignment horizontal="center" vertical="center"/>
    </xf>
    <xf borderId="8" fillId="10" fontId="8" numFmtId="3" xfId="0" applyAlignment="1" applyBorder="1" applyFont="1" applyNumberFormat="1">
      <alignment horizontal="center" vertical="center"/>
    </xf>
    <xf borderId="8" fillId="0" fontId="7" numFmtId="4" xfId="0" applyAlignment="1" applyBorder="1" applyFont="1" applyNumberFormat="1">
      <alignment horizontal="center" vertical="center"/>
    </xf>
    <xf borderId="8" fillId="14" fontId="8" numFmtId="0" xfId="0" applyAlignment="1" applyBorder="1" applyFont="1">
      <alignment horizontal="center" vertical="center"/>
    </xf>
    <xf borderId="8" fillId="13" fontId="8" numFmtId="3" xfId="0" applyAlignment="1" applyBorder="1" applyFont="1" applyNumberFormat="1">
      <alignment horizontal="center" vertical="center"/>
    </xf>
    <xf borderId="8" fillId="0" fontId="7" numFmtId="0" xfId="0" applyAlignment="1" applyBorder="1" applyFont="1">
      <alignment horizontal="left" shrinkToFit="0" vertical="center" wrapText="1"/>
    </xf>
    <xf borderId="8" fillId="9" fontId="7" numFmtId="0" xfId="0" applyAlignment="1" applyBorder="1" applyFont="1">
      <alignment horizontal="center" vertical="center"/>
    </xf>
    <xf borderId="8" fillId="11" fontId="9" numFmtId="0" xfId="0" applyAlignment="1" applyBorder="1" applyFont="1">
      <alignment horizontal="left" shrinkToFit="0" vertical="center" wrapText="1"/>
    </xf>
    <xf borderId="8" fillId="10" fontId="9" numFmtId="0" xfId="0" applyAlignment="1" applyBorder="1" applyFont="1">
      <alignment horizontal="center" vertical="center"/>
    </xf>
    <xf borderId="8" fillId="10" fontId="8" numFmtId="164" xfId="0" applyAlignment="1" applyBorder="1" applyFont="1" applyNumberFormat="1">
      <alignment horizontal="center" vertical="center"/>
    </xf>
    <xf borderId="8" fillId="11" fontId="9" numFmtId="0" xfId="0" applyAlignment="1" applyBorder="1" applyFont="1">
      <alignment horizontal="right" shrinkToFit="0" vertical="center" wrapText="1"/>
    </xf>
    <xf borderId="8" fillId="9" fontId="8" numFmtId="164" xfId="0" applyAlignment="1" applyBorder="1" applyFont="1" applyNumberFormat="1">
      <alignment horizontal="center" vertical="center"/>
    </xf>
    <xf borderId="8" fillId="0" fontId="7" numFmtId="10" xfId="0" applyAlignment="1" applyBorder="1" applyFont="1" applyNumberFormat="1">
      <alignment horizontal="center" vertical="center"/>
    </xf>
    <xf borderId="8" fillId="0" fontId="8" numFmtId="10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horizontal="center" vertical="center"/>
    </xf>
    <xf borderId="13" fillId="0" fontId="6" numFmtId="0" xfId="0" applyBorder="1" applyFont="1"/>
    <xf borderId="14" fillId="0" fontId="6" numFmtId="0" xfId="0" applyBorder="1" applyFont="1"/>
    <xf borderId="9" fillId="10" fontId="8" numFmtId="164" xfId="0" applyAlignment="1" applyBorder="1" applyFont="1" applyNumberFormat="1">
      <alignment horizontal="center" vertical="center"/>
    </xf>
    <xf borderId="8" fillId="2" fontId="8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8" fillId="0" fontId="13" numFmtId="0" xfId="0" applyAlignment="1" applyBorder="1" applyFont="1">
      <alignment horizontal="right" shrinkToFit="0" vertical="center" wrapText="1"/>
    </xf>
    <xf borderId="10" fillId="10" fontId="9" numFmtId="0" xfId="0" applyAlignment="1" applyBorder="1" applyFont="1">
      <alignment horizontal="center" vertical="center"/>
    </xf>
    <xf borderId="11" fillId="11" fontId="8" numFmtId="164" xfId="0" applyAlignment="1" applyBorder="1" applyFont="1" applyNumberFormat="1">
      <alignment horizontal="center" vertical="center"/>
    </xf>
    <xf borderId="8" fillId="12" fontId="7" numFmtId="0" xfId="0" applyAlignment="1" applyBorder="1" applyFont="1">
      <alignment horizontal="left" shrinkToFit="0" vertical="center" wrapText="1"/>
    </xf>
    <xf borderId="8" fillId="9" fontId="7" numFmtId="2" xfId="0" applyAlignment="1" applyBorder="1" applyFont="1" applyNumberFormat="1">
      <alignment horizontal="center" vertical="center"/>
    </xf>
    <xf borderId="11" fillId="11" fontId="8" numFmtId="0" xfId="0" applyAlignment="1" applyBorder="1" applyFont="1">
      <alignment horizontal="center" vertical="center"/>
    </xf>
    <xf borderId="12" fillId="14" fontId="8" numFmtId="0" xfId="0" applyAlignment="1" applyBorder="1" applyFont="1">
      <alignment horizontal="center"/>
    </xf>
    <xf borderId="8" fillId="0" fontId="7" numFmtId="0" xfId="0" applyAlignment="1" applyBorder="1" applyFont="1">
      <alignment horizontal="left"/>
    </xf>
    <xf borderId="8" fillId="0" fontId="8" numFmtId="164" xfId="0" applyAlignment="1" applyBorder="1" applyFont="1" applyNumberFormat="1">
      <alignment horizontal="center"/>
    </xf>
    <xf borderId="8" fillId="9" fontId="8" numFmtId="164" xfId="0" applyAlignment="1" applyBorder="1" applyFont="1" applyNumberFormat="1">
      <alignment horizontal="center"/>
    </xf>
    <xf borderId="8" fillId="13" fontId="8" numFmtId="3" xfId="0" applyAlignment="1" applyBorder="1" applyFont="1" applyNumberFormat="1">
      <alignment horizontal="center"/>
    </xf>
    <xf borderId="8" fillId="0" fontId="9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center" vertical="center"/>
    </xf>
    <xf borderId="8" fillId="0" fontId="8" numFmtId="3" xfId="0" applyAlignment="1" applyBorder="1" applyFont="1" applyNumberFormat="1">
      <alignment horizontal="center"/>
    </xf>
    <xf borderId="3" fillId="0" fontId="8" numFmtId="164" xfId="0" applyAlignment="1" applyBorder="1" applyFont="1" applyNumberFormat="1">
      <alignment horizontal="center"/>
    </xf>
    <xf borderId="8" fillId="0" fontId="7" numFmtId="164" xfId="0" applyAlignment="1" applyBorder="1" applyFont="1" applyNumberFormat="1">
      <alignment horizontal="center"/>
    </xf>
    <xf borderId="8" fillId="0" fontId="9" numFmtId="0" xfId="0" applyAlignment="1" applyBorder="1" applyFont="1">
      <alignment horizontal="right" shrinkToFit="0" vertical="center" wrapText="1"/>
    </xf>
    <xf borderId="2" fillId="0" fontId="8" numFmtId="3" xfId="0" applyAlignment="1" applyBorder="1" applyFont="1" applyNumberFormat="1">
      <alignment horizontal="center"/>
    </xf>
    <xf borderId="12" fillId="14" fontId="8" numFmtId="0" xfId="0" applyAlignment="1" applyBorder="1" applyFont="1">
      <alignment horizontal="center" readingOrder="0"/>
    </xf>
    <xf borderId="14" fillId="0" fontId="7" numFmtId="0" xfId="0" applyAlignment="1" applyBorder="1" applyFont="1">
      <alignment horizontal="center" vertical="center"/>
    </xf>
    <xf borderId="12" fillId="11" fontId="9" numFmtId="0" xfId="0" applyAlignment="1" applyBorder="1" applyFont="1">
      <alignment horizontal="center" shrinkToFit="0" vertical="center" wrapText="1"/>
    </xf>
    <xf borderId="14" fillId="0" fontId="8" numFmtId="164" xfId="0" applyAlignment="1" applyBorder="1" applyFont="1" applyNumberFormat="1">
      <alignment horizontal="center"/>
    </xf>
    <xf borderId="12" fillId="9" fontId="8" numFmtId="164" xfId="0" applyAlignment="1" applyBorder="1" applyFont="1" applyNumberFormat="1">
      <alignment horizontal="center"/>
    </xf>
    <xf borderId="12" fillId="9" fontId="7" numFmtId="164" xfId="0" applyAlignment="1" applyBorder="1" applyFont="1" applyNumberFormat="1">
      <alignment horizontal="center" vertical="center"/>
    </xf>
    <xf borderId="12" fillId="10" fontId="9" numFmtId="0" xfId="0" applyAlignment="1" applyBorder="1" applyFont="1">
      <alignment horizontal="center" vertical="center"/>
    </xf>
    <xf borderId="12" fillId="10" fontId="8" numFmtId="164" xfId="0" applyAlignment="1" applyBorder="1" applyFont="1" applyNumberFormat="1">
      <alignment horizontal="center"/>
    </xf>
    <xf borderId="0" fillId="0" fontId="8" numFmtId="3" xfId="0" applyAlignment="1" applyFont="1" applyNumberFormat="1">
      <alignment horizontal="center"/>
    </xf>
    <xf borderId="4" fillId="8" fontId="7" numFmtId="164" xfId="0" applyAlignment="1" applyBorder="1" applyFont="1" applyNumberFormat="1">
      <alignment horizontal="center"/>
    </xf>
    <xf borderId="0" fillId="0" fontId="7" numFmtId="3" xfId="0" applyAlignment="1" applyFont="1" applyNumberFormat="1">
      <alignment horizontal="center"/>
    </xf>
    <xf borderId="0" fillId="0" fontId="7" numFmtId="4" xfId="0" applyAlignment="1" applyFont="1" applyNumberFormat="1">
      <alignment horizontal="center" vertical="center"/>
    </xf>
    <xf borderId="0" fillId="0" fontId="7" numFmtId="0" xfId="0" applyAlignment="1" applyFont="1">
      <alignment horizontal="center"/>
    </xf>
    <xf borderId="12" fillId="13" fontId="8" numFmtId="3" xfId="0" applyAlignment="1" applyBorder="1" applyFont="1" applyNumberFormat="1">
      <alignment horizontal="center"/>
    </xf>
    <xf borderId="8" fillId="11" fontId="9" numFmtId="0" xfId="0" applyAlignment="1" applyBorder="1" applyFont="1">
      <alignment horizontal="center" shrinkToFit="0" vertical="center" wrapText="1"/>
    </xf>
    <xf borderId="9" fillId="10" fontId="8" numFmtId="164" xfId="0" applyAlignment="1" applyBorder="1" applyFont="1" applyNumberFormat="1">
      <alignment horizontal="center"/>
    </xf>
    <xf borderId="9" fillId="10" fontId="8" numFmtId="3" xfId="0" applyAlignment="1" applyBorder="1" applyFont="1" applyNumberFormat="1">
      <alignment horizontal="center"/>
    </xf>
    <xf borderId="15" fillId="8" fontId="7" numFmtId="164" xfId="0" applyAlignment="1" applyBorder="1" applyFont="1" applyNumberFormat="1">
      <alignment horizontal="center"/>
    </xf>
    <xf borderId="9" fillId="13" fontId="8" numFmtId="3" xfId="0" applyAlignment="1" applyBorder="1" applyFont="1" applyNumberForma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8" numFmtId="164" xfId="0" applyAlignment="1" applyFont="1" applyNumberFormat="1">
      <alignment horizontal="center"/>
    </xf>
    <xf borderId="0" fillId="0" fontId="9" numFmtId="0" xfId="0" applyAlignment="1" applyFont="1">
      <alignment horizontal="center" vertical="center"/>
    </xf>
    <xf borderId="0" fillId="0" fontId="7" numFmtId="164" xfId="0" applyAlignment="1" applyFont="1" applyNumberFormat="1">
      <alignment horizontal="center"/>
    </xf>
    <xf borderId="5" fillId="12" fontId="8" numFmtId="3" xfId="0" applyAlignment="1" applyBorder="1" applyFont="1" applyNumberFormat="1">
      <alignment horizontal="center"/>
    </xf>
    <xf borderId="5" fillId="16" fontId="14" numFmtId="0" xfId="0" applyAlignment="1" applyBorder="1" applyFill="1" applyFont="1">
      <alignment horizontal="center" vertical="center"/>
    </xf>
    <xf borderId="5" fillId="16" fontId="14" numFmtId="0" xfId="0" applyAlignment="1" applyBorder="1" applyFont="1">
      <alignment horizontal="center" shrinkToFit="0" vertical="center" wrapText="1"/>
    </xf>
    <xf borderId="5" fillId="16" fontId="14" numFmtId="4" xfId="0" applyAlignment="1" applyBorder="1" applyFont="1" applyNumberFormat="1">
      <alignment horizontal="center" vertical="center"/>
    </xf>
    <xf borderId="5" fillId="16" fontId="14" numFmtId="3" xfId="0" applyAlignment="1" applyBorder="1" applyFont="1" applyNumberFormat="1">
      <alignment horizontal="center" vertical="center"/>
    </xf>
    <xf borderId="5" fillId="8" fontId="7" numFmtId="164" xfId="0" applyAlignment="1" applyBorder="1" applyFont="1" applyNumberFormat="1">
      <alignment horizontal="center"/>
    </xf>
    <xf borderId="0" fillId="0" fontId="7" numFmtId="3" xfId="0" applyAlignment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5" fillId="17" fontId="8" numFmtId="0" xfId="0" applyAlignment="1" applyBorder="1" applyFill="1" applyFont="1">
      <alignment horizontal="center" vertical="center"/>
    </xf>
    <xf borderId="5" fillId="17" fontId="8" numFmtId="164" xfId="0" applyAlignment="1" applyBorder="1" applyFont="1" applyNumberFormat="1">
      <alignment horizontal="center" vertical="center"/>
    </xf>
    <xf borderId="5" fillId="17" fontId="8" numFmtId="3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164" xfId="0" applyAlignment="1" applyFont="1" applyNumberFormat="1">
      <alignment horizontal="center" vertical="center"/>
    </xf>
    <xf borderId="0" fillId="0" fontId="4" numFmtId="0" xfId="0" applyAlignment="1" applyFont="1">
      <alignment horizontal="right" vertical="center"/>
    </xf>
    <xf borderId="11" fillId="18" fontId="4" numFmtId="3" xfId="0" applyAlignment="1" applyBorder="1" applyFill="1" applyFont="1" applyNumberFormat="1">
      <alignment horizontal="center" vertical="center"/>
    </xf>
    <xf borderId="11" fillId="4" fontId="4" numFmtId="3" xfId="0" applyAlignment="1" applyBorder="1" applyFont="1" applyNumberFormat="1">
      <alignment horizontal="center" vertical="center"/>
    </xf>
    <xf borderId="0" fillId="0" fontId="15" numFmtId="0" xfId="0" applyFont="1"/>
    <xf borderId="0" fillId="0" fontId="8" numFmtId="165" xfId="0" applyAlignment="1" applyFont="1" applyNumberFormat="1">
      <alignment horizontal="center" vertical="center"/>
    </xf>
    <xf borderId="0" fillId="0" fontId="4" numFmtId="3" xfId="0" applyAlignment="1" applyFont="1" applyNumberFormat="1">
      <alignment horizontal="center" vertical="center"/>
    </xf>
    <xf borderId="11" fillId="19" fontId="4" numFmtId="3" xfId="0" applyAlignment="1" applyBorder="1" applyFill="1" applyFont="1" applyNumberFormat="1">
      <alignment horizontal="center" vertical="center"/>
    </xf>
    <xf borderId="0" fillId="0" fontId="1" numFmtId="3" xfId="0" applyFont="1" applyNumberFormat="1"/>
    <xf borderId="0" fillId="0" fontId="4" numFmtId="0" xfId="0" applyAlignment="1" applyFont="1">
      <alignment horizontal="center"/>
    </xf>
    <xf borderId="3" fillId="0" fontId="16" numFmtId="164" xfId="0" applyAlignment="1" applyBorder="1" applyFont="1" applyNumberFormat="1">
      <alignment horizontal="center" shrinkToFit="0" wrapText="1"/>
    </xf>
    <xf borderId="16" fillId="0" fontId="16" numFmtId="164" xfId="0" applyAlignment="1" applyBorder="1" applyFont="1" applyNumberFormat="1">
      <alignment horizontal="center" shrinkToFit="0" wrapText="1"/>
    </xf>
    <xf borderId="6" fillId="17" fontId="5" numFmtId="3" xfId="0" applyAlignment="1" applyBorder="1" applyFont="1" applyNumberFormat="1">
      <alignment horizontal="center" shrinkToFit="0" vertical="center" wrapText="1"/>
    </xf>
    <xf borderId="17" fillId="0" fontId="6" numFmtId="0" xfId="0" applyBorder="1" applyFont="1"/>
    <xf borderId="6" fillId="10" fontId="5" numFmtId="0" xfId="0" applyAlignment="1" applyBorder="1" applyFont="1">
      <alignment horizontal="center"/>
    </xf>
    <xf borderId="12" fillId="4" fontId="1" numFmtId="4" xfId="0" applyAlignment="1" applyBorder="1" applyFont="1" applyNumberFormat="1">
      <alignment horizontal="center"/>
    </xf>
    <xf borderId="5" fillId="4" fontId="1" numFmtId="3" xfId="0" applyAlignment="1" applyBorder="1" applyFont="1" applyNumberFormat="1">
      <alignment horizontal="center"/>
    </xf>
    <xf borderId="5" fillId="4" fontId="17" numFmtId="4" xfId="0" applyAlignment="1" applyBorder="1" applyFont="1" applyNumberFormat="1">
      <alignment horizontal="center"/>
    </xf>
    <xf borderId="0" fillId="0" fontId="1" numFmtId="164" xfId="0" applyFont="1" applyNumberFormat="1"/>
    <xf borderId="18" fillId="17" fontId="5" numFmtId="3" xfId="0" applyAlignment="1" applyBorder="1" applyFont="1" applyNumberFormat="1">
      <alignment horizontal="center" shrinkToFit="0" vertical="center" wrapText="1"/>
    </xf>
    <xf borderId="19" fillId="17" fontId="5" numFmtId="3" xfId="0" applyAlignment="1" applyBorder="1" applyFont="1" applyNumberFormat="1">
      <alignment horizontal="center" shrinkToFit="0" vertical="center" wrapText="1"/>
    </xf>
    <xf borderId="15" fillId="17" fontId="5" numFmtId="3" xfId="0" applyAlignment="1" applyBorder="1" applyFont="1" applyNumberFormat="1">
      <alignment horizontal="center" shrinkToFit="0" vertical="center" wrapText="1"/>
    </xf>
    <xf borderId="9" fillId="10" fontId="5" numFmtId="0" xfId="0" applyAlignment="1" applyBorder="1" applyFont="1">
      <alignment horizontal="center"/>
    </xf>
    <xf borderId="4" fillId="4" fontId="1" numFmtId="4" xfId="0" applyAlignment="1" applyBorder="1" applyFont="1" applyNumberFormat="1">
      <alignment horizontal="center"/>
    </xf>
    <xf borderId="8" fillId="6" fontId="8" numFmtId="0" xfId="0" applyAlignment="1" applyBorder="1" applyFont="1">
      <alignment horizontal="center" vertical="center"/>
    </xf>
    <xf borderId="8" fillId="6" fontId="8" numFmtId="164" xfId="0" applyAlignment="1" applyBorder="1" applyFont="1" applyNumberFormat="1">
      <alignment horizontal="center" shrinkToFit="0" vertical="center" wrapText="1"/>
    </xf>
    <xf borderId="8" fillId="6" fontId="8" numFmtId="3" xfId="0" applyAlignment="1" applyBorder="1" applyFont="1" applyNumberFormat="1">
      <alignment horizontal="center" shrinkToFit="0" vertical="center" wrapText="1"/>
    </xf>
    <xf borderId="8" fillId="6" fontId="9" numFmtId="0" xfId="0" applyAlignment="1" applyBorder="1" applyFont="1">
      <alignment horizontal="center" shrinkToFit="0" vertical="center" wrapText="1"/>
    </xf>
    <xf borderId="9" fillId="6" fontId="8" numFmtId="4" xfId="0" applyAlignment="1" applyBorder="1" applyFont="1" applyNumberFormat="1">
      <alignment horizontal="center" vertical="center"/>
    </xf>
    <xf borderId="9" fillId="6" fontId="8" numFmtId="3" xfId="0" applyAlignment="1" applyBorder="1" applyFont="1" applyNumberFormat="1">
      <alignment horizontal="center" vertical="center"/>
    </xf>
    <xf borderId="5" fillId="6" fontId="9" numFmtId="3" xfId="0" applyAlignment="1" applyBorder="1" applyFont="1" applyNumberFormat="1">
      <alignment horizontal="center" vertical="center"/>
    </xf>
    <xf borderId="8" fillId="17" fontId="8" numFmtId="0" xfId="0" applyAlignment="1" applyBorder="1" applyFont="1">
      <alignment horizontal="center" vertical="center"/>
    </xf>
    <xf borderId="8" fillId="17" fontId="8" numFmtId="164" xfId="0" applyAlignment="1" applyBorder="1" applyFont="1" applyNumberFormat="1">
      <alignment horizontal="center" shrinkToFit="0" vertical="center" wrapText="1"/>
    </xf>
    <xf borderId="8" fillId="9" fontId="8" numFmtId="3" xfId="0" applyAlignment="1" applyBorder="1" applyFont="1" applyNumberFormat="1">
      <alignment horizontal="center" shrinkToFit="0" vertical="center" wrapText="1"/>
    </xf>
    <xf borderId="8" fillId="15" fontId="9" numFmtId="0" xfId="0" applyAlignment="1" applyBorder="1" applyFont="1">
      <alignment horizontal="center" shrinkToFit="0" vertical="center" wrapText="1"/>
    </xf>
    <xf borderId="9" fillId="15" fontId="8" numFmtId="0" xfId="0" applyAlignment="1" applyBorder="1" applyFont="1">
      <alignment horizontal="center" shrinkToFit="0" vertical="center" wrapText="1"/>
    </xf>
    <xf borderId="9" fillId="15" fontId="8" numFmtId="3" xfId="0" applyAlignment="1" applyBorder="1" applyFont="1" applyNumberFormat="1">
      <alignment horizontal="center" shrinkToFit="0" vertical="center" wrapText="1"/>
    </xf>
    <xf borderId="5" fillId="4" fontId="8" numFmtId="4" xfId="0" applyAlignment="1" applyBorder="1" applyFont="1" applyNumberFormat="1">
      <alignment horizontal="center" vertical="center"/>
    </xf>
    <xf borderId="5" fillId="4" fontId="8" numFmtId="3" xfId="0" applyAlignment="1" applyBorder="1" applyFont="1" applyNumberFormat="1">
      <alignment horizontal="center" vertical="center"/>
    </xf>
    <xf borderId="5" fillId="4" fontId="9" numFmtId="4" xfId="0" applyAlignment="1" applyBorder="1" applyFont="1" applyNumberFormat="1">
      <alignment horizontal="center" vertical="center"/>
    </xf>
    <xf borderId="9" fillId="15" fontId="7" numFmtId="3" xfId="0" applyAlignment="1" applyBorder="1" applyFont="1" applyNumberFormat="1">
      <alignment horizontal="center" vertical="center"/>
    </xf>
    <xf borderId="8" fillId="0" fontId="18" numFmtId="0" xfId="0" applyAlignment="1" applyBorder="1" applyFont="1">
      <alignment horizontal="right"/>
    </xf>
    <xf borderId="8" fillId="2" fontId="8" numFmtId="165" xfId="0" applyAlignment="1" applyBorder="1" applyFont="1" applyNumberFormat="1">
      <alignment horizontal="center"/>
    </xf>
    <xf borderId="8" fillId="9" fontId="8" numFmtId="165" xfId="0" applyAlignment="1" applyBorder="1" applyFont="1" applyNumberFormat="1">
      <alignment horizontal="center"/>
    </xf>
    <xf borderId="10" fillId="15" fontId="8" numFmtId="165" xfId="0" applyAlignment="1" applyBorder="1" applyFont="1" applyNumberFormat="1">
      <alignment horizontal="center"/>
    </xf>
    <xf borderId="11" fillId="11" fontId="8" numFmtId="165" xfId="0" applyAlignment="1" applyBorder="1" applyFont="1" applyNumberFormat="1">
      <alignment horizontal="center"/>
    </xf>
    <xf borderId="20" fillId="12" fontId="8" numFmtId="3" xfId="0" applyAlignment="1" applyBorder="1" applyFont="1" applyNumberFormat="1">
      <alignment horizontal="center"/>
    </xf>
    <xf borderId="8" fillId="12" fontId="7" numFmtId="165" xfId="0" applyAlignment="1" applyBorder="1" applyFont="1" applyNumberFormat="1">
      <alignment horizontal="center"/>
    </xf>
    <xf borderId="8" fillId="12" fontId="7" numFmtId="3" xfId="0" applyAlignment="1" applyBorder="1" applyFont="1" applyNumberFormat="1">
      <alignment horizontal="center"/>
    </xf>
    <xf borderId="8" fillId="12" fontId="7" numFmtId="0" xfId="0" applyAlignment="1" applyBorder="1" applyFont="1">
      <alignment horizontal="center"/>
    </xf>
    <xf borderId="8" fillId="12" fontId="7" numFmtId="0" xfId="0" applyBorder="1" applyFont="1"/>
    <xf borderId="8" fillId="12" fontId="18" numFmtId="0" xfId="0" applyAlignment="1" applyBorder="1" applyFont="1">
      <alignment horizontal="right"/>
    </xf>
    <xf borderId="8" fillId="15" fontId="8" numFmtId="165" xfId="0" applyAlignment="1" applyBorder="1" applyFont="1" applyNumberFormat="1">
      <alignment horizontal="center"/>
    </xf>
    <xf borderId="12" fillId="14" fontId="8" numFmtId="165" xfId="0" applyAlignment="1" applyBorder="1" applyFont="1" applyNumberFormat="1">
      <alignment horizontal="center"/>
    </xf>
    <xf borderId="8" fillId="12" fontId="8" numFmtId="3" xfId="0" applyAlignment="1" applyBorder="1" applyFont="1" applyNumberFormat="1">
      <alignment horizontal="center"/>
    </xf>
    <xf borderId="8" fillId="12" fontId="8" numFmtId="0" xfId="0" applyAlignment="1" applyBorder="1" applyFont="1">
      <alignment horizontal="right"/>
    </xf>
    <xf borderId="0" fillId="0" fontId="7" numFmtId="165" xfId="0" applyAlignment="1" applyFont="1" applyNumberFormat="1">
      <alignment horizontal="center"/>
    </xf>
    <xf borderId="5" fillId="4" fontId="7" numFmtId="0" xfId="0" applyAlignment="1" applyBorder="1" applyFont="1">
      <alignment horizontal="center"/>
    </xf>
    <xf borderId="12" fillId="13" fontId="7" numFmtId="3" xfId="0" applyAlignment="1" applyBorder="1" applyFont="1" applyNumberFormat="1">
      <alignment horizontal="center"/>
    </xf>
    <xf borderId="8" fillId="13" fontId="7" numFmtId="3" xfId="0" applyAlignment="1" applyBorder="1" applyFont="1" applyNumberFormat="1">
      <alignment horizontal="center"/>
    </xf>
    <xf borderId="8" fillId="20" fontId="7" numFmtId="166" xfId="0" applyBorder="1" applyFill="1" applyFont="1" applyNumberFormat="1"/>
    <xf borderId="8" fillId="15" fontId="7" numFmtId="164" xfId="0" applyAlignment="1" applyBorder="1" applyFont="1" applyNumberFormat="1">
      <alignment horizontal="center" vertical="center"/>
    </xf>
    <xf borderId="5" fillId="4" fontId="7" numFmtId="3" xfId="0" applyAlignment="1" applyBorder="1" applyFont="1" applyNumberFormat="1">
      <alignment horizontal="center" vertical="center"/>
    </xf>
    <xf borderId="5" fillId="4" fontId="7" numFmtId="4" xfId="0" applyAlignment="1" applyBorder="1" applyFont="1" applyNumberFormat="1">
      <alignment horizontal="center" vertical="center"/>
    </xf>
    <xf borderId="10" fillId="14" fontId="8" numFmtId="0" xfId="0" applyAlignment="1" applyBorder="1" applyFont="1">
      <alignment horizontal="center" vertical="center"/>
    </xf>
    <xf borderId="8" fillId="0" fontId="7" numFmtId="0" xfId="0" applyAlignment="1" applyBorder="1" applyFont="1">
      <alignment shrinkToFit="0" vertical="center" wrapText="1"/>
    </xf>
    <xf borderId="8" fillId="9" fontId="7" numFmtId="0" xfId="0" applyAlignment="1" applyBorder="1" applyFont="1">
      <alignment vertical="center"/>
    </xf>
    <xf borderId="8" fillId="15" fontId="9" numFmtId="0" xfId="0" applyAlignment="1" applyBorder="1" applyFont="1">
      <alignment horizontal="center" vertical="center"/>
    </xf>
    <xf borderId="10" fillId="13" fontId="8" numFmtId="3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5" fillId="13" fontId="8" numFmtId="3" xfId="0" applyAlignment="1" applyBorder="1" applyFont="1" applyNumberFormat="1">
      <alignment horizontal="center" vertical="center"/>
    </xf>
    <xf borderId="8" fillId="0" fontId="18" numFmtId="0" xfId="0" applyAlignment="1" applyBorder="1" applyFont="1">
      <alignment horizontal="right" shrinkToFit="0" vertical="center" wrapText="1"/>
    </xf>
    <xf borderId="8" fillId="15" fontId="8" numFmtId="164" xfId="0" applyAlignment="1" applyBorder="1" applyFont="1" applyNumberFormat="1">
      <alignment horizontal="center"/>
    </xf>
    <xf borderId="8" fillId="15" fontId="18" numFmtId="164" xfId="0" applyAlignment="1" applyBorder="1" applyFont="1" applyNumberFormat="1">
      <alignment horizontal="center"/>
    </xf>
    <xf borderId="9" fillId="13" fontId="8" numFmtId="3" xfId="0" applyAlignment="1" applyBorder="1" applyFont="1" applyNumberFormat="1">
      <alignment horizontal="center" vertical="center"/>
    </xf>
    <xf borderId="5" fillId="12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8" fillId="12" fontId="9" numFmtId="0" xfId="0" applyAlignment="1" applyBorder="1" applyFont="1">
      <alignment horizontal="right" shrinkToFit="0" vertical="center" wrapText="1"/>
    </xf>
    <xf borderId="8" fillId="12" fontId="7" numFmtId="164" xfId="0" applyAlignment="1" applyBorder="1" applyFont="1" applyNumberFormat="1">
      <alignment horizontal="center" vertical="center"/>
    </xf>
    <xf borderId="8" fillId="12" fontId="9" numFmtId="0" xfId="0" applyAlignment="1" applyBorder="1" applyFont="1">
      <alignment horizontal="center" vertical="center"/>
    </xf>
    <xf borderId="9" fillId="12" fontId="18" numFmtId="164" xfId="0" applyAlignment="1" applyBorder="1" applyFont="1" applyNumberFormat="1">
      <alignment horizontal="center"/>
    </xf>
    <xf borderId="8" fillId="12" fontId="7" numFmtId="3" xfId="0" applyAlignment="1" applyBorder="1" applyFont="1" applyNumberFormat="1">
      <alignment horizontal="center" vertical="center"/>
    </xf>
    <xf borderId="8" fillId="12" fontId="7" numFmtId="4" xfId="0" applyAlignment="1" applyBorder="1" applyFont="1" applyNumberFormat="1">
      <alignment horizontal="center" vertical="center"/>
    </xf>
    <xf borderId="10" fillId="15" fontId="9" numFmtId="0" xfId="0" applyAlignment="1" applyBorder="1" applyFont="1">
      <alignment horizontal="center" vertical="center"/>
    </xf>
    <xf borderId="11" fillId="11" fontId="8" numFmtId="0" xfId="0" applyAlignment="1" applyBorder="1" applyFont="1">
      <alignment horizontal="center"/>
    </xf>
    <xf borderId="20" fillId="12" fontId="8" numFmtId="3" xfId="0" applyAlignment="1" applyBorder="1" applyFont="1" applyNumberFormat="1">
      <alignment horizontal="center" vertical="center"/>
    </xf>
    <xf borderId="12" fillId="14" fontId="8" numFmtId="0" xfId="0" applyAlignment="1" applyBorder="1" applyFont="1">
      <alignment horizontal="center" vertical="center"/>
    </xf>
    <xf borderId="12" fillId="13" fontId="8" numFmtId="3" xfId="0" applyAlignment="1" applyBorder="1" applyFont="1" applyNumberFormat="1">
      <alignment horizontal="center" vertical="center"/>
    </xf>
    <xf borderId="21" fillId="14" fontId="8" numFmtId="0" xfId="0" applyAlignment="1" applyBorder="1" applyFont="1">
      <alignment horizontal="center" vertical="center"/>
    </xf>
    <xf borderId="8" fillId="15" fontId="7" numFmtId="0" xfId="0" applyAlignment="1" applyBorder="1" applyFont="1">
      <alignment vertical="center"/>
    </xf>
    <xf borderId="8" fillId="15" fontId="7" numFmtId="3" xfId="0" applyAlignment="1" applyBorder="1" applyFont="1" applyNumberFormat="1">
      <alignment horizontal="center" vertical="center"/>
    </xf>
    <xf borderId="8" fillId="15" fontId="7" numFmtId="3" xfId="0" applyAlignment="1" applyBorder="1" applyFont="1" applyNumberFormat="1">
      <alignment horizontal="center"/>
    </xf>
    <xf borderId="3" fillId="0" fontId="7" numFmtId="0" xfId="0" applyAlignment="1" applyBorder="1" applyFont="1">
      <alignment vertical="center"/>
    </xf>
    <xf borderId="9" fillId="11" fontId="9" numFmtId="0" xfId="0" applyAlignment="1" applyBorder="1" applyFont="1">
      <alignment horizontal="right" shrinkToFit="0" vertical="center" wrapText="1"/>
    </xf>
    <xf borderId="3" fillId="0" fontId="7" numFmtId="164" xfId="0" applyAlignment="1" applyBorder="1" applyFont="1" applyNumberFormat="1">
      <alignment horizontal="center" vertical="center"/>
    </xf>
    <xf borderId="9" fillId="9" fontId="7" numFmtId="164" xfId="0" applyAlignment="1" applyBorder="1" applyFont="1" applyNumberFormat="1">
      <alignment horizontal="center" vertical="center"/>
    </xf>
    <xf borderId="9" fillId="15" fontId="9" numFmtId="0" xfId="0" applyAlignment="1" applyBorder="1" applyFont="1">
      <alignment horizontal="center" vertical="center"/>
    </xf>
    <xf borderId="9" fillId="15" fontId="8" numFmtId="164" xfId="0" applyAlignment="1" applyBorder="1" applyFont="1" applyNumberFormat="1">
      <alignment horizontal="center"/>
    </xf>
    <xf borderId="5" fillId="12" fontId="9" numFmtId="0" xfId="0" applyAlignment="1" applyBorder="1" applyFont="1">
      <alignment horizontal="right" shrinkToFit="0" vertical="center" wrapText="1"/>
    </xf>
    <xf borderId="0" fillId="0" fontId="7" numFmtId="164" xfId="0" applyAlignment="1" applyFont="1" applyNumberFormat="1">
      <alignment horizontal="center" vertical="center"/>
    </xf>
    <xf borderId="5" fillId="9" fontId="7" numFmtId="164" xfId="0" applyAlignment="1" applyBorder="1" applyFont="1" applyNumberFormat="1">
      <alignment horizontal="center" vertical="center"/>
    </xf>
    <xf borderId="5" fillId="15" fontId="9" numFmtId="0" xfId="0" applyAlignment="1" applyBorder="1" applyFont="1">
      <alignment horizontal="center" vertical="center"/>
    </xf>
    <xf borderId="5" fillId="12" fontId="8" numFmtId="164" xfId="0" applyAlignment="1" applyBorder="1" applyFont="1" applyNumberFormat="1">
      <alignment horizontal="center"/>
    </xf>
    <xf borderId="20" fillId="12" fontId="7" numFmtId="3" xfId="0" applyAlignment="1" applyBorder="1" applyFont="1" applyNumberFormat="1">
      <alignment horizontal="center" vertical="center"/>
    </xf>
    <xf borderId="5" fillId="12" fontId="7" numFmtId="165" xfId="0" applyAlignment="1" applyBorder="1" applyFont="1" applyNumberFormat="1">
      <alignment horizontal="center"/>
    </xf>
    <xf borderId="5" fillId="12" fontId="7" numFmtId="3" xfId="0" applyAlignment="1" applyBorder="1" applyFont="1" applyNumberFormat="1">
      <alignment horizontal="center" vertical="center"/>
    </xf>
    <xf borderId="5" fillId="12" fontId="7" numFmtId="4" xfId="0" applyAlignment="1" applyBorder="1" applyFont="1" applyNumberFormat="1">
      <alignment horizontal="center" vertical="center"/>
    </xf>
    <xf borderId="5" fillId="12" fontId="7" numFmtId="0" xfId="0" applyBorder="1" applyFont="1"/>
    <xf borderId="14" fillId="0" fontId="8" numFmtId="0" xfId="0" applyAlignment="1" applyBorder="1" applyFont="1">
      <alignment shrinkToFit="0" vertical="center" wrapText="1"/>
    </xf>
    <xf borderId="14" fillId="0" fontId="8" numFmtId="4" xfId="0" applyAlignment="1" applyBorder="1" applyFont="1" applyNumberFormat="1">
      <alignment horizontal="center" vertical="center"/>
    </xf>
    <xf borderId="14" fillId="0" fontId="8" numFmtId="3" xfId="0" applyAlignment="1" applyBorder="1" applyFont="1" applyNumberFormat="1">
      <alignment horizontal="center" vertical="center"/>
    </xf>
    <xf borderId="8" fillId="0" fontId="8" numFmtId="0" xfId="0" applyAlignment="1" applyBorder="1" applyFont="1">
      <alignment shrinkToFit="0" vertical="center" wrapText="1"/>
    </xf>
    <xf borderId="8" fillId="0" fontId="7" numFmtId="0" xfId="0" applyBorder="1" applyFont="1"/>
    <xf borderId="8" fillId="0" fontId="8" numFmtId="4" xfId="0" applyAlignment="1" applyBorder="1" applyFont="1" applyNumberFormat="1">
      <alignment horizontal="center" vertical="center"/>
    </xf>
    <xf borderId="3" fillId="0" fontId="8" numFmtId="0" xfId="0" applyAlignment="1" applyBorder="1" applyFont="1">
      <alignment vertical="center"/>
    </xf>
    <xf borderId="8" fillId="0" fontId="8" numFmtId="164" xfId="0" applyAlignment="1" applyBorder="1" applyFont="1" applyNumberFormat="1">
      <alignment horizontal="center" vertical="center"/>
    </xf>
    <xf borderId="3" fillId="0" fontId="8" numFmtId="164" xfId="0" applyAlignment="1" applyBorder="1" applyFont="1" applyNumberFormat="1">
      <alignment horizontal="center" vertical="center"/>
    </xf>
    <xf borderId="0" fillId="0" fontId="8" numFmtId="0" xfId="0" applyFont="1"/>
    <xf borderId="0" fillId="0" fontId="8" numFmtId="3" xfId="0" applyFont="1" applyNumberFormat="1"/>
    <xf borderId="0" fillId="0" fontId="8" numFmtId="165" xfId="0" applyAlignment="1" applyFont="1" applyNumberFormat="1">
      <alignment horizontal="center"/>
    </xf>
    <xf borderId="0" fillId="0" fontId="8" numFmtId="4" xfId="0" applyAlignment="1" applyFont="1" applyNumberFormat="1">
      <alignment horizontal="center" vertical="center"/>
    </xf>
    <xf borderId="3" fillId="0" fontId="7" numFmtId="3" xfId="0" applyAlignment="1" applyBorder="1" applyFont="1" applyNumberFormat="1">
      <alignment horizontal="center"/>
    </xf>
    <xf borderId="11" fillId="18" fontId="8" numFmtId="3" xfId="0" applyAlignment="1" applyBorder="1" applyFont="1" applyNumberFormat="1">
      <alignment horizontal="center" vertical="center"/>
    </xf>
    <xf borderId="11" fillId="4" fontId="8" numFmtId="3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/>
    </xf>
    <xf borderId="0" fillId="0" fontId="8" numFmtId="4" xfId="0" applyAlignment="1" applyFont="1" applyNumberFormat="1">
      <alignment horizontal="center"/>
    </xf>
    <xf borderId="0" fillId="0" fontId="16" numFmtId="0" xfId="0" applyAlignment="1" applyFont="1">
      <alignment horizontal="center"/>
    </xf>
    <xf borderId="0" fillId="0" fontId="16" numFmtId="0" xfId="0" applyFont="1"/>
    <xf borderId="0" fillId="0" fontId="16" numFmtId="164" xfId="0" applyAlignment="1" applyFont="1" applyNumberFormat="1">
      <alignment horizontal="center"/>
    </xf>
    <xf borderId="0" fillId="0" fontId="16" numFmtId="3" xfId="0" applyFont="1" applyNumberFormat="1"/>
    <xf borderId="1" fillId="4" fontId="5" numFmtId="3" xfId="0" applyAlignment="1" applyBorder="1" applyFont="1" applyNumberFormat="1">
      <alignment horizontal="center"/>
    </xf>
    <xf borderId="22" fillId="0" fontId="6" numFmtId="0" xfId="0" applyBorder="1" applyFont="1"/>
    <xf borderId="1" fillId="5" fontId="19" numFmtId="0" xfId="0" applyAlignment="1" applyBorder="1" applyFont="1">
      <alignment horizontal="center"/>
    </xf>
    <xf borderId="0" fillId="0" fontId="16" numFmtId="0" xfId="0" applyAlignment="1" applyFont="1">
      <alignment horizontal="center" vertical="center"/>
    </xf>
    <xf borderId="8" fillId="10" fontId="9" numFmtId="0" xfId="0" applyAlignment="1" applyBorder="1" applyFont="1">
      <alignment horizontal="center" shrinkToFit="0" vertical="center" wrapText="1"/>
    </xf>
    <xf borderId="9" fillId="10" fontId="7" numFmtId="0" xfId="0" applyAlignment="1" applyBorder="1" applyFont="1">
      <alignment horizontal="center" shrinkToFit="0" vertical="center" wrapText="1"/>
    </xf>
    <xf borderId="9" fillId="10" fontId="7" numFmtId="3" xfId="0" applyAlignment="1" applyBorder="1" applyFont="1" applyNumberFormat="1">
      <alignment horizontal="center" shrinkToFit="0" vertical="center" wrapText="1"/>
    </xf>
    <xf borderId="9" fillId="4" fontId="8" numFmtId="4" xfId="0" applyAlignment="1" applyBorder="1" applyFont="1" applyNumberFormat="1">
      <alignment horizontal="center" vertical="center"/>
    </xf>
    <xf borderId="9" fillId="4" fontId="8" numFmtId="3" xfId="0" applyAlignment="1" applyBorder="1" applyFont="1" applyNumberFormat="1">
      <alignment horizontal="center" vertical="center"/>
    </xf>
    <xf borderId="5" fillId="4" fontId="9" numFmtId="3" xfId="0" applyAlignment="1" applyBorder="1" applyFont="1" applyNumberFormat="1">
      <alignment horizontal="center" vertical="center"/>
    </xf>
    <xf borderId="10" fillId="10" fontId="8" numFmtId="165" xfId="0" applyAlignment="1" applyBorder="1" applyFont="1" applyNumberFormat="1">
      <alignment horizontal="center"/>
    </xf>
    <xf borderId="8" fillId="10" fontId="20" numFmtId="165" xfId="0" applyAlignment="1" applyBorder="1" applyFont="1" applyNumberFormat="1">
      <alignment horizontal="center"/>
    </xf>
    <xf borderId="12" fillId="10" fontId="8" numFmtId="3" xfId="0" applyAlignment="1" applyBorder="1" applyFont="1" applyNumberFormat="1">
      <alignment horizontal="center"/>
    </xf>
    <xf borderId="13" fillId="0" fontId="7" numFmtId="165" xfId="0" applyAlignment="1" applyBorder="1" applyFont="1" applyNumberFormat="1">
      <alignment horizontal="center"/>
    </xf>
    <xf borderId="23" fillId="4" fontId="7" numFmtId="3" xfId="0" applyAlignment="1" applyBorder="1" applyFont="1" applyNumberFormat="1">
      <alignment horizontal="center"/>
    </xf>
    <xf borderId="24" fillId="4" fontId="7" numFmtId="3" xfId="0" applyAlignment="1" applyBorder="1" applyFont="1" applyNumberFormat="1">
      <alignment horizontal="center"/>
    </xf>
    <xf borderId="25" fillId="0" fontId="7" numFmtId="165" xfId="0" applyAlignment="1" applyBorder="1" applyFont="1" applyNumberFormat="1">
      <alignment horizontal="center"/>
    </xf>
    <xf borderId="25" fillId="4" fontId="7" numFmtId="3" xfId="0" applyAlignment="1" applyBorder="1" applyFont="1" applyNumberFormat="1">
      <alignment horizontal="center" vertical="center"/>
    </xf>
    <xf borderId="26" fillId="4" fontId="7" numFmtId="3" xfId="0" applyAlignment="1" applyBorder="1" applyFont="1" applyNumberFormat="1">
      <alignment horizontal="center" vertical="center"/>
    </xf>
    <xf borderId="27" fillId="0" fontId="7" numFmtId="165" xfId="0" applyAlignment="1" applyBorder="1" applyFont="1" applyNumberFormat="1">
      <alignment horizontal="center"/>
    </xf>
    <xf borderId="27" fillId="4" fontId="7" numFmtId="3" xfId="0" applyAlignment="1" applyBorder="1" applyFont="1" applyNumberFormat="1">
      <alignment horizontal="center" vertical="center"/>
    </xf>
    <xf borderId="28" fillId="4" fontId="7" numFmtId="3" xfId="0" applyAlignment="1" applyBorder="1" applyFont="1" applyNumberFormat="1">
      <alignment horizontal="center" vertical="center"/>
    </xf>
    <xf borderId="8" fillId="0" fontId="7" numFmtId="165" xfId="0" applyAlignment="1" applyBorder="1" applyFont="1" applyNumberFormat="1">
      <alignment horizontal="center"/>
    </xf>
    <xf borderId="8" fillId="4" fontId="7" numFmtId="3" xfId="0" applyAlignment="1" applyBorder="1" applyFont="1" applyNumberFormat="1">
      <alignment horizontal="center" vertical="center"/>
    </xf>
    <xf borderId="29" fillId="4" fontId="7" numFmtId="3" xfId="0" applyAlignment="1" applyBorder="1" applyFont="1" applyNumberFormat="1">
      <alignment horizontal="center" vertical="center"/>
    </xf>
    <xf borderId="30" fillId="0" fontId="7" numFmtId="165" xfId="0" applyAlignment="1" applyBorder="1" applyFont="1" applyNumberFormat="1">
      <alignment horizontal="center"/>
    </xf>
    <xf borderId="30" fillId="4" fontId="7" numFmtId="3" xfId="0" applyAlignment="1" applyBorder="1" applyFont="1" applyNumberFormat="1">
      <alignment horizontal="center" vertical="center"/>
    </xf>
    <xf borderId="31" fillId="4" fontId="7" numFmtId="3" xfId="0" applyAlignment="1" applyBorder="1" applyFont="1" applyNumberFormat="1">
      <alignment horizontal="center" vertical="center"/>
    </xf>
    <xf borderId="23" fillId="4" fontId="7" numFmtId="3" xfId="0" applyAlignment="1" applyBorder="1" applyFont="1" applyNumberFormat="1">
      <alignment horizontal="center" vertical="center"/>
    </xf>
    <xf borderId="32" fillId="4" fontId="7" numFmtId="3" xfId="0" applyAlignment="1" applyBorder="1" applyFont="1" applyNumberFormat="1">
      <alignment horizontal="center" vertical="center"/>
    </xf>
    <xf borderId="8" fillId="9" fontId="7" numFmtId="4" xfId="0" applyAlignment="1" applyBorder="1" applyFont="1" applyNumberFormat="1">
      <alignment horizontal="center" vertical="center"/>
    </xf>
    <xf borderId="3" fillId="0" fontId="7" numFmtId="165" xfId="0" applyAlignment="1" applyBorder="1" applyFont="1" applyNumberFormat="1">
      <alignment horizontal="center"/>
    </xf>
    <xf borderId="9" fillId="4" fontId="7" numFmtId="3" xfId="0" applyAlignment="1" applyBorder="1" applyFont="1" applyNumberFormat="1">
      <alignment horizontal="center" vertical="center"/>
    </xf>
    <xf borderId="18" fillId="4" fontId="7" numFmtId="3" xfId="0" applyAlignment="1" applyBorder="1" applyFont="1" applyNumberFormat="1">
      <alignment horizontal="center" vertical="center"/>
    </xf>
    <xf borderId="8" fillId="10" fontId="21" numFmtId="164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borderId="8" fillId="14" fontId="18" numFmtId="0" xfId="0" applyAlignment="1" applyBorder="1" applyFont="1">
      <alignment horizontal="center" vertical="center"/>
    </xf>
    <xf borderId="8" fillId="10" fontId="18" numFmtId="164" xfId="0" applyAlignment="1" applyBorder="1" applyFont="1" applyNumberFormat="1">
      <alignment horizontal="center"/>
    </xf>
    <xf borderId="9" fillId="4" fontId="7" numFmtId="3" xfId="0" applyAlignment="1" applyBorder="1" applyFont="1" applyNumberFormat="1">
      <alignment horizontal="center"/>
    </xf>
    <xf borderId="33" fillId="4" fontId="7" numFmtId="3" xfId="0" applyAlignment="1" applyBorder="1" applyFont="1" applyNumberFormat="1">
      <alignment horizontal="center" vertical="center"/>
    </xf>
    <xf borderId="8" fillId="12" fontId="9" numFmtId="0" xfId="0" applyAlignment="1" applyBorder="1" applyFont="1">
      <alignment horizontal="left" shrinkToFit="0" vertical="center" wrapText="1"/>
    </xf>
    <xf borderId="8" fillId="12" fontId="8" numFmtId="164" xfId="0" applyAlignment="1" applyBorder="1" applyFont="1" applyNumberFormat="1">
      <alignment horizontal="center"/>
    </xf>
    <xf borderId="18" fillId="12" fontId="18" numFmtId="164" xfId="0" applyAlignment="1" applyBorder="1" applyFont="1" applyNumberFormat="1">
      <alignment horizontal="center"/>
    </xf>
    <xf borderId="14" fillId="0" fontId="7" numFmtId="0" xfId="0" applyAlignment="1" applyBorder="1" applyFont="1">
      <alignment vertical="center"/>
    </xf>
    <xf borderId="5" fillId="10" fontId="22" numFmtId="0" xfId="0" applyAlignment="1" applyBorder="1" applyFont="1">
      <alignment horizontal="center"/>
    </xf>
    <xf borderId="34" fillId="11" fontId="8" numFmtId="0" xfId="0" applyAlignment="1" applyBorder="1" applyFont="1">
      <alignment horizontal="center" vertical="center"/>
    </xf>
    <xf borderId="8" fillId="4" fontId="7" numFmtId="3" xfId="0" applyAlignment="1" applyBorder="1" applyFont="1" applyNumberFormat="1">
      <alignment horizontal="center"/>
    </xf>
    <xf borderId="13" fillId="0" fontId="7" numFmtId="0" xfId="0" applyAlignment="1" applyBorder="1" applyFont="1">
      <alignment vertical="center"/>
    </xf>
    <xf borderId="8" fillId="9" fontId="7" numFmtId="164" xfId="0" applyAlignment="1" applyBorder="1" applyFont="1" applyNumberFormat="1">
      <alignment horizontal="center"/>
    </xf>
    <xf borderId="8" fillId="10" fontId="8" numFmtId="164" xfId="0" applyAlignment="1" applyBorder="1" applyFont="1" applyNumberFormat="1">
      <alignment horizontal="center"/>
    </xf>
    <xf borderId="9" fillId="11" fontId="9" numFmtId="0" xfId="0" applyAlignment="1" applyBorder="1" applyFont="1">
      <alignment horizontal="left" shrinkToFit="0" vertical="center" wrapText="1"/>
    </xf>
    <xf borderId="9" fillId="15" fontId="7" numFmtId="3" xfId="0" applyAlignment="1" applyBorder="1" applyFont="1" applyNumberFormat="1">
      <alignment horizontal="center"/>
    </xf>
    <xf borderId="0" fillId="0" fontId="9" numFmtId="0" xfId="0" applyAlignment="1" applyFont="1">
      <alignment horizontal="left" shrinkToFit="0" vertical="center" wrapText="1"/>
    </xf>
    <xf borderId="5" fillId="12" fontId="7" numFmtId="3" xfId="0" applyAlignment="1" applyBorder="1" applyFont="1" applyNumberFormat="1">
      <alignment horizontal="center"/>
    </xf>
    <xf borderId="5" fillId="16" fontId="8" numFmtId="0" xfId="0" applyAlignment="1" applyBorder="1" applyFont="1">
      <alignment horizontal="center" vertical="center"/>
    </xf>
    <xf borderId="5" fillId="16" fontId="8" numFmtId="0" xfId="0" applyAlignment="1" applyBorder="1" applyFont="1">
      <alignment horizontal="center" shrinkToFit="0" vertical="center" wrapText="1"/>
    </xf>
    <xf borderId="8" fillId="16" fontId="8" numFmtId="4" xfId="0" applyAlignment="1" applyBorder="1" applyFont="1" applyNumberFormat="1">
      <alignment horizontal="center" vertical="center"/>
    </xf>
    <xf borderId="10" fillId="10" fontId="8" numFmtId="4" xfId="0" applyAlignment="1" applyBorder="1" applyFont="1" applyNumberFormat="1">
      <alignment horizontal="center" vertical="center"/>
    </xf>
    <xf borderId="5" fillId="16" fontId="8" numFmtId="3" xfId="0" applyAlignment="1" applyBorder="1" applyFont="1" applyNumberFormat="1">
      <alignment horizontal="center" vertical="center"/>
    </xf>
    <xf borderId="5" fillId="15" fontId="7" numFmtId="3" xfId="0" applyAlignment="1" applyBorder="1" applyFont="1" applyNumberFormat="1">
      <alignment horizontal="center" vertical="center"/>
    </xf>
    <xf borderId="10" fillId="12" fontId="7" numFmtId="4" xfId="0" applyAlignment="1" applyBorder="1" applyFont="1" applyNumberFormat="1">
      <alignment horizontal="center" vertical="center"/>
    </xf>
    <xf borderId="5" fillId="15" fontId="7" numFmtId="3" xfId="0" applyAlignment="1" applyBorder="1" applyFont="1" applyNumberFormat="1">
      <alignment horizontal="center"/>
    </xf>
    <xf borderId="10" fillId="12" fontId="8" numFmtId="164" xfId="0" applyAlignment="1" applyBorder="1" applyFont="1" applyNumberFormat="1">
      <alignment horizontal="center"/>
    </xf>
    <xf borderId="10" fillId="12" fontId="8" numFmtId="4" xfId="0" applyAlignment="1" applyBorder="1" applyFont="1" applyNumberFormat="1">
      <alignment horizontal="center" vertical="center"/>
    </xf>
    <xf borderId="5" fillId="16" fontId="8" numFmtId="4" xfId="0" applyAlignment="1" applyBorder="1" applyFont="1" applyNumberFormat="1">
      <alignment horizontal="center" vertical="center"/>
    </xf>
    <xf borderId="8" fillId="17" fontId="8" numFmtId="164" xfId="0" applyAlignment="1" applyBorder="1" applyFont="1" applyNumberFormat="1">
      <alignment horizontal="center" vertical="center"/>
    </xf>
    <xf borderId="10" fillId="12" fontId="8" numFmtId="164" xfId="0" applyAlignment="1" applyBorder="1" applyFont="1" applyNumberFormat="1">
      <alignment horizontal="center" vertical="center"/>
    </xf>
    <xf borderId="5" fillId="12" fontId="8" numFmtId="0" xfId="0" applyAlignment="1" applyBorder="1" applyFont="1">
      <alignment horizontal="center" vertical="center"/>
    </xf>
    <xf borderId="8" fillId="3" fontId="8" numFmtId="164" xfId="0" applyAlignment="1" applyBorder="1" applyFont="1" applyNumberFormat="1">
      <alignment horizontal="center" vertical="center"/>
    </xf>
    <xf borderId="5" fillId="12" fontId="8" numFmtId="164" xfId="0" applyAlignment="1" applyBorder="1" applyFont="1" applyNumberFormat="1">
      <alignment horizontal="center" vertical="center"/>
    </xf>
    <xf borderId="5" fillId="12" fontId="7" numFmtId="0" xfId="0" applyAlignment="1" applyBorder="1" applyFont="1">
      <alignment horizontal="center"/>
    </xf>
    <xf borderId="8" fillId="0" fontId="8" numFmtId="165" xfId="0" applyAlignment="1" applyBorder="1" applyFont="1" applyNumberFormat="1">
      <alignment horizontal="center" vertical="center"/>
    </xf>
    <xf borderId="1" fillId="0" fontId="8" numFmtId="165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/>
    </xf>
    <xf borderId="0" fillId="0" fontId="1" numFmtId="0" xfId="0" applyFont="1"/>
    <xf borderId="0" fillId="0" fontId="1" numFmtId="1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0" fillId="0" fontId="23" numFmtId="0" xfId="0" applyFont="1"/>
    <xf borderId="35" fillId="13" fontId="24" numFmtId="4" xfId="0" applyAlignment="1" applyBorder="1" applyFont="1" applyNumberFormat="1">
      <alignment horizontal="center" shrinkToFit="0" vertical="center" wrapText="1"/>
    </xf>
    <xf borderId="36" fillId="0" fontId="6" numFmtId="0" xfId="0" applyBorder="1" applyFont="1"/>
    <xf borderId="37" fillId="0" fontId="6" numFmtId="0" xfId="0" applyBorder="1" applyFont="1"/>
    <xf borderId="9" fillId="13" fontId="23" numFmtId="0" xfId="0" applyAlignment="1" applyBorder="1" applyFont="1">
      <alignment horizontal="left"/>
    </xf>
    <xf borderId="9" fillId="13" fontId="23" numFmtId="3" xfId="0" applyAlignment="1" applyBorder="1" applyFont="1" applyNumberFormat="1">
      <alignment horizontal="center"/>
    </xf>
    <xf borderId="0" fillId="0" fontId="1" numFmtId="0" xfId="0" applyAlignment="1" applyFont="1">
      <alignment horizontal="center" vertical="center"/>
    </xf>
    <xf borderId="8" fillId="21" fontId="8" numFmtId="164" xfId="0" applyAlignment="1" applyBorder="1" applyFill="1" applyFont="1" applyNumberFormat="1">
      <alignment horizontal="center" shrinkToFit="0" vertical="center" wrapText="1"/>
    </xf>
    <xf borderId="8" fillId="21" fontId="8" numFmtId="1" xfId="0" applyAlignment="1" applyBorder="1" applyFont="1" applyNumberFormat="1">
      <alignment horizontal="center" shrinkToFit="0" vertical="center" wrapText="1"/>
    </xf>
    <xf borderId="8" fillId="7" fontId="8" numFmtId="164" xfId="0" applyAlignment="1" applyBorder="1" applyFont="1" applyNumberFormat="1">
      <alignment horizontal="center" shrinkToFit="0" vertical="center" wrapText="1"/>
    </xf>
    <xf borderId="8" fillId="21" fontId="8" numFmtId="3" xfId="0" applyAlignment="1" applyBorder="1" applyFont="1" applyNumberFormat="1">
      <alignment horizontal="center" shrinkToFit="0" vertical="center" wrapText="1"/>
    </xf>
    <xf borderId="8" fillId="21" fontId="9" numFmtId="0" xfId="0" applyAlignment="1" applyBorder="1" applyFont="1">
      <alignment horizontal="center" shrinkToFit="0" vertical="center" wrapText="1"/>
    </xf>
    <xf borderId="9" fillId="6" fontId="5" numFmtId="3" xfId="0" applyAlignment="1" applyBorder="1" applyFont="1" applyNumberFormat="1">
      <alignment horizontal="center" shrinkToFit="0" vertical="center" wrapText="1"/>
    </xf>
    <xf borderId="0" fillId="0" fontId="7" numFmtId="4" xfId="0" applyAlignment="1" applyFont="1" applyNumberFormat="1">
      <alignment horizontal="center" shrinkToFit="0" vertical="center" wrapText="1"/>
    </xf>
    <xf borderId="9" fillId="6" fontId="5" numFmtId="4" xfId="0" applyAlignment="1" applyBorder="1" applyFont="1" applyNumberFormat="1">
      <alignment horizontal="center" shrinkToFit="0" vertical="center" wrapText="1"/>
    </xf>
    <xf borderId="8" fillId="12" fontId="8" numFmtId="0" xfId="0" applyAlignment="1" applyBorder="1" applyFont="1">
      <alignment horizontal="center" vertical="center"/>
    </xf>
    <xf borderId="8" fillId="12" fontId="8" numFmtId="164" xfId="0" applyAlignment="1" applyBorder="1" applyFont="1" applyNumberFormat="1">
      <alignment horizontal="center" shrinkToFit="0" vertical="center" wrapText="1"/>
    </xf>
    <xf borderId="8" fillId="12" fontId="8" numFmtId="1" xfId="0" applyAlignment="1" applyBorder="1" applyFont="1" applyNumberFormat="1">
      <alignment horizontal="center" shrinkToFit="0" vertical="center" wrapText="1"/>
    </xf>
    <xf borderId="8" fillId="12" fontId="8" numFmtId="165" xfId="0" applyAlignment="1" applyBorder="1" applyFont="1" applyNumberFormat="1">
      <alignment horizontal="center" vertical="center"/>
    </xf>
    <xf borderId="8" fillId="12" fontId="8" numFmtId="3" xfId="0" applyAlignment="1" applyBorder="1" applyFont="1" applyNumberFormat="1">
      <alignment horizontal="center" shrinkToFit="0" vertical="center" wrapText="1"/>
    </xf>
    <xf borderId="8" fillId="12" fontId="9" numFmtId="0" xfId="0" applyAlignment="1" applyBorder="1" applyFont="1">
      <alignment horizontal="center" shrinkToFit="0" vertical="center" wrapText="1"/>
    </xf>
    <xf borderId="9" fillId="12" fontId="8" numFmtId="0" xfId="0" applyAlignment="1" applyBorder="1" applyFont="1">
      <alignment horizontal="center" shrinkToFit="0" vertical="center" wrapText="1"/>
    </xf>
    <xf borderId="8" fillId="12" fontId="7" numFmtId="4" xfId="0" applyAlignment="1" applyBorder="1" applyFont="1" applyNumberFormat="1">
      <alignment horizontal="center" shrinkToFit="0" vertical="center" wrapText="1"/>
    </xf>
    <xf borderId="8" fillId="12" fontId="7" numFmtId="0" xfId="0" applyAlignment="1" applyBorder="1" applyFont="1">
      <alignment horizontal="center" vertical="center"/>
    </xf>
    <xf borderId="8" fillId="0" fontId="7" numFmtId="1" xfId="0" applyAlignment="1" applyBorder="1" applyFont="1" applyNumberFormat="1">
      <alignment horizontal="center"/>
    </xf>
    <xf borderId="8" fillId="13" fontId="7" numFmtId="4" xfId="0" applyAlignment="1" applyBorder="1" applyFont="1" applyNumberFormat="1">
      <alignment horizontal="center"/>
    </xf>
    <xf borderId="10" fillId="13" fontId="9" numFmtId="0" xfId="0" applyAlignment="1" applyBorder="1" applyFont="1">
      <alignment horizontal="left"/>
    </xf>
    <xf borderId="11" fillId="4" fontId="8" numFmtId="0" xfId="0" applyAlignment="1" applyBorder="1" applyFont="1">
      <alignment horizontal="center"/>
    </xf>
    <xf borderId="8" fillId="12" fontId="7" numFmtId="4" xfId="0" applyAlignment="1" applyBorder="1" applyFont="1" applyNumberFormat="1">
      <alignment horizontal="center"/>
    </xf>
    <xf borderId="8" fillId="12" fontId="7" numFmtId="3" xfId="0" applyBorder="1" applyFont="1" applyNumberFormat="1"/>
    <xf borderId="8" fillId="13" fontId="9" numFmtId="0" xfId="0" applyAlignment="1" applyBorder="1" applyFont="1">
      <alignment horizontal="left"/>
    </xf>
    <xf borderId="8" fillId="2" fontId="8" numFmtId="0" xfId="0" applyAlignment="1" applyBorder="1" applyFont="1">
      <alignment horizontal="right"/>
    </xf>
    <xf borderId="8" fillId="13" fontId="7" numFmtId="0" xfId="0" applyAlignment="1" applyBorder="1" applyFont="1">
      <alignment horizontal="center"/>
    </xf>
    <xf borderId="8" fillId="22" fontId="8" numFmtId="0" xfId="0" applyAlignment="1" applyBorder="1" applyFill="1" applyFont="1">
      <alignment horizontal="center"/>
    </xf>
    <xf borderId="5" fillId="12" fontId="1" numFmtId="0" xfId="0" applyBorder="1" applyFont="1"/>
    <xf borderId="8" fillId="12" fontId="8" numFmtId="165" xfId="0" applyAlignment="1" applyBorder="1" applyFont="1" applyNumberFormat="1">
      <alignment horizontal="center"/>
    </xf>
    <xf borderId="8" fillId="12" fontId="7" numFmtId="1" xfId="0" applyAlignment="1" applyBorder="1" applyFont="1" applyNumberFormat="1">
      <alignment horizontal="center"/>
    </xf>
    <xf borderId="8" fillId="12" fontId="7" numFmtId="166" xfId="0" applyBorder="1" applyFont="1" applyNumberFormat="1"/>
    <xf borderId="8" fillId="12" fontId="9" numFmtId="0" xfId="0" applyAlignment="1" applyBorder="1" applyFont="1">
      <alignment horizontal="left"/>
    </xf>
    <xf borderId="9" fillId="12" fontId="8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8" fillId="0" fontId="7" numFmtId="1" xfId="0" applyAlignment="1" applyBorder="1" applyFont="1" applyNumberFormat="1">
      <alignment horizontal="center" vertical="center"/>
    </xf>
    <xf borderId="8" fillId="13" fontId="7" numFmtId="4" xfId="0" applyAlignment="1" applyBorder="1" applyFont="1" applyNumberFormat="1">
      <alignment horizontal="center" vertical="center"/>
    </xf>
    <xf borderId="10" fillId="13" fontId="7" numFmtId="0" xfId="0" applyAlignment="1" applyBorder="1" applyFont="1">
      <alignment horizontal="left" vertical="center"/>
    </xf>
    <xf borderId="8" fillId="23" fontId="8" numFmtId="0" xfId="0" applyAlignment="1" applyBorder="1" applyFill="1" applyFont="1">
      <alignment horizontal="center" vertical="center"/>
    </xf>
    <xf borderId="38" fillId="13" fontId="8" numFmtId="3" xfId="0" applyAlignment="1" applyBorder="1" applyFont="1" applyNumberFormat="1">
      <alignment horizontal="center" vertical="center"/>
    </xf>
    <xf borderId="8" fillId="11" fontId="13" numFmtId="0" xfId="0" applyAlignment="1" applyBorder="1" applyFont="1">
      <alignment horizontal="right" shrinkToFit="0" vertical="center" wrapText="1"/>
    </xf>
    <xf borderId="8" fillId="11" fontId="9" numFmtId="164" xfId="0" applyAlignment="1" applyBorder="1" applyFont="1" applyNumberFormat="1">
      <alignment horizontal="center" vertical="center"/>
    </xf>
    <xf borderId="8" fillId="13" fontId="7" numFmtId="1" xfId="0" applyAlignment="1" applyBorder="1" applyFont="1" applyNumberFormat="1">
      <alignment horizontal="center" vertical="center"/>
    </xf>
    <xf borderId="12" fillId="13" fontId="8" numFmtId="0" xfId="0" applyAlignment="1" applyBorder="1" applyFont="1">
      <alignment horizontal="left" vertical="center"/>
    </xf>
    <xf borderId="8" fillId="13" fontId="8" numFmtId="3" xfId="0" applyAlignment="1" applyBorder="1" applyFont="1" applyNumberFormat="1">
      <alignment vertical="center"/>
    </xf>
    <xf borderId="8" fillId="13" fontId="8" numFmtId="0" xfId="0" applyAlignment="1" applyBorder="1" applyFont="1">
      <alignment horizontal="left" vertical="center"/>
    </xf>
    <xf borderId="5" fillId="12" fontId="1" numFmtId="0" xfId="0" applyAlignment="1" applyBorder="1" applyFont="1">
      <alignment vertical="center"/>
    </xf>
    <xf borderId="8" fillId="12" fontId="13" numFmtId="0" xfId="0" applyAlignment="1" applyBorder="1" applyFont="1">
      <alignment horizontal="right" shrinkToFit="0" vertical="center" wrapText="1"/>
    </xf>
    <xf borderId="8" fillId="12" fontId="9" numFmtId="164" xfId="0" applyAlignment="1" applyBorder="1" applyFont="1" applyNumberFormat="1">
      <alignment horizontal="center" vertical="center"/>
    </xf>
    <xf borderId="8" fillId="12" fontId="7" numFmtId="1" xfId="0" applyAlignment="1" applyBorder="1" applyFont="1" applyNumberFormat="1">
      <alignment horizontal="center" vertical="center"/>
    </xf>
    <xf borderId="9" fillId="12" fontId="8" numFmtId="0" xfId="0" applyAlignment="1" applyBorder="1" applyFont="1">
      <alignment horizontal="left" vertical="center"/>
    </xf>
    <xf borderId="8" fillId="12" fontId="8" numFmtId="3" xfId="0" applyAlignment="1" applyBorder="1" applyFont="1" applyNumberFormat="1">
      <alignment vertical="center"/>
    </xf>
    <xf borderId="8" fillId="14" fontId="8" numFmtId="1" xfId="0" applyAlignment="1" applyBorder="1" applyFont="1" applyNumberFormat="1">
      <alignment horizontal="center" vertical="center"/>
    </xf>
    <xf borderId="20" fillId="13" fontId="8" numFmtId="3" xfId="0" applyAlignment="1" applyBorder="1" applyFont="1" applyNumberFormat="1">
      <alignment horizontal="center" vertical="center"/>
    </xf>
    <xf borderId="14" fillId="0" fontId="8" numFmtId="0" xfId="0" applyAlignment="1" applyBorder="1" applyFont="1">
      <alignment vertical="center"/>
    </xf>
    <xf borderId="8" fillId="0" fontId="7" numFmtId="3" xfId="0" applyAlignment="1" applyBorder="1" applyFont="1" applyNumberFormat="1">
      <alignment vertical="center"/>
    </xf>
    <xf borderId="8" fillId="0" fontId="9" numFmtId="164" xfId="0" applyAlignment="1" applyBorder="1" applyFont="1" applyNumberFormat="1">
      <alignment horizontal="center" vertical="center"/>
    </xf>
    <xf borderId="39" fillId="11" fontId="9" numFmtId="0" xfId="0" applyAlignment="1" applyBorder="1" applyFont="1">
      <alignment horizontal="right" shrinkToFit="0" vertical="center" wrapText="1"/>
    </xf>
    <xf borderId="0" fillId="0" fontId="7" numFmtId="3" xfId="0" applyAlignment="1" applyFont="1" applyNumberFormat="1">
      <alignment vertical="center"/>
    </xf>
    <xf borderId="8" fillId="13" fontId="7" numFmtId="3" xfId="0" applyAlignment="1" applyBorder="1" applyFont="1" applyNumberFormat="1">
      <alignment vertical="center"/>
    </xf>
    <xf borderId="8" fillId="13" fontId="7" numFmtId="0" xfId="0" applyAlignment="1" applyBorder="1" applyFont="1">
      <alignment horizontal="left" vertical="center"/>
    </xf>
    <xf borderId="29" fillId="13" fontId="8" numFmtId="3" xfId="0" applyAlignment="1" applyBorder="1" applyFont="1" applyNumberFormat="1">
      <alignment horizontal="center" vertical="center"/>
    </xf>
    <xf borderId="40" fillId="0" fontId="7" numFmtId="0" xfId="0" applyAlignment="1" applyBorder="1" applyFont="1">
      <alignment horizontal="center" vertical="center"/>
    </xf>
    <xf borderId="41" fillId="11" fontId="9" numFmtId="0" xfId="0" applyAlignment="1" applyBorder="1" applyFont="1">
      <alignment horizontal="right" shrinkToFit="0" vertical="center" wrapText="1"/>
    </xf>
    <xf borderId="30" fillId="11" fontId="9" numFmtId="164" xfId="0" applyAlignment="1" applyBorder="1" applyFont="1" applyNumberFormat="1">
      <alignment horizontal="center" vertical="center"/>
    </xf>
    <xf borderId="30" fillId="0" fontId="7" numFmtId="1" xfId="0" applyAlignment="1" applyBorder="1" applyFont="1" applyNumberFormat="1">
      <alignment horizontal="center" vertical="center"/>
    </xf>
    <xf borderId="30" fillId="0" fontId="7" numFmtId="4" xfId="0" applyAlignment="1" applyBorder="1" applyFont="1" applyNumberFormat="1">
      <alignment horizontal="center" vertical="center"/>
    </xf>
    <xf borderId="30" fillId="13" fontId="7" numFmtId="4" xfId="0" applyAlignment="1" applyBorder="1" applyFont="1" applyNumberFormat="1">
      <alignment horizontal="center" vertical="center"/>
    </xf>
    <xf borderId="30" fillId="13" fontId="7" numFmtId="1" xfId="0" applyAlignment="1" applyBorder="1" applyFont="1" applyNumberFormat="1">
      <alignment horizontal="center" vertical="center"/>
    </xf>
    <xf borderId="30" fillId="13" fontId="7" numFmtId="0" xfId="0" applyAlignment="1" applyBorder="1" applyFont="1">
      <alignment horizontal="left" vertical="center"/>
    </xf>
    <xf borderId="31" fillId="13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vertical="center"/>
    </xf>
    <xf borderId="0" fillId="0" fontId="7" numFmtId="1" xfId="0" applyAlignment="1" applyFont="1" applyNumberFormat="1">
      <alignment horizontal="center"/>
    </xf>
    <xf borderId="0" fillId="0" fontId="7" numFmtId="4" xfId="0" applyAlignment="1" applyFont="1" applyNumberFormat="1">
      <alignment horizontal="center"/>
    </xf>
    <xf borderId="0" fillId="0" fontId="7" numFmtId="0" xfId="0" applyAlignment="1" applyFont="1">
      <alignment horizontal="left"/>
    </xf>
    <xf borderId="0" fillId="0" fontId="7" numFmtId="3" xfId="0" applyFont="1" applyNumberFormat="1"/>
    <xf borderId="0" fillId="0" fontId="8" numFmtId="1" xfId="0" applyAlignment="1" applyFont="1" applyNumberFormat="1">
      <alignment horizontal="center"/>
    </xf>
    <xf borderId="5" fillId="12" fontId="8" numFmtId="164" xfId="0" applyBorder="1" applyFont="1" applyNumberFormat="1"/>
    <xf borderId="11" fillId="18" fontId="8" numFmtId="3" xfId="0" applyAlignment="1" applyBorder="1" applyFont="1" applyNumberFormat="1">
      <alignment horizontal="center"/>
    </xf>
    <xf borderId="0" fillId="0" fontId="25" numFmtId="3" xfId="0" applyAlignment="1" applyFont="1" applyNumberFormat="1">
      <alignment horizontal="center"/>
    </xf>
    <xf borderId="0" fillId="0" fontId="26" numFmtId="164" xfId="0" applyFont="1" applyNumberFormat="1"/>
    <xf borderId="0" fillId="0" fontId="27" numFmtId="164" xfId="0" applyFont="1" applyNumberFormat="1"/>
    <xf borderId="0" fillId="0" fontId="27" numFmtId="0" xfId="0" applyFont="1"/>
    <xf borderId="0" fillId="0" fontId="27" numFmtId="3" xfId="0" applyFont="1" applyNumberFormat="1"/>
    <xf borderId="0" fillId="0" fontId="23" numFmtId="0" xfId="0" applyAlignment="1" applyFont="1">
      <alignment horizontal="center"/>
    </xf>
    <xf borderId="0" fillId="0" fontId="28" numFmtId="0" xfId="0" applyFont="1"/>
    <xf borderId="8" fillId="2" fontId="5" numFmtId="0" xfId="0" applyAlignment="1" applyBorder="1" applyFont="1">
      <alignment horizontal="center"/>
    </xf>
    <xf borderId="35" fillId="17" fontId="29" numFmtId="3" xfId="0" applyAlignment="1" applyBorder="1" applyFont="1" applyNumberFormat="1">
      <alignment horizontal="center" shrinkToFit="0" vertical="center" wrapText="1"/>
    </xf>
    <xf borderId="10" fillId="10" fontId="29" numFmtId="0" xfId="0" applyAlignment="1" applyBorder="1" applyFont="1">
      <alignment horizontal="center"/>
    </xf>
    <xf borderId="42" fillId="10" fontId="29" numFmtId="0" xfId="0" applyAlignment="1" applyBorder="1" applyFont="1">
      <alignment horizontal="center"/>
    </xf>
    <xf borderId="20" fillId="10" fontId="29" numFmtId="3" xfId="0" applyAlignment="1" applyBorder="1" applyFont="1" applyNumberFormat="1">
      <alignment horizontal="center"/>
    </xf>
    <xf borderId="0" fillId="10" fontId="29" numFmtId="3" xfId="0" applyAlignment="1" applyFont="1" applyNumberFormat="1">
      <alignment horizontal="center"/>
    </xf>
    <xf borderId="8" fillId="10" fontId="7" numFmtId="3" xfId="0" applyAlignment="1" applyBorder="1" applyFont="1" applyNumberFormat="1">
      <alignment horizontal="center" shrinkToFit="0" vertical="center" wrapText="1"/>
    </xf>
    <xf borderId="0" fillId="10" fontId="7" numFmtId="3" xfId="0" applyAlignment="1" applyFont="1" applyNumberFormat="1">
      <alignment horizontal="center" shrinkToFit="0" vertical="center" wrapText="1"/>
    </xf>
    <xf borderId="8" fillId="0" fontId="8" numFmtId="0" xfId="0" applyAlignment="1" applyBorder="1" applyFont="1">
      <alignment horizontal="right"/>
    </xf>
    <xf borderId="2" fillId="12" fontId="8" numFmtId="3" xfId="0" applyAlignment="1" applyBorder="1" applyFont="1" applyNumberFormat="1">
      <alignment horizontal="center"/>
    </xf>
    <xf borderId="0" fillId="10" fontId="8" numFmtId="3" xfId="0" applyAlignment="1" applyFont="1" applyNumberFormat="1">
      <alignment horizontal="center"/>
    </xf>
    <xf borderId="8" fillId="3" fontId="7" numFmtId="166" xfId="0" applyBorder="1" applyFont="1" applyNumberFormat="1"/>
    <xf borderId="8" fillId="0" fontId="7" numFmtId="0" xfId="0" applyAlignment="1" applyBorder="1" applyFont="1">
      <alignment horizontal="center" shrinkToFit="1" wrapText="0"/>
    </xf>
    <xf borderId="8" fillId="0" fontId="12" numFmtId="0" xfId="0" applyAlignment="1" applyBorder="1" applyFont="1">
      <alignment horizontal="left" shrinkToFit="1" vertical="center" wrapText="0"/>
    </xf>
    <xf borderId="8" fillId="12" fontId="12" numFmtId="0" xfId="0" applyAlignment="1" applyBorder="1" applyFont="1">
      <alignment horizontal="left" shrinkToFit="1" vertical="center" wrapText="0"/>
    </xf>
    <xf borderId="8" fillId="9" fontId="7" numFmtId="4" xfId="0" applyAlignment="1" applyBorder="1" applyFont="1" applyNumberFormat="1">
      <alignment horizontal="center" shrinkToFit="1" vertical="center" wrapText="0"/>
    </xf>
    <xf borderId="8" fillId="10" fontId="7" numFmtId="164" xfId="0" applyAlignment="1" applyBorder="1" applyFont="1" applyNumberFormat="1">
      <alignment horizontal="center" shrinkToFit="1" vertical="center" wrapText="0"/>
    </xf>
    <xf borderId="8" fillId="13" fontId="7" numFmtId="164" xfId="0" applyAlignment="1" applyBorder="1" applyFont="1" applyNumberFormat="1">
      <alignment horizontal="center" vertical="center"/>
    </xf>
    <xf borderId="8" fillId="10" fontId="8" numFmtId="3" xfId="0" applyAlignment="1" applyBorder="1" applyFont="1" applyNumberFormat="1">
      <alignment horizontal="center" shrinkToFit="1" vertical="center" wrapText="0"/>
    </xf>
    <xf borderId="1" fillId="10" fontId="8" numFmtId="3" xfId="0" applyAlignment="1" applyBorder="1" applyFont="1" applyNumberFormat="1">
      <alignment horizontal="center" shrinkToFit="1" vertical="center" wrapText="0"/>
    </xf>
    <xf borderId="3" fillId="0" fontId="7" numFmtId="0" xfId="0" applyAlignment="1" applyBorder="1" applyFont="1">
      <alignment horizontal="center" shrinkToFit="1" vertical="center" wrapText="0"/>
    </xf>
    <xf borderId="8" fillId="0" fontId="7" numFmtId="0" xfId="0" applyAlignment="1" applyBorder="1" applyFont="1">
      <alignment shrinkToFit="1" vertical="center" wrapText="0"/>
    </xf>
    <xf borderId="8" fillId="12" fontId="7" numFmtId="0" xfId="0" applyAlignment="1" applyBorder="1" applyFont="1">
      <alignment shrinkToFit="1" vertical="center" wrapText="0"/>
    </xf>
    <xf borderId="8" fillId="9" fontId="7" numFmtId="4" xfId="0" applyAlignment="1" applyBorder="1" applyFont="1" applyNumberFormat="1">
      <alignment horizontal="center"/>
    </xf>
    <xf borderId="8" fillId="11" fontId="9" numFmtId="0" xfId="0" applyAlignment="1" applyBorder="1" applyFont="1">
      <alignment horizontal="right" shrinkToFit="1" vertical="center" wrapText="0"/>
    </xf>
    <xf borderId="8" fillId="12" fontId="9" numFmtId="0" xfId="0" applyAlignment="1" applyBorder="1" applyFont="1">
      <alignment horizontal="right" shrinkToFit="1" vertical="center" wrapText="0"/>
    </xf>
    <xf borderId="8" fillId="10" fontId="9" numFmtId="0" xfId="0" applyAlignment="1" applyBorder="1" applyFont="1">
      <alignment horizontal="center" shrinkToFit="1" vertical="center" wrapText="0"/>
    </xf>
    <xf borderId="0" fillId="10" fontId="8" numFmtId="3" xfId="0" applyAlignment="1" applyFont="1" applyNumberFormat="1">
      <alignment horizontal="center" shrinkToFit="1" vertical="center" wrapText="0"/>
    </xf>
    <xf borderId="8" fillId="0" fontId="7" numFmtId="0" xfId="0" applyAlignment="1" applyBorder="1" applyFont="1">
      <alignment horizontal="center" shrinkToFit="1" vertical="center" wrapText="0"/>
    </xf>
    <xf borderId="8" fillId="10" fontId="8" numFmtId="3" xfId="0" applyAlignment="1" applyBorder="1" applyFont="1" applyNumberFormat="1">
      <alignment shrinkToFit="1" vertical="center" wrapText="0"/>
    </xf>
    <xf borderId="0" fillId="10" fontId="8" numFmtId="3" xfId="0" applyAlignment="1" applyFont="1" applyNumberFormat="1">
      <alignment shrinkToFit="1" vertical="center" wrapText="0"/>
    </xf>
    <xf borderId="8" fillId="9" fontId="7" numFmtId="4" xfId="0" applyAlignment="1" applyBorder="1" applyFont="1" applyNumberFormat="1">
      <alignment horizontal="center" shrinkToFit="1" wrapText="0"/>
    </xf>
    <xf borderId="8" fillId="10" fontId="8" numFmtId="3" xfId="0" applyAlignment="1" applyBorder="1" applyFont="1" applyNumberFormat="1">
      <alignment horizontal="center" shrinkToFit="1" wrapText="0"/>
    </xf>
    <xf borderId="0" fillId="10" fontId="8" numFmtId="3" xfId="0" applyAlignment="1" applyFont="1" applyNumberFormat="1">
      <alignment horizontal="center" shrinkToFit="1" wrapText="0"/>
    </xf>
    <xf borderId="8" fillId="12" fontId="8" numFmtId="4" xfId="0" applyAlignment="1" applyBorder="1" applyFont="1" applyNumberFormat="1">
      <alignment horizontal="center" shrinkToFit="1" wrapText="0"/>
    </xf>
    <xf borderId="8" fillId="12" fontId="9" numFmtId="0" xfId="0" applyAlignment="1" applyBorder="1" applyFont="1">
      <alignment horizontal="center" shrinkToFit="1" vertical="center" wrapText="0"/>
    </xf>
    <xf borderId="9" fillId="12" fontId="8" numFmtId="164" xfId="0" applyAlignment="1" applyBorder="1" applyFont="1" applyNumberFormat="1">
      <alignment horizontal="center"/>
    </xf>
    <xf borderId="8" fillId="12" fontId="8" numFmtId="3" xfId="0" applyAlignment="1" applyBorder="1" applyFont="1" applyNumberFormat="1">
      <alignment horizontal="center" shrinkToFit="1" wrapText="0"/>
    </xf>
    <xf borderId="0" fillId="12" fontId="8" numFmtId="3" xfId="0" applyAlignment="1" applyFont="1" applyNumberFormat="1">
      <alignment horizontal="center" shrinkToFit="1" wrapText="0"/>
    </xf>
    <xf borderId="8" fillId="0" fontId="8" numFmtId="0" xfId="0" applyAlignment="1" applyBorder="1" applyFont="1">
      <alignment horizontal="right" shrinkToFit="0" vertical="center" wrapText="1"/>
    </xf>
    <xf borderId="8" fillId="9" fontId="8" numFmtId="4" xfId="0" applyAlignment="1" applyBorder="1" applyFont="1" applyNumberFormat="1">
      <alignment horizontal="center" shrinkToFit="1" wrapText="0"/>
    </xf>
    <xf borderId="10" fillId="10" fontId="9" numFmtId="0" xfId="0" applyAlignment="1" applyBorder="1" applyFont="1">
      <alignment horizontal="center" shrinkToFit="1" vertical="center" wrapText="0"/>
    </xf>
    <xf borderId="20" fillId="12" fontId="8" numFmtId="3" xfId="0" applyAlignment="1" applyBorder="1" applyFont="1" applyNumberFormat="1">
      <alignment horizontal="center" shrinkToFit="1" wrapText="0"/>
    </xf>
    <xf borderId="2" fillId="12" fontId="8" numFmtId="3" xfId="0" applyAlignment="1" applyBorder="1" applyFont="1" applyNumberFormat="1">
      <alignment horizontal="center" shrinkToFit="1" wrapText="0"/>
    </xf>
    <xf borderId="1" fillId="10" fontId="8" numFmtId="3" xfId="0" applyAlignment="1" applyBorder="1" applyFont="1" applyNumberFormat="1">
      <alignment horizontal="center" shrinkToFit="1" wrapText="0"/>
    </xf>
    <xf borderId="8" fillId="10" fontId="8" numFmtId="164" xfId="0" applyAlignment="1" applyBorder="1" applyFont="1" applyNumberFormat="1">
      <alignment horizontal="center" shrinkToFit="1" wrapText="0"/>
    </xf>
    <xf borderId="8" fillId="10" fontId="7" numFmtId="3" xfId="0" applyAlignment="1" applyBorder="1" applyFont="1" applyNumberFormat="1">
      <alignment horizontal="center" shrinkToFit="1" wrapText="0"/>
    </xf>
    <xf borderId="0" fillId="10" fontId="7" numFmtId="3" xfId="0" applyAlignment="1" applyFont="1" applyNumberFormat="1">
      <alignment horizontal="center" shrinkToFit="1" wrapText="0"/>
    </xf>
    <xf borderId="8" fillId="12" fontId="7" numFmtId="0" xfId="0" applyAlignment="1" applyBorder="1" applyFont="1">
      <alignment shrinkToFit="1" wrapText="0"/>
    </xf>
    <xf borderId="8" fillId="16" fontId="14" numFmtId="4" xfId="0" applyAlignment="1" applyBorder="1" applyFont="1" applyNumberFormat="1">
      <alignment horizontal="center" shrinkToFit="1" vertical="center" wrapText="0"/>
    </xf>
    <xf borderId="8" fillId="0" fontId="8" numFmtId="0" xfId="0" applyAlignment="1" applyBorder="1" applyFont="1">
      <alignment horizontal="center" shrinkToFit="1" wrapText="0"/>
    </xf>
    <xf borderId="8" fillId="16" fontId="14" numFmtId="0" xfId="0" applyAlignment="1" applyBorder="1" applyFont="1">
      <alignment shrinkToFit="1" vertical="center" wrapText="0"/>
    </xf>
    <xf borderId="8" fillId="10" fontId="14" numFmtId="4" xfId="0" applyAlignment="1" applyBorder="1" applyFont="1" applyNumberFormat="1">
      <alignment horizontal="center" shrinkToFit="1" vertical="center" wrapText="0"/>
    </xf>
    <xf borderId="8" fillId="16" fontId="30" numFmtId="3" xfId="0" applyAlignment="1" applyBorder="1" applyFont="1" applyNumberFormat="1">
      <alignment horizontal="center" shrinkToFit="1" vertical="center" wrapText="0"/>
    </xf>
    <xf borderId="0" fillId="16" fontId="30" numFmtId="3" xfId="0" applyAlignment="1" applyFont="1" applyNumberFormat="1">
      <alignment horizontal="center" shrinkToFit="1" vertical="center" wrapText="0"/>
    </xf>
    <xf borderId="8" fillId="0" fontId="8" numFmtId="0" xfId="0" applyAlignment="1" applyBorder="1" applyFont="1">
      <alignment shrinkToFit="1" vertical="center" wrapText="0"/>
    </xf>
    <xf borderId="8" fillId="0" fontId="7" numFmtId="4" xfId="0" applyAlignment="1" applyBorder="1" applyFont="1" applyNumberFormat="1">
      <alignment horizontal="center" shrinkToFit="1" vertical="center" wrapText="0"/>
    </xf>
    <xf borderId="8" fillId="12" fontId="7" numFmtId="4" xfId="0" applyAlignment="1" applyBorder="1" applyFont="1" applyNumberFormat="1">
      <alignment horizontal="center" shrinkToFit="1" vertical="center" wrapText="0"/>
    </xf>
    <xf borderId="8" fillId="0" fontId="7" numFmtId="3" xfId="0" applyAlignment="1" applyBorder="1" applyFont="1" applyNumberFormat="1">
      <alignment horizontal="center" shrinkToFit="1" vertical="center" wrapText="0"/>
    </xf>
    <xf borderId="0" fillId="0" fontId="7" numFmtId="3" xfId="0" applyAlignment="1" applyFont="1" applyNumberFormat="1">
      <alignment horizontal="center" shrinkToFit="1" vertical="center" wrapText="0"/>
    </xf>
    <xf borderId="8" fillId="0" fontId="7" numFmtId="0" xfId="0" applyAlignment="1" applyBorder="1" applyFont="1">
      <alignment shrinkToFit="1" wrapText="0"/>
    </xf>
    <xf borderId="8" fillId="0" fontId="8" numFmtId="164" xfId="0" applyAlignment="1" applyBorder="1" applyFont="1" applyNumberFormat="1">
      <alignment horizontal="center" shrinkToFit="1" wrapText="0"/>
    </xf>
    <xf borderId="8" fillId="12" fontId="8" numFmtId="164" xfId="0" applyAlignment="1" applyBorder="1" applyFont="1" applyNumberFormat="1">
      <alignment horizontal="center" shrinkToFit="1" wrapText="0"/>
    </xf>
    <xf borderId="8" fillId="0" fontId="7" numFmtId="3" xfId="0" applyAlignment="1" applyBorder="1" applyFont="1" applyNumberFormat="1">
      <alignment horizontal="center" shrinkToFit="1" wrapText="0"/>
    </xf>
    <xf borderId="0" fillId="0" fontId="7" numFmtId="3" xfId="0" applyAlignment="1" applyFont="1" applyNumberFormat="1">
      <alignment horizontal="center" shrinkToFit="1" wrapText="0"/>
    </xf>
    <xf borderId="8" fillId="12" fontId="14" numFmtId="4" xfId="0" applyAlignment="1" applyBorder="1" applyFont="1" applyNumberFormat="1">
      <alignment horizontal="center" shrinkToFit="1" vertical="center" wrapText="0"/>
    </xf>
    <xf borderId="3" fillId="0" fontId="8" numFmtId="0" xfId="0" applyAlignment="1" applyBorder="1" applyFont="1">
      <alignment horizontal="center" shrinkToFit="1" wrapText="0"/>
    </xf>
    <xf borderId="9" fillId="17" fontId="8" numFmtId="0" xfId="0" applyAlignment="1" applyBorder="1" applyFont="1">
      <alignment shrinkToFit="1" vertical="center" wrapText="0"/>
    </xf>
    <xf borderId="8" fillId="17" fontId="8" numFmtId="0" xfId="0" applyAlignment="1" applyBorder="1" applyFont="1">
      <alignment shrinkToFit="1" vertical="center" wrapText="0"/>
    </xf>
    <xf borderId="8" fillId="17" fontId="8" numFmtId="164" xfId="0" applyAlignment="1" applyBorder="1" applyFont="1" applyNumberFormat="1">
      <alignment horizontal="center" shrinkToFit="1" vertical="center" wrapText="0"/>
    </xf>
    <xf borderId="8" fillId="12" fontId="8" numFmtId="164" xfId="0" applyAlignment="1" applyBorder="1" applyFont="1" applyNumberFormat="1">
      <alignment horizontal="center" shrinkToFit="1" vertical="center" wrapText="0"/>
    </xf>
    <xf borderId="9" fillId="17" fontId="8" numFmtId="164" xfId="0" applyAlignment="1" applyBorder="1" applyFont="1" applyNumberFormat="1">
      <alignment horizontal="center" shrinkToFit="1" vertical="center" wrapText="0"/>
    </xf>
    <xf borderId="9" fillId="17" fontId="7" numFmtId="3" xfId="0" applyAlignment="1" applyBorder="1" applyFont="1" applyNumberFormat="1">
      <alignment horizontal="center" shrinkToFit="1" vertical="center" wrapText="0"/>
    </xf>
    <xf borderId="0" fillId="17" fontId="7" numFmtId="3" xfId="0" applyAlignment="1" applyFont="1" applyNumberFormat="1">
      <alignment horizontal="center" shrinkToFit="1" vertical="center" wrapText="0"/>
    </xf>
    <xf borderId="5" fillId="12" fontId="8" numFmtId="0" xfId="0" applyAlignment="1" applyBorder="1" applyFont="1">
      <alignment horizontal="center" shrinkToFit="1" wrapText="0"/>
    </xf>
    <xf borderId="5" fillId="12" fontId="8" numFmtId="0" xfId="0" applyAlignment="1" applyBorder="1" applyFont="1">
      <alignment shrinkToFit="1" vertical="center" wrapText="0"/>
    </xf>
    <xf borderId="20" fillId="12" fontId="8" numFmtId="0" xfId="0" applyAlignment="1" applyBorder="1" applyFont="1">
      <alignment shrinkToFit="1" vertical="center" wrapText="0"/>
    </xf>
    <xf borderId="10" fillId="12" fontId="8" numFmtId="164" xfId="0" applyAlignment="1" applyBorder="1" applyFont="1" applyNumberFormat="1">
      <alignment horizontal="center" shrinkToFit="1" vertical="center" wrapText="0"/>
    </xf>
    <xf borderId="5" fillId="12" fontId="8" numFmtId="164" xfId="0" applyAlignment="1" applyBorder="1" applyFont="1" applyNumberFormat="1">
      <alignment horizontal="center" shrinkToFit="1" vertical="center" wrapText="0"/>
    </xf>
    <xf borderId="5" fillId="12" fontId="7" numFmtId="3" xfId="0" applyAlignment="1" applyBorder="1" applyFont="1" applyNumberFormat="1">
      <alignment horizontal="center" shrinkToFit="1" vertical="center" wrapText="0"/>
    </xf>
    <xf borderId="0" fillId="0" fontId="8" numFmtId="0" xfId="0" applyAlignment="1" applyFont="1">
      <alignment horizontal="center" shrinkToFit="1" wrapText="0"/>
    </xf>
    <xf borderId="20" fillId="3" fontId="8" numFmtId="0" xfId="0" applyAlignment="1" applyBorder="1" applyFont="1">
      <alignment shrinkToFit="1" vertical="center" wrapText="0"/>
    </xf>
    <xf borderId="8" fillId="3" fontId="8" numFmtId="164" xfId="0" applyAlignment="1" applyBorder="1" applyFont="1" applyNumberFormat="1">
      <alignment horizontal="center" shrinkToFit="1" vertical="center" wrapText="0"/>
    </xf>
    <xf borderId="11" fillId="18" fontId="8" numFmtId="3" xfId="0" applyAlignment="1" applyBorder="1" applyFont="1" applyNumberFormat="1">
      <alignment horizontal="center" shrinkToFit="1" vertical="center" wrapText="0"/>
    </xf>
    <xf borderId="0" fillId="18" fontId="8" numFmtId="3" xfId="0" applyAlignment="1" applyFont="1" applyNumberFormat="1">
      <alignment horizontal="center" shrinkToFit="1" vertical="center" wrapText="0"/>
    </xf>
    <xf borderId="0" fillId="0" fontId="7" numFmtId="0" xfId="0" applyAlignment="1" applyFont="1">
      <alignment shrinkToFit="1" wrapText="0"/>
    </xf>
    <xf borderId="2" fillId="0" fontId="7" numFmtId="0" xfId="0" applyAlignment="1" applyBorder="1" applyFont="1">
      <alignment shrinkToFit="1" wrapText="0"/>
    </xf>
    <xf borderId="8" fillId="0" fontId="8" numFmtId="165" xfId="0" applyAlignment="1" applyBorder="1" applyFont="1" applyNumberFormat="1">
      <alignment horizontal="center" shrinkToFit="1" vertical="center" wrapText="0"/>
    </xf>
    <xf borderId="1" fillId="0" fontId="8" numFmtId="165" xfId="0" applyAlignment="1" applyBorder="1" applyFont="1" applyNumberFormat="1">
      <alignment horizontal="center" shrinkToFit="1" vertical="center" wrapText="0"/>
    </xf>
    <xf borderId="0" fillId="19" fontId="4" numFmtId="3" xfId="0" applyAlignment="1" applyFont="1" applyNumberFormat="1">
      <alignment horizontal="center" vertical="center"/>
    </xf>
    <xf borderId="1" fillId="0" fontId="16" numFmtId="164" xfId="0" applyAlignment="1" applyBorder="1" applyFont="1" applyNumberFormat="1">
      <alignment horizontal="center"/>
    </xf>
    <xf borderId="1" fillId="17" fontId="5" numFmtId="3" xfId="0" applyAlignment="1" applyBorder="1" applyFont="1" applyNumberFormat="1">
      <alignment horizontal="center" shrinkToFit="0" vertical="center" wrapText="1"/>
    </xf>
    <xf borderId="1" fillId="10" fontId="5" numFmtId="0" xfId="0" applyAlignment="1" applyBorder="1" applyFont="1">
      <alignment horizontal="center"/>
    </xf>
    <xf borderId="0" fillId="0" fontId="31" numFmtId="0" xfId="0" applyFont="1"/>
    <xf borderId="43" fillId="0" fontId="16" numFmtId="164" xfId="0" applyAlignment="1" applyBorder="1" applyFont="1" applyNumberFormat="1">
      <alignment horizontal="center" shrinkToFit="0" wrapText="1"/>
    </xf>
    <xf borderId="13" fillId="0" fontId="16" numFmtId="164" xfId="0" applyAlignment="1" applyBorder="1" applyFont="1" applyNumberFormat="1">
      <alignment horizontal="center" shrinkToFit="0" wrapText="1"/>
    </xf>
    <xf borderId="13" fillId="0" fontId="16" numFmtId="3" xfId="0" applyAlignment="1" applyBorder="1" applyFont="1" applyNumberFormat="1">
      <alignment horizontal="center" shrinkToFit="0" wrapText="1"/>
    </xf>
    <xf borderId="8" fillId="17" fontId="8" numFmtId="3" xfId="0" applyAlignment="1" applyBorder="1" applyFont="1" applyNumberFormat="1">
      <alignment horizontal="center" shrinkToFit="0" vertical="center" wrapText="1"/>
    </xf>
    <xf borderId="15" fillId="4" fontId="8" numFmtId="4" xfId="0" applyAlignment="1" applyBorder="1" applyFont="1" applyNumberFormat="1">
      <alignment horizontal="center" vertical="center"/>
    </xf>
    <xf borderId="9" fillId="4" fontId="9" numFmtId="4" xfId="0" applyAlignment="1" applyBorder="1" applyFont="1" applyNumberFormat="1">
      <alignment horizontal="center" vertical="center"/>
    </xf>
    <xf borderId="9" fillId="13" fontId="7" numFmtId="3" xfId="0" applyAlignment="1" applyBorder="1" applyFont="1" applyNumberFormat="1">
      <alignment horizontal="center" vertical="center"/>
    </xf>
    <xf borderId="8" fillId="17" fontId="8" numFmtId="165" xfId="0" applyAlignment="1" applyBorder="1" applyFont="1" applyNumberFormat="1">
      <alignment horizontal="center"/>
    </xf>
    <xf borderId="38" fillId="2" fontId="7" numFmtId="165" xfId="0" applyAlignment="1" applyBorder="1" applyFont="1" applyNumberFormat="1">
      <alignment horizontal="center"/>
    </xf>
    <xf borderId="12" fillId="4" fontId="7" numFmtId="3" xfId="0" applyAlignment="1" applyBorder="1" applyFont="1" applyNumberFormat="1">
      <alignment horizontal="center" vertical="center"/>
    </xf>
    <xf borderId="12" fillId="4" fontId="7" numFmtId="0" xfId="0" applyBorder="1" applyFont="1"/>
    <xf borderId="20" fillId="2" fontId="7" numFmtId="165" xfId="0" applyAlignment="1" applyBorder="1" applyFont="1" applyNumberFormat="1">
      <alignment horizontal="center"/>
    </xf>
    <xf borderId="8" fillId="4" fontId="7" numFmtId="0" xfId="0" applyBorder="1" applyFont="1"/>
    <xf borderId="8" fillId="17" fontId="7" numFmtId="164" xfId="0" applyAlignment="1" applyBorder="1" applyFont="1" applyNumberFormat="1">
      <alignment horizontal="center" vertical="center"/>
    </xf>
    <xf borderId="2" fillId="0" fontId="7" numFmtId="165" xfId="0" applyAlignment="1" applyBorder="1" applyFont="1" applyNumberFormat="1">
      <alignment horizontal="center"/>
    </xf>
    <xf borderId="8" fillId="4" fontId="7" numFmtId="4" xfId="0" applyAlignment="1" applyBorder="1" applyFont="1" applyNumberFormat="1">
      <alignment horizontal="center" vertical="center"/>
    </xf>
    <xf borderId="8" fillId="17" fontId="7" numFmtId="0" xfId="0" applyAlignment="1" applyBorder="1" applyFont="1">
      <alignment vertical="center"/>
    </xf>
    <xf borderId="8" fillId="17" fontId="7" numFmtId="2" xfId="0" applyAlignment="1" applyBorder="1" applyFont="1" applyNumberFormat="1">
      <alignment horizontal="center" vertical="center"/>
    </xf>
    <xf borderId="8" fillId="17" fontId="7" numFmtId="0" xfId="0" applyAlignment="1" applyBorder="1" applyFont="1">
      <alignment horizontal="left" shrinkToFit="0" vertical="center" wrapText="1"/>
    </xf>
    <xf borderId="8" fillId="17" fontId="8" numFmtId="164" xfId="0" applyAlignment="1" applyBorder="1" applyFont="1" applyNumberFormat="1">
      <alignment horizontal="center"/>
    </xf>
    <xf borderId="44" fillId="0" fontId="7" numFmtId="165" xfId="0" applyAlignment="1" applyBorder="1" applyFont="1" applyNumberFormat="1">
      <alignment horizontal="center"/>
    </xf>
    <xf borderId="9" fillId="4" fontId="7" numFmtId="4" xfId="0" applyAlignment="1" applyBorder="1" applyFont="1" applyNumberFormat="1">
      <alignment horizontal="center" vertical="center"/>
    </xf>
    <xf borderId="5" fillId="12" fontId="14" numFmtId="0" xfId="0" applyAlignment="1" applyBorder="1" applyFont="1">
      <alignment horizontal="center" vertical="center"/>
    </xf>
    <xf borderId="5" fillId="16" fontId="14" numFmtId="0" xfId="0" applyAlignment="1" applyBorder="1" applyFont="1">
      <alignment shrinkToFit="0" vertical="center" wrapText="1"/>
    </xf>
    <xf borderId="8" fillId="16" fontId="14" numFmtId="4" xfId="0" applyAlignment="1" applyBorder="1" applyFont="1" applyNumberFormat="1">
      <alignment horizontal="center" vertical="center"/>
    </xf>
    <xf borderId="8" fillId="16" fontId="14" numFmtId="3" xfId="0" applyAlignment="1" applyBorder="1" applyFont="1" applyNumberFormat="1">
      <alignment horizontal="center" vertical="center"/>
    </xf>
    <xf borderId="5" fillId="12" fontId="7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8" fillId="15" fontId="7" numFmtId="3" xfId="0" applyBorder="1" applyFont="1" applyNumberFormat="1"/>
    <xf borderId="5" fillId="17" fontId="8" numFmtId="0" xfId="0" applyAlignment="1" applyBorder="1" applyFont="1">
      <alignment vertical="center"/>
    </xf>
    <xf borderId="9" fillId="17" fontId="8" numFmtId="164" xfId="0" applyAlignment="1" applyBorder="1" applyFont="1" applyNumberFormat="1">
      <alignment horizontal="center" vertical="center"/>
    </xf>
    <xf borderId="9" fillId="17" fontId="8" numFmtId="3" xfId="0" applyAlignment="1" applyBorder="1" applyFont="1" applyNumberFormat="1">
      <alignment horizontal="center" vertical="center"/>
    </xf>
    <xf borderId="5" fillId="12" fontId="8" numFmtId="0" xfId="0" applyAlignment="1" applyBorder="1" applyFont="1">
      <alignment vertical="center"/>
    </xf>
    <xf borderId="5" fillId="12" fontId="7" numFmtId="3" xfId="0" applyBorder="1" applyFont="1" applyNumberFormat="1"/>
    <xf borderId="12" fillId="3" fontId="8" numFmtId="164" xfId="0" applyAlignment="1" applyBorder="1" applyFont="1" applyNumberFormat="1">
      <alignment horizontal="center" vertical="center"/>
    </xf>
    <xf borderId="21" fillId="3" fontId="8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right"/>
    </xf>
    <xf borderId="0" fillId="0" fontId="32" numFmtId="0" xfId="0" applyAlignment="1" applyFont="1">
      <alignment horizontal="center" shrinkToFit="1" wrapText="0"/>
    </xf>
    <xf borderId="0" fillId="0" fontId="1" numFmtId="0" xfId="0" applyAlignment="1" applyFont="1">
      <alignment shrinkToFit="1" wrapText="0"/>
    </xf>
    <xf borderId="0" fillId="0" fontId="1" numFmtId="3" xfId="0" applyAlignment="1" applyFont="1" applyNumberFormat="1">
      <alignment shrinkToFit="1" wrapText="0"/>
    </xf>
    <xf borderId="8" fillId="3" fontId="5" numFmtId="0" xfId="0" applyAlignment="1" applyBorder="1" applyFont="1">
      <alignment horizontal="center"/>
    </xf>
    <xf borderId="8" fillId="17" fontId="8" numFmtId="3" xfId="0" applyAlignment="1" applyBorder="1" applyFont="1" applyNumberFormat="1">
      <alignment horizontal="center" shrinkToFit="1" vertical="center" wrapText="0"/>
    </xf>
    <xf borderId="1" fillId="17" fontId="8" numFmtId="3" xfId="0" applyAlignment="1" applyBorder="1" applyFont="1" applyNumberFormat="1">
      <alignment horizontal="center" shrinkToFit="1" vertical="center" wrapText="0"/>
    </xf>
    <xf borderId="1" fillId="10" fontId="8" numFmtId="0" xfId="0" applyAlignment="1" applyBorder="1" applyFont="1">
      <alignment horizontal="center" shrinkToFit="1" wrapText="0"/>
    </xf>
    <xf borderId="8" fillId="6" fontId="7" numFmtId="0" xfId="0" applyAlignment="1" applyBorder="1" applyFont="1">
      <alignment shrinkToFit="1" wrapText="0"/>
    </xf>
    <xf borderId="8" fillId="6" fontId="8" numFmtId="0" xfId="0" applyAlignment="1" applyBorder="1" applyFont="1">
      <alignment horizontal="center" shrinkToFit="1" vertical="center" wrapText="0"/>
    </xf>
    <xf borderId="8" fillId="6" fontId="8" numFmtId="3" xfId="0" applyAlignment="1" applyBorder="1" applyFont="1" applyNumberFormat="1">
      <alignment horizontal="center" shrinkToFit="1" vertical="center" wrapText="0"/>
    </xf>
    <xf borderId="8" fillId="6" fontId="9" numFmtId="0" xfId="0" applyAlignment="1" applyBorder="1" applyFont="1">
      <alignment horizontal="center" shrinkToFit="1" vertical="center" wrapText="0"/>
    </xf>
    <xf borderId="8" fillId="17" fontId="8" numFmtId="0" xfId="0" applyAlignment="1" applyBorder="1" applyFont="1">
      <alignment horizontal="center" shrinkToFit="1" vertical="center" wrapText="0"/>
    </xf>
    <xf borderId="8" fillId="9" fontId="8" numFmtId="3" xfId="0" applyAlignment="1" applyBorder="1" applyFont="1" applyNumberFormat="1">
      <alignment horizontal="center" shrinkToFit="1" vertical="center" wrapText="0"/>
    </xf>
    <xf borderId="9" fillId="10" fontId="7" numFmtId="0" xfId="0" applyAlignment="1" applyBorder="1" applyFont="1">
      <alignment horizontal="center" shrinkToFit="1" vertical="center" wrapText="0"/>
    </xf>
    <xf borderId="9" fillId="10" fontId="7" numFmtId="3" xfId="0" applyAlignment="1" applyBorder="1" applyFont="1" applyNumberFormat="1">
      <alignment horizontal="center" shrinkToFit="1" vertical="center" wrapText="0"/>
    </xf>
    <xf borderId="8" fillId="2" fontId="8" numFmtId="0" xfId="0" applyAlignment="1" applyBorder="1" applyFont="1">
      <alignment horizontal="right" shrinkToFit="1" wrapText="0"/>
    </xf>
    <xf borderId="8" fillId="9" fontId="8" numFmtId="165" xfId="0" applyAlignment="1" applyBorder="1" applyFont="1" applyNumberFormat="1">
      <alignment horizontal="center" shrinkToFit="1" wrapText="0"/>
    </xf>
    <xf borderId="10" fillId="10" fontId="8" numFmtId="165" xfId="0" applyAlignment="1" applyBorder="1" applyFont="1" applyNumberFormat="1">
      <alignment horizontal="center" shrinkToFit="1" wrapText="0"/>
    </xf>
    <xf borderId="11" fillId="11" fontId="8" numFmtId="165" xfId="0" applyAlignment="1" applyBorder="1" applyFont="1" applyNumberFormat="1">
      <alignment horizontal="center" shrinkToFit="1" wrapText="0"/>
    </xf>
    <xf borderId="2" fillId="12" fontId="7" numFmtId="0" xfId="0" applyBorder="1" applyFont="1"/>
    <xf borderId="8" fillId="11" fontId="8" numFmtId="165" xfId="0" applyAlignment="1" applyBorder="1" applyFont="1" applyNumberFormat="1">
      <alignment horizontal="center" shrinkToFit="1" wrapText="0"/>
    </xf>
    <xf borderId="8" fillId="10" fontId="8" numFmtId="165" xfId="0" applyAlignment="1" applyBorder="1" applyFont="1" applyNumberFormat="1">
      <alignment horizontal="center" shrinkToFit="1" wrapText="0"/>
    </xf>
    <xf borderId="8" fillId="12" fontId="8" numFmtId="0" xfId="0" applyAlignment="1" applyBorder="1" applyFont="1">
      <alignment horizontal="right" shrinkToFit="1" wrapText="0"/>
    </xf>
    <xf borderId="12" fillId="10" fontId="8" numFmtId="3" xfId="0" applyAlignment="1" applyBorder="1" applyFont="1" applyNumberFormat="1">
      <alignment horizontal="center" shrinkToFit="1" wrapText="0"/>
    </xf>
    <xf borderId="8" fillId="20" fontId="7" numFmtId="166" xfId="0" applyAlignment="1" applyBorder="1" applyFont="1" applyNumberFormat="1">
      <alignment shrinkToFit="1" wrapText="0"/>
    </xf>
    <xf borderId="8" fillId="13" fontId="8" numFmtId="165" xfId="0" applyAlignment="1" applyBorder="1" applyFont="1" applyNumberFormat="1">
      <alignment horizontal="center" shrinkToFit="1" wrapText="0"/>
    </xf>
    <xf borderId="1" fillId="14" fontId="8" numFmtId="0" xfId="0" applyAlignment="1" applyBorder="1" applyFont="1">
      <alignment horizontal="center" vertical="center"/>
    </xf>
    <xf borderId="8" fillId="13" fontId="8" numFmtId="3" xfId="0" applyBorder="1" applyFont="1" applyNumberFormat="1"/>
    <xf borderId="8" fillId="12" fontId="7" numFmtId="0" xfId="0" applyAlignment="1" applyBorder="1" applyFont="1">
      <alignment horizontal="left" shrinkToFit="1" vertical="center" wrapText="0"/>
    </xf>
    <xf borderId="8" fillId="9" fontId="7" numFmtId="2" xfId="0" applyAlignment="1" applyBorder="1" applyFont="1" applyNumberFormat="1">
      <alignment horizontal="center" shrinkToFit="1" wrapText="0"/>
    </xf>
    <xf borderId="1" fillId="14" fontId="7" numFmtId="0" xfId="0" applyAlignment="1" applyBorder="1" applyFont="1">
      <alignment vertical="center"/>
    </xf>
    <xf borderId="10" fillId="14" fontId="7" numFmtId="0" xfId="0" applyAlignment="1" applyBorder="1" applyFont="1">
      <alignment vertical="center"/>
    </xf>
    <xf borderId="5" fillId="14" fontId="1" numFmtId="0" xfId="0" applyAlignment="1" applyBorder="1" applyFont="1">
      <alignment vertical="center"/>
    </xf>
    <xf borderId="9" fillId="10" fontId="8" numFmtId="3" xfId="0" applyAlignment="1" applyBorder="1" applyFont="1" applyNumberFormat="1">
      <alignment horizontal="center" shrinkToFit="1" wrapText="0"/>
    </xf>
    <xf borderId="8" fillId="12" fontId="7" numFmtId="0" xfId="0" applyAlignment="1" applyBorder="1" applyFont="1">
      <alignment horizontal="center" shrinkToFit="1" vertical="center" wrapText="0"/>
    </xf>
    <xf borderId="8" fillId="12" fontId="8" numFmtId="3" xfId="0" applyBorder="1" applyFont="1" applyNumberFormat="1"/>
    <xf borderId="2" fillId="12" fontId="7" numFmtId="0" xfId="0" applyAlignment="1" applyBorder="1" applyFont="1">
      <alignment vertical="center"/>
    </xf>
    <xf borderId="8" fillId="12" fontId="7" numFmtId="0" xfId="0" applyAlignment="1" applyBorder="1" applyFont="1">
      <alignment vertical="center"/>
    </xf>
    <xf borderId="0" fillId="12" fontId="7" numFmtId="0" xfId="0" applyFont="1"/>
    <xf borderId="9" fillId="11" fontId="9" numFmtId="0" xfId="0" applyAlignment="1" applyBorder="1" applyFont="1">
      <alignment horizontal="right" shrinkToFit="1" vertical="center" wrapText="0"/>
    </xf>
    <xf borderId="9" fillId="10" fontId="8" numFmtId="164" xfId="0" applyAlignment="1" applyBorder="1" applyFont="1" applyNumberFormat="1">
      <alignment horizontal="center" shrinkToFit="1" wrapText="0"/>
    </xf>
    <xf borderId="2" fillId="9" fontId="7" numFmtId="0" xfId="0" applyAlignment="1" applyBorder="1" applyFont="1">
      <alignment shrinkToFit="1" wrapText="0"/>
    </xf>
    <xf borderId="8" fillId="9" fontId="7" numFmtId="0" xfId="0" applyAlignment="1" applyBorder="1" applyFont="1">
      <alignment shrinkToFit="1" wrapText="0"/>
    </xf>
    <xf borderId="1" fillId="0" fontId="7" numFmtId="0" xfId="0" applyAlignment="1" applyBorder="1" applyFont="1">
      <alignment shrinkToFit="1" wrapText="0"/>
    </xf>
    <xf borderId="44" fillId="0" fontId="7" numFmtId="3" xfId="0" applyAlignment="1" applyBorder="1" applyFont="1" applyNumberFormat="1">
      <alignment shrinkToFit="1" wrapText="0"/>
    </xf>
    <xf borderId="9" fillId="12" fontId="7" numFmtId="3" xfId="0" applyAlignment="1" applyBorder="1" applyFont="1" applyNumberFormat="1">
      <alignment horizontal="center"/>
    </xf>
    <xf borderId="0" fillId="0" fontId="7" numFmtId="3" xfId="0" applyAlignment="1" applyFont="1" applyNumberFormat="1">
      <alignment shrinkToFit="1" wrapText="0"/>
    </xf>
    <xf borderId="0" fillId="12" fontId="7" numFmtId="3" xfId="0" applyAlignment="1" applyFont="1" applyNumberFormat="1">
      <alignment horizontal="center"/>
    </xf>
    <xf borderId="2" fillId="3" fontId="8" numFmtId="164" xfId="0" applyAlignment="1" applyBorder="1" applyFont="1" applyNumberFormat="1">
      <alignment horizontal="center" shrinkToFit="1" vertical="center" wrapText="0"/>
    </xf>
    <xf borderId="2" fillId="0" fontId="8" numFmtId="165" xfId="0" applyAlignment="1" applyBorder="1" applyFont="1" applyNumberFormat="1">
      <alignment horizontal="center" shrinkToFit="1" vertical="center" wrapText="0"/>
    </xf>
    <xf borderId="5" fillId="12" fontId="1" numFmtId="3" xfId="0" applyBorder="1" applyFont="1" applyNumberFormat="1"/>
    <xf borderId="0" fillId="2" fontId="5" numFmtId="0" xfId="0" applyAlignment="1" applyFont="1">
      <alignment horizontal="center"/>
    </xf>
    <xf borderId="0" fillId="4" fontId="1" numFmtId="4" xfId="0" applyAlignment="1" applyFont="1" applyNumberFormat="1">
      <alignment horizontal="center"/>
    </xf>
    <xf borderId="0" fillId="4" fontId="1" numFmtId="3" xfId="0" applyAlignment="1" applyFont="1" applyNumberFormat="1">
      <alignment horizontal="center"/>
    </xf>
    <xf borderId="0" fillId="4" fontId="17" numFmtId="4" xfId="0" applyAlignment="1" applyFont="1" applyNumberFormat="1">
      <alignment horizontal="center"/>
    </xf>
    <xf borderId="0" fillId="3" fontId="5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8" fillId="0" fontId="1" numFmtId="0" xfId="0" applyBorder="1" applyFont="1"/>
    <xf borderId="8" fillId="0" fontId="16" numFmtId="164" xfId="0" applyAlignment="1" applyBorder="1" applyFont="1" applyNumberFormat="1">
      <alignment horizontal="center"/>
    </xf>
    <xf borderId="1" fillId="9" fontId="5" numFmtId="164" xfId="0" applyAlignment="1" applyBorder="1" applyFont="1" applyNumberFormat="1">
      <alignment horizontal="center"/>
    </xf>
    <xf borderId="45" fillId="4" fontId="5" numFmtId="3" xfId="0" applyAlignment="1" applyBorder="1" applyFont="1" applyNumberFormat="1">
      <alignment horizontal="center"/>
    </xf>
    <xf borderId="8" fillId="0" fontId="16" numFmtId="164" xfId="0" applyAlignment="1" applyBorder="1" applyFont="1" applyNumberFormat="1">
      <alignment horizontal="center" shrinkToFit="0" wrapText="1"/>
    </xf>
    <xf borderId="8" fillId="0" fontId="16" numFmtId="3" xfId="0" applyAlignment="1" applyBorder="1" applyFont="1" applyNumberFormat="1">
      <alignment horizontal="center" shrinkToFit="0" wrapText="1"/>
    </xf>
    <xf borderId="20" fillId="4" fontId="1" numFmtId="4" xfId="0" applyAlignment="1" applyBorder="1" applyFont="1" applyNumberFormat="1">
      <alignment horizontal="center"/>
    </xf>
    <xf borderId="8" fillId="4" fontId="1" numFmtId="3" xfId="0" applyAlignment="1" applyBorder="1" applyFont="1" applyNumberFormat="1">
      <alignment horizontal="center"/>
    </xf>
    <xf borderId="8" fillId="4" fontId="17" numFmtId="4" xfId="0" applyAlignment="1" applyBorder="1" applyFont="1" applyNumberFormat="1">
      <alignment horizontal="center"/>
    </xf>
    <xf borderId="20" fillId="4" fontId="8" numFmtId="4" xfId="0" applyAlignment="1" applyBorder="1" applyFont="1" applyNumberFormat="1">
      <alignment horizontal="center" vertical="center"/>
    </xf>
    <xf borderId="8" fillId="4" fontId="8" numFmtId="3" xfId="0" applyAlignment="1" applyBorder="1" applyFont="1" applyNumberFormat="1">
      <alignment horizontal="center" vertical="center"/>
    </xf>
    <xf borderId="8" fillId="4" fontId="9" numFmtId="4" xfId="0" applyAlignment="1" applyBorder="1" applyFont="1" applyNumberFormat="1">
      <alignment horizontal="center" vertical="center"/>
    </xf>
    <xf borderId="20" fillId="12" fontId="7" numFmtId="165" xfId="0" applyAlignment="1" applyBorder="1" applyFont="1" applyNumberFormat="1">
      <alignment horizontal="center"/>
    </xf>
    <xf borderId="12" fillId="12" fontId="7" numFmtId="0" xfId="0" applyBorder="1" applyFont="1"/>
    <xf borderId="8" fillId="10" fontId="33" numFmtId="165" xfId="0" applyAlignment="1" applyBorder="1" applyFont="1" applyNumberFormat="1">
      <alignment horizontal="center"/>
    </xf>
    <xf borderId="3" fillId="0" fontId="7" numFmtId="0" xfId="0" applyAlignment="1" applyBorder="1" applyFont="1">
      <alignment horizontal="center" shrinkToFit="0" vertical="center" wrapText="1"/>
    </xf>
    <xf borderId="9" fillId="10" fontId="8" numFmtId="3" xfId="0" applyAlignment="1" applyBorder="1" applyFont="1" applyNumberFormat="1">
      <alignment horizontal="center" vertical="center"/>
    </xf>
    <xf borderId="8" fillId="13" fontId="8" numFmtId="0" xfId="0" applyAlignment="1" applyBorder="1" applyFont="1">
      <alignment horizontal="center" vertical="center"/>
    </xf>
    <xf borderId="8" fillId="10" fontId="7" numFmtId="3" xfId="0" applyAlignment="1" applyBorder="1" applyFont="1" applyNumberFormat="1">
      <alignment horizontal="center" vertical="center"/>
    </xf>
    <xf borderId="9" fillId="1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right" shrinkToFit="0" vertical="center" wrapText="1"/>
    </xf>
    <xf borderId="5" fillId="9" fontId="8" numFmtId="164" xfId="0" applyAlignment="1" applyBorder="1" applyFont="1" applyNumberFormat="1">
      <alignment horizontal="center"/>
    </xf>
    <xf borderId="14" fillId="0" fontId="7" numFmtId="0" xfId="0" applyAlignment="1" applyBorder="1" applyFont="1">
      <alignment horizontal="center"/>
    </xf>
    <xf borderId="14" fillId="0" fontId="7" numFmtId="0" xfId="0" applyBorder="1" applyFont="1"/>
    <xf borderId="8" fillId="16" fontId="14" numFmtId="0" xfId="0" applyAlignment="1" applyBorder="1" applyFont="1">
      <alignment horizontal="center" vertical="center"/>
    </xf>
    <xf borderId="8" fillId="16" fontId="14" numFmtId="0" xfId="0" applyAlignment="1" applyBorder="1" applyFont="1">
      <alignment shrinkToFit="0" vertical="center" wrapText="1"/>
    </xf>
    <xf borderId="8" fillId="9" fontId="14" numFmtId="4" xfId="0" applyAlignment="1" applyBorder="1" applyFont="1" applyNumberFormat="1">
      <alignment horizontal="center" vertical="center"/>
    </xf>
    <xf borderId="9" fillId="17" fontId="8" numFmtId="0" xfId="0" applyAlignment="1" applyBorder="1" applyFont="1">
      <alignment horizontal="center" vertical="center"/>
    </xf>
    <xf borderId="8" fillId="17" fontId="8" numFmtId="0" xfId="0" applyAlignment="1" applyBorder="1" applyFont="1">
      <alignment vertical="center"/>
    </xf>
    <xf borderId="8" fillId="17" fontId="8" numFmtId="3" xfId="0" applyAlignment="1" applyBorder="1" applyFont="1" applyNumberFormat="1">
      <alignment horizontal="center" vertical="center"/>
    </xf>
    <xf borderId="10" fillId="17" fontId="8" numFmtId="164" xfId="0" applyAlignment="1" applyBorder="1" applyFont="1" applyNumberFormat="1">
      <alignment horizontal="center" vertical="center"/>
    </xf>
    <xf borderId="15" fillId="17" fontId="8" numFmtId="3" xfId="0" applyAlignment="1" applyBorder="1" applyFont="1" applyNumberFormat="1">
      <alignment horizontal="center" vertical="center"/>
    </xf>
    <xf borderId="10" fillId="3" fontId="8" numFmtId="164" xfId="0" applyAlignment="1" applyBorder="1" applyFont="1" applyNumberFormat="1">
      <alignment horizontal="center" vertical="center"/>
    </xf>
    <xf borderId="1" fillId="0" fontId="8" numFmtId="164" xfId="0" applyAlignment="1" applyBorder="1" applyFont="1" applyNumberFormat="1">
      <alignment horizontal="center" vertical="center"/>
    </xf>
    <xf borderId="44" fillId="0" fontId="8" numFmtId="3" xfId="0" applyAlignment="1" applyBorder="1" applyFont="1" applyNumberFormat="1">
      <alignment horizontal="center" vertical="center"/>
    </xf>
    <xf borderId="0" fillId="0" fontId="5" numFmtId="0" xfId="0" applyFont="1"/>
    <xf borderId="8" fillId="0" fontId="5" numFmtId="3" xfId="0" applyAlignment="1" applyBorder="1" applyFont="1" applyNumberFormat="1">
      <alignment horizontal="center"/>
    </xf>
    <xf borderId="8" fillId="0" fontId="5" numFmtId="3" xfId="0" applyAlignment="1" applyBorder="1" applyFont="1" applyNumberFormat="1">
      <alignment horizontal="center" shrinkToFit="0" wrapText="1"/>
    </xf>
    <xf borderId="8" fillId="6" fontId="9" numFmtId="4" xfId="0" applyAlignment="1" applyBorder="1" applyFont="1" applyNumberFormat="1">
      <alignment horizontal="center" vertical="center"/>
    </xf>
    <xf borderId="8" fillId="0" fontId="28" numFmtId="0" xfId="0" applyAlignment="1" applyBorder="1" applyFont="1">
      <alignment horizontal="center" vertical="center"/>
    </xf>
    <xf borderId="8" fillId="24" fontId="8" numFmtId="0" xfId="0" applyAlignment="1" applyBorder="1" applyFill="1" applyFont="1">
      <alignment horizontal="right"/>
    </xf>
    <xf borderId="8" fillId="24" fontId="8" numFmtId="165" xfId="0" applyAlignment="1" applyBorder="1" applyFont="1" applyNumberFormat="1">
      <alignment horizontal="center"/>
    </xf>
    <xf borderId="8" fillId="24" fontId="8" numFmtId="3" xfId="0" applyAlignment="1" applyBorder="1" applyFont="1" applyNumberFormat="1">
      <alignment horizontal="center"/>
    </xf>
    <xf borderId="8" fillId="15" fontId="8" numFmtId="3" xfId="0" applyAlignment="1" applyBorder="1" applyFont="1" applyNumberFormat="1">
      <alignment horizontal="center" vertical="center"/>
    </xf>
    <xf borderId="0" fillId="0" fontId="28" numFmtId="0" xfId="0" applyAlignment="1" applyFont="1">
      <alignment horizontal="center" vertical="center"/>
    </xf>
    <xf borderId="9" fillId="24" fontId="8" numFmtId="165" xfId="0" applyAlignment="1" applyBorder="1" applyFont="1" applyNumberFormat="1">
      <alignment horizontal="center"/>
    </xf>
    <xf borderId="9" fillId="24" fontId="8" numFmtId="3" xfId="0" applyAlignment="1" applyBorder="1" applyFont="1" applyNumberFormat="1">
      <alignment horizontal="center"/>
    </xf>
    <xf borderId="9" fillId="15" fontId="8" numFmtId="3" xfId="0" applyAlignment="1" applyBorder="1" applyFont="1" applyNumberFormat="1">
      <alignment horizontal="center"/>
    </xf>
    <xf borderId="5" fillId="4" fontId="7" numFmtId="4" xfId="0" applyAlignment="1" applyBorder="1" applyFont="1" applyNumberFormat="1">
      <alignment horizontal="center"/>
    </xf>
    <xf borderId="8" fillId="0" fontId="8" numFmtId="3" xfId="0" applyAlignment="1" applyBorder="1" applyFont="1" applyNumberFormat="1">
      <alignment vertical="center"/>
    </xf>
    <xf borderId="46" fillId="16" fontId="14" numFmtId="0" xfId="0" applyAlignment="1" applyBorder="1" applyFont="1">
      <alignment horizontal="center" vertical="center"/>
    </xf>
    <xf borderId="21" fillId="16" fontId="14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1"/>
    </xf>
    <xf borderId="12" fillId="12" fontId="14" numFmtId="4" xfId="0" applyAlignment="1" applyBorder="1" applyFont="1" applyNumberFormat="1">
      <alignment horizontal="center" vertical="center"/>
    </xf>
    <xf borderId="12" fillId="12" fontId="14" numFmtId="3" xfId="0" applyAlignment="1" applyBorder="1" applyFont="1" applyNumberFormat="1">
      <alignment horizontal="center" vertical="center"/>
    </xf>
    <xf borderId="48" fillId="0" fontId="7" numFmtId="0" xfId="0" applyAlignment="1" applyBorder="1" applyFont="1">
      <alignment horizontal="center"/>
    </xf>
    <xf borderId="49" fillId="0" fontId="7" numFmtId="0" xfId="0" applyBorder="1" applyFont="1"/>
    <xf borderId="39" fillId="16" fontId="14" numFmtId="0" xfId="0" applyAlignment="1" applyBorder="1" applyFont="1">
      <alignment horizontal="center" vertical="center"/>
    </xf>
    <xf borderId="10" fillId="16" fontId="14" numFmtId="0" xfId="0" applyAlignment="1" applyBorder="1" applyFont="1">
      <alignment shrinkToFit="0" vertical="center" wrapText="1"/>
    </xf>
    <xf borderId="50" fillId="17" fontId="8" numFmtId="0" xfId="0" applyAlignment="1" applyBorder="1" applyFont="1">
      <alignment horizontal="center" vertical="center"/>
    </xf>
    <xf borderId="51" fillId="17" fontId="8" numFmtId="0" xfId="0" applyAlignment="1" applyBorder="1" applyFont="1">
      <alignment vertical="center"/>
    </xf>
    <xf borderId="3" fillId="0" fontId="8" numFmtId="3" xfId="0" applyAlignment="1" applyBorder="1" applyFont="1" applyNumberFormat="1">
      <alignment horizontal="center"/>
    </xf>
    <xf borderId="1" fillId="17" fontId="8" numFmtId="3" xfId="0" applyAlignment="1" applyBorder="1" applyFont="1" applyNumberFormat="1">
      <alignment horizontal="center" shrinkToFit="0" vertical="center" wrapText="1"/>
    </xf>
    <xf borderId="1" fillId="10" fontId="8" numFmtId="0" xfId="0" applyAlignment="1" applyBorder="1" applyFont="1">
      <alignment horizontal="center"/>
    </xf>
    <xf borderId="45" fillId="4" fontId="8" numFmtId="3" xfId="0" applyAlignment="1" applyBorder="1" applyFont="1" applyNumberFormat="1">
      <alignment horizontal="center"/>
    </xf>
    <xf borderId="8" fillId="0" fontId="7" numFmtId="164" xfId="0" applyAlignment="1" applyBorder="1" applyFont="1" applyNumberFormat="1">
      <alignment horizontal="center" shrinkToFit="0" wrapText="1"/>
    </xf>
    <xf borderId="8" fillId="0" fontId="7" numFmtId="3" xfId="0" applyAlignment="1" applyBorder="1" applyFont="1" applyNumberFormat="1">
      <alignment horizontal="center" shrinkToFit="0" wrapText="1"/>
    </xf>
    <xf borderId="38" fillId="4" fontId="7" numFmtId="4" xfId="0" applyAlignment="1" applyBorder="1" applyFont="1" applyNumberFormat="1">
      <alignment horizontal="center"/>
    </xf>
    <xf borderId="5" fillId="4" fontId="7" numFmtId="0" xfId="0" applyBorder="1" applyFont="1"/>
    <xf borderId="11" fillId="4" fontId="8" numFmtId="165" xfId="0" applyAlignment="1" applyBorder="1" applyFont="1" applyNumberFormat="1">
      <alignment horizontal="center"/>
    </xf>
    <xf borderId="21" fillId="14" fontId="8" numFmtId="165" xfId="0" applyAlignment="1" applyBorder="1" applyFont="1" applyNumberFormat="1">
      <alignment horizontal="center"/>
    </xf>
    <xf borderId="5" fillId="4" fontId="7" numFmtId="165" xfId="0" applyAlignment="1" applyBorder="1" applyFont="1" applyNumberFormat="1">
      <alignment horizontal="center"/>
    </xf>
    <xf borderId="8" fillId="13" fontId="7" numFmtId="3" xfId="0" applyBorder="1" applyFont="1" applyNumberFormat="1"/>
    <xf borderId="9" fillId="9" fontId="8" numFmtId="164" xfId="0" applyAlignment="1" applyBorder="1" applyFont="1" applyNumberFormat="1">
      <alignment horizontal="center"/>
    </xf>
    <xf borderId="9" fillId="13" fontId="7" numFmtId="3" xfId="0" applyAlignment="1" applyBorder="1" applyFont="1" applyNumberFormat="1">
      <alignment horizontal="center"/>
    </xf>
    <xf borderId="5" fillId="12" fontId="9" numFmtId="0" xfId="0" applyAlignment="1" applyBorder="1" applyFont="1">
      <alignment horizontal="center" vertical="center"/>
    </xf>
    <xf borderId="12" fillId="16" fontId="14" numFmtId="0" xfId="0" applyAlignment="1" applyBorder="1" applyFont="1">
      <alignment horizontal="center" vertical="center"/>
    </xf>
    <xf borderId="12" fillId="16" fontId="14" numFmtId="0" xfId="0" applyAlignment="1" applyBorder="1" applyFont="1">
      <alignment shrinkToFit="0" vertical="center" wrapText="1"/>
    </xf>
    <xf borderId="12" fillId="16" fontId="14" numFmtId="4" xfId="0" applyAlignment="1" applyBorder="1" applyFont="1" applyNumberFormat="1">
      <alignment horizontal="center" vertical="center"/>
    </xf>
    <xf borderId="12" fillId="15" fontId="7" numFmtId="3" xfId="0" applyAlignment="1" applyBorder="1" applyFont="1" applyNumberFormat="1">
      <alignment horizontal="center"/>
    </xf>
    <xf borderId="9" fillId="17" fontId="8" numFmtId="0" xfId="0" applyAlignment="1" applyBorder="1" applyFont="1">
      <alignment vertical="center"/>
    </xf>
    <xf borderId="4" fillId="12" fontId="8" numFmtId="3" xfId="0" applyAlignment="1" applyBorder="1" applyFont="1" applyNumberFormat="1">
      <alignment horizontal="center" vertical="center"/>
    </xf>
    <xf borderId="10" fillId="14" fontId="8" numFmtId="3" xfId="0" applyAlignment="1" applyBorder="1" applyFont="1" applyNumberFormat="1">
      <alignment horizontal="center" vertical="center"/>
    </xf>
    <xf borderId="0" fillId="0" fontId="34" numFmtId="0" xfId="0" applyFont="1"/>
    <xf borderId="8" fillId="21" fontId="7" numFmtId="164" xfId="0" applyAlignment="1" applyBorder="1" applyFont="1" applyNumberFormat="1">
      <alignment horizontal="center" vertical="center"/>
    </xf>
    <xf borderId="18" fillId="12" fontId="8" numFmtId="164" xfId="0" applyAlignment="1" applyBorder="1" applyFont="1" applyNumberFormat="1">
      <alignment horizontal="center"/>
    </xf>
    <xf borderId="10" fillId="12" fontId="9" numFmtId="0" xfId="0" applyAlignment="1" applyBorder="1" applyFont="1">
      <alignment horizontal="center" vertical="center"/>
    </xf>
    <xf borderId="5" fillId="10" fontId="8" numFmtId="164" xfId="0" applyAlignment="1" applyBorder="1" applyFont="1" applyNumberFormat="1">
      <alignment horizontal="center"/>
    </xf>
    <xf borderId="20" fillId="10" fontId="8" numFmtId="3" xfId="0" applyAlignment="1" applyBorder="1" applyFont="1" applyNumberFormat="1">
      <alignment horizontal="center"/>
    </xf>
    <xf borderId="10" fillId="12" fontId="14" numFmtId="4" xfId="0" applyAlignment="1" applyBorder="1" applyFont="1" applyNumberFormat="1">
      <alignment horizontal="center" vertical="center"/>
    </xf>
    <xf borderId="5" fillId="12" fontId="14" numFmtId="4" xfId="0" applyAlignment="1" applyBorder="1" applyFont="1" applyNumberFormat="1">
      <alignment horizontal="center" vertical="center"/>
    </xf>
    <xf borderId="20" fillId="12" fontId="14" numFmtId="3" xfId="0" applyAlignment="1" applyBorder="1" applyFont="1" applyNumberFormat="1">
      <alignment horizontal="center" vertical="center"/>
    </xf>
    <xf borderId="1" fillId="0" fontId="8" numFmtId="164" xfId="0" applyAlignment="1" applyBorder="1" applyFont="1" applyNumberFormat="1">
      <alignment horizontal="center"/>
    </xf>
    <xf borderId="10" fillId="16" fontId="14" numFmtId="4" xfId="0" applyAlignment="1" applyBorder="1" applyFont="1" applyNumberFormat="1">
      <alignment horizontal="center" vertical="center"/>
    </xf>
    <xf borderId="20" fillId="16" fontId="14" numFmtId="3" xfId="0" applyAlignment="1" applyBorder="1" applyFont="1" applyNumberFormat="1">
      <alignment horizontal="center" vertical="center"/>
    </xf>
    <xf borderId="8" fillId="12" fontId="8" numFmtId="164" xfId="0" applyAlignment="1" applyBorder="1" applyFont="1" applyNumberFormat="1">
      <alignment horizontal="center" vertical="center"/>
    </xf>
    <xf borderId="38" fillId="4" fontId="1" numFmtId="4" xfId="0" applyAlignment="1" applyBorder="1" applyFont="1" applyNumberFormat="1">
      <alignment horizontal="center"/>
    </xf>
    <xf borderId="9" fillId="17" fontId="8" numFmtId="164" xfId="0" applyAlignment="1" applyBorder="1" applyFont="1" applyNumberFormat="1">
      <alignment horizontal="center" shrinkToFit="0" vertical="center" wrapText="1"/>
    </xf>
    <xf borderId="9" fillId="17" fontId="8" numFmtId="3" xfId="0" applyAlignment="1" applyBorder="1" applyFont="1" applyNumberFormat="1">
      <alignment horizontal="center" shrinkToFit="0" vertical="center" wrapText="1"/>
    </xf>
    <xf borderId="21" fillId="2" fontId="8" numFmtId="165" xfId="0" applyAlignment="1" applyBorder="1" applyFont="1" applyNumberFormat="1">
      <alignment horizontal="center"/>
    </xf>
    <xf borderId="10" fillId="14" fontId="8" numFmtId="165" xfId="0" applyAlignment="1" applyBorder="1" applyFont="1" applyNumberFormat="1">
      <alignment horizontal="center"/>
    </xf>
    <xf borderId="18" fillId="12" fontId="8" numFmtId="164" xfId="0" applyAlignment="1" applyBorder="1" applyFont="1" applyNumberFormat="1">
      <alignment horizontal="center" vertical="center"/>
    </xf>
    <xf borderId="10" fillId="10" fontId="8" numFmtId="164" xfId="0" applyAlignment="1" applyBorder="1" applyFont="1" applyNumberFormat="1">
      <alignment horizontal="center" vertical="center"/>
    </xf>
    <xf borderId="12" fillId="10" fontId="8" numFmtId="3" xfId="0" applyAlignment="1" applyBorder="1" applyFont="1" applyNumberFormat="1">
      <alignment horizontal="center" vertical="center"/>
    </xf>
    <xf borderId="15" fillId="12" fontId="8" numFmtId="3" xfId="0" applyAlignment="1" applyBorder="1" applyFont="1" applyNumberFormat="1">
      <alignment horizontal="center" vertical="center"/>
    </xf>
    <xf borderId="5" fillId="12" fontId="8" numFmtId="3" xfId="0" applyBorder="1" applyFont="1" applyNumberFormat="1"/>
    <xf borderId="52" fillId="0" fontId="8" numFmtId="3" xfId="0" applyAlignment="1" applyBorder="1" applyFont="1" applyNumberFormat="1">
      <alignment horizontal="center" vertical="center"/>
    </xf>
    <xf borderId="9" fillId="10" fontId="8" numFmtId="3" xfId="0" applyAlignment="1" applyBorder="1" applyFont="1" applyNumberFormat="1">
      <alignment horizontal="center" shrinkToFit="0" vertical="center" wrapText="1"/>
    </xf>
    <xf borderId="53" fillId="0" fontId="7" numFmtId="165" xfId="0" applyAlignment="1" applyBorder="1" applyFont="1" applyNumberFormat="1">
      <alignment horizontal="center"/>
    </xf>
    <xf borderId="12" fillId="4" fontId="7" numFmtId="3" xfId="0" applyAlignment="1" applyBorder="1" applyFont="1" applyNumberFormat="1">
      <alignment horizontal="center"/>
    </xf>
    <xf borderId="8" fillId="12" fontId="7" numFmtId="164" xfId="0" applyAlignment="1" applyBorder="1" applyFont="1" applyNumberFormat="1">
      <alignment horizontal="center"/>
    </xf>
    <xf borderId="9" fillId="9" fontId="7" numFmtId="164" xfId="0" applyAlignment="1" applyBorder="1" applyFont="1" applyNumberFormat="1">
      <alignment horizontal="center"/>
    </xf>
    <xf borderId="8" fillId="15" fontId="8" numFmtId="3" xfId="0" applyBorder="1" applyFont="1" applyNumberFormat="1"/>
    <xf borderId="5" fillId="12" fontId="14" numFmtId="0" xfId="0" applyAlignment="1" applyBorder="1" applyFont="1">
      <alignment shrinkToFit="0" vertical="center" wrapText="1"/>
    </xf>
    <xf borderId="5" fillId="12" fontId="8" numFmtId="0" xfId="0" applyAlignment="1" applyBorder="1" applyFont="1">
      <alignment shrinkToFit="0" vertical="center" wrapText="1"/>
    </xf>
    <xf borderId="5" fillId="12" fontId="8" numFmtId="165" xfId="0" applyAlignment="1" applyBorder="1" applyFont="1" applyNumberFormat="1">
      <alignment horizontal="center" vertical="center"/>
    </xf>
    <xf borderId="5" fillId="12" fontId="8" numFmtId="0" xfId="0" applyAlignment="1" applyBorder="1" applyFont="1">
      <alignment horizontal="center" shrinkToFit="0" vertical="center" wrapText="1"/>
    </xf>
    <xf borderId="34" fillId="11" fontId="8" numFmtId="165" xfId="0" applyAlignment="1" applyBorder="1" applyFont="1" applyNumberFormat="1">
      <alignment horizontal="center"/>
    </xf>
    <xf borderId="12" fillId="4" fontId="7" numFmtId="165" xfId="0" applyAlignment="1" applyBorder="1" applyFont="1" applyNumberFormat="1">
      <alignment horizontal="center"/>
    </xf>
    <xf borderId="8" fillId="4" fontId="7" numFmtId="165" xfId="0" applyAlignment="1" applyBorder="1" applyFont="1" applyNumberFormat="1">
      <alignment horizontal="center"/>
    </xf>
    <xf borderId="5" fillId="4" fontId="7" numFmtId="0" xfId="0" applyAlignment="1" applyBorder="1" applyFont="1">
      <alignment vertical="center"/>
    </xf>
    <xf borderId="34" fillId="11" fontId="8" numFmtId="0" xfId="0" applyAlignment="1" applyBorder="1" applyFont="1">
      <alignment horizontal="center"/>
    </xf>
    <xf borderId="9" fillId="4" fontId="7" numFmtId="165" xfId="0" applyAlignment="1" applyBorder="1" applyFont="1" applyNumberFormat="1">
      <alignment horizontal="center"/>
    </xf>
    <xf borderId="11" fillId="11" fontId="8" numFmtId="38" xfId="0" applyAlignment="1" applyBorder="1" applyFont="1" applyNumberFormat="1">
      <alignment horizontal="center"/>
    </xf>
    <xf borderId="1" fillId="17" fontId="23" numFmtId="3" xfId="0" applyAlignment="1" applyBorder="1" applyFont="1" applyNumberFormat="1">
      <alignment horizontal="center" shrinkToFit="0" vertical="center" wrapText="1"/>
    </xf>
    <xf borderId="8" fillId="10" fontId="5" numFmtId="0" xfId="0" applyAlignment="1" applyBorder="1" applyFont="1">
      <alignment horizontal="center"/>
    </xf>
    <xf borderId="8" fillId="10" fontId="5" numFmtId="3" xfId="0" applyAlignment="1" applyBorder="1" applyFont="1" applyNumberFormat="1">
      <alignment horizontal="center"/>
    </xf>
    <xf borderId="8" fillId="13" fontId="5" numFmtId="0" xfId="0" applyAlignment="1" applyBorder="1" applyFont="1">
      <alignment horizontal="center" vertical="center"/>
    </xf>
    <xf borderId="8" fillId="21" fontId="5" numFmtId="0" xfId="0" applyAlignment="1" applyBorder="1" applyFont="1">
      <alignment horizontal="center" vertical="center"/>
    </xf>
    <xf borderId="8" fillId="21" fontId="5" numFmtId="3" xfId="0" applyAlignment="1" applyBorder="1" applyFont="1" applyNumberFormat="1">
      <alignment horizontal="center" shrinkToFit="0" vertical="center" wrapText="1"/>
    </xf>
    <xf borderId="8" fillId="21" fontId="10" numFmtId="0" xfId="0" applyAlignment="1" applyBorder="1" applyFont="1">
      <alignment horizontal="center" shrinkToFit="0" vertical="center" wrapText="1"/>
    </xf>
    <xf borderId="8" fillId="9" fontId="7" numFmtId="2" xfId="0" applyAlignment="1" applyBorder="1" applyFont="1" applyNumberFormat="1">
      <alignment horizontal="center"/>
    </xf>
    <xf borderId="9" fillId="12" fontId="7" numFmtId="0" xfId="0" applyAlignment="1" applyBorder="1" applyFont="1">
      <alignment horizontal="center" vertical="center"/>
    </xf>
    <xf borderId="5" fillId="12" fontId="10" numFmtId="0" xfId="0" applyAlignment="1" applyBorder="1" applyFont="1">
      <alignment horizontal="center" vertical="center"/>
    </xf>
    <xf borderId="5" fillId="11" fontId="5" numFmtId="164" xfId="0" applyAlignment="1" applyBorder="1" applyFont="1" applyNumberFormat="1">
      <alignment horizontal="center"/>
    </xf>
    <xf borderId="5" fillId="10" fontId="7" numFmtId="164" xfId="0" applyAlignment="1" applyBorder="1" applyFont="1" applyNumberFormat="1">
      <alignment horizontal="center"/>
    </xf>
    <xf borderId="5" fillId="14" fontId="2" numFmtId="0" xfId="0" applyAlignment="1" applyBorder="1" applyFont="1">
      <alignment horizontal="center" vertical="center"/>
    </xf>
    <xf borderId="44" fillId="0" fontId="7" numFmtId="0" xfId="0" applyBorder="1" applyFont="1"/>
    <xf borderId="8" fillId="9" fontId="7" numFmtId="0" xfId="0" applyBorder="1" applyFont="1"/>
    <xf borderId="1" fillId="0" fontId="7" numFmtId="0" xfId="0" applyBorder="1" applyFont="1"/>
    <xf borderId="5" fillId="12" fontId="5" numFmtId="0" xfId="0" applyAlignment="1" applyBorder="1" applyFont="1">
      <alignment horizontal="center" shrinkToFit="1" vertical="center" wrapText="0"/>
    </xf>
    <xf borderId="11" fillId="18" fontId="5" numFmtId="3" xfId="0" applyAlignment="1" applyBorder="1" applyFont="1" applyNumberFormat="1">
      <alignment horizontal="center" shrinkToFit="1" vertical="center" wrapText="0"/>
    </xf>
    <xf borderId="11" fillId="4" fontId="5" numFmtId="3" xfId="0" applyAlignment="1" applyBorder="1" applyFont="1" applyNumberFormat="1">
      <alignment horizontal="center" vertical="center"/>
    </xf>
    <xf borderId="5" fillId="12" fontId="8" numFmtId="3" xfId="0" applyAlignment="1" applyBorder="1" applyFont="1" applyNumberFormat="1">
      <alignment horizontal="center" shrinkToFit="1" vertical="center" wrapText="0"/>
    </xf>
    <xf borderId="0" fillId="0" fontId="5" numFmtId="0" xfId="0" applyAlignment="1" applyFont="1">
      <alignment horizontal="center" shrinkToFit="0" vertical="center" wrapText="1"/>
    </xf>
    <xf borderId="54" fillId="17" fontId="5" numFmtId="3" xfId="0" applyAlignment="1" applyBorder="1" applyFont="1" applyNumberFormat="1">
      <alignment horizontal="center" shrinkToFit="0" vertical="center" wrapText="1"/>
    </xf>
    <xf borderId="55" fillId="0" fontId="6" numFmtId="0" xfId="0" applyBorder="1" applyFont="1"/>
    <xf borderId="56" fillId="0" fontId="6" numFmtId="0" xfId="0" applyBorder="1" applyFont="1"/>
    <xf borderId="13" fillId="0" fontId="5" numFmtId="3" xfId="0" applyAlignment="1" applyBorder="1" applyFont="1" applyNumberFormat="1">
      <alignment horizontal="center" shrinkToFit="0" wrapText="1"/>
    </xf>
    <xf borderId="8" fillId="4" fontId="1" numFmtId="4" xfId="0" applyAlignment="1" applyBorder="1" applyFont="1" applyNumberFormat="1">
      <alignment horizontal="center"/>
    </xf>
    <xf borderId="8" fillId="12" fontId="8" numFmtId="4" xfId="0" applyAlignment="1" applyBorder="1" applyFont="1" applyNumberFormat="1">
      <alignment horizontal="center" vertical="center"/>
    </xf>
    <xf borderId="8" fillId="12" fontId="9" numFmtId="4" xfId="0" applyAlignment="1" applyBorder="1" applyFont="1" applyNumberFormat="1">
      <alignment horizontal="center" vertical="center"/>
    </xf>
    <xf borderId="8" fillId="10" fontId="8" numFmtId="3" xfId="0" applyAlignment="1" applyBorder="1" applyFont="1" applyNumberFormat="1">
      <alignment vertical="center"/>
    </xf>
    <xf borderId="9" fillId="13" fontId="8" numFmtId="3" xfId="0" applyAlignment="1" applyBorder="1" applyFont="1" applyNumberFormat="1">
      <alignment vertical="center"/>
    </xf>
    <xf borderId="9" fillId="12" fontId="8" numFmtId="3" xfId="0" applyAlignment="1" applyBorder="1" applyFont="1" applyNumberFormat="1">
      <alignment horizontal="center"/>
    </xf>
    <xf borderId="0" fillId="0" fontId="27" numFmtId="0" xfId="0" applyAlignment="1" applyFont="1">
      <alignment horizontal="center"/>
    </xf>
    <xf borderId="0" fillId="0" fontId="23" numFmtId="3" xfId="0" applyFont="1" applyNumberFormat="1"/>
    <xf borderId="1" fillId="2" fontId="8" numFmtId="0" xfId="0" applyAlignment="1" applyBorder="1" applyFont="1">
      <alignment horizontal="center"/>
    </xf>
    <xf borderId="42" fillId="10" fontId="5" numFmtId="0" xfId="0" applyAlignment="1" applyBorder="1" applyFont="1">
      <alignment horizontal="center"/>
    </xf>
    <xf borderId="20" fillId="10" fontId="5" numFmtId="3" xfId="0" applyAlignment="1" applyBorder="1" applyFont="1" applyNumberFormat="1">
      <alignment horizontal="center"/>
    </xf>
    <xf borderId="8" fillId="21" fontId="8" numFmtId="0" xfId="0" applyAlignment="1" applyBorder="1" applyFont="1">
      <alignment horizontal="center" vertical="center"/>
    </xf>
    <xf borderId="9" fillId="6" fontId="8" numFmtId="0" xfId="0" applyAlignment="1" applyBorder="1" applyFont="1">
      <alignment horizontal="center" shrinkToFit="0" vertical="center" wrapText="1"/>
    </xf>
    <xf borderId="8" fillId="6" fontId="8" numFmtId="4" xfId="0" applyAlignment="1" applyBorder="1" applyFont="1" applyNumberFormat="1">
      <alignment horizontal="center" shrinkToFit="0" vertical="center" wrapText="1"/>
    </xf>
    <xf borderId="15" fillId="10" fontId="7" numFmtId="0" xfId="0" applyAlignment="1" applyBorder="1" applyFont="1">
      <alignment horizontal="center" shrinkToFit="0" vertical="center" wrapText="1"/>
    </xf>
    <xf borderId="8" fillId="7" fontId="8" numFmtId="165" xfId="0" applyAlignment="1" applyBorder="1" applyFont="1" applyNumberFormat="1">
      <alignment horizontal="center"/>
    </xf>
    <xf borderId="12" fillId="16" fontId="8" numFmtId="3" xfId="0" applyAlignment="1" applyBorder="1" applyFont="1" applyNumberFormat="1">
      <alignment horizontal="center"/>
    </xf>
    <xf borderId="8" fillId="16" fontId="8" numFmtId="3" xfId="0" applyAlignment="1" applyBorder="1" applyFont="1" applyNumberFormat="1">
      <alignment horizontal="center"/>
    </xf>
    <xf borderId="8" fillId="16" fontId="8" numFmtId="3" xfId="0" applyBorder="1" applyFont="1" applyNumberFormat="1"/>
    <xf borderId="8" fillId="16" fontId="8" numFmtId="3" xfId="0" applyAlignment="1" applyBorder="1" applyFont="1" applyNumberFormat="1">
      <alignment horizontal="center" vertical="center"/>
    </xf>
    <xf borderId="8" fillId="16" fontId="8" numFmtId="3" xfId="0" applyAlignment="1" applyBorder="1" applyFont="1" applyNumberFormat="1">
      <alignment vertical="center"/>
    </xf>
    <xf borderId="8" fillId="12" fontId="7" numFmtId="0" xfId="0" applyAlignment="1" applyBorder="1" applyFont="1">
      <alignment shrinkToFit="0" vertical="center" wrapText="1"/>
    </xf>
    <xf borderId="9" fillId="16" fontId="8" numFmtId="3" xfId="0" applyAlignment="1" applyBorder="1" applyFont="1" applyNumberFormat="1">
      <alignment horizontal="center"/>
    </xf>
    <xf borderId="20" fillId="12" fontId="7" numFmtId="0" xfId="0" applyBorder="1" applyFont="1"/>
    <xf borderId="20" fillId="16" fontId="14" numFmtId="0" xfId="0" applyAlignment="1" applyBorder="1" applyFont="1">
      <alignment shrinkToFit="0" vertical="center" wrapText="1"/>
    </xf>
    <xf borderId="10" fillId="10" fontId="14" numFmtId="4" xfId="0" applyAlignment="1" applyBorder="1" applyFont="1" applyNumberFormat="1">
      <alignment horizontal="center" vertical="center"/>
    </xf>
    <xf borderId="2" fillId="0" fontId="8" numFmtId="0" xfId="0" applyAlignment="1" applyBorder="1" applyFont="1">
      <alignment shrinkToFit="0" vertical="center" wrapText="1"/>
    </xf>
    <xf borderId="5" fillId="10" fontId="8" numFmtId="164" xfId="0" applyAlignment="1" applyBorder="1" applyFont="1" applyNumberFormat="1">
      <alignment horizontal="center" vertical="center"/>
    </xf>
    <xf borderId="2" fillId="0" fontId="7" numFmtId="0" xfId="0" applyBorder="1" applyFont="1"/>
    <xf borderId="5" fillId="14" fontId="8" numFmtId="164" xfId="0" applyAlignment="1" applyBorder="1" applyFont="1" applyNumberFormat="1">
      <alignment horizontal="center"/>
    </xf>
    <xf borderId="5" fillId="14" fontId="8" numFmtId="0" xfId="0" applyAlignment="1" applyBorder="1" applyFont="1">
      <alignment horizontal="center" vertical="center"/>
    </xf>
    <xf borderId="20" fillId="17" fontId="8" numFmtId="0" xfId="0" applyAlignment="1" applyBorder="1" applyFont="1">
      <alignment vertical="center"/>
    </xf>
    <xf borderId="20" fillId="3" fontId="8" numFmtId="0" xfId="0" applyAlignment="1" applyBorder="1" applyFont="1">
      <alignment vertical="center"/>
    </xf>
    <xf borderId="20" fillId="12" fontId="8" numFmtId="0" xfId="0" applyAlignment="1" applyBorder="1" applyFont="1">
      <alignment vertical="center"/>
    </xf>
    <xf borderId="2" fillId="0" fontId="1" numFmtId="0" xfId="0" applyBorder="1" applyFont="1"/>
    <xf borderId="8" fillId="6" fontId="5" numFmtId="0" xfId="0" applyAlignment="1" applyBorder="1" applyFont="1">
      <alignment horizontal="center" shrinkToFit="0" vertical="center" wrapText="1"/>
    </xf>
    <xf borderId="9" fillId="16" fontId="7" numFmtId="3" xfId="0" applyAlignment="1" applyBorder="1" applyFont="1" applyNumberFormat="1">
      <alignment horizontal="center" vertical="center"/>
    </xf>
    <xf borderId="8" fillId="0" fontId="18" numFmtId="0" xfId="0" applyAlignment="1" applyBorder="1" applyFont="1">
      <alignment horizontal="right" vertical="center"/>
    </xf>
    <xf borderId="8" fillId="9" fontId="8" numFmtId="165" xfId="0" applyAlignment="1" applyBorder="1" applyFont="1" applyNumberFormat="1">
      <alignment horizontal="center" vertical="center"/>
    </xf>
    <xf borderId="8" fillId="12" fontId="7" numFmtId="165" xfId="0" applyAlignment="1" applyBorder="1" applyFont="1" applyNumberFormat="1">
      <alignment horizontal="center" vertical="center"/>
    </xf>
    <xf borderId="8" fillId="2" fontId="18" numFmtId="0" xfId="0" applyAlignment="1" applyBorder="1" applyFont="1">
      <alignment horizontal="right"/>
    </xf>
    <xf borderId="12" fillId="10" fontId="8" numFmtId="165" xfId="0" applyAlignment="1" applyBorder="1" applyFont="1" applyNumberFormat="1">
      <alignment horizontal="center"/>
    </xf>
    <xf borderId="8" fillId="14" fontId="8" numFmtId="165" xfId="0" applyAlignment="1" applyBorder="1" applyFont="1" applyNumberFormat="1">
      <alignment horizontal="center"/>
    </xf>
    <xf borderId="12" fillId="16" fontId="7" numFmtId="3" xfId="0" applyAlignment="1" applyBorder="1" applyFont="1" applyNumberFormat="1">
      <alignment horizontal="center"/>
    </xf>
    <xf borderId="8" fillId="16" fontId="7" numFmtId="3" xfId="0" applyAlignment="1" applyBorder="1" applyFont="1" applyNumberFormat="1">
      <alignment horizontal="center"/>
    </xf>
    <xf borderId="8" fillId="16" fontId="7" numFmtId="3" xfId="0" applyBorder="1" applyFont="1" applyNumberFormat="1"/>
    <xf borderId="12" fillId="16" fontId="8" numFmtId="3" xfId="0" applyAlignment="1" applyBorder="1" applyFont="1" applyNumberFormat="1">
      <alignment horizontal="center" vertical="center"/>
    </xf>
    <xf borderId="9" fillId="16" fontId="7" numFmtId="3" xfId="0" applyBorder="1" applyFont="1" applyNumberFormat="1"/>
    <xf borderId="12" fillId="15" fontId="7" numFmtId="3" xfId="0" applyBorder="1" applyFont="1" applyNumberFormat="1"/>
    <xf borderId="5" fillId="3" fontId="8" numFmtId="164" xfId="0" applyAlignment="1" applyBorder="1" applyFont="1" applyNumberFormat="1">
      <alignment horizontal="center" vertical="center"/>
    </xf>
    <xf borderId="5" fillId="4" fontId="23" numFmtId="3" xfId="0" applyAlignment="1" applyBorder="1" applyFont="1" applyNumberFormat="1">
      <alignment horizontal="center" vertical="center"/>
    </xf>
    <xf borderId="8" fillId="0" fontId="4" numFmtId="0" xfId="0" applyBorder="1" applyFont="1"/>
    <xf borderId="8" fillId="0" fontId="1" numFmtId="3" xfId="0" applyBorder="1" applyFont="1" applyNumberFormat="1"/>
    <xf borderId="8" fillId="6" fontId="35" numFmtId="0" xfId="0" applyAlignment="1" applyBorder="1" applyFont="1">
      <alignment horizontal="center" vertical="center"/>
    </xf>
    <xf borderId="8" fillId="0" fontId="19" numFmtId="0" xfId="0" applyAlignment="1" applyBorder="1" applyFont="1">
      <alignment horizontal="center"/>
    </xf>
    <xf borderId="8" fillId="0" fontId="35" numFmtId="0" xfId="0" applyAlignment="1" applyBorder="1" applyFont="1">
      <alignment horizontal="center"/>
    </xf>
    <xf borderId="8" fillId="0" fontId="19" numFmtId="0" xfId="0" applyAlignment="1" applyBorder="1" applyFont="1">
      <alignment horizontal="center" vertical="center"/>
    </xf>
    <xf borderId="8" fillId="9" fontId="7" numFmtId="165" xfId="0" applyAlignment="1" applyBorder="1" applyFont="1" applyNumberFormat="1">
      <alignment horizontal="center"/>
    </xf>
    <xf borderId="3" fillId="0" fontId="19" numFmtId="0" xfId="0" applyAlignment="1" applyBorder="1" applyFont="1">
      <alignment horizontal="center" vertical="center"/>
    </xf>
    <xf borderId="8" fillId="12" fontId="19" numFmtId="0" xfId="0" applyAlignment="1" applyBorder="1" applyFont="1">
      <alignment horizontal="center" vertical="center"/>
    </xf>
    <xf borderId="5" fillId="12" fontId="7" numFmtId="164" xfId="0" applyAlignment="1" applyBorder="1" applyFont="1" applyNumberFormat="1">
      <alignment horizontal="center" vertical="center"/>
    </xf>
    <xf borderId="8" fillId="0" fontId="16" numFmtId="0" xfId="0" applyAlignment="1" applyBorder="1" applyFont="1">
      <alignment horizontal="center" vertical="center"/>
    </xf>
    <xf borderId="20" fillId="12" fontId="8" numFmtId="3" xfId="0" applyBorder="1" applyFont="1" applyNumberFormat="1"/>
    <xf borderId="2" fillId="0" fontId="16" numFmtId="0" xfId="0" applyAlignment="1" applyBorder="1" applyFont="1">
      <alignment horizontal="center" vertical="center"/>
    </xf>
    <xf borderId="0" fillId="0" fontId="5" numFmtId="3" xfId="0" applyFont="1" applyNumberFormat="1"/>
    <xf borderId="2" fillId="0" fontId="28" numFmtId="0" xfId="0" applyAlignment="1" applyBorder="1" applyFont="1">
      <alignment horizontal="center" vertical="center"/>
    </xf>
    <xf borderId="11" fillId="4" fontId="23" numFmtId="165" xfId="0" applyAlignment="1" applyBorder="1" applyFont="1" applyNumberFormat="1">
      <alignment horizontal="center" vertical="center"/>
    </xf>
    <xf borderId="5" fillId="12" fontId="23" numFmtId="165" xfId="0" applyAlignment="1" applyBorder="1" applyFont="1" applyNumberFormat="1">
      <alignment horizontal="center" vertical="center"/>
    </xf>
    <xf borderId="8" fillId="0" fontId="8" numFmtId="3" xfId="0" applyBorder="1" applyFont="1" applyNumberFormat="1"/>
    <xf borderId="8" fillId="25" fontId="8" numFmtId="0" xfId="0" applyAlignment="1" applyBorder="1" applyFill="1" applyFont="1">
      <alignment horizontal="center" vertical="center"/>
    </xf>
    <xf borderId="8" fillId="13" fontId="8" numFmtId="164" xfId="0" applyAlignment="1" applyBorder="1" applyFont="1" applyNumberFormat="1">
      <alignment horizontal="center"/>
    </xf>
    <xf borderId="8" fillId="13" fontId="14" numFmtId="4" xfId="0" applyAlignment="1" applyBorder="1" applyFont="1" applyNumberFormat="1">
      <alignment horizontal="center" vertical="center"/>
    </xf>
    <xf borderId="8" fillId="16" fontId="36" numFmtId="0" xfId="0" applyAlignment="1" applyBorder="1" applyFont="1">
      <alignment horizontal="center" vertical="center"/>
    </xf>
    <xf borderId="8" fillId="0" fontId="7" numFmtId="3" xfId="0" applyBorder="1" applyFont="1" applyNumberFormat="1"/>
    <xf borderId="9" fillId="17" fontId="35" numFmtId="0" xfId="0" applyAlignment="1" applyBorder="1" applyFont="1">
      <alignment horizontal="center" vertical="center"/>
    </xf>
    <xf borderId="5" fillId="12" fontId="35" numFmtId="0" xfId="0" applyAlignment="1" applyBorder="1" applyFont="1">
      <alignment horizontal="center" vertical="center"/>
    </xf>
    <xf borderId="5" fillId="12" fontId="19" numFmtId="0" xfId="0" applyAlignment="1" applyBorder="1" applyFont="1">
      <alignment horizontal="center"/>
    </xf>
    <xf borderId="0" fillId="0" fontId="1" numFmtId="166" xfId="0" applyFont="1" applyNumberFormat="1"/>
    <xf borderId="8" fillId="0" fontId="7" numFmtId="166" xfId="0" applyAlignment="1" applyBorder="1" applyFont="1" applyNumberFormat="1">
      <alignment horizontal="center" vertical="center"/>
    </xf>
    <xf borderId="8" fillId="0" fontId="7" numFmtId="166" xfId="0" applyBorder="1" applyFont="1" applyNumberFormat="1"/>
    <xf borderId="8" fillId="0" fontId="7" numFmtId="4" xfId="0" applyAlignment="1" applyBorder="1" applyFont="1" applyNumberFormat="1">
      <alignment horizontal="center"/>
    </xf>
    <xf borderId="20" fillId="12" fontId="37" numFmtId="3" xfId="0" applyAlignment="1" applyBorder="1" applyFont="1" applyNumberFormat="1">
      <alignment horizontal="center"/>
    </xf>
    <xf borderId="12" fillId="11" fontId="8" numFmtId="165" xfId="0" applyAlignment="1" applyBorder="1" applyFont="1" applyNumberFormat="1">
      <alignment horizontal="center"/>
    </xf>
    <xf borderId="8" fillId="12" fontId="38" numFmtId="3" xfId="0" applyAlignment="1" applyBorder="1" applyFont="1" applyNumberFormat="1">
      <alignment horizontal="center"/>
    </xf>
    <xf borderId="8" fillId="0" fontId="7" numFmtId="166" xfId="0" applyAlignment="1" applyBorder="1" applyFont="1" applyNumberFormat="1">
      <alignment vertical="center"/>
    </xf>
    <xf borderId="8" fillId="0" fontId="7" numFmtId="2" xfId="0" applyAlignment="1" applyBorder="1" applyFont="1" applyNumberFormat="1">
      <alignment horizontal="center" vertical="center"/>
    </xf>
    <xf borderId="8" fillId="13" fontId="7" numFmtId="0" xfId="0" applyAlignment="1" applyBorder="1" applyFont="1">
      <alignment vertical="center"/>
    </xf>
    <xf borderId="5" fillId="12" fontId="19" numFmtId="164" xfId="0" applyAlignment="1" applyBorder="1" applyFont="1" applyNumberFormat="1">
      <alignment horizontal="center" vertical="center"/>
    </xf>
    <xf borderId="5" fillId="12" fontId="39" numFmtId="0" xfId="0" applyAlignment="1" applyBorder="1" applyFont="1">
      <alignment horizontal="center" vertical="center"/>
    </xf>
    <xf borderId="8" fillId="14" fontId="7" numFmtId="0" xfId="0" applyAlignment="1" applyBorder="1" applyFont="1">
      <alignment vertical="center"/>
    </xf>
    <xf borderId="8" fillId="12" fontId="7" numFmtId="166" xfId="0" applyAlignment="1" applyBorder="1" applyFont="1" applyNumberFormat="1">
      <alignment vertical="center"/>
    </xf>
    <xf borderId="8" fillId="0" fontId="7" numFmtId="2" xfId="0" applyAlignment="1" applyBorder="1" applyFont="1" applyNumberFormat="1">
      <alignment horizontal="center" readingOrder="0" vertical="center"/>
    </xf>
    <xf borderId="8" fillId="0" fontId="7" numFmtId="164" xfId="0" applyAlignment="1" applyBorder="1" applyFont="1" applyNumberFormat="1">
      <alignment horizontal="center" readingOrder="0" vertical="center"/>
    </xf>
    <xf borderId="8" fillId="12" fontId="8" numFmtId="0" xfId="0" applyAlignment="1" applyBorder="1" applyFont="1">
      <alignment vertical="center"/>
    </xf>
    <xf borderId="9" fillId="12" fontId="7" numFmtId="0" xfId="0" applyBorder="1" applyFont="1"/>
    <xf borderId="12" fillId="11" fontId="9" numFmtId="0" xfId="0" applyAlignment="1" applyBorder="1" applyFont="1">
      <alignment horizontal="right" shrinkToFit="0" vertical="center" wrapText="1"/>
    </xf>
    <xf borderId="38" fillId="17" fontId="8" numFmtId="164" xfId="0" applyAlignment="1" applyBorder="1" applyFont="1" applyNumberFormat="1">
      <alignment horizontal="center" vertical="center"/>
    </xf>
    <xf borderId="0" fillId="0" fontId="7" numFmtId="166" xfId="0" applyFont="1" applyNumberFormat="1"/>
    <xf borderId="38" fillId="13" fontId="8" numFmtId="3" xfId="0" applyAlignment="1" applyBorder="1" applyFont="1" applyNumberFormat="1">
      <alignment horizontal="center"/>
    </xf>
    <xf borderId="12" fillId="15" fontId="8" numFmtId="3" xfId="0" applyBorder="1" applyFont="1" applyNumberFormat="1"/>
    <xf borderId="20" fillId="17" fontId="8" numFmtId="164" xfId="0" applyAlignment="1" applyBorder="1" applyFont="1" applyNumberFormat="1">
      <alignment horizontal="center" vertical="center"/>
    </xf>
    <xf borderId="15" fillId="13" fontId="8" numFmtId="3" xfId="0" applyAlignment="1" applyBorder="1" applyFont="1" applyNumberFormat="1">
      <alignment horizontal="center"/>
    </xf>
    <xf borderId="9" fillId="15" fontId="8" numFmtId="3" xfId="0" applyBorder="1" applyFont="1" applyNumberFormat="1"/>
    <xf borderId="12" fillId="12" fontId="8" numFmtId="164" xfId="0" applyAlignment="1" applyBorder="1" applyFont="1" applyNumberFormat="1">
      <alignment horizontal="center"/>
    </xf>
    <xf borderId="21" fillId="12" fontId="8" numFmtId="164" xfId="0" applyAlignment="1" applyBorder="1" applyFont="1" applyNumberFormat="1">
      <alignment horizontal="center"/>
    </xf>
    <xf borderId="5" fillId="12" fontId="8" numFmtId="3" xfId="0" applyAlignment="1" applyBorder="1" applyFont="1" applyNumberFormat="1">
      <alignment horizontal="center" vertical="center"/>
    </xf>
    <xf borderId="8" fillId="3" fontId="4" numFmtId="164" xfId="0" applyAlignment="1" applyBorder="1" applyFont="1" applyNumberFormat="1">
      <alignment horizontal="center"/>
    </xf>
    <xf borderId="5" fillId="3" fontId="4" numFmtId="164" xfId="0" applyAlignment="1" applyBorder="1" applyFont="1" applyNumberFormat="1">
      <alignment horizontal="center"/>
    </xf>
    <xf borderId="8" fillId="6" fontId="8" numFmtId="0" xfId="0" applyAlignment="1" applyBorder="1" applyFont="1">
      <alignment vertical="center"/>
    </xf>
    <xf borderId="8" fillId="16" fontId="7" numFmtId="164" xfId="0" applyAlignment="1" applyBorder="1" applyFont="1" applyNumberFormat="1">
      <alignment horizontal="center" vertical="center"/>
    </xf>
    <xf borderId="8" fillId="16" fontId="14" numFmtId="3" xfId="0" applyAlignment="1" applyBorder="1" applyFont="1" applyNumberFormat="1">
      <alignment horizontal="center" shrinkToFit="1" vertical="center" wrapText="0"/>
    </xf>
    <xf borderId="8" fillId="0" fontId="8" numFmtId="3" xfId="0" applyAlignment="1" applyBorder="1" applyFont="1" applyNumberFormat="1">
      <alignment horizontal="center" shrinkToFit="1" vertical="center" wrapText="0"/>
    </xf>
    <xf borderId="5" fillId="16" fontId="8" numFmtId="3" xfId="0" applyBorder="1" applyFont="1" applyNumberFormat="1"/>
    <xf borderId="8" fillId="14" fontId="8" numFmtId="164" xfId="0" applyAlignment="1" applyBorder="1" applyFont="1" applyNumberFormat="1">
      <alignment horizontal="center"/>
    </xf>
    <xf borderId="8" fillId="0" fontId="8" numFmtId="3" xfId="0" applyAlignment="1" applyBorder="1" applyFont="1" applyNumberFormat="1">
      <alignment horizontal="center" shrinkToFit="1" wrapText="0"/>
    </xf>
    <xf borderId="5" fillId="16" fontId="8" numFmtId="3" xfId="0" applyAlignment="1" applyBorder="1" applyFont="1" applyNumberFormat="1">
      <alignment horizontal="center"/>
    </xf>
    <xf borderId="9" fillId="12" fontId="8" numFmtId="164" xfId="0" applyAlignment="1" applyBorder="1" applyFont="1" applyNumberFormat="1">
      <alignment horizontal="center" shrinkToFit="1" vertical="center" wrapText="0"/>
    </xf>
    <xf borderId="15" fillId="12" fontId="8" numFmtId="3" xfId="0" applyAlignment="1" applyBorder="1" applyFont="1" applyNumberFormat="1">
      <alignment horizontal="center" shrinkToFit="1" vertical="center" wrapText="0"/>
    </xf>
    <xf borderId="5" fillId="3" fontId="8" numFmtId="0" xfId="0" applyAlignment="1" applyBorder="1" applyFont="1">
      <alignment shrinkToFit="1" vertical="center" wrapText="0"/>
    </xf>
    <xf borderId="5" fillId="3" fontId="8" numFmtId="164" xfId="0" applyAlignment="1" applyBorder="1" applyFont="1" applyNumberFormat="1">
      <alignment horizontal="center" shrinkToFit="1" vertical="center" wrapText="0"/>
    </xf>
    <xf borderId="5" fillId="12" fontId="8" numFmtId="0" xfId="0" applyAlignment="1" applyBorder="1" applyFont="1">
      <alignment horizontal="center" shrinkToFit="1" vertical="center" wrapText="0"/>
    </xf>
    <xf borderId="4" fillId="12" fontId="8" numFmtId="3" xfId="0" applyAlignment="1" applyBorder="1" applyFont="1" applyNumberFormat="1">
      <alignment horizontal="center" shrinkToFit="1" vertical="center" wrapText="0"/>
    </xf>
    <xf borderId="0" fillId="0" fontId="8" numFmtId="165" xfId="0" applyAlignment="1" applyFont="1" applyNumberFormat="1">
      <alignment horizontal="center" shrinkToFit="1" vertical="center" wrapText="0"/>
    </xf>
    <xf borderId="0" fillId="0" fontId="40" numFmtId="0" xfId="0" applyFont="1"/>
    <xf borderId="57" fillId="6" fontId="8" numFmtId="0" xfId="0" applyAlignment="1" applyBorder="1" applyFont="1">
      <alignment horizontal="center" vertical="center"/>
    </xf>
    <xf borderId="58" fillId="6" fontId="8" numFmtId="0" xfId="0" applyAlignment="1" applyBorder="1" applyFont="1">
      <alignment horizontal="center" vertical="center"/>
    </xf>
    <xf borderId="9" fillId="7" fontId="8" numFmtId="164" xfId="0" applyAlignment="1" applyBorder="1" applyFont="1" applyNumberFormat="1">
      <alignment horizontal="center" shrinkToFit="0" vertical="center" wrapText="1"/>
    </xf>
    <xf borderId="9" fillId="21" fontId="8" numFmtId="3" xfId="0" applyAlignment="1" applyBorder="1" applyFont="1" applyNumberFormat="1">
      <alignment horizontal="center" shrinkToFit="0" vertical="center" wrapText="1"/>
    </xf>
    <xf borderId="8" fillId="16" fontId="8" numFmtId="3" xfId="0" applyAlignment="1" applyBorder="1" applyFont="1" applyNumberFormat="1">
      <alignment horizontal="center" shrinkToFit="0" vertical="center" wrapText="1"/>
    </xf>
    <xf borderId="8" fillId="16" fontId="7" numFmtId="0" xfId="0" applyBorder="1" applyFont="1"/>
    <xf borderId="8" fillId="3" fontId="7" numFmtId="2" xfId="0" applyAlignment="1" applyBorder="1" applyFont="1" applyNumberFormat="1">
      <alignment horizontal="center"/>
    </xf>
    <xf borderId="8" fillId="3" fontId="7" numFmtId="0" xfId="0" applyAlignment="1" applyBorder="1" applyFont="1">
      <alignment horizontal="center"/>
    </xf>
    <xf borderId="8" fillId="16" fontId="7" numFmtId="0" xfId="0" applyAlignment="1" applyBorder="1" applyFont="1">
      <alignment vertical="center"/>
    </xf>
    <xf borderId="8" fillId="12" fontId="7" numFmtId="2" xfId="0" applyAlignment="1" applyBorder="1" applyFont="1" applyNumberFormat="1">
      <alignment horizontal="center" vertical="center"/>
    </xf>
    <xf borderId="9" fillId="12" fontId="7" numFmtId="0" xfId="0" applyAlignment="1" applyBorder="1" applyFont="1">
      <alignment vertical="center"/>
    </xf>
    <xf borderId="1" fillId="0" fontId="7" numFmtId="2" xfId="0" applyAlignment="1" applyBorder="1" applyFont="1" applyNumberFormat="1">
      <alignment horizontal="center" vertical="center"/>
    </xf>
    <xf borderId="0" fillId="0" fontId="16" numFmtId="0" xfId="0" applyAlignment="1" applyFont="1">
      <alignment vertical="center"/>
    </xf>
    <xf borderId="14" fillId="0" fontId="7" numFmtId="4" xfId="0" applyAlignment="1" applyBorder="1" applyFont="1" applyNumberFormat="1">
      <alignment vertical="center"/>
    </xf>
    <xf borderId="38" fillId="16" fontId="8" numFmtId="3" xfId="0" applyAlignment="1" applyBorder="1" applyFont="1" applyNumberFormat="1">
      <alignment horizontal="center" vertical="center"/>
    </xf>
    <xf borderId="12" fillId="13" fontId="8" numFmtId="3" xfId="0" applyAlignment="1" applyBorder="1" applyFont="1" applyNumberFormat="1">
      <alignment vertical="center"/>
    </xf>
    <xf borderId="8" fillId="0" fontId="7" numFmtId="2" xfId="0" applyAlignment="1" applyBorder="1" applyFont="1" applyNumberFormat="1">
      <alignment vertical="center"/>
    </xf>
    <xf borderId="8" fillId="21" fontId="7" numFmtId="0" xfId="0" applyAlignment="1" applyBorder="1" applyFont="1">
      <alignment vertical="center"/>
    </xf>
    <xf borderId="20" fillId="16" fontId="8" numFmtId="3" xfId="0" applyAlignment="1" applyBorder="1" applyFont="1" applyNumberFormat="1">
      <alignment horizontal="center" vertical="center"/>
    </xf>
    <xf borderId="9" fillId="12" fontId="8" numFmtId="3" xfId="0" applyBorder="1" applyFont="1" applyNumberFormat="1"/>
    <xf borderId="10" fillId="12" fontId="8" numFmtId="0" xfId="0" applyAlignment="1" applyBorder="1" applyFont="1">
      <alignment horizontal="center" vertical="center"/>
    </xf>
    <xf borderId="8" fillId="3" fontId="4" numFmtId="3" xfId="0" applyAlignment="1" applyBorder="1" applyFont="1" applyNumberFormat="1">
      <alignment horizontal="center"/>
    </xf>
    <xf borderId="0" fillId="0" fontId="1" numFmtId="39" xfId="0" applyFont="1" applyNumberFormat="1"/>
    <xf borderId="0" fillId="0" fontId="35" numFmtId="0" xfId="0" applyFont="1"/>
    <xf borderId="9" fillId="13" fontId="23" numFmtId="3" xfId="0" applyAlignment="1" applyBorder="1" applyFont="1" applyNumberFormat="1">
      <alignment horizontal="left"/>
    </xf>
    <xf borderId="0" fillId="0" fontId="7" numFmtId="39" xfId="0" applyAlignment="1" applyFont="1" applyNumberFormat="1">
      <alignment horizontal="center" shrinkToFit="0" vertical="center" wrapText="1"/>
    </xf>
    <xf borderId="8" fillId="13" fontId="9" numFmtId="0" xfId="0" applyAlignment="1" applyBorder="1" applyFont="1">
      <alignment horizontal="center" shrinkToFit="0" vertical="center" wrapText="1"/>
    </xf>
    <xf borderId="8" fillId="25" fontId="8" numFmtId="165" xfId="0" applyAlignment="1" applyBorder="1" applyFont="1" applyNumberFormat="1">
      <alignment horizontal="center"/>
    </xf>
    <xf borderId="8" fillId="12" fontId="7" numFmtId="39" xfId="0" applyAlignment="1" applyBorder="1" applyFont="1" applyNumberFormat="1">
      <alignment horizontal="center" shrinkToFit="0" vertical="center" wrapText="1"/>
    </xf>
    <xf borderId="5" fillId="12" fontId="1" numFmtId="0" xfId="0" applyAlignment="1" applyBorder="1" applyFont="1">
      <alignment horizontal="center" vertical="center"/>
    </xf>
    <xf borderId="9" fillId="12" fontId="8" numFmtId="165" xfId="0" applyAlignment="1" applyBorder="1" applyFont="1" applyNumberFormat="1">
      <alignment horizontal="center"/>
    </xf>
    <xf borderId="8" fillId="12" fontId="18" numFmtId="0" xfId="0" applyAlignment="1" applyBorder="1" applyFont="1">
      <alignment horizontal="right" vertical="center"/>
    </xf>
    <xf borderId="10" fillId="13" fontId="9" numFmtId="0" xfId="0" applyAlignment="1" applyBorder="1" applyFont="1">
      <alignment horizontal="center" shrinkToFit="0" vertical="center" wrapText="1"/>
    </xf>
    <xf borderId="20" fillId="12" fontId="8" numFmtId="3" xfId="0" applyAlignment="1" applyBorder="1" applyFont="1" applyNumberFormat="1">
      <alignment horizontal="center" shrinkToFit="0" vertical="center" wrapText="1"/>
    </xf>
    <xf borderId="12" fillId="13" fontId="8" numFmtId="0" xfId="0" applyAlignment="1" applyBorder="1" applyFont="1">
      <alignment horizontal="center" shrinkToFit="0" vertical="center" wrapText="1"/>
    </xf>
    <xf borderId="12" fillId="13" fontId="8" numFmtId="3" xfId="0" applyAlignment="1" applyBorder="1" applyFont="1" applyNumberFormat="1">
      <alignment horizontal="center" shrinkToFit="0" vertical="center" wrapText="1"/>
    </xf>
    <xf borderId="12" fillId="13" fontId="7" numFmtId="3" xfId="0" applyAlignment="1" applyBorder="1" applyFont="1" applyNumberFormat="1">
      <alignment horizontal="center" vertical="center"/>
    </xf>
    <xf borderId="8" fillId="13" fontId="8" numFmtId="0" xfId="0" applyAlignment="1" applyBorder="1" applyFont="1">
      <alignment horizontal="center" shrinkToFit="0" vertical="center" wrapText="1"/>
    </xf>
    <xf borderId="8" fillId="13" fontId="8" numFmtId="3" xfId="0" applyAlignment="1" applyBorder="1" applyFont="1" applyNumberFormat="1">
      <alignment horizontal="center" shrinkToFit="0" vertical="center" wrapText="1"/>
    </xf>
    <xf borderId="8" fillId="13" fontId="7" numFmtId="3" xfId="0" applyAlignment="1" applyBorder="1" applyFont="1" applyNumberFormat="1">
      <alignment horizontal="center" vertical="center"/>
    </xf>
    <xf borderId="0" fillId="0" fontId="7" numFmtId="39" xfId="0" applyAlignment="1" applyFont="1" applyNumberFormat="1">
      <alignment vertical="center"/>
    </xf>
    <xf borderId="8" fillId="0" fontId="8" numFmtId="0" xfId="0" applyAlignment="1" applyBorder="1" applyFont="1">
      <alignment vertical="center"/>
    </xf>
    <xf borderId="8" fillId="13" fontId="8" numFmtId="1" xfId="0" applyAlignment="1" applyBorder="1" applyFont="1" applyNumberFormat="1">
      <alignment horizontal="center" vertical="center"/>
    </xf>
    <xf borderId="8" fillId="8" fontId="41" numFmtId="0" xfId="0" applyAlignment="1" applyBorder="1" applyFont="1">
      <alignment horizontal="right" shrinkToFit="0" vertical="center" wrapText="1"/>
    </xf>
    <xf borderId="8" fillId="12" fontId="41" numFmtId="0" xfId="0" applyAlignment="1" applyBorder="1" applyFont="1">
      <alignment horizontal="right" shrinkToFit="0" vertical="center" wrapText="1"/>
    </xf>
    <xf borderId="9" fillId="12" fontId="8" numFmtId="1" xfId="0" applyAlignment="1" applyBorder="1" applyFont="1" applyNumberFormat="1">
      <alignment horizontal="center" vertical="center"/>
    </xf>
    <xf borderId="8" fillId="12" fontId="7" numFmtId="39" xfId="0" applyAlignment="1" applyBorder="1" applyFont="1" applyNumberFormat="1">
      <alignment vertical="center"/>
    </xf>
    <xf borderId="8" fillId="12" fontId="18" numFmtId="0" xfId="0" applyAlignment="1" applyBorder="1" applyFont="1">
      <alignment horizontal="right" shrinkToFit="0" vertical="center" wrapText="1"/>
    </xf>
    <xf borderId="10" fillId="13" fontId="7" numFmtId="1" xfId="0" applyAlignment="1" applyBorder="1" applyFont="1" applyNumberFormat="1">
      <alignment horizontal="center" vertical="center"/>
    </xf>
    <xf borderId="12" fillId="14" fontId="8" numFmtId="1" xfId="0" applyAlignment="1" applyBorder="1" applyFont="1" applyNumberFormat="1">
      <alignment horizontal="center" vertical="center"/>
    </xf>
    <xf borderId="5" fillId="12" fontId="2" numFmtId="0" xfId="0" applyAlignment="1" applyBorder="1" applyFont="1">
      <alignment vertical="center"/>
    </xf>
    <xf borderId="5" fillId="12" fontId="7" numFmtId="1" xfId="0" applyAlignment="1" applyBorder="1" applyFont="1" applyNumberFormat="1">
      <alignment horizontal="center" vertical="center"/>
    </xf>
    <xf borderId="5" fillId="12" fontId="7" numFmtId="39" xfId="0" applyAlignment="1" applyBorder="1" applyFont="1" applyNumberFormat="1">
      <alignment vertical="center"/>
    </xf>
    <xf borderId="5" fillId="12" fontId="7" numFmtId="3" xfId="0" applyAlignment="1" applyBorder="1" applyFont="1" applyNumberFormat="1">
      <alignment vertical="center"/>
    </xf>
    <xf borderId="0" fillId="0" fontId="42" numFmtId="0" xfId="0" applyFont="1"/>
    <xf borderId="0" fillId="0" fontId="7" numFmtId="39" xfId="0" applyFont="1" applyNumberFormat="1"/>
    <xf borderId="0" fillId="0" fontId="43" numFmtId="0" xfId="0" applyFont="1"/>
    <xf borderId="1" fillId="2" fontId="35" numFmtId="0" xfId="0" applyAlignment="1" applyBorder="1" applyFont="1">
      <alignment horizontal="center"/>
    </xf>
    <xf borderId="59" fillId="13" fontId="24" numFmtId="4" xfId="0" applyAlignment="1" applyBorder="1" applyFont="1" applyNumberFormat="1">
      <alignment horizontal="center" shrinkToFit="0" vertical="center" wrapText="1"/>
    </xf>
    <xf borderId="60" fillId="6" fontId="8" numFmtId="0" xfId="0" applyAlignment="1" applyBorder="1" applyFont="1">
      <alignment horizontal="center" vertical="center"/>
    </xf>
    <xf borderId="27" fillId="6" fontId="8" numFmtId="0" xfId="0" applyAlignment="1" applyBorder="1" applyFont="1">
      <alignment horizontal="center" vertical="center"/>
    </xf>
    <xf borderId="27" fillId="21" fontId="8" numFmtId="164" xfId="0" applyAlignment="1" applyBorder="1" applyFont="1" applyNumberFormat="1">
      <alignment horizontal="center" shrinkToFit="0" vertical="center" wrapText="1"/>
    </xf>
    <xf borderId="27" fillId="7" fontId="8" numFmtId="164" xfId="0" applyAlignment="1" applyBorder="1" applyFont="1" applyNumberFormat="1">
      <alignment horizontal="center" shrinkToFit="0" vertical="center" wrapText="1"/>
    </xf>
    <xf borderId="27" fillId="21" fontId="8" numFmtId="3" xfId="0" applyAlignment="1" applyBorder="1" applyFont="1" applyNumberFormat="1">
      <alignment horizontal="center" shrinkToFit="0" vertical="center" wrapText="1"/>
    </xf>
    <xf borderId="27" fillId="21" fontId="9" numFmtId="0" xfId="0" applyAlignment="1" applyBorder="1" applyFont="1">
      <alignment horizontal="center" shrinkToFit="0" vertical="center" wrapText="1"/>
    </xf>
    <xf borderId="9" fillId="6" fontId="35" numFmtId="0" xfId="0" applyAlignment="1" applyBorder="1" applyFont="1">
      <alignment horizontal="center" shrinkToFit="0" vertical="center" wrapText="1"/>
    </xf>
    <xf borderId="8" fillId="6" fontId="35" numFmtId="3" xfId="0" applyAlignment="1" applyBorder="1" applyFont="1" applyNumberFormat="1">
      <alignment horizontal="center" shrinkToFit="0" vertical="center" wrapText="1"/>
    </xf>
    <xf borderId="27" fillId="0" fontId="7" numFmtId="39" xfId="0" applyAlignment="1" applyBorder="1" applyFont="1" applyNumberFormat="1">
      <alignment horizontal="center" shrinkToFit="0" vertical="center" wrapText="1"/>
    </xf>
    <xf borderId="8" fillId="6" fontId="35" numFmtId="4" xfId="0" applyAlignment="1" applyBorder="1" applyFont="1" applyNumberFormat="1">
      <alignment horizontal="center" shrinkToFit="0" vertical="center" wrapText="1"/>
    </xf>
    <xf borderId="39" fillId="12" fontId="8" numFmtId="0" xfId="0" applyAlignment="1" applyBorder="1" applyFont="1">
      <alignment horizontal="center" vertical="center"/>
    </xf>
    <xf borderId="29" fillId="12" fontId="7" numFmtId="3" xfId="0" applyAlignment="1" applyBorder="1" applyFont="1" applyNumberFormat="1">
      <alignment horizontal="center" vertical="center"/>
    </xf>
    <xf borderId="8" fillId="12" fontId="8" numFmtId="0" xfId="0" applyAlignment="1" applyBorder="1" applyFont="1">
      <alignment horizontal="right" vertical="center"/>
    </xf>
    <xf borderId="8" fillId="11" fontId="8" numFmtId="0" xfId="0" applyAlignment="1" applyBorder="1" applyFont="1">
      <alignment horizontal="center"/>
    </xf>
    <xf borderId="39" fillId="17" fontId="8" numFmtId="0" xfId="0" applyAlignment="1" applyBorder="1" applyFont="1">
      <alignment horizontal="center" vertical="center"/>
    </xf>
    <xf borderId="9" fillId="13" fontId="8" numFmtId="0" xfId="0" applyAlignment="1" applyBorder="1" applyFont="1">
      <alignment horizontal="center" shrinkToFit="0" vertical="center" wrapText="1"/>
    </xf>
    <xf borderId="39" fillId="0" fontId="7" numFmtId="0" xfId="0" applyAlignment="1" applyBorder="1" applyFont="1">
      <alignment horizontal="center" vertical="center"/>
    </xf>
    <xf borderId="29" fillId="12" fontId="7" numFmtId="3" xfId="0" applyAlignment="1" applyBorder="1" applyFont="1" applyNumberFormat="1">
      <alignment vertical="center"/>
    </xf>
    <xf borderId="61" fillId="0" fontId="7" numFmtId="0" xfId="0" applyAlignment="1" applyBorder="1" applyFont="1">
      <alignment horizontal="center" vertical="center"/>
    </xf>
    <xf borderId="8" fillId="0" fontId="7" numFmtId="39" xfId="0" applyAlignment="1" applyBorder="1" applyFont="1" applyNumberFormat="1">
      <alignment vertical="center"/>
    </xf>
    <xf borderId="62" fillId="0" fontId="6" numFmtId="0" xfId="0" applyBorder="1" applyFont="1"/>
    <xf borderId="29" fillId="13" fontId="8" numFmtId="3" xfId="0" applyAlignment="1" applyBorder="1" applyFont="1" applyNumberFormat="1">
      <alignment vertical="center"/>
    </xf>
    <xf borderId="63" fillId="0" fontId="6" numFmtId="0" xfId="0" applyBorder="1" applyFont="1"/>
    <xf borderId="39" fillId="12" fontId="7" numFmtId="0" xfId="0" applyAlignment="1" applyBorder="1" applyFont="1">
      <alignment horizontal="center" vertical="center"/>
    </xf>
    <xf borderId="29" fillId="12" fontId="8" numFmtId="3" xfId="0" applyAlignment="1" applyBorder="1" applyFont="1" applyNumberFormat="1">
      <alignment vertical="center"/>
    </xf>
    <xf borderId="29" fillId="0" fontId="7" numFmtId="3" xfId="0" applyAlignment="1" applyBorder="1" applyFont="1" applyNumberFormat="1">
      <alignment vertical="center"/>
    </xf>
    <xf borderId="30" fillId="8" fontId="41" numFmtId="0" xfId="0" applyAlignment="1" applyBorder="1" applyFont="1">
      <alignment horizontal="right" shrinkToFit="0" vertical="center" wrapText="1"/>
    </xf>
    <xf borderId="30" fillId="8" fontId="7" numFmtId="164" xfId="0" applyAlignment="1" applyBorder="1" applyFont="1" applyNumberFormat="1">
      <alignment horizontal="center" vertical="center"/>
    </xf>
    <xf borderId="30" fillId="13" fontId="7" numFmtId="3" xfId="0" applyAlignment="1" applyBorder="1" applyFont="1" applyNumberFormat="1">
      <alignment horizontal="center" vertical="center"/>
    </xf>
    <xf borderId="30" fillId="0" fontId="7" numFmtId="39" xfId="0" applyAlignment="1" applyBorder="1" applyFont="1" applyNumberFormat="1">
      <alignment vertical="center"/>
    </xf>
    <xf borderId="30" fillId="0" fontId="7" numFmtId="0" xfId="0" applyAlignment="1" applyBorder="1" applyFont="1">
      <alignment vertical="center"/>
    </xf>
    <xf borderId="31" fillId="0" fontId="7" numFmtId="3" xfId="0" applyAlignment="1" applyBorder="1" applyFont="1" applyNumberFormat="1">
      <alignment vertical="center"/>
    </xf>
    <xf borderId="0" fillId="0" fontId="8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48.25"/>
    <col customWidth="1" hidden="1" min="4" max="4" width="24.0"/>
    <col customWidth="1" hidden="1" min="5" max="5" width="25.5"/>
    <col customWidth="1" min="6" max="8" width="14.63"/>
    <col customWidth="1" min="9" max="9" width="17.5"/>
    <col customWidth="1" min="10" max="10" width="50.75"/>
    <col customWidth="1" min="11" max="11" width="30.75"/>
    <col customWidth="1" min="12" max="12" width="29.63"/>
    <col customWidth="1" min="13" max="13" width="25.38"/>
    <col customWidth="1" min="14" max="14" width="28.88"/>
    <col customWidth="1" min="15" max="16" width="9.13"/>
    <col customWidth="1" min="17" max="17" width="10.88"/>
    <col customWidth="1" min="18" max="18" width="9.13"/>
    <col customWidth="1" min="19" max="19" width="12.0"/>
    <col customWidth="1" min="20" max="20" width="0.13"/>
    <col customWidth="1" min="21" max="21" width="50.75"/>
    <col customWidth="1" min="22" max="22" width="30.75"/>
    <col customWidth="1" min="23" max="23" width="9.13"/>
    <col customWidth="1" min="24" max="24" width="12.0"/>
    <col customWidth="1" min="25" max="25" width="19.88"/>
    <col customWidth="1" min="26" max="26" width="18.25"/>
    <col customWidth="1" min="27" max="31" width="9.13"/>
  </cols>
  <sheetData>
    <row r="1" ht="12.0" customHeight="1">
      <c r="B1" s="1"/>
      <c r="K1" s="2"/>
      <c r="M1" s="3"/>
      <c r="V1" s="2"/>
    </row>
    <row r="2" ht="12.0" customHeight="1">
      <c r="B2" s="1"/>
      <c r="K2" s="2"/>
      <c r="M2" s="3"/>
      <c r="V2" s="2"/>
    </row>
    <row r="3" ht="12.0" customHeight="1">
      <c r="B3" s="1"/>
      <c r="C3" s="4" t="s">
        <v>0</v>
      </c>
      <c r="K3" s="2"/>
      <c r="M3" s="3"/>
      <c r="V3" s="2"/>
    </row>
    <row r="4" ht="12.0" customHeight="1">
      <c r="B4" s="1"/>
      <c r="C4" s="4" t="s">
        <v>1</v>
      </c>
      <c r="K4" s="2"/>
      <c r="M4" s="3"/>
      <c r="V4" s="2"/>
    </row>
    <row r="5" ht="36.0" customHeight="1">
      <c r="B5" s="1"/>
      <c r="C5" s="4"/>
      <c r="K5" s="2"/>
      <c r="M5" s="3"/>
      <c r="V5" s="2"/>
    </row>
    <row r="6" ht="36.0" customHeight="1">
      <c r="B6" s="1"/>
      <c r="C6" s="4"/>
      <c r="K6" s="2"/>
      <c r="M6" s="3"/>
      <c r="V6" s="2"/>
    </row>
    <row r="7" ht="36.0" customHeight="1">
      <c r="B7" s="1"/>
      <c r="C7" s="4"/>
      <c r="K7" s="2"/>
      <c r="M7" s="3"/>
      <c r="V7" s="2"/>
    </row>
    <row r="8" ht="30.0" customHeight="1">
      <c r="B8" s="1"/>
      <c r="C8" s="5"/>
      <c r="J8" s="6" t="s">
        <v>2</v>
      </c>
      <c r="K8" s="7"/>
      <c r="M8" s="3"/>
      <c r="U8" s="8" t="s">
        <v>3</v>
      </c>
      <c r="V8" s="7"/>
    </row>
    <row r="9" ht="31.5" customHeight="1">
      <c r="B9" s="9"/>
      <c r="C9" s="10" t="s">
        <v>4</v>
      </c>
      <c r="D9" s="11"/>
      <c r="E9" s="11"/>
      <c r="F9" s="11"/>
      <c r="G9" s="11"/>
      <c r="H9" s="11"/>
      <c r="I9" s="11"/>
      <c r="J9" s="11"/>
      <c r="K9" s="12"/>
      <c r="L9" s="13"/>
      <c r="M9" s="14"/>
      <c r="N9" s="15"/>
      <c r="O9" s="16"/>
      <c r="P9" s="16"/>
      <c r="Q9" s="17"/>
      <c r="R9" s="17"/>
      <c r="S9" s="17"/>
      <c r="T9" s="17"/>
      <c r="U9" s="18" t="s">
        <v>5</v>
      </c>
      <c r="V9" s="19"/>
    </row>
    <row r="10" ht="67.5" customHeight="1">
      <c r="A10" s="20"/>
      <c r="B10" s="21" t="s">
        <v>6</v>
      </c>
      <c r="C10" s="21" t="s">
        <v>7</v>
      </c>
      <c r="D10" s="22"/>
      <c r="E10" s="23" t="s">
        <v>8</v>
      </c>
      <c r="F10" s="24" t="s">
        <v>9</v>
      </c>
      <c r="G10" s="24" t="s">
        <v>10</v>
      </c>
      <c r="H10" s="24" t="s">
        <v>11</v>
      </c>
      <c r="I10" s="25" t="s">
        <v>12</v>
      </c>
      <c r="J10" s="26" t="s">
        <v>13</v>
      </c>
      <c r="K10" s="24" t="s">
        <v>14</v>
      </c>
      <c r="L10" s="27" t="s">
        <v>15</v>
      </c>
      <c r="M10" s="28" t="s">
        <v>16</v>
      </c>
      <c r="N10" s="29" t="s">
        <v>17</v>
      </c>
      <c r="O10" s="30"/>
      <c r="P10" s="30"/>
      <c r="Q10" s="30"/>
      <c r="R10" s="30"/>
      <c r="S10" s="30"/>
      <c r="T10" s="30"/>
      <c r="U10" s="31" t="s">
        <v>18</v>
      </c>
      <c r="V10" s="24" t="s">
        <v>14</v>
      </c>
      <c r="W10" s="20"/>
      <c r="X10" s="32"/>
      <c r="Y10" s="33"/>
      <c r="Z10" s="32"/>
      <c r="AA10" s="20"/>
      <c r="AB10" s="20"/>
      <c r="AC10" s="20"/>
      <c r="AD10" s="20"/>
      <c r="AE10" s="20"/>
    </row>
    <row r="11" ht="34.5" customHeight="1">
      <c r="A11" s="34"/>
      <c r="B11" s="35"/>
      <c r="C11" s="36" t="s">
        <v>19</v>
      </c>
      <c r="D11" s="37"/>
      <c r="E11" s="37"/>
      <c r="F11" s="38"/>
      <c r="G11" s="38"/>
      <c r="H11" s="38"/>
      <c r="I11" s="39"/>
      <c r="J11" s="40">
        <v>100.0</v>
      </c>
      <c r="K11" s="41"/>
      <c r="L11" s="42" t="str">
        <f>AVERAGE(#REF!)</f>
        <v>#REF!</v>
      </c>
      <c r="M11" s="43">
        <v>80.5555555555556</v>
      </c>
      <c r="N11" s="44"/>
      <c r="O11" s="44"/>
      <c r="P11" s="44"/>
      <c r="Q11" s="44"/>
      <c r="R11" s="44"/>
      <c r="S11" s="44"/>
      <c r="T11" s="44"/>
      <c r="U11" s="44"/>
      <c r="V11" s="45"/>
      <c r="W11" s="34"/>
      <c r="X11" s="1"/>
      <c r="Z11" s="1"/>
      <c r="AA11" s="34"/>
      <c r="AB11" s="34"/>
      <c r="AC11" s="34"/>
      <c r="AD11" s="34"/>
      <c r="AE11" s="46"/>
    </row>
    <row r="12" ht="34.5" customHeight="1">
      <c r="A12" s="34"/>
      <c r="B12" s="35"/>
      <c r="C12" s="47" t="s">
        <v>20</v>
      </c>
      <c r="D12" s="48" t="s">
        <v>11</v>
      </c>
      <c r="E12" s="48"/>
      <c r="F12" s="38"/>
      <c r="G12" s="38"/>
      <c r="H12" s="38"/>
      <c r="I12" s="49"/>
      <c r="J12" s="50" t="s">
        <v>9</v>
      </c>
      <c r="K12" s="51"/>
      <c r="L12" s="42"/>
      <c r="M12" s="43"/>
      <c r="N12" s="44"/>
      <c r="O12" s="44"/>
      <c r="P12" s="44"/>
      <c r="Q12" s="44"/>
      <c r="R12" s="44"/>
      <c r="S12" s="44"/>
      <c r="T12" s="44"/>
      <c r="U12" s="44"/>
      <c r="V12" s="45"/>
      <c r="W12" s="34"/>
      <c r="X12" s="1"/>
      <c r="Z12" s="1"/>
      <c r="AA12" s="34"/>
      <c r="AB12" s="34"/>
      <c r="AC12" s="34"/>
      <c r="AD12" s="34"/>
      <c r="AE12" s="34"/>
    </row>
    <row r="13" ht="30.0" customHeight="1">
      <c r="A13" s="17"/>
      <c r="B13" s="52"/>
      <c r="C13" s="53"/>
      <c r="D13" s="54" t="s">
        <v>10</v>
      </c>
      <c r="E13" s="54"/>
      <c r="F13" s="55"/>
      <c r="G13" s="55"/>
      <c r="H13" s="55"/>
      <c r="I13" s="56"/>
      <c r="J13" s="57"/>
      <c r="K13" s="58"/>
      <c r="L13" s="59"/>
      <c r="M13" s="60"/>
      <c r="N13" s="61"/>
      <c r="O13" s="61"/>
      <c r="P13" s="61"/>
      <c r="Q13" s="61"/>
      <c r="R13" s="61"/>
      <c r="S13" s="61"/>
      <c r="T13" s="61"/>
      <c r="U13" s="61"/>
      <c r="V13" s="62"/>
      <c r="W13" s="17"/>
      <c r="X13" s="1"/>
      <c r="Z13" s="1"/>
      <c r="AA13" s="17"/>
      <c r="AB13" s="17"/>
      <c r="AC13" s="17"/>
      <c r="AD13" s="17"/>
      <c r="AE13" s="17"/>
    </row>
    <row r="14" ht="30.0" customHeight="1">
      <c r="A14" s="17"/>
      <c r="B14" s="52"/>
      <c r="C14" s="53"/>
      <c r="D14" s="54" t="s">
        <v>9</v>
      </c>
      <c r="E14" s="54"/>
      <c r="F14" s="55"/>
      <c r="G14" s="55"/>
      <c r="H14" s="55"/>
      <c r="I14" s="56"/>
      <c r="J14" s="57"/>
      <c r="K14" s="58"/>
      <c r="L14" s="59"/>
      <c r="M14" s="60"/>
      <c r="N14" s="61"/>
      <c r="O14" s="61"/>
      <c r="P14" s="61"/>
      <c r="Q14" s="61"/>
      <c r="R14" s="61"/>
      <c r="S14" s="61"/>
      <c r="T14" s="61"/>
      <c r="U14" s="61"/>
      <c r="V14" s="62"/>
      <c r="W14" s="17"/>
      <c r="X14" s="1"/>
      <c r="Z14" s="1"/>
      <c r="AA14" s="17"/>
      <c r="AB14" s="17"/>
      <c r="AC14" s="17"/>
      <c r="AD14" s="17"/>
      <c r="AE14" s="17"/>
    </row>
    <row r="15" ht="30.0" customHeight="1">
      <c r="A15" s="17"/>
      <c r="B15" s="52"/>
      <c r="C15" s="53"/>
      <c r="D15" s="54" t="s">
        <v>21</v>
      </c>
      <c r="E15" s="63">
        <v>1.19</v>
      </c>
      <c r="F15" s="55"/>
      <c r="G15" s="64">
        <v>1.25</v>
      </c>
      <c r="H15" s="64">
        <v>1.32</v>
      </c>
      <c r="I15" s="56"/>
      <c r="J15" s="57"/>
      <c r="K15" s="58"/>
      <c r="L15" s="59"/>
      <c r="M15" s="60"/>
      <c r="N15" s="61"/>
      <c r="O15" s="61"/>
      <c r="P15" s="61"/>
      <c r="Q15" s="61"/>
      <c r="R15" s="61"/>
      <c r="S15" s="61"/>
      <c r="T15" s="61"/>
      <c r="U15" s="61"/>
      <c r="V15" s="62"/>
      <c r="W15" s="17"/>
      <c r="X15" s="1"/>
      <c r="Z15" s="1"/>
      <c r="AA15" s="17"/>
      <c r="AB15" s="17"/>
      <c r="AC15" s="17"/>
      <c r="AD15" s="17"/>
      <c r="AE15" s="17"/>
    </row>
    <row r="16" ht="30.0" customHeight="1">
      <c r="A16" s="17"/>
      <c r="B16" s="52"/>
      <c r="C16" s="53"/>
      <c r="D16" s="54"/>
      <c r="E16" s="61"/>
      <c r="F16" s="55"/>
      <c r="G16" s="64">
        <v>1.25</v>
      </c>
      <c r="H16" s="64">
        <v>1.32</v>
      </c>
      <c r="I16" s="56"/>
      <c r="J16" s="57"/>
      <c r="K16" s="58"/>
      <c r="L16" s="59"/>
      <c r="M16" s="60"/>
      <c r="N16" s="61"/>
      <c r="O16" s="61"/>
      <c r="P16" s="61"/>
      <c r="Q16" s="61"/>
      <c r="R16" s="61"/>
      <c r="S16" s="61"/>
      <c r="T16" s="61"/>
      <c r="U16" s="61"/>
      <c r="V16" s="62"/>
      <c r="W16" s="17"/>
      <c r="X16" s="1"/>
      <c r="Z16" s="1"/>
      <c r="AA16" s="17"/>
      <c r="AB16" s="17"/>
      <c r="AC16" s="17"/>
      <c r="AD16" s="17"/>
      <c r="AE16" s="17"/>
    </row>
    <row r="17" ht="30.75" customHeight="1">
      <c r="A17" s="34"/>
      <c r="B17" s="44">
        <v>1.0</v>
      </c>
      <c r="C17" s="65" t="s">
        <v>22</v>
      </c>
      <c r="D17" s="66"/>
      <c r="E17" s="66"/>
      <c r="F17" s="67">
        <f>684*$E$15</f>
        <v>813.96</v>
      </c>
      <c r="G17" s="67">
        <f>F17/$G$15</f>
        <v>651.168</v>
      </c>
      <c r="H17" s="67">
        <f>F17/$H$15</f>
        <v>616.6363636</v>
      </c>
      <c r="I17" s="68"/>
      <c r="J17" s="69"/>
      <c r="K17" s="70">
        <f>IF(J12="2010-2013",J11*H17,IF(J12="2014-2021",J11*G17,IF(J12="2021-2023",J11*F17,-2)))</f>
        <v>81396</v>
      </c>
      <c r="L17" s="59" t="str">
        <f t="shared" ref="L17:L18" si="1">AVERAGE(#REF!)</f>
        <v>#REF!</v>
      </c>
      <c r="M17" s="43">
        <v>55100.0</v>
      </c>
      <c r="N17" s="71">
        <f t="shared" ref="N17:N18" si="2">M17/$M$11</f>
        <v>684</v>
      </c>
      <c r="O17" s="44"/>
      <c r="P17" s="44"/>
      <c r="Q17" s="44"/>
      <c r="R17" s="44"/>
      <c r="S17" s="44"/>
      <c r="T17" s="44"/>
      <c r="U17" s="72" t="s">
        <v>23</v>
      </c>
      <c r="V17" s="73">
        <f t="shared" ref="V17:V18" si="3">IF(U17="Delapidated",K17*0.6,IF(U17="Poor",K17*0.7,IF(U17="Fair",K17*0.8,IF(U17="Good",K17*0.85,IF(U17="Very Good",K17*0.9,IF(U17="Excellent",K17*1,IF(U17="Not Applicable",K17*1,0)))))))</f>
        <v>81396</v>
      </c>
      <c r="W17" s="34"/>
      <c r="X17" s="1"/>
      <c r="Z17" s="1"/>
      <c r="AA17" s="34"/>
      <c r="AB17" s="34"/>
      <c r="AC17" s="34"/>
      <c r="AD17" s="34"/>
      <c r="AE17" s="34"/>
    </row>
    <row r="18" ht="30.75" customHeight="1">
      <c r="A18" s="34"/>
      <c r="B18" s="44">
        <f>B17+1</f>
        <v>2</v>
      </c>
      <c r="C18" s="74" t="s">
        <v>24</v>
      </c>
      <c r="D18" s="66"/>
      <c r="E18" s="66"/>
      <c r="F18" s="75"/>
      <c r="G18" s="67"/>
      <c r="H18" s="67"/>
      <c r="I18" s="68"/>
      <c r="J18" s="72" t="s">
        <v>25</v>
      </c>
      <c r="K18" s="70">
        <f>IF(J18="YES",IF(J12="2010-2013",H19*$J$11,IF(J12="2014-2021",G19*$J$11,IF(J12="2021-2023",F19*$J$11,0))),0)</f>
        <v>16939.03448</v>
      </c>
      <c r="L18" s="59" t="str">
        <f t="shared" si="1"/>
        <v>#REF!</v>
      </c>
      <c r="M18" s="43">
        <v>11466.6666666667</v>
      </c>
      <c r="N18" s="71">
        <f t="shared" si="2"/>
        <v>142.3448276</v>
      </c>
      <c r="O18" s="44"/>
      <c r="P18" s="44"/>
      <c r="Q18" s="44"/>
      <c r="R18" s="44"/>
      <c r="S18" s="44"/>
      <c r="T18" s="44"/>
      <c r="U18" s="72" t="s">
        <v>23</v>
      </c>
      <c r="V18" s="73">
        <f t="shared" si="3"/>
        <v>16939.03448</v>
      </c>
      <c r="W18" s="34"/>
      <c r="X18" s="34"/>
      <c r="Y18" s="34"/>
      <c r="Z18" s="34"/>
      <c r="AA18" s="34"/>
      <c r="AB18" s="34"/>
      <c r="AC18" s="34"/>
      <c r="AD18" s="34"/>
      <c r="AE18" s="34"/>
    </row>
    <row r="19" ht="30.0" customHeight="1">
      <c r="A19" s="34"/>
      <c r="B19" s="44"/>
      <c r="C19" s="76" t="s">
        <v>25</v>
      </c>
      <c r="D19" s="66"/>
      <c r="E19" s="66"/>
      <c r="F19" s="67">
        <f>142.344827586207*E15</f>
        <v>169.3903448</v>
      </c>
      <c r="G19" s="67">
        <f t="shared" ref="G19:G20" si="4">F19/$G$15</f>
        <v>135.5122759</v>
      </c>
      <c r="H19" s="67">
        <f t="shared" ref="H19:H20" si="5">F19/$H$15</f>
        <v>128.3260188</v>
      </c>
      <c r="I19" s="77">
        <v>1.0</v>
      </c>
      <c r="J19" s="78"/>
      <c r="K19" s="70"/>
      <c r="L19" s="59"/>
      <c r="M19" s="43"/>
      <c r="N19" s="71"/>
      <c r="O19" s="44"/>
      <c r="P19" s="44"/>
      <c r="Q19" s="44"/>
      <c r="R19" s="44"/>
      <c r="S19" s="44"/>
      <c r="T19" s="44"/>
      <c r="U19" s="35"/>
      <c r="V19" s="73"/>
      <c r="W19" s="34"/>
      <c r="X19" s="34"/>
      <c r="Y19" s="34"/>
      <c r="Z19" s="34"/>
      <c r="AA19" s="34"/>
      <c r="AB19" s="34"/>
      <c r="AC19" s="34"/>
      <c r="AD19" s="34"/>
      <c r="AE19" s="34"/>
    </row>
    <row r="20" ht="30.0" customHeight="1">
      <c r="A20" s="34"/>
      <c r="B20" s="44"/>
      <c r="C20" s="76" t="s">
        <v>26</v>
      </c>
      <c r="D20" s="66"/>
      <c r="E20" s="66"/>
      <c r="F20" s="67">
        <v>0.0</v>
      </c>
      <c r="G20" s="67">
        <f t="shared" si="4"/>
        <v>0</v>
      </c>
      <c r="H20" s="67">
        <f t="shared" si="5"/>
        <v>0</v>
      </c>
      <c r="I20" s="77">
        <v>2.0</v>
      </c>
      <c r="J20" s="78"/>
      <c r="K20" s="70"/>
      <c r="L20" s="59"/>
      <c r="M20" s="43"/>
      <c r="N20" s="71"/>
      <c r="O20" s="44"/>
      <c r="P20" s="44"/>
      <c r="Q20" s="44"/>
      <c r="R20" s="44"/>
      <c r="S20" s="44"/>
      <c r="T20" s="44"/>
      <c r="U20" s="35"/>
      <c r="V20" s="73"/>
      <c r="W20" s="34"/>
      <c r="X20" s="34"/>
      <c r="Y20" s="34"/>
      <c r="Z20" s="34"/>
      <c r="AA20" s="34"/>
      <c r="AB20" s="34"/>
      <c r="AC20" s="34"/>
      <c r="AD20" s="34"/>
      <c r="AE20" s="34"/>
    </row>
    <row r="21" ht="12.0" customHeight="1">
      <c r="A21" s="34"/>
      <c r="B21" s="44">
        <f>B18+1</f>
        <v>3</v>
      </c>
      <c r="C21" s="74" t="s">
        <v>27</v>
      </c>
      <c r="D21" s="66"/>
      <c r="E21" s="66"/>
      <c r="F21" s="75"/>
      <c r="G21" s="67"/>
      <c r="H21" s="67"/>
      <c r="I21" s="68"/>
      <c r="J21" s="72" t="s">
        <v>28</v>
      </c>
      <c r="K21" s="70">
        <f>IF(J21="STOCK BRICKS",IF(J12="2010-2013",H22*$J$11,IF(J12="2014-2021",G22*$J$11,IF(J12="2021-2023",F22*$J$11,0))),IF(J21="BLOCKS",IF(J12="2010-2013",H23*$J$11,IF(J12="2014-2021",G23*$J$11,IF(J12="2021-2023",F23*$J$11,0))),IF(J21="FACE BRICK",IF(J12="2010-2013",H24*$J$11,IF(J12="2014-2021",G24*$J$11,IF(J12="2021-2023",F24*$J$11,0))),0)))</f>
        <v>71235.53379</v>
      </c>
      <c r="L21" s="59" t="str">
        <f>AVERAGE(#REF!)</f>
        <v>#REF!</v>
      </c>
      <c r="M21" s="43">
        <f>43900+4322</f>
        <v>48222</v>
      </c>
      <c r="N21" s="71">
        <f>M21/$M$11</f>
        <v>598.617931</v>
      </c>
      <c r="O21" s="44"/>
      <c r="P21" s="44"/>
      <c r="Q21" s="44"/>
      <c r="R21" s="44"/>
      <c r="S21" s="44"/>
      <c r="T21" s="44"/>
      <c r="U21" s="72" t="s">
        <v>23</v>
      </c>
      <c r="V21" s="73">
        <f>IF(U21="Delapidated",K21*0.6,IF(U21="Poor",K21*0.7,IF(U21="Fair",K21*0.8,IF(U21="Good",K21*0.85,IF(U21="Very Good",K21*0.9,IF(U21="Excellent",K21*1,IF(U21="Not Applicable",K21*1,0)))))))</f>
        <v>71235.53379</v>
      </c>
      <c r="W21" s="34"/>
      <c r="X21" s="34"/>
      <c r="Y21" s="34"/>
      <c r="Z21" s="34"/>
      <c r="AA21" s="34"/>
      <c r="AB21" s="34"/>
      <c r="AC21" s="34"/>
      <c r="AD21" s="34"/>
      <c r="AE21" s="34"/>
    </row>
    <row r="22" ht="12.0" customHeight="1">
      <c r="A22" s="34"/>
      <c r="B22" s="44"/>
      <c r="C22" s="79" t="s">
        <v>28</v>
      </c>
      <c r="D22" s="66"/>
      <c r="E22" s="66"/>
      <c r="F22" s="67">
        <f>598.617931034483*E15</f>
        <v>712.3553379</v>
      </c>
      <c r="G22" s="67">
        <f t="shared" ref="G22:G25" si="6">F22/$G$15</f>
        <v>569.8842703</v>
      </c>
      <c r="H22" s="67">
        <f t="shared" ref="H22:H25" si="7">F22/$H$15</f>
        <v>539.6631348</v>
      </c>
      <c r="I22" s="77">
        <v>1.0</v>
      </c>
      <c r="J22" s="78"/>
      <c r="K22" s="70"/>
      <c r="L22" s="59"/>
      <c r="M22" s="43"/>
      <c r="N22" s="71"/>
      <c r="O22" s="44"/>
      <c r="P22" s="44"/>
      <c r="Q22" s="44"/>
      <c r="R22" s="44"/>
      <c r="S22" s="44"/>
      <c r="T22" s="44"/>
      <c r="U22" s="35"/>
      <c r="V22" s="73"/>
      <c r="W22" s="34"/>
      <c r="X22" s="34"/>
      <c r="Y22" s="34"/>
      <c r="Z22" s="34"/>
      <c r="AA22" s="34"/>
      <c r="AB22" s="34"/>
      <c r="AC22" s="34"/>
      <c r="AD22" s="34"/>
      <c r="AE22" s="34"/>
    </row>
    <row r="23" ht="12.0" customHeight="1">
      <c r="A23" s="34"/>
      <c r="B23" s="44"/>
      <c r="C23" s="79" t="s">
        <v>29</v>
      </c>
      <c r="D23" s="66"/>
      <c r="E23" s="66"/>
      <c r="F23" s="67">
        <f>F22*0.8</f>
        <v>569.8842703</v>
      </c>
      <c r="G23" s="67">
        <f t="shared" si="6"/>
        <v>455.9074163</v>
      </c>
      <c r="H23" s="67">
        <f t="shared" si="7"/>
        <v>431.7305078</v>
      </c>
      <c r="I23" s="77">
        <v>2.0</v>
      </c>
      <c r="J23" s="78"/>
      <c r="K23" s="70"/>
      <c r="L23" s="59"/>
      <c r="M23" s="43"/>
      <c r="N23" s="71"/>
      <c r="O23" s="44"/>
      <c r="P23" s="44"/>
      <c r="Q23" s="44"/>
      <c r="R23" s="44"/>
      <c r="S23" s="44"/>
      <c r="T23" s="44"/>
      <c r="U23" s="35"/>
      <c r="V23" s="73"/>
      <c r="W23" s="34"/>
      <c r="X23" s="34"/>
      <c r="Y23" s="34"/>
      <c r="Z23" s="34"/>
      <c r="AA23" s="34"/>
      <c r="AB23" s="34"/>
      <c r="AC23" s="34"/>
      <c r="AD23" s="34"/>
      <c r="AE23" s="34"/>
    </row>
    <row r="24" ht="12.0" customHeight="1">
      <c r="A24" s="34"/>
      <c r="B24" s="44"/>
      <c r="C24" s="79" t="s">
        <v>30</v>
      </c>
      <c r="D24" s="66"/>
      <c r="E24" s="66"/>
      <c r="F24" s="67">
        <f>F22*1.3</f>
        <v>926.0619393</v>
      </c>
      <c r="G24" s="67">
        <f t="shared" si="6"/>
        <v>740.8495514</v>
      </c>
      <c r="H24" s="67">
        <f t="shared" si="7"/>
        <v>701.5620752</v>
      </c>
      <c r="I24" s="77">
        <v>3.0</v>
      </c>
      <c r="J24" s="78"/>
      <c r="K24" s="70"/>
      <c r="L24" s="59"/>
      <c r="M24" s="43"/>
      <c r="N24" s="71"/>
      <c r="O24" s="44"/>
      <c r="P24" s="44"/>
      <c r="Q24" s="44"/>
      <c r="R24" s="44"/>
      <c r="S24" s="44"/>
      <c r="T24" s="44"/>
      <c r="U24" s="35"/>
      <c r="V24" s="73"/>
      <c r="W24" s="34"/>
      <c r="X24" s="34"/>
      <c r="Y24" s="34"/>
      <c r="Z24" s="34"/>
      <c r="AA24" s="34"/>
      <c r="AB24" s="34"/>
      <c r="AC24" s="34"/>
      <c r="AD24" s="34"/>
      <c r="AE24" s="34"/>
    </row>
    <row r="25" ht="12.0" customHeight="1">
      <c r="A25" s="34"/>
      <c r="B25" s="44"/>
      <c r="C25" s="79" t="s">
        <v>31</v>
      </c>
      <c r="D25" s="66"/>
      <c r="E25" s="66"/>
      <c r="F25" s="67">
        <v>0.0</v>
      </c>
      <c r="G25" s="67">
        <f t="shared" si="6"/>
        <v>0</v>
      </c>
      <c r="H25" s="67">
        <f t="shared" si="7"/>
        <v>0</v>
      </c>
      <c r="I25" s="77">
        <v>4.0</v>
      </c>
      <c r="J25" s="78"/>
      <c r="K25" s="70"/>
      <c r="L25" s="59"/>
      <c r="M25" s="43"/>
      <c r="N25" s="71"/>
      <c r="O25" s="44"/>
      <c r="P25" s="44"/>
      <c r="Q25" s="44"/>
      <c r="R25" s="44"/>
      <c r="S25" s="44"/>
      <c r="T25" s="44"/>
      <c r="U25" s="35"/>
      <c r="V25" s="73"/>
      <c r="W25" s="34"/>
      <c r="X25" s="34"/>
      <c r="Y25" s="34"/>
      <c r="Z25" s="34"/>
      <c r="AA25" s="34"/>
      <c r="AB25" s="34"/>
      <c r="AC25" s="34"/>
      <c r="AD25" s="34"/>
      <c r="AE25" s="34"/>
    </row>
    <row r="26" ht="30.75" customHeight="1">
      <c r="A26" s="34"/>
      <c r="B26" s="44">
        <f>B21+1</f>
        <v>4</v>
      </c>
      <c r="C26" s="74" t="s">
        <v>32</v>
      </c>
      <c r="D26" s="66"/>
      <c r="E26" s="66"/>
      <c r="F26" s="75"/>
      <c r="G26" s="67"/>
      <c r="H26" s="67"/>
      <c r="I26" s="68"/>
      <c r="J26" s="72" t="s">
        <v>33</v>
      </c>
      <c r="K26" s="70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15470</v>
      </c>
      <c r="L26" s="59" t="str">
        <f>AVERAGE(#REF!)</f>
        <v>#REF!</v>
      </c>
      <c r="M26" s="43">
        <f>51922.2222222222+844</f>
        <v>52766.22222</v>
      </c>
      <c r="N26" s="71">
        <f>M26/$M$11</f>
        <v>655.0289655</v>
      </c>
      <c r="O26" s="44"/>
      <c r="P26" s="44"/>
      <c r="Q26" s="44"/>
      <c r="R26" s="44"/>
      <c r="S26" s="44"/>
      <c r="T26" s="44"/>
      <c r="U26" s="72" t="s">
        <v>23</v>
      </c>
      <c r="V26" s="73">
        <f>IF(U26="Delapidated",K26*0.6,IF(U26="Poor",K26*0.7,IF(U26="Fair",K26*0.8,IF(U26="Good",K26*0.85,IF(U26="Very Good",K26*0.9,IF(U26="Excellent",K26*1,IF(U26="Not Applicable",K26*1,0)))))))</f>
        <v>15470</v>
      </c>
      <c r="W26" s="34"/>
      <c r="X26" s="34"/>
      <c r="Y26" s="34"/>
      <c r="Z26" s="34"/>
      <c r="AA26" s="34"/>
      <c r="AB26" s="34"/>
      <c r="AC26" s="34"/>
      <c r="AD26" s="34"/>
      <c r="AE26" s="34"/>
    </row>
    <row r="27" ht="30.0" customHeight="1">
      <c r="A27" s="34"/>
      <c r="B27" s="44"/>
      <c r="C27" s="79" t="s">
        <v>33</v>
      </c>
      <c r="D27" s="66"/>
      <c r="E27" s="66"/>
      <c r="F27" s="67">
        <f>130*E15</f>
        <v>154.7</v>
      </c>
      <c r="G27" s="67">
        <f t="shared" ref="G27:G30" si="8">F27/$G$15</f>
        <v>123.76</v>
      </c>
      <c r="H27" s="67">
        <f t="shared" ref="H27:H30" si="9">F27/$H$15</f>
        <v>117.1969697</v>
      </c>
      <c r="I27" s="77">
        <v>1.0</v>
      </c>
      <c r="J27" s="78"/>
      <c r="K27" s="70"/>
      <c r="L27" s="59"/>
      <c r="M27" s="43"/>
      <c r="N27" s="71"/>
      <c r="O27" s="44"/>
      <c r="P27" s="44"/>
      <c r="Q27" s="44"/>
      <c r="R27" s="44"/>
      <c r="S27" s="44"/>
      <c r="T27" s="44"/>
      <c r="U27" s="35"/>
      <c r="V27" s="73"/>
      <c r="W27" s="34"/>
      <c r="X27" s="34"/>
      <c r="Y27" s="34"/>
      <c r="Z27" s="34"/>
      <c r="AA27" s="34"/>
      <c r="AB27" s="34"/>
      <c r="AC27" s="34"/>
      <c r="AD27" s="34"/>
      <c r="AE27" s="34"/>
    </row>
    <row r="28" ht="12.0" customHeight="1">
      <c r="A28" s="34"/>
      <c r="B28" s="44"/>
      <c r="C28" s="79" t="s">
        <v>34</v>
      </c>
      <c r="D28" s="66"/>
      <c r="E28" s="66"/>
      <c r="F28" s="67">
        <f>F27*1.6</f>
        <v>247.52</v>
      </c>
      <c r="G28" s="67">
        <f t="shared" si="8"/>
        <v>198.016</v>
      </c>
      <c r="H28" s="67">
        <f t="shared" si="9"/>
        <v>187.5151515</v>
      </c>
      <c r="I28" s="77">
        <v>2.0</v>
      </c>
      <c r="J28" s="78"/>
      <c r="K28" s="70"/>
      <c r="L28" s="59"/>
      <c r="M28" s="43"/>
      <c r="N28" s="71"/>
      <c r="O28" s="44"/>
      <c r="P28" s="44"/>
      <c r="Q28" s="44"/>
      <c r="R28" s="44"/>
      <c r="S28" s="44"/>
      <c r="T28" s="44"/>
      <c r="U28" s="35"/>
      <c r="V28" s="73"/>
      <c r="W28" s="34"/>
      <c r="X28" s="34"/>
      <c r="Y28" s="34"/>
      <c r="Z28" s="34"/>
      <c r="AA28" s="34"/>
      <c r="AB28" s="34"/>
      <c r="AC28" s="34"/>
      <c r="AD28" s="34"/>
      <c r="AE28" s="34"/>
    </row>
    <row r="29" ht="12.0" customHeight="1">
      <c r="A29" s="34"/>
      <c r="B29" s="44"/>
      <c r="C29" s="79" t="s">
        <v>35</v>
      </c>
      <c r="D29" s="66"/>
      <c r="E29" s="66"/>
      <c r="F29" s="67">
        <f>F27*0.6</f>
        <v>92.82</v>
      </c>
      <c r="G29" s="67">
        <f t="shared" si="8"/>
        <v>74.256</v>
      </c>
      <c r="H29" s="67">
        <f t="shared" si="9"/>
        <v>70.31818182</v>
      </c>
      <c r="I29" s="77">
        <v>3.0</v>
      </c>
      <c r="J29" s="78"/>
      <c r="K29" s="70"/>
      <c r="L29" s="59"/>
      <c r="M29" s="43"/>
      <c r="N29" s="71"/>
      <c r="O29" s="44"/>
      <c r="P29" s="44"/>
      <c r="Q29" s="44"/>
      <c r="R29" s="44"/>
      <c r="S29" s="44"/>
      <c r="T29" s="44"/>
      <c r="U29" s="35"/>
      <c r="V29" s="73"/>
      <c r="W29" s="34"/>
      <c r="X29" s="34"/>
      <c r="Y29" s="34"/>
      <c r="Z29" s="34"/>
      <c r="AA29" s="34"/>
      <c r="AB29" s="34"/>
      <c r="AC29" s="34"/>
      <c r="AD29" s="34"/>
      <c r="AE29" s="34"/>
    </row>
    <row r="30" ht="12.0" customHeight="1">
      <c r="A30" s="34"/>
      <c r="B30" s="44"/>
      <c r="C30" s="79" t="s">
        <v>36</v>
      </c>
      <c r="D30" s="66"/>
      <c r="E30" s="66"/>
      <c r="F30" s="67">
        <v>0.0</v>
      </c>
      <c r="G30" s="67">
        <f t="shared" si="8"/>
        <v>0</v>
      </c>
      <c r="H30" s="67">
        <f t="shared" si="9"/>
        <v>0</v>
      </c>
      <c r="I30" s="77">
        <v>4.0</v>
      </c>
      <c r="J30" s="78"/>
      <c r="K30" s="70"/>
      <c r="L30" s="59"/>
      <c r="M30" s="43"/>
      <c r="N30" s="71"/>
      <c r="O30" s="44"/>
      <c r="P30" s="44"/>
      <c r="Q30" s="44"/>
      <c r="R30" s="44"/>
      <c r="S30" s="44"/>
      <c r="T30" s="44"/>
      <c r="U30" s="35"/>
      <c r="V30" s="73"/>
      <c r="W30" s="34"/>
      <c r="X30" s="34"/>
      <c r="Y30" s="34"/>
      <c r="Z30" s="34"/>
      <c r="AA30" s="34"/>
      <c r="AB30" s="34"/>
      <c r="AC30" s="34"/>
      <c r="AD30" s="34"/>
      <c r="AE30" s="34"/>
    </row>
    <row r="31" ht="30.75" customHeight="1">
      <c r="A31" s="34"/>
      <c r="B31" s="44">
        <f>B26+1</f>
        <v>5</v>
      </c>
      <c r="C31" s="74" t="s">
        <v>37</v>
      </c>
      <c r="D31" s="66"/>
      <c r="E31" s="66"/>
      <c r="F31" s="75"/>
      <c r="G31" s="67"/>
      <c r="H31" s="67"/>
      <c r="I31" s="68"/>
      <c r="J31" s="72" t="s">
        <v>38</v>
      </c>
      <c r="K31" s="70">
        <f>IF(J31="TIMBER ROOF TRUSSES",IF(J12="2010-2013",H32*$J$11,IF(J12="2014-2021",G32*$J$11,IF(J12="2021-2023",F32*$J$11,0))),IF(J31="STRUCTURAL STEEL TRUSSES",IF(J12="2010-2013",#REF!*$J$11,IF(J12="2014-2021",#REF!*$J$11,IF(J12="2021-2023",#REF!*$J$11,0))),0))</f>
        <v>65450</v>
      </c>
      <c r="L31" s="59" t="str">
        <f>AVERAGE(#REF!)</f>
        <v>#REF!</v>
      </c>
      <c r="M31" s="43">
        <f>51922.2222222222+844</f>
        <v>52766.22222</v>
      </c>
      <c r="N31" s="71">
        <f>M31/$M$11</f>
        <v>655.0289655</v>
      </c>
      <c r="O31" s="44"/>
      <c r="P31" s="44"/>
      <c r="Q31" s="44"/>
      <c r="R31" s="44"/>
      <c r="S31" s="44"/>
      <c r="T31" s="44"/>
      <c r="U31" s="72" t="s">
        <v>23</v>
      </c>
      <c r="V31" s="73">
        <f>IF(U31="Delapidated",K31*0.6,IF(U31="Poor",K31*0.7,IF(U31="Fair",K31*0.8,IF(U31="Good",K31*0.85,IF(U31="Very Good",K31*0.9,IF(U31="Excellent",K31*1,IF(U31="Not Applicable",K31*1,0)))))))</f>
        <v>65450</v>
      </c>
      <c r="W31" s="34"/>
      <c r="X31" s="34"/>
      <c r="Y31" s="34"/>
      <c r="Z31" s="34"/>
      <c r="AA31" s="34"/>
      <c r="AB31" s="34"/>
      <c r="AC31" s="34"/>
      <c r="AD31" s="34"/>
      <c r="AE31" s="34"/>
    </row>
    <row r="32" ht="30.0" customHeight="1">
      <c r="A32" s="34"/>
      <c r="B32" s="44"/>
      <c r="C32" s="79" t="s">
        <v>39</v>
      </c>
      <c r="D32" s="66"/>
      <c r="E32" s="66"/>
      <c r="F32" s="67">
        <f>550*$E$15</f>
        <v>654.5</v>
      </c>
      <c r="G32" s="67">
        <f>F32/$G$15</f>
        <v>523.6</v>
      </c>
      <c r="H32" s="67">
        <f>F32/$H$15</f>
        <v>495.8333333</v>
      </c>
      <c r="I32" s="77">
        <v>1.0</v>
      </c>
      <c r="J32" s="78"/>
      <c r="K32" s="70"/>
      <c r="L32" s="59"/>
      <c r="M32" s="43"/>
      <c r="N32" s="71"/>
      <c r="O32" s="44"/>
      <c r="P32" s="44"/>
      <c r="Q32" s="44"/>
      <c r="R32" s="44"/>
      <c r="S32" s="44"/>
      <c r="T32" s="44"/>
      <c r="U32" s="35"/>
      <c r="V32" s="73"/>
      <c r="W32" s="34"/>
      <c r="X32" s="34"/>
      <c r="Y32" s="34"/>
      <c r="Z32" s="34"/>
      <c r="AA32" s="34"/>
      <c r="AB32" s="34"/>
      <c r="AC32" s="34"/>
      <c r="AD32" s="34"/>
      <c r="AE32" s="34"/>
    </row>
    <row r="33" ht="30.0" customHeight="1">
      <c r="A33" s="34"/>
      <c r="B33" s="44"/>
      <c r="C33" s="79" t="s">
        <v>40</v>
      </c>
      <c r="D33" s="66"/>
      <c r="E33" s="66"/>
      <c r="F33" s="67"/>
      <c r="G33" s="67"/>
      <c r="H33" s="67"/>
      <c r="I33" s="77"/>
      <c r="J33" s="78"/>
      <c r="K33" s="70"/>
      <c r="L33" s="59"/>
      <c r="M33" s="43"/>
      <c r="N33" s="71"/>
      <c r="O33" s="44"/>
      <c r="P33" s="44"/>
      <c r="Q33" s="44"/>
      <c r="R33" s="44"/>
      <c r="S33" s="44"/>
      <c r="T33" s="44"/>
      <c r="U33" s="35"/>
      <c r="V33" s="73"/>
      <c r="W33" s="34"/>
      <c r="X33" s="34"/>
      <c r="Y33" s="34"/>
      <c r="Z33" s="34"/>
      <c r="AA33" s="34"/>
      <c r="AB33" s="34"/>
      <c r="AC33" s="34"/>
      <c r="AD33" s="34"/>
      <c r="AE33" s="34"/>
    </row>
    <row r="34" ht="30.0" customHeight="1">
      <c r="A34" s="34"/>
      <c r="B34" s="44"/>
      <c r="C34" s="79" t="s">
        <v>41</v>
      </c>
      <c r="D34" s="66"/>
      <c r="E34" s="66"/>
      <c r="F34" s="67">
        <v>0.0</v>
      </c>
      <c r="G34" s="67">
        <v>0.0</v>
      </c>
      <c r="H34" s="67">
        <f>F34/$H$15</f>
        <v>0</v>
      </c>
      <c r="I34" s="77"/>
      <c r="J34" s="78"/>
      <c r="K34" s="70"/>
      <c r="L34" s="59"/>
      <c r="M34" s="43"/>
      <c r="N34" s="71"/>
      <c r="O34" s="44"/>
      <c r="P34" s="44"/>
      <c r="Q34" s="44"/>
      <c r="R34" s="44"/>
      <c r="S34" s="44"/>
      <c r="T34" s="44"/>
      <c r="U34" s="35"/>
      <c r="V34" s="73"/>
      <c r="W34" s="34"/>
      <c r="X34" s="34"/>
      <c r="Y34" s="34"/>
      <c r="Z34" s="34"/>
      <c r="AA34" s="34"/>
      <c r="AB34" s="34"/>
      <c r="AC34" s="34"/>
      <c r="AD34" s="34"/>
      <c r="AE34" s="34"/>
    </row>
    <row r="35" ht="30.0" customHeight="1">
      <c r="A35" s="34"/>
      <c r="B35" s="44">
        <v>6.0</v>
      </c>
      <c r="C35" s="74" t="s">
        <v>42</v>
      </c>
      <c r="D35" s="66"/>
      <c r="E35" s="66"/>
      <c r="F35" s="80"/>
      <c r="G35" s="80"/>
      <c r="H35" s="80"/>
      <c r="I35" s="68"/>
      <c r="J35" s="72" t="s">
        <v>25</v>
      </c>
      <c r="K35" s="70">
        <f>IF(J35="YES",IF(J12="2010-2013",H36*$J$11,IF(J12="2014-2021",G36*$J$11,IF(J12="2021-2023",F36*$J$11,0))),0)</f>
        <v>4760</v>
      </c>
      <c r="L35" s="59" t="str">
        <f>AVERAGE(#REF!)</f>
        <v>#REF!</v>
      </c>
      <c r="M35" s="43">
        <f>28200+3189</f>
        <v>31389</v>
      </c>
      <c r="N35" s="71">
        <f>M35/$M$11</f>
        <v>389.6565517</v>
      </c>
      <c r="O35" s="44"/>
      <c r="P35" s="44"/>
      <c r="Q35" s="44"/>
      <c r="R35" s="44"/>
      <c r="S35" s="44"/>
      <c r="T35" s="81"/>
      <c r="U35" s="72" t="s">
        <v>23</v>
      </c>
      <c r="V35" s="73">
        <f>IF(U35="Delapidated",K35*0.6,IF(U35="Poor",K35*0.7,IF(U35="Fair",K35*0.8,IF(U35="Good",K35*0.85,IF(U35="Very Good",K35*0.9,IF(U35="Excellent",K35*1,IF(U35="Not Applicable",K35*1,0)))))))</f>
        <v>4760</v>
      </c>
      <c r="W35" s="34"/>
      <c r="X35" s="34"/>
      <c r="Y35" s="34"/>
      <c r="Z35" s="34"/>
      <c r="AA35" s="34"/>
      <c r="AB35" s="34"/>
      <c r="AC35" s="34"/>
      <c r="AD35" s="34"/>
      <c r="AE35" s="34"/>
    </row>
    <row r="36" ht="12.0" customHeight="1">
      <c r="A36" s="34"/>
      <c r="B36" s="44"/>
      <c r="C36" s="76" t="s">
        <v>25</v>
      </c>
      <c r="D36" s="66"/>
      <c r="E36" s="66"/>
      <c r="F36" s="67">
        <f>40*E15</f>
        <v>47.6</v>
      </c>
      <c r="G36" s="67">
        <f t="shared" ref="G36:G37" si="10">F36/$G$15</f>
        <v>38.08</v>
      </c>
      <c r="H36" s="67">
        <f t="shared" ref="H36:H37" si="11">F36/$H$15</f>
        <v>36.06060606</v>
      </c>
      <c r="I36" s="77">
        <v>1.0</v>
      </c>
      <c r="J36" s="78"/>
      <c r="K36" s="70"/>
      <c r="L36" s="59"/>
      <c r="M36" s="43"/>
      <c r="N36" s="71"/>
      <c r="O36" s="44" t="s">
        <v>43</v>
      </c>
      <c r="P36" s="44"/>
      <c r="Q36" s="66">
        <f>F36</f>
        <v>47.6</v>
      </c>
      <c r="R36" s="44"/>
      <c r="S36" s="44">
        <v>34800.0</v>
      </c>
      <c r="T36" s="81"/>
      <c r="U36" s="82"/>
      <c r="V36" s="73"/>
      <c r="W36" s="34"/>
      <c r="X36" s="34"/>
      <c r="Y36" s="34"/>
      <c r="Z36" s="34"/>
      <c r="AA36" s="34"/>
      <c r="AB36" s="34"/>
      <c r="AC36" s="34"/>
      <c r="AD36" s="34"/>
      <c r="AE36" s="34"/>
    </row>
    <row r="37" ht="12.0" customHeight="1">
      <c r="A37" s="34"/>
      <c r="B37" s="44"/>
      <c r="C37" s="76" t="s">
        <v>26</v>
      </c>
      <c r="D37" s="66"/>
      <c r="E37" s="66"/>
      <c r="F37" s="67">
        <v>0.0</v>
      </c>
      <c r="G37" s="67">
        <f t="shared" si="10"/>
        <v>0</v>
      </c>
      <c r="H37" s="67">
        <f t="shared" si="11"/>
        <v>0</v>
      </c>
      <c r="I37" s="77">
        <v>2.0</v>
      </c>
      <c r="J37" s="78"/>
      <c r="K37" s="70"/>
      <c r="L37" s="59"/>
      <c r="M37" s="43"/>
      <c r="N37" s="71"/>
      <c r="O37" s="44" t="s">
        <v>44</v>
      </c>
      <c r="P37" s="44"/>
      <c r="Q37" s="44">
        <f>Q36*T37</f>
        <v>4.103448276</v>
      </c>
      <c r="R37" s="44"/>
      <c r="S37" s="44">
        <v>3000.0</v>
      </c>
      <c r="T37" s="81">
        <f>S37/S36</f>
        <v>0.08620689655</v>
      </c>
      <c r="U37" s="82"/>
      <c r="V37" s="73"/>
      <c r="W37" s="34"/>
      <c r="X37" s="34"/>
      <c r="Y37" s="34"/>
      <c r="Z37" s="34"/>
      <c r="AA37" s="34"/>
      <c r="AB37" s="34"/>
      <c r="AC37" s="34"/>
      <c r="AD37" s="34"/>
      <c r="AE37" s="34"/>
    </row>
    <row r="38" ht="30.0" customHeight="1">
      <c r="A38" s="34"/>
      <c r="B38" s="83">
        <f>B35+1</f>
        <v>7</v>
      </c>
      <c r="C38" s="74" t="s">
        <v>45</v>
      </c>
      <c r="D38" s="66"/>
      <c r="E38" s="66"/>
      <c r="F38" s="67"/>
      <c r="G38" s="67"/>
      <c r="H38" s="67"/>
      <c r="I38" s="68"/>
      <c r="J38" s="72" t="s">
        <v>25</v>
      </c>
      <c r="K38" s="70">
        <f>IF(J38="YES",IF(J12="2010-2013",H39*1,IF(J12="2014-2021",G39*1,IF(J12="2021-2023",F39*1,0))),0)</f>
        <v>15000</v>
      </c>
      <c r="L38" s="59"/>
      <c r="M38" s="43"/>
      <c r="N38" s="71"/>
      <c r="O38" s="44" t="s">
        <v>46</v>
      </c>
      <c r="P38" s="44"/>
      <c r="Q38" s="44">
        <f>Q36*T38</f>
        <v>35.28965517</v>
      </c>
      <c r="R38" s="44"/>
      <c r="S38" s="44">
        <v>25800.0</v>
      </c>
      <c r="T38" s="81">
        <f>S38/S36</f>
        <v>0.7413793103</v>
      </c>
      <c r="U38" s="72" t="s">
        <v>23</v>
      </c>
      <c r="V38" s="73">
        <f>IF(U38="Delapidated",K38*0.6,IF(U38="Poor",K38*0.7,IF(U38="Fair",K38*0.8,IF(U38="Good",K38*0.85,IF(U38="Very Good",K38*0.9,IF(U38="Excellent",K38*1,IF(U38="Not Applicable",K38*1,0)))))))</f>
        <v>15000</v>
      </c>
      <c r="W38" s="34"/>
      <c r="X38" s="34"/>
      <c r="Y38" s="34"/>
      <c r="Z38" s="34"/>
      <c r="AA38" s="34"/>
      <c r="AB38" s="34"/>
      <c r="AC38" s="34"/>
      <c r="AD38" s="34"/>
      <c r="AE38" s="34"/>
    </row>
    <row r="39" ht="12.0" customHeight="1">
      <c r="A39" s="34"/>
      <c r="B39" s="84"/>
      <c r="C39" s="76" t="s">
        <v>25</v>
      </c>
      <c r="D39" s="66"/>
      <c r="E39" s="66"/>
      <c r="F39" s="67">
        <v>15000.0</v>
      </c>
      <c r="G39" s="67">
        <f t="shared" ref="G39:G40" si="12">F39/$G$15</f>
        <v>12000</v>
      </c>
      <c r="H39" s="67">
        <f t="shared" ref="H39:H40" si="13">F39/$H$15</f>
        <v>11363.63636</v>
      </c>
      <c r="I39" s="77">
        <v>1.0</v>
      </c>
      <c r="J39" s="78"/>
      <c r="K39" s="70"/>
      <c r="L39" s="59"/>
      <c r="M39" s="43"/>
      <c r="N39" s="71"/>
      <c r="O39" s="44" t="s">
        <v>47</v>
      </c>
      <c r="P39" s="44"/>
      <c r="Q39" s="44">
        <f>Q36*T39</f>
        <v>8.206896552</v>
      </c>
      <c r="R39" s="44"/>
      <c r="S39" s="44">
        <v>6000.0</v>
      </c>
      <c r="T39" s="81">
        <f>S39/S36</f>
        <v>0.1724137931</v>
      </c>
      <c r="U39" s="82"/>
      <c r="V39" s="73"/>
      <c r="W39" s="34"/>
      <c r="X39" s="34"/>
      <c r="Y39" s="34"/>
      <c r="Z39" s="34"/>
      <c r="AA39" s="34"/>
      <c r="AB39" s="34"/>
      <c r="AC39" s="34"/>
      <c r="AD39" s="34"/>
      <c r="AE39" s="34"/>
    </row>
    <row r="40" ht="12.0" customHeight="1">
      <c r="A40" s="34"/>
      <c r="B40" s="85"/>
      <c r="C40" s="76" t="s">
        <v>26</v>
      </c>
      <c r="D40" s="66"/>
      <c r="E40" s="66"/>
      <c r="F40" s="67">
        <v>0.0</v>
      </c>
      <c r="G40" s="67">
        <f t="shared" si="12"/>
        <v>0</v>
      </c>
      <c r="H40" s="67">
        <f t="shared" si="13"/>
        <v>0</v>
      </c>
      <c r="I40" s="77">
        <v>2.0</v>
      </c>
      <c r="J40" s="86"/>
      <c r="K40" s="70"/>
      <c r="L40" s="59"/>
      <c r="M40" s="43"/>
      <c r="N40" s="71"/>
      <c r="O40" s="44"/>
      <c r="P40" s="44"/>
      <c r="Q40" s="44"/>
      <c r="R40" s="44"/>
      <c r="S40" s="87">
        <f t="shared" ref="S40:T40" si="14">SUM(S37:S39)</f>
        <v>34800</v>
      </c>
      <c r="T40" s="82">
        <f t="shared" si="14"/>
        <v>1</v>
      </c>
      <c r="U40" s="35"/>
      <c r="V40" s="73"/>
      <c r="W40" s="88"/>
      <c r="X40" s="34"/>
      <c r="Y40" s="34"/>
      <c r="Z40" s="34"/>
      <c r="AA40" s="34"/>
      <c r="AB40" s="34"/>
      <c r="AC40" s="34"/>
      <c r="AD40" s="34"/>
      <c r="AE40" s="34"/>
    </row>
    <row r="41" ht="27.75" customHeight="1">
      <c r="A41" s="34"/>
      <c r="B41" s="44"/>
      <c r="C41" s="89" t="s">
        <v>48</v>
      </c>
      <c r="D41" s="66"/>
      <c r="E41" s="66"/>
      <c r="F41" s="67"/>
      <c r="G41" s="67"/>
      <c r="H41" s="67"/>
      <c r="I41" s="90"/>
      <c r="J41" s="91">
        <v>3.0</v>
      </c>
      <c r="K41" s="35"/>
      <c r="L41" s="59"/>
      <c r="M41" s="43"/>
      <c r="N41" s="71"/>
      <c r="O41" s="44"/>
      <c r="P41" s="44"/>
      <c r="Q41" s="44"/>
      <c r="R41" s="44"/>
      <c r="S41" s="87"/>
      <c r="T41" s="35"/>
      <c r="U41" s="35"/>
      <c r="V41" s="35"/>
      <c r="W41" s="88"/>
      <c r="X41" s="34"/>
      <c r="Y41" s="34"/>
      <c r="Z41" s="34"/>
      <c r="AA41" s="34"/>
      <c r="AB41" s="34"/>
      <c r="AC41" s="34"/>
      <c r="AD41" s="34"/>
      <c r="AE41" s="34"/>
    </row>
    <row r="42" ht="29.25" customHeight="1">
      <c r="A42" s="34"/>
      <c r="B42" s="83">
        <f>B38+1</f>
        <v>8</v>
      </c>
      <c r="C42" s="74" t="s">
        <v>49</v>
      </c>
      <c r="D42" s="66"/>
      <c r="E42" s="66"/>
      <c r="F42" s="67"/>
      <c r="G42" s="67"/>
      <c r="H42" s="67"/>
      <c r="I42" s="68"/>
      <c r="J42" s="72" t="s">
        <v>25</v>
      </c>
      <c r="K42" s="70">
        <f>IF(J42="YES",IF(J12="2010-2013",H43*J41,IF(J12="2014-2021",G43*J41,IF(J12="2021-2023",F43*J41,0))),0)</f>
        <v>9000</v>
      </c>
      <c r="L42" s="59"/>
      <c r="M42" s="43"/>
      <c r="N42" s="71"/>
      <c r="O42" s="44"/>
      <c r="P42" s="44"/>
      <c r="Q42" s="44"/>
      <c r="R42" s="44"/>
      <c r="S42" s="44">
        <f>S36-S40</f>
        <v>0</v>
      </c>
      <c r="T42" s="81"/>
      <c r="U42" s="72" t="s">
        <v>23</v>
      </c>
      <c r="V42" s="73">
        <f>IF(U42="Delapidated",K42*0.6,IF(U42="Poor",K42*0.7,IF(U42="Fair",K42*0.8,IF(U42="Good",K42*0.85,IF(U42="Very Good",K42*0.9,IF(U42="Excellent",K42*1,IF(U42="Not Applicable",K42*1,0)))))))</f>
        <v>9000</v>
      </c>
      <c r="W42" s="34"/>
      <c r="X42" s="34"/>
      <c r="Y42" s="34"/>
      <c r="Z42" s="34"/>
      <c r="AA42" s="34"/>
      <c r="AB42" s="34"/>
      <c r="AC42" s="34"/>
      <c r="AD42" s="34"/>
      <c r="AE42" s="34"/>
    </row>
    <row r="43" ht="30.0" customHeight="1">
      <c r="A43" s="34"/>
      <c r="B43" s="44"/>
      <c r="C43" s="76" t="s">
        <v>25</v>
      </c>
      <c r="D43" s="66"/>
      <c r="E43" s="66"/>
      <c r="F43" s="67">
        <v>3000.0</v>
      </c>
      <c r="G43" s="67">
        <f t="shared" ref="G43:G44" si="15">F43/$G$15</f>
        <v>2400</v>
      </c>
      <c r="H43" s="67">
        <f t="shared" ref="H43:H44" si="16">F43/$H$15</f>
        <v>2272.727273</v>
      </c>
      <c r="I43" s="77">
        <v>1.0</v>
      </c>
      <c r="J43" s="78"/>
      <c r="K43" s="70"/>
      <c r="L43" s="59"/>
      <c r="M43" s="43"/>
      <c r="N43" s="71"/>
      <c r="O43" s="44"/>
      <c r="P43" s="44"/>
      <c r="Q43" s="44"/>
      <c r="R43" s="44"/>
      <c r="S43" s="44"/>
      <c r="T43" s="44"/>
      <c r="U43" s="35"/>
      <c r="V43" s="73"/>
      <c r="W43" s="34"/>
      <c r="X43" s="34"/>
      <c r="Y43" s="34"/>
      <c r="Z43" s="34"/>
      <c r="AA43" s="34"/>
      <c r="AB43" s="34"/>
      <c r="AC43" s="34"/>
      <c r="AD43" s="34"/>
      <c r="AE43" s="34"/>
    </row>
    <row r="44" ht="30.0" customHeight="1">
      <c r="A44" s="34"/>
      <c r="B44" s="44"/>
      <c r="C44" s="76" t="s">
        <v>26</v>
      </c>
      <c r="D44" s="66"/>
      <c r="E44" s="66"/>
      <c r="F44" s="67">
        <v>0.0</v>
      </c>
      <c r="G44" s="67">
        <f t="shared" si="15"/>
        <v>0</v>
      </c>
      <c r="H44" s="67">
        <f t="shared" si="16"/>
        <v>0</v>
      </c>
      <c r="I44" s="77">
        <v>2.0</v>
      </c>
      <c r="J44" s="78"/>
      <c r="K44" s="70"/>
      <c r="L44" s="59"/>
      <c r="M44" s="43"/>
      <c r="N44" s="71"/>
      <c r="O44" s="44"/>
      <c r="P44" s="44"/>
      <c r="Q44" s="44"/>
      <c r="R44" s="44"/>
      <c r="S44" s="44"/>
      <c r="T44" s="44"/>
      <c r="U44" s="35"/>
      <c r="V44" s="73"/>
      <c r="W44" s="34"/>
      <c r="X44" s="34"/>
      <c r="Y44" s="34"/>
      <c r="Z44" s="34"/>
      <c r="AA44" s="34"/>
      <c r="AB44" s="34"/>
      <c r="AC44" s="34"/>
      <c r="AD44" s="34"/>
      <c r="AE44" s="34"/>
    </row>
    <row r="45" ht="30.75" customHeight="1">
      <c r="A45" s="34"/>
      <c r="B45" s="44">
        <f>B42+1</f>
        <v>9</v>
      </c>
      <c r="C45" s="74" t="s">
        <v>50</v>
      </c>
      <c r="D45" s="66"/>
      <c r="E45" s="66"/>
      <c r="F45" s="75"/>
      <c r="G45" s="67"/>
      <c r="H45" s="67"/>
      <c r="I45" s="68"/>
      <c r="J45" s="72" t="s">
        <v>25</v>
      </c>
      <c r="K45" s="70">
        <f>IF(J45="YES",IF(J12="2010-2013",H46*$J$11,IF(J12="2014-2021",G46*$J$11,IF(J12="2021-2023",F46*$J$11,0))),0)</f>
        <v>14280</v>
      </c>
      <c r="L45" s="59" t="str">
        <f>AVERAGE(#REF!)</f>
        <v>#REF!</v>
      </c>
      <c r="M45" s="43">
        <v>12155.5555555556</v>
      </c>
      <c r="N45" s="71">
        <f>M45/$M$11</f>
        <v>150.8965517</v>
      </c>
      <c r="O45" s="44"/>
      <c r="P45" s="44"/>
      <c r="Q45" s="44"/>
      <c r="R45" s="44"/>
      <c r="S45" s="44"/>
      <c r="T45" s="44"/>
      <c r="U45" s="72" t="s">
        <v>23</v>
      </c>
      <c r="V45" s="73">
        <f>IF(U45="Delapidated",K45*0.6,IF(U45="Poor",K45*0.7,IF(U45="Fair",K45*0.8,IF(U45="Good",K45*0.85,IF(U45="Very Good",K45*0.9,IF(U45="Excellent",K45*1,IF(U45="Not Applicable",K45*1,0)))))))</f>
        <v>14280</v>
      </c>
      <c r="W45" s="34"/>
      <c r="X45" s="34"/>
      <c r="Y45" s="34"/>
      <c r="Z45" s="34"/>
      <c r="AA45" s="34"/>
      <c r="AB45" s="34"/>
      <c r="AC45" s="34"/>
      <c r="AD45" s="34"/>
      <c r="AE45" s="34"/>
    </row>
    <row r="46" ht="30.0" customHeight="1">
      <c r="A46" s="34"/>
      <c r="B46" s="44"/>
      <c r="C46" s="76" t="s">
        <v>25</v>
      </c>
      <c r="D46" s="66"/>
      <c r="E46" s="66"/>
      <c r="F46" s="67">
        <f>120*E15</f>
        <v>142.8</v>
      </c>
      <c r="G46" s="67">
        <f t="shared" ref="G46:G47" si="17">F46/$G$15</f>
        <v>114.24</v>
      </c>
      <c r="H46" s="67">
        <f t="shared" ref="H46:H47" si="18">F46/$H$15</f>
        <v>108.1818182</v>
      </c>
      <c r="I46" s="77">
        <v>1.0</v>
      </c>
      <c r="J46" s="78"/>
      <c r="K46" s="70"/>
      <c r="L46" s="59"/>
      <c r="M46" s="43"/>
      <c r="N46" s="71"/>
      <c r="O46" s="44"/>
      <c r="P46" s="44"/>
      <c r="Q46" s="44"/>
      <c r="R46" s="44"/>
      <c r="S46" s="44"/>
      <c r="T46" s="44"/>
      <c r="U46" s="35"/>
      <c r="V46" s="73"/>
      <c r="W46" s="34"/>
      <c r="X46" s="34"/>
      <c r="Y46" s="34"/>
      <c r="Z46" s="34"/>
      <c r="AA46" s="34"/>
      <c r="AB46" s="34"/>
      <c r="AC46" s="34"/>
      <c r="AD46" s="34"/>
      <c r="AE46" s="34"/>
    </row>
    <row r="47" ht="30.0" customHeight="1">
      <c r="A47" s="34"/>
      <c r="B47" s="44"/>
      <c r="C47" s="76" t="s">
        <v>26</v>
      </c>
      <c r="D47" s="66"/>
      <c r="E47" s="66"/>
      <c r="F47" s="67">
        <v>0.0</v>
      </c>
      <c r="G47" s="67">
        <f t="shared" si="17"/>
        <v>0</v>
      </c>
      <c r="H47" s="67">
        <f t="shared" si="18"/>
        <v>0</v>
      </c>
      <c r="I47" s="77">
        <v>2.0</v>
      </c>
      <c r="J47" s="78"/>
      <c r="K47" s="70"/>
      <c r="L47" s="59"/>
      <c r="M47" s="43"/>
      <c r="N47" s="71"/>
      <c r="O47" s="44"/>
      <c r="P47" s="44"/>
      <c r="Q47" s="44"/>
      <c r="R47" s="44"/>
      <c r="S47" s="44"/>
      <c r="T47" s="44"/>
      <c r="U47" s="35"/>
      <c r="V47" s="73"/>
      <c r="W47" s="34"/>
      <c r="X47" s="34"/>
      <c r="Y47" s="34"/>
      <c r="Z47" s="34"/>
      <c r="AA47" s="34"/>
      <c r="AB47" s="34"/>
      <c r="AC47" s="34"/>
      <c r="AD47" s="34"/>
      <c r="AE47" s="34"/>
    </row>
    <row r="48" ht="30.75" customHeight="1">
      <c r="A48" s="34"/>
      <c r="B48" s="83">
        <v>10.0</v>
      </c>
      <c r="C48" s="92" t="s">
        <v>51</v>
      </c>
      <c r="D48" s="66"/>
      <c r="E48" s="66"/>
      <c r="F48" s="67"/>
      <c r="G48" s="67"/>
      <c r="H48" s="67"/>
      <c r="I48" s="77"/>
      <c r="J48" s="72" t="s">
        <v>52</v>
      </c>
      <c r="K48" s="70">
        <f>IF(J48="VINYL FLOORING",IF(J12="2010-2013",H49*$J$11,IF(J12="2014-2021",G49*$J$11,IF(J12="2021-2023",F49*$J$11,0))),IF(J48="TILING FLOORING",IF(J12="2010-2013",H50*$J$11,IF(J12="2014-2021",G50*$J$11,IF(J12="2021-2023",F50*$J$11,0))),IF(J48="TIMBER FLOORING",IF(J12="2010-2013",H51*$J$11,IF(J12="2014-2021",G51*$J$11,IF(J12="2021-2023",F51*$J$11,0))),IF(J48="CARPETS FLOORING",IF(J12="2010-2013",H52*$J$11,IF(J12="2014-2021",G52*$J$11,IF(J12="2021-2023",F52*$J$11,0))),0))))</f>
        <v>29899.36552</v>
      </c>
      <c r="L48" s="59"/>
      <c r="M48" s="43"/>
      <c r="N48" s="71"/>
      <c r="O48" s="44"/>
      <c r="P48" s="44"/>
      <c r="Q48" s="44"/>
      <c r="R48" s="44"/>
      <c r="S48" s="44"/>
      <c r="T48" s="44"/>
      <c r="U48" s="72" t="s">
        <v>23</v>
      </c>
      <c r="V48" s="73">
        <f>IF(U48="Delapidated",K48*0.6,IF(U48="Poor",K48*0.7,IF(U48="Fair",K48*0.8,IF(U48="Good",K48*0.85,IF(U48="Very Good",K48*0.9,IF(U48="Excellent",K48*1,IF(U48="Not Applicable",K48*1,0)))))))</f>
        <v>29899.36552</v>
      </c>
      <c r="W48" s="34"/>
      <c r="X48" s="34"/>
      <c r="Y48" s="34"/>
      <c r="Z48" s="34"/>
      <c r="AA48" s="34"/>
      <c r="AB48" s="34"/>
      <c r="AC48" s="34"/>
      <c r="AD48" s="34"/>
      <c r="AE48" s="34"/>
    </row>
    <row r="49" ht="30.0" customHeight="1">
      <c r="A49" s="34"/>
      <c r="B49" s="84"/>
      <c r="C49" s="76" t="s">
        <v>53</v>
      </c>
      <c r="D49" s="66"/>
      <c r="E49" s="66"/>
      <c r="F49" s="67">
        <f>F50*0.7*E15</f>
        <v>249.0617148</v>
      </c>
      <c r="G49" s="67">
        <f t="shared" ref="G49:G53" si="19">F49/$G$15</f>
        <v>199.2493718</v>
      </c>
      <c r="H49" s="67">
        <f t="shared" ref="H49:H53" si="20">F49/$H$15</f>
        <v>188.6831172</v>
      </c>
      <c r="I49" s="77"/>
      <c r="J49" s="35"/>
      <c r="K49" s="51"/>
      <c r="L49" s="59"/>
      <c r="M49" s="43"/>
      <c r="N49" s="71"/>
      <c r="O49" s="44"/>
      <c r="P49" s="44"/>
      <c r="Q49" s="44"/>
      <c r="R49" s="44"/>
      <c r="S49" s="44"/>
      <c r="T49" s="44"/>
      <c r="U49" s="35"/>
      <c r="V49" s="73"/>
      <c r="W49" s="34"/>
      <c r="X49" s="34"/>
      <c r="Y49" s="34"/>
      <c r="Z49" s="34"/>
      <c r="AA49" s="34"/>
      <c r="AB49" s="34"/>
      <c r="AC49" s="34"/>
      <c r="AD49" s="34"/>
      <c r="AE49" s="34"/>
    </row>
    <row r="50" ht="30.0" customHeight="1">
      <c r="A50" s="34"/>
      <c r="B50" s="84"/>
      <c r="C50" s="76" t="s">
        <v>52</v>
      </c>
      <c r="D50" s="66"/>
      <c r="E50" s="66"/>
      <c r="F50" s="67">
        <f>314.068965517241*0.8*E15</f>
        <v>298.9936552</v>
      </c>
      <c r="G50" s="67">
        <f t="shared" si="19"/>
        <v>239.1949241</v>
      </c>
      <c r="H50" s="67">
        <f t="shared" si="20"/>
        <v>226.5103448</v>
      </c>
      <c r="I50" s="77">
        <v>1.0</v>
      </c>
      <c r="J50" s="78"/>
      <c r="K50" s="70"/>
      <c r="L50" s="59"/>
      <c r="M50" s="43"/>
      <c r="N50" s="71"/>
      <c r="O50" s="44"/>
      <c r="P50" s="44"/>
      <c r="Q50" s="44"/>
      <c r="R50" s="44"/>
      <c r="S50" s="44"/>
      <c r="T50" s="44"/>
      <c r="U50" s="35"/>
      <c r="V50" s="73"/>
      <c r="W50" s="34"/>
      <c r="X50" s="34"/>
      <c r="Y50" s="34"/>
      <c r="Z50" s="34"/>
      <c r="AA50" s="34"/>
      <c r="AB50" s="34"/>
      <c r="AC50" s="34"/>
      <c r="AD50" s="34"/>
      <c r="AE50" s="34"/>
    </row>
    <row r="51" ht="30.0" customHeight="1">
      <c r="A51" s="34"/>
      <c r="B51" s="84"/>
      <c r="C51" s="76" t="s">
        <v>54</v>
      </c>
      <c r="D51" s="66"/>
      <c r="E51" s="66"/>
      <c r="F51" s="67">
        <f>F50*1.2*E15</f>
        <v>426.9629396</v>
      </c>
      <c r="G51" s="67">
        <f t="shared" si="19"/>
        <v>341.5703517</v>
      </c>
      <c r="H51" s="67">
        <f t="shared" si="20"/>
        <v>323.4567724</v>
      </c>
      <c r="I51" s="77">
        <v>2.0</v>
      </c>
      <c r="J51" s="78"/>
      <c r="K51" s="70"/>
      <c r="L51" s="59"/>
      <c r="M51" s="43"/>
      <c r="N51" s="71"/>
      <c r="O51" s="44"/>
      <c r="P51" s="44"/>
      <c r="Q51" s="44"/>
      <c r="R51" s="44"/>
      <c r="S51" s="44"/>
      <c r="T51" s="44"/>
      <c r="U51" s="35"/>
      <c r="V51" s="73"/>
      <c r="W51" s="34"/>
      <c r="X51" s="34"/>
      <c r="Y51" s="34"/>
      <c r="Z51" s="34"/>
      <c r="AA51" s="34"/>
      <c r="AB51" s="34"/>
      <c r="AC51" s="34"/>
      <c r="AD51" s="34"/>
      <c r="AE51" s="34"/>
    </row>
    <row r="52" ht="30.0" customHeight="1">
      <c r="A52" s="34"/>
      <c r="B52" s="84"/>
      <c r="C52" s="76" t="s">
        <v>55</v>
      </c>
      <c r="D52" s="66"/>
      <c r="E52" s="66"/>
      <c r="F52" s="67">
        <f>F50*1.3*E15</f>
        <v>462.5431846</v>
      </c>
      <c r="G52" s="67">
        <f t="shared" si="19"/>
        <v>370.0345476</v>
      </c>
      <c r="H52" s="67">
        <f t="shared" si="20"/>
        <v>350.4115034</v>
      </c>
      <c r="I52" s="77">
        <v>3.0</v>
      </c>
      <c r="J52" s="78"/>
      <c r="K52" s="70"/>
      <c r="L52" s="59"/>
      <c r="M52" s="43"/>
      <c r="N52" s="71"/>
      <c r="O52" s="44"/>
      <c r="P52" s="44"/>
      <c r="Q52" s="44"/>
      <c r="R52" s="44"/>
      <c r="S52" s="44"/>
      <c r="T52" s="44"/>
      <c r="U52" s="35"/>
      <c r="V52" s="73"/>
      <c r="W52" s="34"/>
      <c r="X52" s="34"/>
      <c r="Y52" s="34"/>
      <c r="Z52" s="34"/>
      <c r="AA52" s="34"/>
      <c r="AB52" s="34"/>
      <c r="AC52" s="34"/>
      <c r="AD52" s="34"/>
      <c r="AE52" s="34"/>
    </row>
    <row r="53" ht="30.0" customHeight="1">
      <c r="A53" s="34"/>
      <c r="B53" s="85"/>
      <c r="C53" s="76" t="s">
        <v>56</v>
      </c>
      <c r="D53" s="66"/>
      <c r="E53" s="66"/>
      <c r="F53" s="67">
        <v>0.0</v>
      </c>
      <c r="G53" s="67">
        <f t="shared" si="19"/>
        <v>0</v>
      </c>
      <c r="H53" s="67">
        <f t="shared" si="20"/>
        <v>0</v>
      </c>
      <c r="I53" s="77">
        <v>4.0</v>
      </c>
      <c r="J53" s="78"/>
      <c r="K53" s="70"/>
      <c r="L53" s="59"/>
      <c r="M53" s="43"/>
      <c r="N53" s="71"/>
      <c r="O53" s="44"/>
      <c r="P53" s="44"/>
      <c r="Q53" s="44"/>
      <c r="R53" s="44"/>
      <c r="S53" s="44"/>
      <c r="T53" s="44"/>
      <c r="U53" s="35"/>
      <c r="V53" s="73"/>
      <c r="W53" s="34"/>
      <c r="X53" s="34"/>
      <c r="Y53" s="34"/>
      <c r="Z53" s="34"/>
      <c r="AA53" s="34"/>
      <c r="AB53" s="34"/>
      <c r="AC53" s="34"/>
      <c r="AD53" s="34"/>
      <c r="AE53" s="34"/>
    </row>
    <row r="54" ht="30.75" customHeight="1">
      <c r="A54" s="34"/>
      <c r="B54" s="83">
        <f>B48+1</f>
        <v>11</v>
      </c>
      <c r="C54" s="74" t="s">
        <v>57</v>
      </c>
      <c r="D54" s="66"/>
      <c r="E54" s="66"/>
      <c r="F54" s="75"/>
      <c r="G54" s="67"/>
      <c r="H54" s="67"/>
      <c r="I54" s="68"/>
      <c r="J54" s="72" t="s">
        <v>58</v>
      </c>
      <c r="K54" s="70">
        <f>IF(J54="STEEL WINDOW FRAMES",IF(J12="2010-2013",H55*$J$11,IF(J12="2014-2021",G55*$J$11,IF(J12="2021-2023",F55*$J$11,0))),IF(J54="ALUMINIUM WINDOW FRAMES",IF(J12="2010-2013",H56*$J$11,IF(J12="2014-2021",G56*$J$11,IF(J12="2021-2023",F56*$J$11,0))),0))</f>
        <v>17850</v>
      </c>
      <c r="L54" s="59" t="str">
        <f>AVERAGE(#REF!)</f>
        <v>#REF!</v>
      </c>
      <c r="M54" s="43">
        <v>18800.0</v>
      </c>
      <c r="N54" s="71">
        <f>M54/$M$11</f>
        <v>233.3793103</v>
      </c>
      <c r="O54" s="44"/>
      <c r="P54" s="44"/>
      <c r="Q54" s="44"/>
      <c r="R54" s="44"/>
      <c r="S54" s="44"/>
      <c r="T54" s="44"/>
      <c r="U54" s="72" t="s">
        <v>23</v>
      </c>
      <c r="V54" s="73">
        <f>IF(U54="Delapidated",K54*0.6,IF(U54="Poor",K54*0.7,IF(U54="Fair",K54*0.8,IF(U54="Good",K54*0.85,IF(U54="Very Good",K54*0.9,IF(U54="Excellent",K54*1,IF(U54="Not Applicable",K54*1,0)))))))</f>
        <v>17850</v>
      </c>
      <c r="W54" s="34"/>
      <c r="X54" s="34"/>
      <c r="Y54" s="34"/>
      <c r="Z54" s="34"/>
      <c r="AA54" s="34"/>
      <c r="AB54" s="34"/>
      <c r="AC54" s="34"/>
      <c r="AD54" s="34"/>
      <c r="AE54" s="34"/>
    </row>
    <row r="55" ht="30.0" customHeight="1">
      <c r="A55" s="34"/>
      <c r="B55" s="84"/>
      <c r="C55" s="76" t="s">
        <v>59</v>
      </c>
      <c r="D55" s="66"/>
      <c r="E55" s="66"/>
      <c r="F55" s="93">
        <f>F56*0.3</f>
        <v>53.55</v>
      </c>
      <c r="G55" s="67">
        <f t="shared" ref="G55:G57" si="21">F55/$G$15</f>
        <v>42.84</v>
      </c>
      <c r="H55" s="67">
        <f t="shared" ref="H55:H57" si="22">F55/$H$15</f>
        <v>40.56818182</v>
      </c>
      <c r="I55" s="77">
        <v>1.0</v>
      </c>
      <c r="J55" s="78"/>
      <c r="K55" s="70"/>
      <c r="L55" s="59"/>
      <c r="M55" s="43"/>
      <c r="N55" s="71"/>
      <c r="O55" s="44"/>
      <c r="P55" s="44"/>
      <c r="Q55" s="44"/>
      <c r="R55" s="44"/>
      <c r="S55" s="44"/>
      <c r="T55" s="44"/>
      <c r="U55" s="35"/>
      <c r="V55" s="73"/>
      <c r="W55" s="34"/>
      <c r="X55" s="34"/>
      <c r="Y55" s="34"/>
      <c r="Z55" s="34"/>
      <c r="AA55" s="34"/>
      <c r="AB55" s="34"/>
      <c r="AC55" s="34"/>
      <c r="AD55" s="34"/>
      <c r="AE55" s="34"/>
    </row>
    <row r="56" ht="30.0" customHeight="1">
      <c r="A56" s="34"/>
      <c r="B56" s="84"/>
      <c r="C56" s="76" t="s">
        <v>58</v>
      </c>
      <c r="D56" s="66"/>
      <c r="E56" s="66"/>
      <c r="F56" s="67">
        <f>150*E15</f>
        <v>178.5</v>
      </c>
      <c r="G56" s="67">
        <f t="shared" si="21"/>
        <v>142.8</v>
      </c>
      <c r="H56" s="67">
        <f t="shared" si="22"/>
        <v>135.2272727</v>
      </c>
      <c r="I56" s="77">
        <v>2.0</v>
      </c>
      <c r="J56" s="78"/>
      <c r="K56" s="70"/>
      <c r="L56" s="59"/>
      <c r="M56" s="43"/>
      <c r="N56" s="71"/>
      <c r="O56" s="44"/>
      <c r="P56" s="44"/>
      <c r="Q56" s="44"/>
      <c r="R56" s="44"/>
      <c r="S56" s="44"/>
      <c r="T56" s="44"/>
      <c r="U56" s="35"/>
      <c r="V56" s="73"/>
      <c r="W56" s="34"/>
      <c r="X56" s="34"/>
      <c r="Y56" s="34"/>
      <c r="Z56" s="34"/>
      <c r="AA56" s="34"/>
      <c r="AB56" s="34"/>
      <c r="AC56" s="34"/>
      <c r="AD56" s="34"/>
      <c r="AE56" s="34"/>
    </row>
    <row r="57" ht="30.0" customHeight="1">
      <c r="A57" s="34"/>
      <c r="B57" s="85"/>
      <c r="C57" s="76" t="s">
        <v>60</v>
      </c>
      <c r="D57" s="66"/>
      <c r="E57" s="66"/>
      <c r="F57" s="67">
        <v>0.0</v>
      </c>
      <c r="G57" s="67">
        <f t="shared" si="21"/>
        <v>0</v>
      </c>
      <c r="H57" s="67">
        <f t="shared" si="22"/>
        <v>0</v>
      </c>
      <c r="I57" s="77">
        <v>3.0</v>
      </c>
      <c r="J57" s="78"/>
      <c r="K57" s="70"/>
      <c r="L57" s="59"/>
      <c r="M57" s="43"/>
      <c r="N57" s="71"/>
      <c r="O57" s="44"/>
      <c r="P57" s="44"/>
      <c r="Q57" s="44"/>
      <c r="R57" s="44"/>
      <c r="S57" s="44"/>
      <c r="T57" s="44"/>
      <c r="U57" s="35"/>
      <c r="V57" s="73"/>
      <c r="W57" s="34"/>
      <c r="X57" s="34"/>
      <c r="Y57" s="34"/>
      <c r="Z57" s="34"/>
      <c r="AA57" s="34"/>
      <c r="AB57" s="34"/>
      <c r="AC57" s="34"/>
      <c r="AD57" s="34"/>
      <c r="AE57" s="34"/>
    </row>
    <row r="58" ht="29.25" customHeight="1">
      <c r="A58" s="34"/>
      <c r="B58" s="83">
        <f>B54+1</f>
        <v>12</v>
      </c>
      <c r="C58" s="74" t="s">
        <v>61</v>
      </c>
      <c r="D58" s="66"/>
      <c r="E58" s="66"/>
      <c r="F58" s="75"/>
      <c r="G58" s="67"/>
      <c r="H58" s="67"/>
      <c r="I58" s="68"/>
      <c r="J58" s="72" t="s">
        <v>25</v>
      </c>
      <c r="K58" s="70">
        <f>IF(J58="YES",IF(J12="2010-2013",H59*$J$11,IF(J12="2014-2021",G59*$J$11,IF(J12="2021-2023",F59*$J$11,0))),0)</f>
        <v>30578.89655</v>
      </c>
      <c r="L58" s="59" t="str">
        <f>AVERAGE(#REF!)</f>
        <v>#REF!</v>
      </c>
      <c r="M58" s="43">
        <v>20700.0</v>
      </c>
      <c r="N58" s="71">
        <f>M58/$M$11</f>
        <v>256.9655172</v>
      </c>
      <c r="O58" s="44"/>
      <c r="P58" s="44"/>
      <c r="Q58" s="44"/>
      <c r="R58" s="44"/>
      <c r="S58" s="44"/>
      <c r="T58" s="44"/>
      <c r="U58" s="72" t="s">
        <v>23</v>
      </c>
      <c r="V58" s="73">
        <f>IF(U58="Delapidated",K58*0.6,IF(U58="Poor",K58*0.7,IF(U58="Fair",K58*0.8,IF(U58="Good",K58*0.85,IF(U58="Very Good",K58*0.9,IF(U58="Excellent",K58*1,IF(U58="Not Applicable",K58*1,0)))))))</f>
        <v>30578.89655</v>
      </c>
      <c r="W58" s="34"/>
      <c r="X58" s="34"/>
      <c r="Y58" s="34"/>
      <c r="Z58" s="34"/>
      <c r="AA58" s="34"/>
      <c r="AB58" s="34"/>
      <c r="AC58" s="34"/>
      <c r="AD58" s="34"/>
      <c r="AE58" s="34"/>
    </row>
    <row r="59" ht="30.0" customHeight="1">
      <c r="A59" s="34"/>
      <c r="B59" s="84"/>
      <c r="C59" s="76" t="s">
        <v>25</v>
      </c>
      <c r="D59" s="66"/>
      <c r="E59" s="66"/>
      <c r="F59" s="67">
        <f>256.965517241379*E15</f>
        <v>305.7889655</v>
      </c>
      <c r="G59" s="67">
        <f t="shared" ref="G59:G60" si="23">F59/$G$15</f>
        <v>244.6311724</v>
      </c>
      <c r="H59" s="67">
        <f t="shared" ref="H59:H60" si="24">F59/$H$15</f>
        <v>231.6583072</v>
      </c>
      <c r="I59" s="77">
        <v>1.0</v>
      </c>
      <c r="J59" s="78"/>
      <c r="K59" s="70"/>
      <c r="L59" s="59"/>
      <c r="M59" s="43"/>
      <c r="N59" s="71"/>
      <c r="O59" s="44"/>
      <c r="P59" s="44"/>
      <c r="Q59" s="44"/>
      <c r="R59" s="44"/>
      <c r="S59" s="44"/>
      <c r="T59" s="44"/>
      <c r="U59" s="35"/>
      <c r="V59" s="73"/>
      <c r="W59" s="34"/>
      <c r="X59" s="34"/>
      <c r="Y59" s="34"/>
      <c r="Z59" s="34"/>
      <c r="AA59" s="34"/>
      <c r="AB59" s="34"/>
      <c r="AC59" s="34"/>
      <c r="AD59" s="34"/>
      <c r="AE59" s="34"/>
    </row>
    <row r="60" ht="30.0" customHeight="1">
      <c r="A60" s="34"/>
      <c r="B60" s="85"/>
      <c r="C60" s="76" t="s">
        <v>26</v>
      </c>
      <c r="D60" s="66"/>
      <c r="E60" s="66"/>
      <c r="F60" s="67">
        <v>0.0</v>
      </c>
      <c r="G60" s="67">
        <f t="shared" si="23"/>
        <v>0</v>
      </c>
      <c r="H60" s="67">
        <f t="shared" si="24"/>
        <v>0</v>
      </c>
      <c r="I60" s="77">
        <v>2.0</v>
      </c>
      <c r="J60" s="78"/>
      <c r="K60" s="70"/>
      <c r="L60" s="59"/>
      <c r="M60" s="43"/>
      <c r="N60" s="71"/>
      <c r="O60" s="44"/>
      <c r="P60" s="44"/>
      <c r="Q60" s="44"/>
      <c r="R60" s="44"/>
      <c r="S60" s="44"/>
      <c r="T60" s="44"/>
      <c r="U60" s="35"/>
      <c r="V60" s="73"/>
      <c r="W60" s="34"/>
      <c r="X60" s="34"/>
      <c r="Y60" s="34"/>
      <c r="Z60" s="34"/>
      <c r="AA60" s="34"/>
      <c r="AB60" s="34"/>
      <c r="AC60" s="34"/>
      <c r="AD60" s="34"/>
      <c r="AE60" s="34"/>
    </row>
    <row r="61" ht="30.75" customHeight="1">
      <c r="A61" s="34"/>
      <c r="B61" s="83">
        <f>B58+1</f>
        <v>13</v>
      </c>
      <c r="C61" s="74" t="s">
        <v>62</v>
      </c>
      <c r="D61" s="66"/>
      <c r="E61" s="66"/>
      <c r="F61" s="75"/>
      <c r="G61" s="67"/>
      <c r="H61" s="67"/>
      <c r="I61" s="68"/>
      <c r="J61" s="72" t="s">
        <v>25</v>
      </c>
      <c r="K61" s="70">
        <f>IF(J61="YES",IF(J12="2010-2013",H62*$J$11,IF(J12="2014-2021",G62*$J$11,IF(J12="2021-2023",F62*$J$11,0))),0)</f>
        <v>7474.841379</v>
      </c>
      <c r="L61" s="59" t="str">
        <f>AVERAGE(#REF!)</f>
        <v>#REF!</v>
      </c>
      <c r="M61" s="43">
        <v>25300.0</v>
      </c>
      <c r="N61" s="71">
        <f>M61/$M$11</f>
        <v>314.0689655</v>
      </c>
      <c r="O61" s="44"/>
      <c r="P61" s="44"/>
      <c r="Q61" s="44"/>
      <c r="R61" s="44"/>
      <c r="S61" s="44"/>
      <c r="T61" s="44"/>
      <c r="U61" s="72" t="s">
        <v>23</v>
      </c>
      <c r="V61" s="73">
        <f>IF(U61="Delapidated",K61*0.6,IF(U61="Poor",K61*0.7,IF(U61="Fair",K61*0.8,IF(U61="Good",K61*0.85,IF(U61="Very Good",K61*0.9,IF(U61="Excellent",K61*1,IF(U61="Not Applicable",K61*1,0)))))))</f>
        <v>7474.841379</v>
      </c>
      <c r="W61" s="34"/>
      <c r="X61" s="34"/>
      <c r="Y61" s="34"/>
      <c r="Z61" s="34"/>
      <c r="AA61" s="34"/>
      <c r="AB61" s="34"/>
      <c r="AC61" s="34"/>
      <c r="AD61" s="34"/>
      <c r="AE61" s="34"/>
    </row>
    <row r="62" ht="30.0" customHeight="1">
      <c r="A62" s="34"/>
      <c r="B62" s="84"/>
      <c r="C62" s="76" t="s">
        <v>25</v>
      </c>
      <c r="D62" s="66"/>
      <c r="E62" s="66"/>
      <c r="F62" s="67">
        <f>314.068965517241*0.2*E15</f>
        <v>74.74841379</v>
      </c>
      <c r="G62" s="67">
        <f t="shared" ref="G62:G63" si="25">F62/$G$15</f>
        <v>59.79873103</v>
      </c>
      <c r="H62" s="67">
        <f t="shared" ref="H62:H63" si="26">F62/$H$15</f>
        <v>56.62758621</v>
      </c>
      <c r="I62" s="77">
        <v>1.0</v>
      </c>
      <c r="J62" s="78"/>
      <c r="K62" s="70"/>
      <c r="L62" s="59"/>
      <c r="M62" s="43"/>
      <c r="N62" s="71"/>
      <c r="O62" s="44"/>
      <c r="P62" s="44"/>
      <c r="Q62" s="44"/>
      <c r="R62" s="44"/>
      <c r="S62" s="44"/>
      <c r="T62" s="44"/>
      <c r="U62" s="35"/>
      <c r="V62" s="73"/>
      <c r="W62" s="34"/>
      <c r="X62" s="34"/>
      <c r="Y62" s="34"/>
      <c r="Z62" s="34"/>
      <c r="AA62" s="34"/>
      <c r="AB62" s="34"/>
      <c r="AC62" s="34"/>
      <c r="AD62" s="34"/>
      <c r="AE62" s="34"/>
    </row>
    <row r="63" ht="30.0" customHeight="1">
      <c r="A63" s="34"/>
      <c r="B63" s="85"/>
      <c r="C63" s="76" t="s">
        <v>26</v>
      </c>
      <c r="D63" s="66"/>
      <c r="E63" s="66"/>
      <c r="F63" s="67">
        <v>0.0</v>
      </c>
      <c r="G63" s="67">
        <f t="shared" si="25"/>
        <v>0</v>
      </c>
      <c r="H63" s="67">
        <f t="shared" si="26"/>
        <v>0</v>
      </c>
      <c r="I63" s="77">
        <v>2.0</v>
      </c>
      <c r="J63" s="86"/>
      <c r="K63" s="70"/>
      <c r="L63" s="59"/>
      <c r="M63" s="43"/>
      <c r="N63" s="71"/>
      <c r="O63" s="44"/>
      <c r="P63" s="44"/>
      <c r="Q63" s="44"/>
      <c r="R63" s="44"/>
      <c r="S63" s="44"/>
      <c r="T63" s="44"/>
      <c r="U63" s="35"/>
      <c r="V63" s="73"/>
      <c r="W63" s="34"/>
      <c r="X63" s="34"/>
      <c r="Y63" s="34"/>
      <c r="Z63" s="34"/>
      <c r="AA63" s="34"/>
      <c r="AB63" s="34"/>
      <c r="AC63" s="34"/>
      <c r="AD63" s="34"/>
      <c r="AE63" s="34"/>
    </row>
    <row r="64" ht="30.0" customHeight="1">
      <c r="A64" s="34"/>
      <c r="B64" s="44"/>
      <c r="C64" s="89" t="s">
        <v>63</v>
      </c>
      <c r="D64" s="66"/>
      <c r="E64" s="66"/>
      <c r="F64" s="67"/>
      <c r="G64" s="67"/>
      <c r="H64" s="67"/>
      <c r="I64" s="90"/>
      <c r="J64" s="94">
        <v>2.0</v>
      </c>
      <c r="K64" s="35"/>
      <c r="L64" s="59"/>
      <c r="M64" s="43"/>
      <c r="N64" s="71"/>
      <c r="O64" s="44"/>
      <c r="P64" s="44"/>
      <c r="Q64" s="44"/>
      <c r="R64" s="44"/>
      <c r="S64" s="44"/>
      <c r="T64" s="44"/>
      <c r="U64" s="35"/>
      <c r="V64" s="35"/>
      <c r="W64" s="34"/>
      <c r="X64" s="34"/>
      <c r="Y64" s="34"/>
      <c r="Z64" s="34"/>
      <c r="AA64" s="34"/>
      <c r="AB64" s="34"/>
      <c r="AC64" s="34"/>
      <c r="AD64" s="34"/>
      <c r="AE64" s="34"/>
    </row>
    <row r="65" ht="30.75" customHeight="1">
      <c r="A65" s="34"/>
      <c r="B65" s="83">
        <f>B61+1</f>
        <v>14</v>
      </c>
      <c r="C65" s="74" t="s">
        <v>64</v>
      </c>
      <c r="D65" s="66"/>
      <c r="E65" s="66"/>
      <c r="F65" s="75"/>
      <c r="G65" s="67"/>
      <c r="H65" s="67"/>
      <c r="I65" s="68"/>
      <c r="J65" s="95" t="s">
        <v>25</v>
      </c>
      <c r="K65" s="70">
        <f>IF(J65="YES",IF(J12="2010-2013",H66*J64,IF(J12="2014-2021",G66*J64,IF(J12="2021-2023",F66*J64,0))),0)</f>
        <v>44000</v>
      </c>
      <c r="L65" s="59" t="str">
        <f>AVERAGE(#REF!)</f>
        <v>#REF!</v>
      </c>
      <c r="M65" s="43">
        <f>35711.1111111111+1089</f>
        <v>36800.11111</v>
      </c>
      <c r="N65" s="71">
        <f>M65/$M$11</f>
        <v>456.8289655</v>
      </c>
      <c r="O65" s="44"/>
      <c r="P65" s="44"/>
      <c r="Q65" s="44"/>
      <c r="R65" s="44"/>
      <c r="S65" s="44"/>
      <c r="T65" s="44"/>
      <c r="U65" s="72" t="s">
        <v>23</v>
      </c>
      <c r="V65" s="73">
        <f>IF(U65="Delapidated",K65*0.6,IF(U65="Poor",K65*0.7,IF(U65="Fair",K65*0.8,IF(U65="Good",K65*0.85,IF(U65="Very Good",K65*0.9,IF(U65="Excellent",K65*1,IF(U65="Not Applicable",K65*1,0)))))))</f>
        <v>44000</v>
      </c>
      <c r="W65" s="34"/>
      <c r="X65" s="34"/>
      <c r="Y65" s="34"/>
      <c r="Z65" s="34"/>
      <c r="AA65" s="34"/>
      <c r="AB65" s="34"/>
      <c r="AC65" s="34"/>
      <c r="AD65" s="34"/>
      <c r="AE65" s="34"/>
    </row>
    <row r="66" ht="30.0" customHeight="1">
      <c r="A66" s="34"/>
      <c r="B66" s="83"/>
      <c r="C66" s="76" t="s">
        <v>25</v>
      </c>
      <c r="D66" s="66"/>
      <c r="E66" s="66"/>
      <c r="F66" s="67">
        <v>22000.0</v>
      </c>
      <c r="G66" s="67">
        <f t="shared" ref="G66:G67" si="27">F66/$G$15</f>
        <v>17600</v>
      </c>
      <c r="H66" s="67">
        <f t="shared" ref="H66:H67" si="28">F66/$H$15</f>
        <v>16666.66667</v>
      </c>
      <c r="I66" s="77">
        <v>1.0</v>
      </c>
      <c r="J66" s="78"/>
      <c r="K66" s="70"/>
      <c r="L66" s="59"/>
      <c r="M66" s="43"/>
      <c r="N66" s="71"/>
      <c r="O66" s="44"/>
      <c r="P66" s="44"/>
      <c r="Q66" s="44"/>
      <c r="R66" s="44"/>
      <c r="S66" s="44"/>
      <c r="T66" s="44"/>
      <c r="U66" s="35"/>
      <c r="V66" s="73"/>
      <c r="W66" s="34"/>
      <c r="X66" s="34"/>
      <c r="Y66" s="34"/>
      <c r="Z66" s="34"/>
      <c r="AA66" s="34"/>
      <c r="AB66" s="34"/>
      <c r="AC66" s="34"/>
      <c r="AD66" s="34"/>
      <c r="AE66" s="34"/>
    </row>
    <row r="67" ht="30.0" customHeight="1">
      <c r="A67" s="34"/>
      <c r="B67" s="83"/>
      <c r="C67" s="76" t="s">
        <v>26</v>
      </c>
      <c r="D67" s="66"/>
      <c r="E67" s="66"/>
      <c r="F67" s="67">
        <v>0.0</v>
      </c>
      <c r="G67" s="67">
        <f t="shared" si="27"/>
        <v>0</v>
      </c>
      <c r="H67" s="67">
        <f t="shared" si="28"/>
        <v>0</v>
      </c>
      <c r="I67" s="77">
        <v>2.0</v>
      </c>
      <c r="J67" s="78"/>
      <c r="K67" s="70"/>
      <c r="L67" s="59"/>
      <c r="M67" s="43"/>
      <c r="N67" s="71"/>
      <c r="O67" s="44"/>
      <c r="P67" s="44"/>
      <c r="Q67" s="44"/>
      <c r="R67" s="44"/>
      <c r="S67" s="44"/>
      <c r="T67" s="44"/>
      <c r="U67" s="35"/>
      <c r="V67" s="73"/>
      <c r="W67" s="34"/>
      <c r="X67" s="34"/>
      <c r="Y67" s="34"/>
      <c r="Z67" s="34"/>
      <c r="AA67" s="34"/>
      <c r="AB67" s="34"/>
      <c r="AC67" s="34"/>
      <c r="AD67" s="34"/>
      <c r="AE67" s="34"/>
    </row>
    <row r="68" ht="30.75" customHeight="1">
      <c r="A68" s="34"/>
      <c r="B68" s="83">
        <f>B65+1</f>
        <v>15</v>
      </c>
      <c r="C68" s="74" t="s">
        <v>65</v>
      </c>
      <c r="D68" s="66"/>
      <c r="E68" s="66"/>
      <c r="F68" s="75"/>
      <c r="G68" s="67"/>
      <c r="H68" s="67"/>
      <c r="I68" s="68"/>
      <c r="J68" s="72" t="s">
        <v>25</v>
      </c>
      <c r="K68" s="70">
        <f>IF(J68="YES",IF(J12="2010-2013",H69*$J$11,IF(J12="2014-2021",G69*$J$11,IF(J12="2021-2023",F69*$J$11,0))),0)</f>
        <v>18744.55172</v>
      </c>
      <c r="L68" s="59" t="str">
        <f>AVERAGE(#REF!)</f>
        <v>#REF!</v>
      </c>
      <c r="M68" s="43">
        <v>12688.8888888889</v>
      </c>
      <c r="N68" s="71">
        <f>M68/$M$11</f>
        <v>157.5172414</v>
      </c>
      <c r="O68" s="44"/>
      <c r="P68" s="44"/>
      <c r="Q68" s="44"/>
      <c r="R68" s="44"/>
      <c r="S68" s="44"/>
      <c r="T68" s="44"/>
      <c r="U68" s="72" t="s">
        <v>23</v>
      </c>
      <c r="V68" s="73">
        <f>IF(U68="Delapidated",K68*0.6,IF(U68="Poor",K68*0.7,IF(U68="Fair",K68*0.8,IF(U68="Good",K68*0.85,IF(U68="Very Good",K68*0.9,IF(U68="Excellent",K68*1,IF(U68="Not Applicable",K68*1,0)))))))</f>
        <v>18744.55172</v>
      </c>
      <c r="W68" s="34"/>
      <c r="X68" s="34"/>
      <c r="Y68" s="34"/>
      <c r="Z68" s="34"/>
      <c r="AA68" s="34"/>
      <c r="AB68" s="34"/>
      <c r="AC68" s="34"/>
      <c r="AD68" s="34"/>
      <c r="AE68" s="34"/>
    </row>
    <row r="69" ht="30.0" customHeight="1">
      <c r="A69" s="34"/>
      <c r="B69" s="84"/>
      <c r="C69" s="76" t="s">
        <v>25</v>
      </c>
      <c r="D69" s="66"/>
      <c r="E69" s="66"/>
      <c r="F69" s="67">
        <f>157.51724137931*E15</f>
        <v>187.4455172</v>
      </c>
      <c r="G69" s="67">
        <f t="shared" ref="G69:G70" si="29">F69/$G$15</f>
        <v>149.9564138</v>
      </c>
      <c r="H69" s="67">
        <f t="shared" ref="H69:H70" si="30">F69/$H$15</f>
        <v>142.0041797</v>
      </c>
      <c r="I69" s="77">
        <v>1.0</v>
      </c>
      <c r="J69" s="78"/>
      <c r="K69" s="70"/>
      <c r="L69" s="59"/>
      <c r="M69" s="43"/>
      <c r="N69" s="71"/>
      <c r="O69" s="44"/>
      <c r="P69" s="44"/>
      <c r="Q69" s="44"/>
      <c r="R69" s="44"/>
      <c r="S69" s="44"/>
      <c r="T69" s="44"/>
      <c r="U69" s="35"/>
      <c r="V69" s="73"/>
      <c r="W69" s="34"/>
      <c r="X69" s="34"/>
      <c r="Y69" s="34"/>
      <c r="Z69" s="34"/>
      <c r="AA69" s="34"/>
      <c r="AB69" s="34"/>
      <c r="AC69" s="34"/>
      <c r="AD69" s="34"/>
      <c r="AE69" s="34"/>
    </row>
    <row r="70" ht="30.0" customHeight="1">
      <c r="A70" s="34"/>
      <c r="B70" s="85"/>
      <c r="C70" s="76" t="s">
        <v>26</v>
      </c>
      <c r="D70" s="66"/>
      <c r="E70" s="66"/>
      <c r="F70" s="67">
        <v>0.0</v>
      </c>
      <c r="G70" s="67">
        <f t="shared" si="29"/>
        <v>0</v>
      </c>
      <c r="H70" s="67">
        <f t="shared" si="30"/>
        <v>0</v>
      </c>
      <c r="I70" s="77">
        <v>2.0</v>
      </c>
      <c r="J70" s="78"/>
      <c r="K70" s="70"/>
      <c r="L70" s="59"/>
      <c r="M70" s="43"/>
      <c r="N70" s="71"/>
      <c r="O70" s="44"/>
      <c r="P70" s="44"/>
      <c r="Q70" s="44"/>
      <c r="R70" s="44"/>
      <c r="S70" s="44"/>
      <c r="T70" s="44"/>
      <c r="U70" s="35"/>
      <c r="V70" s="73"/>
      <c r="W70" s="34"/>
      <c r="X70" s="34"/>
      <c r="Y70" s="34"/>
      <c r="Z70" s="34"/>
      <c r="AA70" s="34"/>
      <c r="AB70" s="34"/>
      <c r="AC70" s="34"/>
      <c r="AD70" s="34"/>
      <c r="AE70" s="34"/>
    </row>
    <row r="71" ht="29.25" customHeight="1">
      <c r="A71" s="34"/>
      <c r="B71" s="83">
        <f>B68+1</f>
        <v>16</v>
      </c>
      <c r="C71" s="74" t="s">
        <v>66</v>
      </c>
      <c r="D71" s="66"/>
      <c r="E71" s="66"/>
      <c r="F71" s="75"/>
      <c r="G71" s="67"/>
      <c r="H71" s="67"/>
      <c r="I71" s="68"/>
      <c r="J71" s="72" t="s">
        <v>25</v>
      </c>
      <c r="K71" s="70">
        <f>IF(J71="YES",IF(J12="2010-2013",H72*$J$11,IF(J12="2014-2021",G72*$J$11,IF(J12="2021-2023",F72*$J$11,0))),0)</f>
        <v>16660</v>
      </c>
      <c r="L71" s="59" t="str">
        <f>AVERAGE(#REF!)</f>
        <v>#REF!</v>
      </c>
      <c r="M71" s="43">
        <v>18333.3333333333</v>
      </c>
      <c r="N71" s="71">
        <f>M71/$M$11</f>
        <v>227.5862069</v>
      </c>
      <c r="O71" s="44"/>
      <c r="P71" s="44"/>
      <c r="Q71" s="44"/>
      <c r="R71" s="44"/>
      <c r="S71" s="44"/>
      <c r="T71" s="44"/>
      <c r="U71" s="72" t="s">
        <v>23</v>
      </c>
      <c r="V71" s="73">
        <f>IF(U71="Delapidated",K71*0.6,IF(U71="Poor",K71*0.7,IF(U71="Fair",K71*0.8,IF(U71="Good",K71*0.85,IF(U71="Very Good",K71*0.9,IF(U71="Excellent",K71*1,IF(U71="Not Applicable",K71*1,0)))))))</f>
        <v>16660</v>
      </c>
      <c r="W71" s="34"/>
      <c r="X71" s="34"/>
      <c r="Y71" s="34"/>
      <c r="Z71" s="34"/>
      <c r="AA71" s="34"/>
      <c r="AB71" s="34"/>
      <c r="AC71" s="34"/>
      <c r="AD71" s="34"/>
      <c r="AE71" s="34"/>
    </row>
    <row r="72" ht="30.0" customHeight="1">
      <c r="A72" s="34"/>
      <c r="B72" s="84"/>
      <c r="C72" s="76" t="s">
        <v>25</v>
      </c>
      <c r="D72" s="66"/>
      <c r="E72" s="66"/>
      <c r="F72" s="67">
        <f>140*E15</f>
        <v>166.6</v>
      </c>
      <c r="G72" s="67">
        <f t="shared" ref="G72:G73" si="31">F72/$G$15</f>
        <v>133.28</v>
      </c>
      <c r="H72" s="67">
        <f t="shared" ref="H72:H73" si="32">F72/$H$15</f>
        <v>126.2121212</v>
      </c>
      <c r="I72" s="77">
        <v>1.0</v>
      </c>
      <c r="J72" s="78"/>
      <c r="K72" s="70"/>
      <c r="L72" s="59"/>
      <c r="M72" s="43"/>
      <c r="N72" s="71"/>
      <c r="O72" s="44"/>
      <c r="P72" s="44"/>
      <c r="Q72" s="44"/>
      <c r="R72" s="44"/>
      <c r="S72" s="44"/>
      <c r="T72" s="44"/>
      <c r="U72" s="35"/>
      <c r="V72" s="73"/>
      <c r="W72" s="34"/>
      <c r="X72" s="34"/>
      <c r="Y72" s="34"/>
      <c r="Z72" s="34"/>
      <c r="AA72" s="34"/>
      <c r="AB72" s="34"/>
      <c r="AC72" s="34"/>
      <c r="AD72" s="34"/>
      <c r="AE72" s="34"/>
    </row>
    <row r="73" ht="30.0" customHeight="1">
      <c r="A73" s="34"/>
      <c r="B73" s="85"/>
      <c r="C73" s="76" t="s">
        <v>26</v>
      </c>
      <c r="D73" s="66"/>
      <c r="E73" s="66"/>
      <c r="F73" s="67">
        <v>0.0</v>
      </c>
      <c r="G73" s="67">
        <f t="shared" si="31"/>
        <v>0</v>
      </c>
      <c r="H73" s="67">
        <f t="shared" si="32"/>
        <v>0</v>
      </c>
      <c r="I73" s="77">
        <v>2.0</v>
      </c>
      <c r="J73" s="86"/>
      <c r="K73" s="70"/>
      <c r="L73" s="59"/>
      <c r="M73" s="43"/>
      <c r="N73" s="71"/>
      <c r="O73" s="44"/>
      <c r="P73" s="44"/>
      <c r="Q73" s="44"/>
      <c r="R73" s="44"/>
      <c r="S73" s="44"/>
      <c r="T73" s="44"/>
      <c r="U73" s="35"/>
      <c r="V73" s="73"/>
      <c r="W73" s="34"/>
      <c r="X73" s="34"/>
      <c r="Y73" s="34"/>
      <c r="Z73" s="34"/>
      <c r="AA73" s="34"/>
      <c r="AB73" s="34"/>
      <c r="AC73" s="34"/>
      <c r="AD73" s="34"/>
      <c r="AE73" s="34"/>
    </row>
    <row r="74" ht="30.0" customHeight="1">
      <c r="A74" s="34"/>
      <c r="B74" s="44"/>
      <c r="C74" s="89" t="s">
        <v>67</v>
      </c>
      <c r="D74" s="66"/>
      <c r="E74" s="66"/>
      <c r="F74" s="67"/>
      <c r="G74" s="67"/>
      <c r="H74" s="67"/>
      <c r="I74" s="90"/>
      <c r="J74" s="94">
        <v>1.0</v>
      </c>
      <c r="K74" s="35"/>
      <c r="L74" s="59"/>
      <c r="M74" s="43"/>
      <c r="N74" s="71"/>
      <c r="O74" s="44"/>
      <c r="P74" s="44"/>
      <c r="Q74" s="44"/>
      <c r="R74" s="44"/>
      <c r="S74" s="44"/>
      <c r="T74" s="44"/>
      <c r="U74" s="35"/>
      <c r="V74" s="35"/>
      <c r="W74" s="34"/>
      <c r="X74" s="34"/>
      <c r="Y74" s="34"/>
      <c r="Z74" s="34"/>
      <c r="AA74" s="34"/>
      <c r="AB74" s="34"/>
      <c r="AC74" s="34"/>
      <c r="AD74" s="34"/>
      <c r="AE74" s="34"/>
    </row>
    <row r="75" ht="30.75" customHeight="1">
      <c r="A75" s="17"/>
      <c r="B75" s="44">
        <f>B71+1</f>
        <v>17</v>
      </c>
      <c r="C75" s="96" t="s">
        <v>68</v>
      </c>
      <c r="D75" s="97"/>
      <c r="E75" s="97"/>
      <c r="F75" s="98"/>
      <c r="G75" s="67"/>
      <c r="H75" s="67"/>
      <c r="I75" s="68"/>
      <c r="J75" s="72" t="s">
        <v>26</v>
      </c>
      <c r="K75" s="58">
        <f>IF(J75="YES",IF(J12="2010-2013",H76*J74,IF(J12="2014-2021",G76*J74,IF(J12="2021-2023",F76*J74,0))),0)</f>
        <v>0</v>
      </c>
      <c r="L75" s="59"/>
      <c r="M75" s="60"/>
      <c r="N75" s="71"/>
      <c r="O75" s="61"/>
      <c r="P75" s="61"/>
      <c r="Q75" s="61"/>
      <c r="R75" s="61"/>
      <c r="S75" s="61"/>
      <c r="T75" s="61"/>
      <c r="U75" s="72" t="s">
        <v>23</v>
      </c>
      <c r="V75" s="99">
        <f>IF(U75="Delapidated",K75*0.6,IF(U75="Poor",K75*0.7,IF(U75="Fair",K75*0.8,IF(U75="Good",K75*0.85,IF(U75="Very Good",K75*0.9,IF(U75="Excellent",K75*1,IF(U75="Not Applicable",K75*1,0)))))))</f>
        <v>0</v>
      </c>
      <c r="W75" s="17"/>
      <c r="X75" s="17"/>
      <c r="Y75" s="17"/>
      <c r="Z75" s="17"/>
      <c r="AA75" s="17"/>
      <c r="AB75" s="17"/>
      <c r="AC75" s="17"/>
      <c r="AD75" s="17"/>
      <c r="AE75" s="17"/>
    </row>
    <row r="76" ht="30.0" customHeight="1">
      <c r="A76" s="17"/>
      <c r="B76" s="61"/>
      <c r="C76" s="100"/>
      <c r="D76" s="97"/>
      <c r="E76" s="97"/>
      <c r="F76" s="97">
        <v>5500.0</v>
      </c>
      <c r="G76" s="67">
        <f>F76/$G$15</f>
        <v>4400</v>
      </c>
      <c r="H76" s="67">
        <f>F76/$H$15</f>
        <v>4166.666667</v>
      </c>
      <c r="I76" s="101"/>
      <c r="J76" s="97"/>
      <c r="K76" s="102"/>
      <c r="L76" s="59"/>
      <c r="M76" s="60"/>
      <c r="N76" s="71"/>
      <c r="O76" s="61"/>
      <c r="P76" s="61"/>
      <c r="Q76" s="61"/>
      <c r="R76" s="61"/>
      <c r="S76" s="61"/>
      <c r="T76" s="61"/>
      <c r="U76" s="52"/>
      <c r="V76" s="99"/>
      <c r="W76" s="17"/>
      <c r="X76" s="17"/>
      <c r="Y76" s="17"/>
      <c r="Z76" s="17"/>
      <c r="AA76" s="17"/>
      <c r="AB76" s="17"/>
      <c r="AC76" s="17"/>
      <c r="AD76" s="17"/>
      <c r="AE76" s="17"/>
    </row>
    <row r="77" ht="30.0" customHeight="1">
      <c r="A77" s="17"/>
      <c r="B77" s="61"/>
      <c r="C77" s="100"/>
      <c r="D77" s="97"/>
      <c r="E77" s="97"/>
      <c r="F77" s="97"/>
      <c r="G77" s="67"/>
      <c r="H77" s="67"/>
      <c r="I77" s="101"/>
      <c r="J77" s="103"/>
      <c r="K77" s="102"/>
      <c r="L77" s="59"/>
      <c r="M77" s="60"/>
      <c r="N77" s="71"/>
      <c r="O77" s="61"/>
      <c r="P77" s="61"/>
      <c r="Q77" s="61"/>
      <c r="R77" s="61"/>
      <c r="S77" s="61"/>
      <c r="T77" s="61"/>
      <c r="U77" s="52"/>
      <c r="V77" s="99"/>
      <c r="W77" s="17"/>
      <c r="X77" s="17"/>
      <c r="Y77" s="17"/>
      <c r="Z77" s="17"/>
      <c r="AA77" s="17"/>
      <c r="AB77" s="17"/>
      <c r="AC77" s="17"/>
      <c r="AD77" s="17"/>
      <c r="AE77" s="17"/>
    </row>
    <row r="78" ht="30.0" customHeight="1">
      <c r="A78" s="17"/>
      <c r="B78" s="61"/>
      <c r="C78" s="100"/>
      <c r="D78" s="97"/>
      <c r="E78" s="97"/>
      <c r="F78" s="97"/>
      <c r="G78" s="67"/>
      <c r="H78" s="67"/>
      <c r="I78" s="101"/>
      <c r="J78" s="103"/>
      <c r="K78" s="102"/>
      <c r="L78" s="59"/>
      <c r="M78" s="60"/>
      <c r="N78" s="71"/>
      <c r="O78" s="61"/>
      <c r="P78" s="61"/>
      <c r="Q78" s="61"/>
      <c r="R78" s="61"/>
      <c r="S78" s="61"/>
      <c r="T78" s="61"/>
      <c r="U78" s="52"/>
      <c r="V78" s="99"/>
      <c r="W78" s="17"/>
      <c r="X78" s="17"/>
      <c r="Y78" s="17"/>
      <c r="Z78" s="17"/>
      <c r="AA78" s="17"/>
      <c r="AB78" s="17"/>
      <c r="AC78" s="17"/>
      <c r="AD78" s="17"/>
      <c r="AE78" s="17"/>
    </row>
    <row r="79" ht="27.0" customHeight="1">
      <c r="A79" s="17"/>
      <c r="B79" s="44"/>
      <c r="C79" s="100"/>
      <c r="D79" s="97"/>
      <c r="E79" s="97"/>
      <c r="F79" s="97"/>
      <c r="G79" s="67"/>
      <c r="H79" s="67"/>
      <c r="I79" s="101"/>
      <c r="J79" s="103"/>
      <c r="K79" s="102"/>
      <c r="L79" s="104"/>
      <c r="M79" s="60"/>
      <c r="N79" s="71"/>
      <c r="O79" s="61"/>
      <c r="P79" s="61"/>
      <c r="Q79" s="61"/>
      <c r="R79" s="61"/>
      <c r="S79" s="61"/>
      <c r="T79" s="61"/>
      <c r="U79" s="52"/>
      <c r="V79" s="102"/>
      <c r="W79" s="17"/>
      <c r="X79" s="17"/>
      <c r="Y79" s="17"/>
      <c r="Z79" s="17"/>
      <c r="AA79" s="17"/>
      <c r="AB79" s="17"/>
      <c r="AC79" s="17"/>
      <c r="AD79" s="17"/>
      <c r="AE79" s="17"/>
    </row>
    <row r="80" ht="27.0" customHeight="1">
      <c r="A80" s="17"/>
      <c r="B80" s="44"/>
      <c r="C80" s="105" t="s">
        <v>69</v>
      </c>
      <c r="D80" s="97"/>
      <c r="E80" s="97"/>
      <c r="F80" s="98"/>
      <c r="G80" s="67"/>
      <c r="H80" s="67"/>
      <c r="I80" s="90"/>
      <c r="J80" s="94">
        <v>15.0</v>
      </c>
      <c r="K80" s="106"/>
      <c r="L80" s="104"/>
      <c r="M80" s="60"/>
      <c r="N80" s="71"/>
      <c r="O80" s="61"/>
      <c r="P80" s="61"/>
      <c r="Q80" s="61"/>
      <c r="R80" s="61"/>
      <c r="S80" s="61"/>
      <c r="T80" s="61"/>
      <c r="U80" s="52"/>
      <c r="V80" s="102"/>
      <c r="W80" s="17"/>
      <c r="X80" s="17"/>
      <c r="Y80" s="17"/>
      <c r="Z80" s="17"/>
      <c r="AA80" s="17"/>
      <c r="AB80" s="17"/>
      <c r="AC80" s="17"/>
      <c r="AD80" s="17"/>
      <c r="AE80" s="17"/>
    </row>
    <row r="81" ht="27.0" customHeight="1">
      <c r="A81" s="17"/>
      <c r="B81" s="44">
        <f>B75+1</f>
        <v>18</v>
      </c>
      <c r="C81" s="74" t="s">
        <v>70</v>
      </c>
      <c r="D81" s="97"/>
      <c r="E81" s="97"/>
      <c r="F81" s="98"/>
      <c r="G81" s="67"/>
      <c r="H81" s="67"/>
      <c r="I81" s="77"/>
      <c r="J81" s="107" t="s">
        <v>26</v>
      </c>
      <c r="K81" s="58">
        <f>IF(J81="YES",IF(J12="2010-2013",H82*J80,IF(J12="2014-2021",G82*J80,IF(J12="2021-2023",F82*J80,0))),0)</f>
        <v>0</v>
      </c>
      <c r="L81" s="59"/>
      <c r="M81" s="60"/>
      <c r="N81" s="71"/>
      <c r="O81" s="61"/>
      <c r="P81" s="61"/>
      <c r="Q81" s="61"/>
      <c r="R81" s="61"/>
      <c r="S81" s="61"/>
      <c r="T81" s="61"/>
      <c r="U81" s="72" t="s">
        <v>23</v>
      </c>
      <c r="V81" s="99">
        <f>IF(U81="Delapidated",K81*0.6,IF(U81="Poor",K81*0.7,IF(U81="Fair",K81*0.8,IF(U81="Good",K81*0.85,IF(U81="Very Good",K81*0.9,IF(U81="Excellent",K81*1,IF(U81="Not Applicable",K81*1,0)))))))</f>
        <v>0</v>
      </c>
      <c r="W81" s="17"/>
      <c r="X81" s="17"/>
      <c r="Y81" s="17"/>
      <c r="Z81" s="17"/>
      <c r="AA81" s="17"/>
      <c r="AB81" s="17"/>
      <c r="AC81" s="17"/>
      <c r="AD81" s="17"/>
      <c r="AE81" s="17"/>
    </row>
    <row r="82" ht="30.0" customHeight="1">
      <c r="A82" s="17"/>
      <c r="B82" s="108"/>
      <c r="C82" s="109" t="s">
        <v>25</v>
      </c>
      <c r="D82" s="110"/>
      <c r="E82" s="110"/>
      <c r="F82" s="111">
        <f>2500*E15</f>
        <v>2975</v>
      </c>
      <c r="G82" s="112">
        <f>F82/$G$15</f>
        <v>2380</v>
      </c>
      <c r="H82" s="112">
        <f>F82/$H$15</f>
        <v>2253.787879</v>
      </c>
      <c r="I82" s="113">
        <v>1.0</v>
      </c>
      <c r="J82" s="114"/>
      <c r="K82" s="115"/>
      <c r="L82" s="116"/>
      <c r="M82" s="117"/>
      <c r="N82" s="118"/>
      <c r="O82" s="119"/>
      <c r="P82" s="119"/>
      <c r="Q82" s="119"/>
      <c r="R82" s="119"/>
      <c r="S82" s="119"/>
      <c r="T82" s="119"/>
      <c r="U82" s="119"/>
      <c r="V82" s="120"/>
      <c r="W82" s="17"/>
      <c r="X82" s="17"/>
      <c r="Y82" s="17"/>
      <c r="Z82" s="17"/>
      <c r="AA82" s="17"/>
      <c r="AB82" s="17"/>
      <c r="AC82" s="17"/>
      <c r="AD82" s="17"/>
      <c r="AE82" s="17"/>
    </row>
    <row r="83" ht="30.0" customHeight="1">
      <c r="A83" s="17"/>
      <c r="B83" s="44"/>
      <c r="C83" s="121" t="s">
        <v>26</v>
      </c>
      <c r="D83" s="97"/>
      <c r="E83" s="97"/>
      <c r="F83" s="98"/>
      <c r="G83" s="98"/>
      <c r="H83" s="98"/>
      <c r="I83" s="77">
        <v>2.0</v>
      </c>
      <c r="J83" s="122"/>
      <c r="K83" s="123"/>
      <c r="L83" s="124"/>
      <c r="M83" s="117"/>
      <c r="N83" s="118"/>
      <c r="O83" s="119"/>
      <c r="P83" s="119"/>
      <c r="Q83" s="119"/>
      <c r="R83" s="119"/>
      <c r="S83" s="119"/>
      <c r="T83" s="119"/>
      <c r="U83" s="119"/>
      <c r="V83" s="125"/>
      <c r="W83" s="17"/>
      <c r="X83" s="17"/>
      <c r="Y83" s="17"/>
      <c r="Z83" s="17"/>
      <c r="AA83" s="17"/>
      <c r="AB83" s="17"/>
      <c r="AC83" s="17"/>
      <c r="AD83" s="17"/>
      <c r="AE83" s="17"/>
    </row>
    <row r="84" ht="18.0" customHeight="1">
      <c r="A84" s="17"/>
      <c r="B84" s="20"/>
      <c r="C84" s="126"/>
      <c r="D84" s="127"/>
      <c r="E84" s="127"/>
      <c r="F84" s="127"/>
      <c r="G84" s="127"/>
      <c r="H84" s="127"/>
      <c r="I84" s="128"/>
      <c r="J84" s="127"/>
      <c r="K84" s="115"/>
      <c r="L84" s="129"/>
      <c r="M84" s="117"/>
      <c r="N84" s="118"/>
      <c r="O84" s="119"/>
      <c r="P84" s="119"/>
      <c r="Q84" s="119"/>
      <c r="R84" s="119"/>
      <c r="S84" s="119"/>
      <c r="T84" s="119"/>
      <c r="U84" s="119"/>
      <c r="V84" s="130"/>
      <c r="W84" s="17"/>
      <c r="X84" s="17"/>
      <c r="Y84" s="17"/>
      <c r="Z84" s="17"/>
      <c r="AA84" s="17"/>
      <c r="AB84" s="17"/>
      <c r="AC84" s="17"/>
      <c r="AD84" s="17"/>
      <c r="AE84" s="17"/>
    </row>
    <row r="85" ht="19.5" customHeight="1">
      <c r="A85" s="17"/>
      <c r="B85" s="20"/>
      <c r="C85" s="126"/>
      <c r="D85" s="127"/>
      <c r="E85" s="127"/>
      <c r="F85" s="127"/>
      <c r="G85" s="127"/>
      <c r="H85" s="127"/>
      <c r="I85" s="128"/>
      <c r="J85" s="127"/>
      <c r="K85" s="115"/>
      <c r="L85" s="129"/>
      <c r="M85" s="117"/>
      <c r="N85" s="118"/>
      <c r="O85" s="119"/>
      <c r="P85" s="119"/>
      <c r="Q85" s="119"/>
      <c r="R85" s="119"/>
      <c r="S85" s="119"/>
      <c r="T85" s="119"/>
      <c r="U85" s="119"/>
      <c r="V85" s="130"/>
      <c r="W85" s="17"/>
      <c r="X85" s="17"/>
      <c r="Y85" s="17"/>
      <c r="Z85" s="17"/>
      <c r="AA85" s="17"/>
      <c r="AB85" s="17"/>
      <c r="AC85" s="17"/>
      <c r="AD85" s="17"/>
      <c r="AE85" s="17"/>
    </row>
    <row r="86" ht="30.0" customHeight="1">
      <c r="A86" s="88"/>
      <c r="B86" s="131"/>
      <c r="C86" s="132" t="s">
        <v>71</v>
      </c>
      <c r="D86" s="133"/>
      <c r="E86" s="133"/>
      <c r="F86" s="133">
        <v>4266.89103448276</v>
      </c>
      <c r="G86" s="133"/>
      <c r="H86" s="133"/>
      <c r="I86" s="133"/>
      <c r="J86" s="133"/>
      <c r="K86" s="134"/>
      <c r="L86" s="135" t="str">
        <f>AVERAGE(#REF!)</f>
        <v>#REF!</v>
      </c>
      <c r="M86" s="136">
        <f>SUM(M17:M71)</f>
        <v>396488</v>
      </c>
      <c r="N86" s="118">
        <f>M86/$M$11</f>
        <v>4921.92</v>
      </c>
      <c r="O86" s="20"/>
      <c r="P86" s="20"/>
      <c r="Q86" s="20"/>
      <c r="R86" s="20"/>
      <c r="S86" s="20"/>
      <c r="T86" s="20"/>
      <c r="U86" s="20"/>
      <c r="V86" s="137"/>
      <c r="W86" s="34"/>
      <c r="X86" s="34"/>
      <c r="Y86" s="34"/>
      <c r="Z86" s="34"/>
      <c r="AA86" s="34"/>
      <c r="AB86" s="34"/>
      <c r="AC86" s="34"/>
      <c r="AD86" s="34"/>
      <c r="AE86" s="34"/>
    </row>
    <row r="87" ht="30.0" customHeight="1">
      <c r="A87" s="17"/>
      <c r="B87" s="20"/>
      <c r="C87" s="138" t="s">
        <v>72</v>
      </c>
      <c r="D87" s="118"/>
      <c r="E87" s="118"/>
      <c r="F87" s="118"/>
      <c r="G87" s="118"/>
      <c r="H87" s="118"/>
      <c r="I87" s="118"/>
      <c r="J87" s="118"/>
      <c r="K87" s="137"/>
      <c r="L87" s="135"/>
      <c r="M87" s="117"/>
      <c r="N87" s="118"/>
      <c r="O87" s="119"/>
      <c r="P87" s="119"/>
      <c r="Q87" s="119"/>
      <c r="R87" s="119"/>
      <c r="S87" s="119"/>
      <c r="T87" s="119"/>
      <c r="U87" s="119"/>
      <c r="V87" s="115"/>
      <c r="W87" s="17"/>
      <c r="X87" s="17"/>
      <c r="Y87" s="17"/>
      <c r="Z87" s="17"/>
      <c r="AA87" s="17"/>
      <c r="AB87" s="17"/>
      <c r="AC87" s="17"/>
      <c r="AD87" s="17"/>
      <c r="AE87" s="17"/>
    </row>
    <row r="88" ht="30.0" customHeight="1">
      <c r="A88" s="17"/>
      <c r="B88" s="119"/>
      <c r="C88" s="119"/>
      <c r="D88" s="127"/>
      <c r="E88" s="127"/>
      <c r="F88" s="127"/>
      <c r="G88" s="127"/>
      <c r="H88" s="127"/>
      <c r="I88" s="127"/>
      <c r="J88" s="127"/>
      <c r="K88" s="115"/>
      <c r="L88" s="135"/>
      <c r="M88" s="117"/>
      <c r="N88" s="118"/>
      <c r="O88" s="119"/>
      <c r="P88" s="119"/>
      <c r="Q88" s="119"/>
      <c r="R88" s="119"/>
      <c r="S88" s="119"/>
      <c r="T88" s="119"/>
      <c r="U88" s="119"/>
      <c r="V88" s="115"/>
      <c r="W88" s="17"/>
      <c r="X88" s="17"/>
      <c r="Y88" s="17"/>
      <c r="Z88" s="17"/>
      <c r="AA88" s="17"/>
      <c r="AB88" s="17"/>
      <c r="AC88" s="17"/>
      <c r="AD88" s="17"/>
      <c r="AE88" s="17"/>
    </row>
    <row r="89" ht="30.0" customHeight="1">
      <c r="A89" s="17"/>
      <c r="B89" s="131"/>
      <c r="C89" s="132" t="s">
        <v>71</v>
      </c>
      <c r="D89" s="133"/>
      <c r="E89" s="133"/>
      <c r="F89" s="133">
        <v>4266.89103448276</v>
      </c>
      <c r="G89" s="133"/>
      <c r="H89" s="133"/>
      <c r="I89" s="133"/>
      <c r="J89" s="133"/>
      <c r="K89" s="134"/>
      <c r="L89" s="135" t="str">
        <f t="shared" ref="L89:L91" si="33">AVERAGE(#REF!)</f>
        <v>#REF!</v>
      </c>
      <c r="M89" s="117">
        <f>M86</f>
        <v>396488</v>
      </c>
      <c r="N89" s="118">
        <f>M89/$M$11</f>
        <v>4921.92</v>
      </c>
      <c r="O89" s="119"/>
      <c r="P89" s="119"/>
      <c r="Q89" s="119"/>
      <c r="R89" s="119"/>
      <c r="S89" s="119"/>
      <c r="T89" s="119"/>
      <c r="U89" s="119"/>
      <c r="V89" s="115"/>
      <c r="W89" s="17"/>
      <c r="X89" s="17"/>
      <c r="Y89" s="17"/>
      <c r="Z89" s="17"/>
      <c r="AA89" s="17"/>
      <c r="AB89" s="17"/>
      <c r="AC89" s="17"/>
      <c r="AD89" s="17"/>
      <c r="AE89" s="17"/>
    </row>
    <row r="90" ht="30.0" customHeight="1">
      <c r="A90" s="17"/>
      <c r="B90" s="139"/>
      <c r="C90" s="139" t="s">
        <v>73</v>
      </c>
      <c r="D90" s="140"/>
      <c r="E90" s="140"/>
      <c r="F90" s="140"/>
      <c r="G90" s="140"/>
      <c r="H90" s="140"/>
      <c r="I90" s="140"/>
      <c r="J90" s="140"/>
      <c r="K90" s="141"/>
      <c r="L90" s="135" t="str">
        <f t="shared" si="33"/>
        <v>#REF!</v>
      </c>
      <c r="M90" s="117">
        <v>0.0</v>
      </c>
      <c r="N90" s="118"/>
      <c r="O90" s="119"/>
      <c r="P90" s="119"/>
      <c r="Q90" s="119"/>
      <c r="R90" s="119"/>
      <c r="S90" s="119"/>
      <c r="T90" s="119"/>
      <c r="U90" s="119"/>
      <c r="V90" s="115"/>
      <c r="W90" s="17"/>
      <c r="X90" s="17"/>
      <c r="Y90" s="17"/>
      <c r="Z90" s="17"/>
      <c r="AA90" s="17"/>
      <c r="AB90" s="17"/>
      <c r="AC90" s="17"/>
      <c r="AD90" s="17"/>
      <c r="AE90" s="17"/>
    </row>
    <row r="91" ht="45.0" customHeight="1">
      <c r="A91" s="17"/>
      <c r="B91" s="142"/>
      <c r="C91" s="119"/>
      <c r="D91" s="143"/>
      <c r="E91" s="143"/>
      <c r="F91" s="143">
        <v>4266.89655172413</v>
      </c>
      <c r="G91" s="143"/>
      <c r="H91" s="143"/>
      <c r="I91" s="143"/>
      <c r="J91" s="144" t="s">
        <v>74</v>
      </c>
      <c r="K91" s="145">
        <f>SUM(K17:K81)</f>
        <v>458738.2234</v>
      </c>
      <c r="L91" s="135" t="str">
        <f t="shared" si="33"/>
        <v>#REF!</v>
      </c>
      <c r="M91" s="117">
        <v>343722.222222222</v>
      </c>
      <c r="N91" s="118">
        <f>M91/$M$11</f>
        <v>4266.896552</v>
      </c>
      <c r="O91" s="119"/>
      <c r="P91" s="119"/>
      <c r="Q91" s="119"/>
      <c r="R91" s="119"/>
      <c r="S91" s="119"/>
      <c r="T91" s="119"/>
      <c r="U91" s="119"/>
      <c r="V91" s="146">
        <f>SUM(V17:V81)</f>
        <v>458738.2234</v>
      </c>
      <c r="W91" s="17"/>
      <c r="X91" s="17"/>
      <c r="Y91" s="17"/>
      <c r="Z91" s="17"/>
      <c r="AA91" s="17"/>
      <c r="AB91" s="17"/>
      <c r="AC91" s="17"/>
      <c r="AD91" s="17"/>
      <c r="AE91" s="17"/>
    </row>
    <row r="92" ht="42.0" customHeight="1">
      <c r="A92" s="147"/>
      <c r="B92" s="119"/>
      <c r="C92" s="119"/>
      <c r="D92" s="148"/>
      <c r="E92" s="148"/>
      <c r="F92" s="148"/>
      <c r="G92" s="148"/>
      <c r="H92" s="148"/>
      <c r="I92" s="148"/>
      <c r="J92" s="144" t="s">
        <v>75</v>
      </c>
      <c r="K92" s="145">
        <f>K91/J11</f>
        <v>4587.382234</v>
      </c>
      <c r="L92" s="119" t="str">
        <f t="shared" ref="L92:M92" si="34">L91/L11</f>
        <v>#REF!</v>
      </c>
      <c r="M92" s="117">
        <f t="shared" si="34"/>
        <v>4266.896552</v>
      </c>
      <c r="N92" s="118"/>
      <c r="O92" s="119"/>
      <c r="P92" s="119"/>
      <c r="Q92" s="119"/>
      <c r="R92" s="119"/>
      <c r="S92" s="119"/>
      <c r="T92" s="119"/>
      <c r="U92" s="119"/>
      <c r="V92" s="146">
        <f>V91/J11</f>
        <v>4587.382234</v>
      </c>
      <c r="W92" s="147"/>
      <c r="X92" s="147"/>
      <c r="Y92" s="147"/>
      <c r="Z92" s="147"/>
      <c r="AA92" s="147"/>
      <c r="AB92" s="147"/>
      <c r="AC92" s="147"/>
      <c r="AD92" s="147"/>
      <c r="AE92" s="147"/>
    </row>
    <row r="93" ht="42.0" customHeight="1">
      <c r="A93" s="147"/>
      <c r="B93" s="119"/>
      <c r="C93" s="119"/>
      <c r="D93" s="148"/>
      <c r="E93" s="148"/>
      <c r="F93" s="148"/>
      <c r="G93" s="148"/>
      <c r="H93" s="148"/>
      <c r="I93" s="148"/>
      <c r="J93" s="144"/>
      <c r="K93" s="149"/>
      <c r="L93" s="119"/>
      <c r="M93" s="117"/>
      <c r="N93" s="118"/>
      <c r="O93" s="119"/>
      <c r="P93" s="119"/>
      <c r="Q93" s="119"/>
      <c r="R93" s="119"/>
      <c r="S93" s="119"/>
      <c r="T93" s="119"/>
      <c r="U93" s="119"/>
      <c r="V93" s="149"/>
      <c r="W93" s="147"/>
      <c r="X93" s="147"/>
      <c r="Y93" s="147"/>
      <c r="Z93" s="147"/>
      <c r="AA93" s="147"/>
      <c r="AB93" s="147"/>
      <c r="AC93" s="147"/>
      <c r="AD93" s="147"/>
      <c r="AE93" s="147"/>
    </row>
    <row r="94" ht="45.0" customHeight="1">
      <c r="A94" s="17"/>
      <c r="B94" s="142"/>
      <c r="C94" s="119"/>
      <c r="D94" s="143"/>
      <c r="E94" s="143"/>
      <c r="F94" s="143">
        <v>4266.89655172413</v>
      </c>
      <c r="G94" s="143"/>
      <c r="H94" s="143"/>
      <c r="I94" s="143"/>
      <c r="J94" s="144" t="s">
        <v>76</v>
      </c>
      <c r="K94" s="150">
        <f>K91/1.14</f>
        <v>402401.9504</v>
      </c>
      <c r="L94" s="135" t="str">
        <f>AVERAGE(#REF!)</f>
        <v>#REF!</v>
      </c>
      <c r="M94" s="117">
        <v>343722.222222222</v>
      </c>
      <c r="N94" s="118">
        <f>M94/$M$11</f>
        <v>4266.896552</v>
      </c>
      <c r="O94" s="119"/>
      <c r="P94" s="119"/>
      <c r="Q94" s="119"/>
      <c r="R94" s="119"/>
      <c r="S94" s="119"/>
      <c r="T94" s="119"/>
      <c r="U94" s="119"/>
      <c r="V94" s="150">
        <f>V91/1.14</f>
        <v>402401.9504</v>
      </c>
      <c r="W94" s="17"/>
      <c r="X94" s="17"/>
      <c r="Y94" s="17"/>
      <c r="Z94" s="17"/>
      <c r="AA94" s="17"/>
      <c r="AB94" s="17"/>
      <c r="AC94" s="17"/>
      <c r="AD94" s="17"/>
      <c r="AE94" s="17"/>
    </row>
    <row r="95" ht="42.0" customHeight="1">
      <c r="A95" s="147"/>
      <c r="B95" s="119"/>
      <c r="C95" s="119"/>
      <c r="D95" s="148"/>
      <c r="E95" s="148"/>
      <c r="F95" s="148"/>
      <c r="G95" s="148"/>
      <c r="H95" s="148"/>
      <c r="I95" s="148"/>
      <c r="J95" s="144" t="s">
        <v>77</v>
      </c>
      <c r="K95" s="150">
        <f>K94/J11</f>
        <v>4024.019504</v>
      </c>
      <c r="L95" s="119" t="str">
        <f t="shared" ref="L95:M95" si="35">L94/L14</f>
        <v>#REF!</v>
      </c>
      <c r="M95" s="117" t="str">
        <f t="shared" si="35"/>
        <v>#DIV/0!</v>
      </c>
      <c r="N95" s="118"/>
      <c r="O95" s="119"/>
      <c r="P95" s="119"/>
      <c r="Q95" s="119"/>
      <c r="R95" s="119"/>
      <c r="S95" s="119"/>
      <c r="T95" s="119"/>
      <c r="U95" s="119"/>
      <c r="V95" s="150">
        <f>V94/J11</f>
        <v>4024.019504</v>
      </c>
      <c r="W95" s="147"/>
      <c r="X95" s="147"/>
      <c r="Y95" s="147"/>
      <c r="Z95" s="147"/>
      <c r="AA95" s="147"/>
      <c r="AB95" s="147"/>
      <c r="AC95" s="147"/>
      <c r="AD95" s="147"/>
      <c r="AE95" s="147"/>
    </row>
    <row r="96" ht="12.0" customHeight="1">
      <c r="B96" s="1"/>
      <c r="K96" s="2"/>
      <c r="M96" s="3"/>
      <c r="V96" s="2"/>
    </row>
    <row r="97" ht="12.0" customHeight="1">
      <c r="B97" s="1"/>
      <c r="K97" s="2"/>
      <c r="M97" s="3"/>
      <c r="V97" s="2"/>
    </row>
    <row r="98" ht="12.0" customHeight="1">
      <c r="B98" s="1"/>
      <c r="K98" s="2"/>
      <c r="M98" s="3"/>
      <c r="V98" s="2"/>
    </row>
    <row r="99" ht="12.0" customHeight="1">
      <c r="B99" s="1"/>
      <c r="K99" s="2"/>
      <c r="M99" s="3"/>
      <c r="V99" s="2"/>
    </row>
    <row r="100" ht="12.0" customHeight="1">
      <c r="B100" s="1"/>
      <c r="K100" s="2"/>
      <c r="M100" s="3"/>
      <c r="V100" s="2"/>
    </row>
    <row r="101" ht="12.0" customHeight="1">
      <c r="B101" s="1"/>
      <c r="K101" s="2"/>
      <c r="M101" s="3"/>
      <c r="V101" s="2"/>
    </row>
    <row r="102" ht="12.0" customHeight="1">
      <c r="B102" s="1"/>
      <c r="K102" s="2"/>
      <c r="M102" s="3"/>
      <c r="V102" s="2"/>
    </row>
    <row r="103" ht="12.0" customHeight="1">
      <c r="B103" s="1"/>
      <c r="K103" s="2"/>
      <c r="M103" s="3"/>
      <c r="V103" s="2"/>
    </row>
    <row r="104" ht="12.0" customHeight="1">
      <c r="B104" s="1"/>
      <c r="K104" s="2"/>
      <c r="M104" s="3"/>
      <c r="V104" s="2"/>
    </row>
    <row r="105" ht="12.0" customHeight="1">
      <c r="B105" s="1"/>
      <c r="K105" s="2"/>
      <c r="M105" s="3"/>
      <c r="V105" s="2"/>
    </row>
    <row r="106" ht="12.0" customHeight="1">
      <c r="B106" s="1"/>
      <c r="K106" s="2"/>
      <c r="M106" s="3"/>
      <c r="V106" s="2"/>
    </row>
    <row r="107" ht="12.0" customHeight="1">
      <c r="B107" s="1"/>
      <c r="K107" s="2"/>
      <c r="M107" s="3"/>
      <c r="V107" s="2"/>
    </row>
    <row r="108" ht="12.0" customHeight="1">
      <c r="B108" s="1"/>
      <c r="K108" s="2"/>
      <c r="M108" s="3"/>
      <c r="V108" s="2"/>
    </row>
    <row r="109" ht="12.0" customHeight="1">
      <c r="B109" s="1"/>
      <c r="K109" s="2"/>
      <c r="M109" s="3"/>
      <c r="V109" s="2"/>
    </row>
    <row r="110" ht="12.0" customHeight="1">
      <c r="B110" s="1"/>
      <c r="K110" s="2"/>
      <c r="M110" s="3"/>
      <c r="V110" s="2"/>
    </row>
    <row r="111" ht="12.0" customHeight="1">
      <c r="B111" s="1"/>
      <c r="K111" s="2"/>
      <c r="M111" s="3"/>
      <c r="V111" s="2"/>
    </row>
    <row r="112" ht="12.0" customHeight="1">
      <c r="B112" s="1"/>
      <c r="K112" s="2"/>
      <c r="M112" s="3"/>
      <c r="V112" s="2"/>
    </row>
    <row r="113" ht="12.0" customHeight="1">
      <c r="B113" s="1"/>
      <c r="K113" s="2"/>
      <c r="M113" s="3"/>
      <c r="V113" s="2"/>
    </row>
    <row r="114" ht="12.0" customHeight="1">
      <c r="B114" s="1"/>
      <c r="K114" s="2"/>
      <c r="M114" s="3"/>
      <c r="V114" s="2"/>
    </row>
    <row r="115" ht="12.0" customHeight="1">
      <c r="B115" s="1"/>
      <c r="K115" s="2"/>
      <c r="M115" s="3"/>
      <c r="V115" s="2"/>
    </row>
    <row r="116" ht="12.0" customHeight="1">
      <c r="B116" s="1"/>
      <c r="K116" s="2"/>
      <c r="M116" s="3"/>
      <c r="V116" s="2"/>
    </row>
    <row r="117" ht="12.0" customHeight="1">
      <c r="B117" s="1"/>
      <c r="K117" s="2"/>
      <c r="M117" s="3"/>
      <c r="V117" s="2"/>
    </row>
    <row r="118" ht="12.0" customHeight="1">
      <c r="B118" s="1"/>
      <c r="K118" s="2"/>
      <c r="M118" s="3"/>
      <c r="V118" s="2"/>
    </row>
    <row r="119" ht="12.0" customHeight="1">
      <c r="B119" s="1"/>
      <c r="K119" s="2"/>
      <c r="M119" s="3"/>
      <c r="V119" s="2"/>
    </row>
    <row r="120" ht="12.0" customHeight="1">
      <c r="B120" s="1"/>
      <c r="K120" s="2"/>
      <c r="M120" s="3"/>
      <c r="V120" s="2"/>
    </row>
    <row r="121" ht="12.0" customHeight="1">
      <c r="B121" s="1"/>
      <c r="K121" s="2"/>
      <c r="M121" s="3"/>
      <c r="V121" s="2"/>
    </row>
    <row r="122" ht="12.0" customHeight="1">
      <c r="B122" s="1"/>
      <c r="K122" s="2"/>
      <c r="M122" s="3"/>
      <c r="V122" s="2"/>
    </row>
    <row r="123" ht="12.0" customHeight="1">
      <c r="B123" s="1"/>
      <c r="K123" s="2"/>
      <c r="M123" s="3"/>
      <c r="V123" s="2"/>
    </row>
    <row r="124" ht="12.0" customHeight="1">
      <c r="B124" s="1"/>
      <c r="K124" s="2"/>
      <c r="M124" s="3"/>
      <c r="V124" s="2"/>
    </row>
    <row r="125" ht="12.0" customHeight="1">
      <c r="B125" s="1"/>
      <c r="K125" s="2"/>
      <c r="M125" s="3"/>
      <c r="V125" s="2"/>
    </row>
    <row r="126" ht="12.0" customHeight="1">
      <c r="B126" s="1"/>
      <c r="K126" s="2"/>
      <c r="M126" s="3"/>
      <c r="V126" s="2"/>
    </row>
    <row r="127" ht="12.0" customHeight="1">
      <c r="B127" s="1"/>
      <c r="K127" s="2"/>
      <c r="M127" s="3"/>
      <c r="V127" s="2"/>
    </row>
    <row r="128" ht="12.0" customHeight="1">
      <c r="B128" s="1"/>
      <c r="K128" s="2"/>
      <c r="M128" s="3"/>
      <c r="V128" s="2"/>
    </row>
    <row r="129" ht="12.0" customHeight="1">
      <c r="B129" s="1"/>
      <c r="K129" s="2"/>
      <c r="M129" s="3"/>
      <c r="V129" s="2"/>
    </row>
    <row r="130" ht="12.0" customHeight="1">
      <c r="B130" s="1"/>
      <c r="K130" s="2"/>
      <c r="M130" s="3"/>
      <c r="V130" s="2"/>
    </row>
    <row r="131" ht="12.0" customHeight="1">
      <c r="B131" s="1"/>
      <c r="K131" s="2"/>
      <c r="M131" s="3"/>
      <c r="V131" s="2"/>
    </row>
    <row r="132" ht="12.0" customHeight="1">
      <c r="B132" s="1"/>
      <c r="K132" s="2"/>
      <c r="M132" s="3"/>
      <c r="V132" s="2"/>
    </row>
    <row r="133" ht="12.0" customHeight="1">
      <c r="B133" s="1"/>
      <c r="K133" s="2"/>
      <c r="M133" s="3"/>
      <c r="V133" s="2"/>
    </row>
    <row r="134" ht="12.0" customHeight="1">
      <c r="B134" s="1"/>
      <c r="K134" s="2"/>
      <c r="M134" s="3"/>
      <c r="V134" s="2"/>
    </row>
    <row r="135" ht="12.0" customHeight="1">
      <c r="B135" s="1"/>
      <c r="K135" s="2"/>
      <c r="M135" s="3"/>
      <c r="V135" s="2"/>
    </row>
    <row r="136" ht="12.0" customHeight="1">
      <c r="B136" s="1"/>
      <c r="K136" s="2"/>
      <c r="M136" s="3"/>
      <c r="V136" s="2"/>
    </row>
    <row r="137" ht="12.0" customHeight="1">
      <c r="B137" s="1"/>
      <c r="K137" s="2"/>
      <c r="M137" s="3"/>
      <c r="V137" s="2"/>
    </row>
    <row r="138" ht="12.0" customHeight="1">
      <c r="B138" s="1"/>
      <c r="K138" s="2"/>
      <c r="M138" s="3"/>
      <c r="V138" s="2"/>
    </row>
    <row r="139" ht="12.0" customHeight="1">
      <c r="B139" s="1"/>
      <c r="K139" s="2"/>
      <c r="M139" s="3"/>
      <c r="V139" s="2"/>
    </row>
    <row r="140" ht="12.0" customHeight="1">
      <c r="B140" s="1"/>
      <c r="K140" s="2"/>
      <c r="M140" s="3"/>
      <c r="V140" s="2"/>
    </row>
    <row r="141" ht="12.0" customHeight="1">
      <c r="B141" s="1"/>
      <c r="K141" s="2"/>
      <c r="M141" s="3"/>
      <c r="V141" s="2"/>
    </row>
    <row r="142" ht="12.0" customHeight="1">
      <c r="B142" s="1"/>
      <c r="K142" s="2"/>
      <c r="M142" s="3"/>
      <c r="V142" s="2"/>
    </row>
    <row r="143" ht="12.0" customHeight="1">
      <c r="B143" s="1"/>
      <c r="K143" s="2"/>
      <c r="M143" s="3"/>
      <c r="V143" s="2"/>
    </row>
    <row r="144" ht="12.0" customHeight="1">
      <c r="B144" s="1"/>
      <c r="K144" s="2"/>
      <c r="M144" s="3"/>
      <c r="V144" s="2"/>
    </row>
    <row r="145" ht="12.0" customHeight="1">
      <c r="B145" s="1"/>
      <c r="K145" s="2"/>
      <c r="M145" s="3"/>
      <c r="V145" s="2"/>
    </row>
    <row r="146" ht="12.0" customHeight="1">
      <c r="B146" s="1"/>
      <c r="K146" s="2"/>
      <c r="M146" s="3"/>
      <c r="V146" s="2"/>
    </row>
    <row r="147" ht="12.0" customHeight="1">
      <c r="B147" s="1"/>
      <c r="K147" s="2"/>
      <c r="M147" s="3"/>
      <c r="V147" s="2"/>
    </row>
    <row r="148" ht="12.0" customHeight="1">
      <c r="B148" s="1"/>
      <c r="K148" s="2"/>
      <c r="M148" s="3"/>
      <c r="V148" s="2"/>
    </row>
    <row r="149" ht="12.0" customHeight="1">
      <c r="B149" s="1"/>
      <c r="K149" s="2"/>
      <c r="M149" s="3"/>
      <c r="V149" s="2"/>
    </row>
    <row r="150" ht="12.0" customHeight="1">
      <c r="B150" s="1"/>
      <c r="K150" s="2"/>
      <c r="M150" s="3"/>
      <c r="V150" s="2"/>
    </row>
    <row r="151" ht="12.0" customHeight="1">
      <c r="B151" s="1"/>
      <c r="K151" s="2"/>
      <c r="M151" s="3"/>
      <c r="V151" s="2"/>
    </row>
    <row r="152" ht="12.0" customHeight="1">
      <c r="B152" s="1"/>
      <c r="K152" s="2"/>
      <c r="M152" s="3"/>
      <c r="V152" s="2"/>
    </row>
    <row r="153" ht="12.0" customHeight="1">
      <c r="B153" s="1"/>
      <c r="K153" s="2"/>
      <c r="M153" s="3"/>
      <c r="V153" s="2"/>
    </row>
    <row r="154" ht="12.0" customHeight="1">
      <c r="B154" s="1"/>
      <c r="K154" s="2"/>
      <c r="M154" s="3"/>
      <c r="V154" s="2"/>
    </row>
    <row r="155" ht="12.0" customHeight="1">
      <c r="B155" s="1"/>
      <c r="K155" s="2"/>
      <c r="M155" s="3"/>
      <c r="V155" s="2"/>
    </row>
    <row r="156" ht="12.0" customHeight="1">
      <c r="B156" s="1"/>
      <c r="K156" s="2"/>
      <c r="M156" s="3"/>
      <c r="V156" s="2"/>
    </row>
    <row r="157" ht="12.0" customHeight="1">
      <c r="B157" s="1"/>
      <c r="K157" s="2"/>
      <c r="M157" s="3"/>
      <c r="V157" s="2"/>
    </row>
    <row r="158" ht="12.0" customHeight="1">
      <c r="B158" s="1"/>
      <c r="K158" s="2"/>
      <c r="M158" s="3"/>
      <c r="V158" s="2"/>
    </row>
    <row r="159" ht="12.0" customHeight="1">
      <c r="B159" s="1"/>
      <c r="K159" s="2"/>
      <c r="M159" s="3"/>
      <c r="V159" s="2"/>
    </row>
    <row r="160" ht="12.0" customHeight="1">
      <c r="B160" s="1"/>
      <c r="K160" s="2"/>
      <c r="M160" s="3"/>
      <c r="V160" s="2"/>
    </row>
    <row r="161" ht="12.0" customHeight="1">
      <c r="B161" s="1"/>
      <c r="K161" s="2"/>
      <c r="M161" s="3"/>
      <c r="V161" s="2"/>
    </row>
    <row r="162" ht="12.0" customHeight="1">
      <c r="B162" s="1"/>
      <c r="K162" s="2"/>
      <c r="M162" s="3"/>
      <c r="V162" s="2"/>
    </row>
    <row r="163" ht="12.0" customHeight="1">
      <c r="B163" s="1"/>
      <c r="K163" s="2"/>
      <c r="M163" s="3"/>
      <c r="V163" s="2"/>
    </row>
    <row r="164" ht="12.0" customHeight="1">
      <c r="B164" s="1"/>
      <c r="K164" s="2"/>
      <c r="M164" s="3"/>
      <c r="V164" s="2"/>
    </row>
    <row r="165" ht="12.0" customHeight="1">
      <c r="B165" s="1"/>
      <c r="K165" s="2"/>
      <c r="M165" s="3"/>
      <c r="V165" s="2"/>
    </row>
    <row r="166" ht="12.0" customHeight="1">
      <c r="B166" s="1"/>
      <c r="K166" s="2"/>
      <c r="M166" s="3"/>
      <c r="V166" s="2"/>
    </row>
    <row r="167" ht="12.0" customHeight="1">
      <c r="B167" s="1"/>
      <c r="K167" s="2"/>
      <c r="M167" s="3"/>
      <c r="V167" s="2"/>
    </row>
    <row r="168" ht="12.0" customHeight="1">
      <c r="B168" s="1"/>
      <c r="K168" s="2"/>
      <c r="M168" s="3"/>
      <c r="V168" s="2"/>
    </row>
    <row r="169" ht="12.0" customHeight="1">
      <c r="B169" s="1"/>
      <c r="K169" s="2"/>
      <c r="M169" s="3"/>
      <c r="V169" s="2"/>
    </row>
    <row r="170" ht="12.0" customHeight="1">
      <c r="B170" s="1"/>
      <c r="K170" s="2"/>
      <c r="M170" s="3"/>
      <c r="V170" s="2"/>
    </row>
    <row r="171" ht="12.0" customHeight="1">
      <c r="B171" s="1"/>
      <c r="K171" s="2"/>
      <c r="M171" s="3"/>
      <c r="V171" s="2"/>
    </row>
    <row r="172" ht="12.0" customHeight="1">
      <c r="B172" s="1"/>
      <c r="K172" s="2"/>
      <c r="M172" s="3"/>
      <c r="V172" s="2"/>
    </row>
    <row r="173" ht="12.0" customHeight="1">
      <c r="B173" s="1"/>
      <c r="K173" s="2"/>
      <c r="M173" s="3"/>
      <c r="V173" s="2"/>
    </row>
    <row r="174" ht="12.0" customHeight="1">
      <c r="B174" s="1"/>
      <c r="K174" s="2"/>
      <c r="M174" s="3"/>
      <c r="V174" s="2"/>
    </row>
    <row r="175" ht="12.0" customHeight="1">
      <c r="B175" s="1"/>
      <c r="K175" s="2"/>
      <c r="M175" s="3"/>
      <c r="V175" s="2"/>
    </row>
    <row r="176" ht="12.0" customHeight="1">
      <c r="B176" s="1"/>
      <c r="K176" s="2"/>
      <c r="M176" s="3"/>
      <c r="V176" s="2"/>
    </row>
    <row r="177" ht="12.0" customHeight="1">
      <c r="B177" s="1"/>
      <c r="K177" s="2"/>
      <c r="M177" s="3"/>
      <c r="V177" s="2"/>
    </row>
    <row r="178" ht="12.0" customHeight="1">
      <c r="B178" s="1"/>
      <c r="K178" s="2"/>
      <c r="M178" s="3"/>
      <c r="V178" s="2"/>
    </row>
    <row r="179" ht="12.0" customHeight="1">
      <c r="B179" s="1"/>
      <c r="K179" s="2"/>
      <c r="M179" s="3"/>
      <c r="V179" s="2"/>
    </row>
    <row r="180" ht="12.0" customHeight="1">
      <c r="B180" s="1"/>
      <c r="K180" s="2"/>
      <c r="M180" s="3"/>
      <c r="V180" s="2"/>
    </row>
    <row r="181" ht="12.0" customHeight="1">
      <c r="B181" s="1"/>
      <c r="K181" s="2"/>
      <c r="M181" s="3"/>
      <c r="V181" s="2"/>
    </row>
    <row r="182" ht="12.0" customHeight="1">
      <c r="B182" s="1"/>
      <c r="K182" s="2"/>
      <c r="M182" s="3"/>
      <c r="V182" s="2"/>
    </row>
    <row r="183" ht="12.0" customHeight="1">
      <c r="B183" s="1"/>
      <c r="K183" s="2"/>
      <c r="M183" s="3"/>
      <c r="V183" s="2"/>
    </row>
    <row r="184" ht="12.0" customHeight="1">
      <c r="B184" s="1"/>
      <c r="K184" s="2"/>
      <c r="M184" s="3"/>
      <c r="V184" s="2"/>
    </row>
    <row r="185" ht="12.0" customHeight="1">
      <c r="B185" s="1"/>
      <c r="K185" s="2"/>
      <c r="M185" s="3"/>
      <c r="V185" s="2"/>
    </row>
    <row r="186" ht="12.0" customHeight="1">
      <c r="B186" s="1"/>
      <c r="K186" s="2"/>
      <c r="M186" s="3"/>
      <c r="V186" s="2"/>
    </row>
    <row r="187" ht="12.0" customHeight="1">
      <c r="B187" s="1"/>
      <c r="K187" s="2"/>
      <c r="M187" s="3"/>
      <c r="V187" s="2"/>
    </row>
    <row r="188" ht="12.0" customHeight="1">
      <c r="B188" s="1"/>
      <c r="K188" s="2"/>
      <c r="M188" s="3"/>
      <c r="V188" s="2"/>
    </row>
    <row r="189" ht="12.0" customHeight="1">
      <c r="B189" s="1"/>
      <c r="K189" s="2"/>
      <c r="M189" s="3"/>
      <c r="V189" s="2"/>
    </row>
    <row r="190" ht="12.0" customHeight="1">
      <c r="B190" s="1"/>
      <c r="K190" s="2"/>
      <c r="M190" s="3"/>
      <c r="V190" s="2"/>
    </row>
    <row r="191" ht="12.0" customHeight="1">
      <c r="B191" s="1"/>
      <c r="K191" s="2"/>
      <c r="M191" s="3"/>
      <c r="V191" s="2"/>
    </row>
    <row r="192" ht="12.0" customHeight="1">
      <c r="B192" s="1"/>
      <c r="K192" s="2"/>
      <c r="M192" s="3"/>
      <c r="V192" s="2"/>
    </row>
    <row r="193" ht="12.0" customHeight="1">
      <c r="B193" s="1"/>
      <c r="K193" s="2"/>
      <c r="M193" s="3"/>
      <c r="V193" s="2"/>
    </row>
    <row r="194" ht="12.0" customHeight="1">
      <c r="B194" s="1"/>
      <c r="K194" s="2"/>
      <c r="M194" s="3"/>
      <c r="V194" s="2"/>
    </row>
    <row r="195" ht="12.0" customHeight="1">
      <c r="B195" s="1"/>
      <c r="K195" s="2"/>
      <c r="M195" s="3"/>
      <c r="V195" s="2"/>
    </row>
    <row r="196" ht="12.0" customHeight="1">
      <c r="B196" s="1"/>
      <c r="K196" s="2"/>
      <c r="M196" s="3"/>
      <c r="V196" s="2"/>
    </row>
    <row r="197" ht="12.0" customHeight="1">
      <c r="B197" s="1"/>
      <c r="K197" s="2"/>
      <c r="M197" s="3"/>
      <c r="V197" s="2"/>
    </row>
    <row r="198" ht="12.0" customHeight="1">
      <c r="B198" s="1"/>
      <c r="K198" s="2"/>
      <c r="M198" s="3"/>
      <c r="V198" s="2"/>
    </row>
    <row r="199" ht="12.0" customHeight="1">
      <c r="B199" s="1"/>
      <c r="K199" s="2"/>
      <c r="M199" s="3"/>
      <c r="V199" s="2"/>
    </row>
    <row r="200" ht="12.0" customHeight="1">
      <c r="B200" s="1"/>
      <c r="K200" s="2"/>
      <c r="M200" s="3"/>
      <c r="V200" s="2"/>
    </row>
    <row r="201" ht="12.0" customHeight="1">
      <c r="B201" s="1"/>
      <c r="K201" s="2"/>
      <c r="M201" s="3"/>
      <c r="V201" s="2"/>
    </row>
    <row r="202" ht="12.0" customHeight="1">
      <c r="B202" s="1"/>
      <c r="K202" s="2"/>
      <c r="M202" s="3"/>
      <c r="V202" s="2"/>
    </row>
    <row r="203" ht="12.0" customHeight="1">
      <c r="B203" s="1"/>
      <c r="K203" s="2"/>
      <c r="M203" s="3"/>
      <c r="V203" s="2"/>
    </row>
    <row r="204" ht="12.0" customHeight="1">
      <c r="B204" s="1"/>
      <c r="K204" s="2"/>
      <c r="M204" s="3"/>
      <c r="V204" s="2"/>
    </row>
    <row r="205" ht="12.0" customHeight="1">
      <c r="B205" s="1"/>
      <c r="K205" s="2"/>
      <c r="M205" s="3"/>
      <c r="V205" s="2"/>
    </row>
    <row r="206" ht="12.0" customHeight="1">
      <c r="B206" s="1"/>
      <c r="K206" s="2"/>
      <c r="M206" s="3"/>
      <c r="V206" s="2"/>
    </row>
    <row r="207" ht="12.0" customHeight="1">
      <c r="B207" s="1"/>
      <c r="K207" s="2"/>
      <c r="M207" s="3"/>
      <c r="V207" s="2"/>
    </row>
    <row r="208" ht="12.0" customHeight="1">
      <c r="B208" s="1"/>
      <c r="K208" s="2"/>
      <c r="M208" s="3"/>
      <c r="V208" s="2"/>
    </row>
    <row r="209" ht="12.0" customHeight="1">
      <c r="B209" s="1"/>
      <c r="K209" s="2"/>
      <c r="M209" s="3"/>
      <c r="V209" s="2"/>
    </row>
    <row r="210" ht="12.0" customHeight="1">
      <c r="B210" s="1"/>
      <c r="K210" s="2"/>
      <c r="M210" s="3"/>
      <c r="V210" s="2"/>
    </row>
    <row r="211" ht="12.0" customHeight="1">
      <c r="B211" s="1"/>
      <c r="K211" s="2"/>
      <c r="M211" s="3"/>
      <c r="V211" s="2"/>
    </row>
    <row r="212" ht="12.0" customHeight="1">
      <c r="B212" s="1"/>
      <c r="K212" s="2"/>
      <c r="M212" s="3"/>
      <c r="V212" s="2"/>
    </row>
    <row r="213" ht="12.0" customHeight="1">
      <c r="B213" s="1"/>
      <c r="K213" s="2"/>
      <c r="M213" s="3"/>
      <c r="V213" s="2"/>
    </row>
    <row r="214" ht="12.0" customHeight="1">
      <c r="B214" s="1"/>
      <c r="K214" s="2"/>
      <c r="M214" s="3"/>
      <c r="V214" s="2"/>
    </row>
    <row r="215" ht="12.0" customHeight="1">
      <c r="B215" s="1"/>
      <c r="K215" s="2"/>
      <c r="M215" s="3"/>
      <c r="V215" s="2"/>
    </row>
    <row r="216" ht="12.0" customHeight="1">
      <c r="B216" s="1"/>
      <c r="K216" s="2"/>
      <c r="M216" s="3"/>
      <c r="V216" s="2"/>
    </row>
    <row r="217" ht="12.0" customHeight="1">
      <c r="B217" s="1"/>
      <c r="K217" s="2"/>
      <c r="M217" s="3"/>
      <c r="V217" s="2"/>
    </row>
    <row r="218" ht="12.0" customHeight="1">
      <c r="B218" s="1"/>
      <c r="K218" s="2"/>
      <c r="M218" s="3"/>
      <c r="V218" s="2"/>
    </row>
    <row r="219" ht="12.0" customHeight="1">
      <c r="B219" s="1"/>
      <c r="K219" s="2"/>
      <c r="M219" s="3"/>
      <c r="V219" s="2"/>
    </row>
    <row r="220" ht="12.0" customHeight="1">
      <c r="B220" s="1"/>
      <c r="K220" s="2"/>
      <c r="M220" s="3"/>
      <c r="V220" s="2"/>
    </row>
    <row r="221" ht="12.0" customHeight="1">
      <c r="B221" s="1"/>
      <c r="K221" s="2"/>
      <c r="M221" s="3"/>
      <c r="V221" s="2"/>
    </row>
    <row r="222" ht="12.0" customHeight="1">
      <c r="B222" s="1"/>
      <c r="K222" s="2"/>
      <c r="M222" s="3"/>
      <c r="V222" s="2"/>
    </row>
    <row r="223" ht="12.0" customHeight="1">
      <c r="B223" s="1"/>
      <c r="K223" s="2"/>
      <c r="M223" s="3"/>
      <c r="V223" s="2"/>
    </row>
    <row r="224" ht="12.0" customHeight="1">
      <c r="B224" s="1"/>
      <c r="K224" s="2"/>
      <c r="M224" s="3"/>
      <c r="V224" s="2"/>
    </row>
    <row r="225" ht="12.0" customHeight="1">
      <c r="B225" s="1"/>
      <c r="K225" s="2"/>
      <c r="M225" s="3"/>
      <c r="V225" s="2"/>
    </row>
    <row r="226" ht="12.0" customHeight="1">
      <c r="B226" s="1"/>
      <c r="K226" s="2"/>
      <c r="M226" s="3"/>
      <c r="V226" s="2"/>
    </row>
    <row r="227" ht="12.0" customHeight="1">
      <c r="B227" s="1"/>
      <c r="K227" s="2"/>
      <c r="M227" s="3"/>
      <c r="V227" s="2"/>
    </row>
    <row r="228" ht="12.0" customHeight="1">
      <c r="B228" s="1"/>
      <c r="K228" s="2"/>
      <c r="M228" s="3"/>
      <c r="V228" s="2"/>
    </row>
    <row r="229" ht="12.0" customHeight="1">
      <c r="B229" s="1"/>
      <c r="K229" s="2"/>
      <c r="M229" s="3"/>
      <c r="V229" s="2"/>
    </row>
    <row r="230" ht="12.0" customHeight="1">
      <c r="B230" s="1"/>
      <c r="K230" s="2"/>
      <c r="M230" s="3"/>
      <c r="V230" s="2"/>
    </row>
    <row r="231" ht="12.0" customHeight="1">
      <c r="B231" s="1"/>
      <c r="K231" s="2"/>
      <c r="M231" s="3"/>
      <c r="V231" s="2"/>
    </row>
    <row r="232" ht="12.0" customHeight="1">
      <c r="B232" s="1"/>
      <c r="K232" s="2"/>
      <c r="M232" s="3"/>
      <c r="V232" s="2"/>
    </row>
    <row r="233" ht="12.0" customHeight="1">
      <c r="B233" s="1"/>
      <c r="K233" s="2"/>
      <c r="M233" s="3"/>
      <c r="V233" s="2"/>
    </row>
    <row r="234" ht="12.0" customHeight="1">
      <c r="B234" s="1"/>
      <c r="K234" s="2"/>
      <c r="M234" s="3"/>
      <c r="V234" s="2"/>
    </row>
    <row r="235" ht="12.0" customHeight="1">
      <c r="B235" s="1"/>
      <c r="K235" s="2"/>
      <c r="M235" s="3"/>
      <c r="V235" s="2"/>
    </row>
    <row r="236" ht="12.0" customHeight="1">
      <c r="B236" s="1"/>
      <c r="K236" s="2"/>
      <c r="M236" s="3"/>
      <c r="V236" s="2"/>
    </row>
    <row r="237" ht="12.0" customHeight="1">
      <c r="B237" s="1"/>
      <c r="K237" s="2"/>
      <c r="M237" s="3"/>
      <c r="V237" s="2"/>
    </row>
    <row r="238" ht="12.0" customHeight="1">
      <c r="B238" s="1"/>
      <c r="K238" s="2"/>
      <c r="M238" s="3"/>
      <c r="V238" s="2"/>
    </row>
    <row r="239" ht="12.0" customHeight="1">
      <c r="B239" s="1"/>
      <c r="K239" s="2"/>
      <c r="M239" s="3"/>
      <c r="V239" s="2"/>
    </row>
    <row r="240" ht="12.0" customHeight="1">
      <c r="B240" s="1"/>
      <c r="K240" s="2"/>
      <c r="M240" s="3"/>
      <c r="V240" s="2"/>
    </row>
    <row r="241" ht="12.0" customHeight="1">
      <c r="B241" s="1"/>
      <c r="K241" s="2"/>
      <c r="M241" s="3"/>
      <c r="V241" s="2"/>
    </row>
    <row r="242" ht="12.0" customHeight="1">
      <c r="B242" s="1"/>
      <c r="K242" s="2"/>
      <c r="M242" s="3"/>
      <c r="V242" s="2"/>
    </row>
    <row r="243" ht="12.0" customHeight="1">
      <c r="B243" s="1"/>
      <c r="K243" s="2"/>
      <c r="M243" s="3"/>
      <c r="V243" s="2"/>
    </row>
    <row r="244" ht="12.0" customHeight="1">
      <c r="B244" s="1"/>
      <c r="K244" s="2"/>
      <c r="M244" s="3"/>
      <c r="V244" s="2"/>
    </row>
    <row r="245" ht="12.0" customHeight="1">
      <c r="B245" s="1"/>
      <c r="K245" s="2"/>
      <c r="M245" s="3"/>
      <c r="V245" s="2"/>
    </row>
    <row r="246" ht="12.0" customHeight="1">
      <c r="B246" s="1"/>
      <c r="K246" s="2"/>
      <c r="M246" s="3"/>
      <c r="V246" s="2"/>
    </row>
    <row r="247" ht="12.0" customHeight="1">
      <c r="B247" s="1"/>
      <c r="K247" s="2"/>
      <c r="M247" s="3"/>
      <c r="V247" s="2"/>
    </row>
    <row r="248" ht="12.0" customHeight="1">
      <c r="B248" s="1"/>
      <c r="K248" s="2"/>
      <c r="M248" s="3"/>
      <c r="V248" s="2"/>
    </row>
    <row r="249" ht="12.0" customHeight="1">
      <c r="B249" s="1"/>
      <c r="K249" s="2"/>
      <c r="M249" s="3"/>
      <c r="V249" s="2"/>
    </row>
    <row r="250" ht="12.0" customHeight="1">
      <c r="B250" s="1"/>
      <c r="K250" s="2"/>
      <c r="M250" s="3"/>
      <c r="V250" s="2"/>
    </row>
    <row r="251" ht="12.0" customHeight="1">
      <c r="B251" s="1"/>
      <c r="K251" s="2"/>
      <c r="M251" s="3"/>
      <c r="V251" s="2"/>
    </row>
    <row r="252" ht="12.0" customHeight="1">
      <c r="B252" s="1"/>
      <c r="K252" s="2"/>
      <c r="M252" s="3"/>
      <c r="V252" s="2"/>
    </row>
    <row r="253" ht="12.0" customHeight="1">
      <c r="B253" s="1"/>
      <c r="K253" s="2"/>
      <c r="M253" s="3"/>
      <c r="V253" s="2"/>
    </row>
    <row r="254" ht="12.0" customHeight="1">
      <c r="B254" s="1"/>
      <c r="K254" s="2"/>
      <c r="M254" s="3"/>
      <c r="V254" s="2"/>
    </row>
    <row r="255" ht="12.0" customHeight="1">
      <c r="B255" s="1"/>
      <c r="K255" s="2"/>
      <c r="M255" s="3"/>
      <c r="V255" s="2"/>
    </row>
    <row r="256" ht="12.0" customHeight="1">
      <c r="B256" s="1"/>
      <c r="K256" s="2"/>
      <c r="M256" s="3"/>
      <c r="V256" s="2"/>
    </row>
    <row r="257" ht="12.0" customHeight="1">
      <c r="B257" s="1"/>
      <c r="K257" s="2"/>
      <c r="M257" s="3"/>
      <c r="V257" s="2"/>
    </row>
    <row r="258" ht="12.0" customHeight="1">
      <c r="B258" s="1"/>
      <c r="K258" s="2"/>
      <c r="M258" s="3"/>
      <c r="V258" s="2"/>
    </row>
    <row r="259" ht="12.0" customHeight="1">
      <c r="B259" s="1"/>
      <c r="K259" s="2"/>
      <c r="M259" s="3"/>
      <c r="V259" s="2"/>
    </row>
    <row r="260" ht="12.0" customHeight="1">
      <c r="B260" s="1"/>
      <c r="K260" s="2"/>
      <c r="M260" s="3"/>
      <c r="V260" s="2"/>
    </row>
    <row r="261" ht="12.0" customHeight="1">
      <c r="B261" s="1"/>
      <c r="K261" s="2"/>
      <c r="M261" s="3"/>
      <c r="V261" s="2"/>
    </row>
    <row r="262" ht="12.0" customHeight="1">
      <c r="B262" s="1"/>
      <c r="K262" s="2"/>
      <c r="M262" s="3"/>
      <c r="V262" s="2"/>
    </row>
    <row r="263" ht="12.0" customHeight="1">
      <c r="B263" s="1"/>
      <c r="K263" s="2"/>
      <c r="M263" s="3"/>
      <c r="V263" s="2"/>
    </row>
    <row r="264" ht="12.0" customHeight="1">
      <c r="B264" s="1"/>
      <c r="K264" s="2"/>
      <c r="M264" s="3"/>
      <c r="V264" s="2"/>
    </row>
    <row r="265" ht="12.0" customHeight="1">
      <c r="B265" s="1"/>
      <c r="K265" s="2"/>
      <c r="M265" s="3"/>
      <c r="V265" s="2"/>
    </row>
    <row r="266" ht="12.0" customHeight="1">
      <c r="B266" s="1"/>
      <c r="K266" s="2"/>
      <c r="M266" s="3"/>
      <c r="V266" s="2"/>
    </row>
    <row r="267" ht="12.0" customHeight="1">
      <c r="B267" s="1"/>
      <c r="K267" s="2"/>
      <c r="M267" s="3"/>
      <c r="V267" s="2"/>
    </row>
    <row r="268" ht="12.0" customHeight="1">
      <c r="B268" s="1"/>
      <c r="K268" s="2"/>
      <c r="M268" s="3"/>
      <c r="V268" s="2"/>
    </row>
    <row r="269" ht="12.0" customHeight="1">
      <c r="B269" s="1"/>
      <c r="K269" s="2"/>
      <c r="M269" s="3"/>
      <c r="V269" s="2"/>
    </row>
    <row r="270" ht="12.0" customHeight="1">
      <c r="B270" s="1"/>
      <c r="K270" s="2"/>
      <c r="M270" s="3"/>
      <c r="V270" s="2"/>
    </row>
    <row r="271" ht="12.0" customHeight="1">
      <c r="B271" s="1"/>
      <c r="K271" s="2"/>
      <c r="M271" s="3"/>
      <c r="V271" s="2"/>
    </row>
    <row r="272" ht="12.0" customHeight="1">
      <c r="B272" s="1"/>
      <c r="K272" s="2"/>
      <c r="M272" s="3"/>
      <c r="V272" s="2"/>
    </row>
    <row r="273" ht="12.0" customHeight="1">
      <c r="B273" s="1"/>
      <c r="K273" s="2"/>
      <c r="M273" s="3"/>
      <c r="V273" s="2"/>
    </row>
    <row r="274" ht="12.0" customHeight="1">
      <c r="B274" s="1"/>
      <c r="K274" s="2"/>
      <c r="M274" s="3"/>
      <c r="V274" s="2"/>
    </row>
    <row r="275" ht="12.0" customHeight="1">
      <c r="B275" s="1"/>
      <c r="K275" s="2"/>
      <c r="M275" s="3"/>
      <c r="V275" s="2"/>
    </row>
    <row r="276" ht="12.0" customHeight="1">
      <c r="B276" s="1"/>
      <c r="K276" s="2"/>
      <c r="M276" s="3"/>
      <c r="V276" s="2"/>
    </row>
    <row r="277" ht="12.0" customHeight="1">
      <c r="B277" s="1"/>
      <c r="K277" s="2"/>
      <c r="M277" s="3"/>
      <c r="V277" s="2"/>
    </row>
    <row r="278" ht="12.0" customHeight="1">
      <c r="B278" s="1"/>
      <c r="K278" s="2"/>
      <c r="M278" s="3"/>
      <c r="V278" s="2"/>
    </row>
    <row r="279" ht="12.0" customHeight="1">
      <c r="B279" s="1"/>
      <c r="K279" s="2"/>
      <c r="M279" s="3"/>
      <c r="V279" s="2"/>
    </row>
    <row r="280" ht="12.0" customHeight="1">
      <c r="B280" s="1"/>
      <c r="K280" s="2"/>
      <c r="M280" s="3"/>
      <c r="V280" s="2"/>
    </row>
    <row r="281" ht="12.0" customHeight="1">
      <c r="B281" s="1"/>
      <c r="K281" s="2"/>
      <c r="M281" s="3"/>
      <c r="V281" s="2"/>
    </row>
    <row r="282" ht="12.0" customHeight="1">
      <c r="B282" s="1"/>
      <c r="K282" s="2"/>
      <c r="M282" s="3"/>
      <c r="V282" s="2"/>
    </row>
    <row r="283" ht="12.0" customHeight="1">
      <c r="B283" s="1"/>
      <c r="K283" s="2"/>
      <c r="M283" s="3"/>
      <c r="V283" s="2"/>
    </row>
    <row r="284" ht="12.0" customHeight="1">
      <c r="B284" s="1"/>
      <c r="K284" s="2"/>
      <c r="M284" s="3"/>
      <c r="V284" s="2"/>
    </row>
    <row r="285" ht="12.0" customHeight="1">
      <c r="B285" s="1"/>
      <c r="K285" s="2"/>
      <c r="M285" s="3"/>
      <c r="V285" s="2"/>
    </row>
    <row r="286" ht="12.0" customHeight="1">
      <c r="B286" s="1"/>
      <c r="K286" s="2"/>
      <c r="M286" s="3"/>
      <c r="V286" s="2"/>
    </row>
    <row r="287" ht="12.0" customHeight="1">
      <c r="B287" s="1"/>
      <c r="K287" s="2"/>
      <c r="M287" s="3"/>
      <c r="V287" s="2"/>
    </row>
    <row r="288" ht="12.0" customHeight="1">
      <c r="B288" s="1"/>
      <c r="K288" s="2"/>
      <c r="M288" s="3"/>
      <c r="V288" s="2"/>
    </row>
    <row r="289" ht="12.0" customHeight="1">
      <c r="B289" s="1"/>
      <c r="K289" s="2"/>
      <c r="M289" s="3"/>
      <c r="V289" s="2"/>
    </row>
    <row r="290" ht="12.0" customHeight="1">
      <c r="B290" s="1"/>
      <c r="K290" s="2"/>
      <c r="M290" s="3"/>
      <c r="V290" s="2"/>
    </row>
    <row r="291" ht="12.0" customHeight="1">
      <c r="B291" s="1"/>
      <c r="K291" s="2"/>
      <c r="M291" s="3"/>
      <c r="V291" s="2"/>
    </row>
    <row r="292" ht="12.0" customHeight="1">
      <c r="B292" s="1"/>
      <c r="K292" s="2"/>
      <c r="M292" s="3"/>
      <c r="V292" s="2"/>
    </row>
    <row r="293" ht="12.0" customHeight="1">
      <c r="B293" s="1"/>
      <c r="K293" s="2"/>
      <c r="M293" s="3"/>
      <c r="V293" s="2"/>
    </row>
    <row r="294" ht="12.0" customHeight="1">
      <c r="B294" s="1"/>
      <c r="K294" s="2"/>
      <c r="M294" s="3"/>
      <c r="V294" s="2"/>
    </row>
    <row r="295" ht="12.0" customHeight="1">
      <c r="B295" s="1"/>
      <c r="K295" s="2"/>
      <c r="M295" s="3"/>
      <c r="V295" s="2"/>
    </row>
    <row r="296" ht="12.0" customHeight="1">
      <c r="B296" s="1"/>
      <c r="K296" s="2"/>
      <c r="M296" s="3"/>
      <c r="V296" s="2"/>
    </row>
    <row r="297" ht="12.0" customHeight="1">
      <c r="B297" s="1"/>
      <c r="K297" s="2"/>
      <c r="M297" s="3"/>
      <c r="V297" s="2"/>
    </row>
    <row r="298" ht="12.0" customHeight="1">
      <c r="B298" s="1"/>
      <c r="K298" s="2"/>
      <c r="M298" s="3"/>
      <c r="V298" s="2"/>
    </row>
    <row r="299" ht="12.0" customHeight="1">
      <c r="B299" s="1"/>
      <c r="K299" s="2"/>
      <c r="M299" s="3"/>
      <c r="V299" s="2"/>
    </row>
    <row r="300" ht="12.0" customHeight="1">
      <c r="B300" s="1"/>
      <c r="K300" s="2"/>
      <c r="M300" s="3"/>
      <c r="V300" s="2"/>
    </row>
    <row r="301" ht="12.0" customHeight="1">
      <c r="B301" s="1"/>
      <c r="K301" s="2"/>
      <c r="M301" s="3"/>
      <c r="V301" s="2"/>
    </row>
    <row r="302" ht="12.0" customHeight="1">
      <c r="B302" s="1"/>
      <c r="K302" s="2"/>
      <c r="M302" s="3"/>
      <c r="V302" s="2"/>
    </row>
    <row r="303" ht="12.0" customHeight="1">
      <c r="B303" s="1"/>
      <c r="K303" s="2"/>
      <c r="M303" s="3"/>
      <c r="V303" s="2"/>
    </row>
    <row r="304" ht="12.0" customHeight="1">
      <c r="B304" s="1"/>
      <c r="K304" s="2"/>
      <c r="M304" s="3"/>
      <c r="V304" s="2"/>
    </row>
    <row r="305" ht="12.0" customHeight="1">
      <c r="B305" s="1"/>
      <c r="K305" s="2"/>
      <c r="M305" s="3"/>
      <c r="V305" s="2"/>
    </row>
    <row r="306" ht="12.0" customHeight="1">
      <c r="B306" s="1"/>
      <c r="K306" s="2"/>
      <c r="M306" s="3"/>
      <c r="V306" s="2"/>
    </row>
    <row r="307" ht="12.0" customHeight="1">
      <c r="B307" s="1"/>
      <c r="K307" s="2"/>
      <c r="M307" s="3"/>
      <c r="V307" s="2"/>
    </row>
    <row r="308" ht="12.0" customHeight="1">
      <c r="B308" s="1"/>
      <c r="K308" s="2"/>
      <c r="M308" s="3"/>
      <c r="V308" s="2"/>
    </row>
    <row r="309" ht="12.0" customHeight="1">
      <c r="B309" s="1"/>
      <c r="K309" s="2"/>
      <c r="M309" s="3"/>
      <c r="V309" s="2"/>
    </row>
    <row r="310" ht="12.0" customHeight="1">
      <c r="B310" s="1"/>
      <c r="K310" s="2"/>
      <c r="M310" s="3"/>
      <c r="V310" s="2"/>
    </row>
    <row r="311" ht="12.0" customHeight="1">
      <c r="B311" s="1"/>
      <c r="K311" s="2"/>
      <c r="M311" s="3"/>
      <c r="V311" s="2"/>
    </row>
    <row r="312" ht="12.0" customHeight="1">
      <c r="B312" s="1"/>
      <c r="K312" s="2"/>
      <c r="M312" s="3"/>
      <c r="V312" s="2"/>
    </row>
    <row r="313" ht="12.0" customHeight="1">
      <c r="B313" s="1"/>
      <c r="K313" s="2"/>
      <c r="M313" s="3"/>
      <c r="V313" s="2"/>
    </row>
    <row r="314" ht="12.0" customHeight="1">
      <c r="B314" s="1"/>
      <c r="K314" s="2"/>
      <c r="M314" s="3"/>
      <c r="V314" s="2"/>
    </row>
    <row r="315" ht="12.0" customHeight="1">
      <c r="B315" s="1"/>
      <c r="K315" s="2"/>
      <c r="M315" s="3"/>
      <c r="V315" s="2"/>
    </row>
    <row r="316" ht="12.0" customHeight="1">
      <c r="B316" s="1"/>
      <c r="K316" s="2"/>
      <c r="M316" s="3"/>
      <c r="V316" s="2"/>
    </row>
    <row r="317" ht="12.0" customHeight="1">
      <c r="B317" s="1"/>
      <c r="K317" s="2"/>
      <c r="M317" s="3"/>
      <c r="V317" s="2"/>
    </row>
    <row r="318" ht="12.0" customHeight="1">
      <c r="B318" s="1"/>
      <c r="K318" s="2"/>
      <c r="M318" s="3"/>
      <c r="V318" s="2"/>
    </row>
    <row r="319" ht="12.0" customHeight="1">
      <c r="B319" s="1"/>
      <c r="K319" s="2"/>
      <c r="M319" s="3"/>
      <c r="V319" s="2"/>
    </row>
    <row r="320" ht="12.0" customHeight="1">
      <c r="B320" s="1"/>
      <c r="K320" s="2"/>
      <c r="M320" s="3"/>
      <c r="V320" s="2"/>
    </row>
    <row r="321" ht="12.0" customHeight="1">
      <c r="B321" s="1"/>
      <c r="K321" s="2"/>
      <c r="M321" s="3"/>
      <c r="V321" s="2"/>
    </row>
    <row r="322" ht="12.0" customHeight="1">
      <c r="B322" s="1"/>
      <c r="K322" s="2"/>
      <c r="M322" s="3"/>
      <c r="V322" s="2"/>
    </row>
    <row r="323" ht="12.0" customHeight="1">
      <c r="B323" s="1"/>
      <c r="K323" s="2"/>
      <c r="M323" s="3"/>
      <c r="V323" s="2"/>
    </row>
    <row r="324" ht="12.0" customHeight="1">
      <c r="B324" s="1"/>
      <c r="K324" s="2"/>
      <c r="M324" s="3"/>
      <c r="V324" s="2"/>
    </row>
    <row r="325" ht="12.0" customHeight="1">
      <c r="B325" s="1"/>
      <c r="K325" s="2"/>
      <c r="M325" s="3"/>
      <c r="V325" s="2"/>
    </row>
    <row r="326" ht="12.0" customHeight="1">
      <c r="B326" s="1"/>
      <c r="K326" s="2"/>
      <c r="M326" s="3"/>
      <c r="V326" s="2"/>
    </row>
    <row r="327" ht="12.0" customHeight="1">
      <c r="B327" s="1"/>
      <c r="K327" s="2"/>
      <c r="M327" s="3"/>
      <c r="V327" s="2"/>
    </row>
    <row r="328" ht="12.0" customHeight="1">
      <c r="B328" s="1"/>
      <c r="K328" s="2"/>
      <c r="M328" s="3"/>
      <c r="V328" s="2"/>
    </row>
    <row r="329" ht="12.0" customHeight="1">
      <c r="B329" s="1"/>
      <c r="K329" s="2"/>
      <c r="M329" s="3"/>
      <c r="V329" s="2"/>
    </row>
    <row r="330" ht="12.0" customHeight="1">
      <c r="B330" s="1"/>
      <c r="K330" s="2"/>
      <c r="M330" s="3"/>
      <c r="V330" s="2"/>
    </row>
    <row r="331" ht="12.0" customHeight="1">
      <c r="B331" s="1"/>
      <c r="K331" s="2"/>
      <c r="M331" s="3"/>
      <c r="V331" s="2"/>
    </row>
    <row r="332" ht="12.0" customHeight="1">
      <c r="B332" s="1"/>
      <c r="K332" s="2"/>
      <c r="M332" s="3"/>
      <c r="V332" s="2"/>
    </row>
    <row r="333" ht="12.0" customHeight="1">
      <c r="B333" s="1"/>
      <c r="K333" s="2"/>
      <c r="M333" s="3"/>
      <c r="V333" s="2"/>
    </row>
    <row r="334" ht="12.0" customHeight="1">
      <c r="B334" s="1"/>
      <c r="K334" s="2"/>
      <c r="M334" s="3"/>
      <c r="V334" s="2"/>
    </row>
    <row r="335" ht="12.0" customHeight="1">
      <c r="B335" s="1"/>
      <c r="K335" s="2"/>
      <c r="M335" s="3"/>
      <c r="V335" s="2"/>
    </row>
    <row r="336" ht="12.0" customHeight="1">
      <c r="B336" s="1"/>
      <c r="K336" s="2"/>
      <c r="M336" s="3"/>
      <c r="V336" s="2"/>
    </row>
    <row r="337" ht="12.0" customHeight="1">
      <c r="B337" s="1"/>
      <c r="K337" s="2"/>
      <c r="M337" s="3"/>
      <c r="V337" s="2"/>
    </row>
    <row r="338" ht="12.0" customHeight="1">
      <c r="B338" s="1"/>
      <c r="K338" s="2"/>
      <c r="M338" s="3"/>
      <c r="V338" s="2"/>
    </row>
    <row r="339" ht="12.0" customHeight="1">
      <c r="B339" s="1"/>
      <c r="K339" s="2"/>
      <c r="M339" s="3"/>
      <c r="V339" s="2"/>
    </row>
    <row r="340" ht="12.0" customHeight="1">
      <c r="B340" s="1"/>
      <c r="K340" s="2"/>
      <c r="M340" s="3"/>
      <c r="V340" s="2"/>
    </row>
    <row r="341" ht="12.0" customHeight="1">
      <c r="B341" s="1"/>
      <c r="K341" s="2"/>
      <c r="M341" s="3"/>
      <c r="V341" s="2"/>
    </row>
    <row r="342" ht="12.0" customHeight="1">
      <c r="B342" s="1"/>
      <c r="K342" s="2"/>
      <c r="M342" s="3"/>
      <c r="V342" s="2"/>
    </row>
    <row r="343" ht="12.0" customHeight="1">
      <c r="B343" s="1"/>
      <c r="K343" s="2"/>
      <c r="M343" s="3"/>
      <c r="V343" s="2"/>
    </row>
    <row r="344" ht="12.0" customHeight="1">
      <c r="B344" s="1"/>
      <c r="K344" s="2"/>
      <c r="M344" s="3"/>
      <c r="V344" s="2"/>
    </row>
    <row r="345" ht="12.0" customHeight="1">
      <c r="B345" s="1"/>
      <c r="K345" s="2"/>
      <c r="M345" s="3"/>
      <c r="V345" s="2"/>
    </row>
    <row r="346" ht="12.0" customHeight="1">
      <c r="B346" s="1"/>
      <c r="K346" s="2"/>
      <c r="M346" s="3"/>
      <c r="V346" s="2"/>
    </row>
    <row r="347" ht="12.0" customHeight="1">
      <c r="B347" s="1"/>
      <c r="K347" s="2"/>
      <c r="M347" s="3"/>
      <c r="V347" s="2"/>
    </row>
    <row r="348" ht="12.0" customHeight="1">
      <c r="B348" s="1"/>
      <c r="K348" s="2"/>
      <c r="M348" s="3"/>
      <c r="V348" s="2"/>
    </row>
    <row r="349" ht="12.0" customHeight="1">
      <c r="B349" s="1"/>
      <c r="K349" s="2"/>
      <c r="M349" s="3"/>
      <c r="V349" s="2"/>
    </row>
    <row r="350" ht="12.0" customHeight="1">
      <c r="B350" s="1"/>
      <c r="K350" s="2"/>
      <c r="M350" s="3"/>
      <c r="V350" s="2"/>
    </row>
    <row r="351" ht="12.0" customHeight="1">
      <c r="B351" s="1"/>
      <c r="K351" s="2"/>
      <c r="M351" s="3"/>
      <c r="V351" s="2"/>
    </row>
    <row r="352" ht="12.0" customHeight="1">
      <c r="B352" s="1"/>
      <c r="K352" s="2"/>
      <c r="M352" s="3"/>
      <c r="V352" s="2"/>
    </row>
    <row r="353" ht="12.0" customHeight="1">
      <c r="B353" s="1"/>
      <c r="K353" s="2"/>
      <c r="M353" s="3"/>
      <c r="V353" s="2"/>
    </row>
    <row r="354" ht="12.0" customHeight="1">
      <c r="B354" s="1"/>
      <c r="K354" s="2"/>
      <c r="M354" s="3"/>
      <c r="V354" s="2"/>
    </row>
    <row r="355" ht="12.0" customHeight="1">
      <c r="B355" s="1"/>
      <c r="K355" s="2"/>
      <c r="M355" s="3"/>
      <c r="V355" s="2"/>
    </row>
    <row r="356" ht="12.0" customHeight="1">
      <c r="B356" s="1"/>
      <c r="K356" s="2"/>
      <c r="M356" s="3"/>
      <c r="V356" s="2"/>
    </row>
    <row r="357" ht="12.0" customHeight="1">
      <c r="B357" s="1"/>
      <c r="K357" s="2"/>
      <c r="M357" s="3"/>
      <c r="V357" s="2"/>
    </row>
    <row r="358" ht="12.0" customHeight="1">
      <c r="B358" s="1"/>
      <c r="K358" s="2"/>
      <c r="M358" s="3"/>
      <c r="V358" s="2"/>
    </row>
    <row r="359" ht="12.0" customHeight="1">
      <c r="B359" s="1"/>
      <c r="K359" s="2"/>
      <c r="M359" s="3"/>
      <c r="V359" s="2"/>
    </row>
    <row r="360" ht="12.0" customHeight="1">
      <c r="B360" s="1"/>
      <c r="K360" s="2"/>
      <c r="M360" s="3"/>
      <c r="V360" s="2"/>
    </row>
    <row r="361" ht="12.0" customHeight="1">
      <c r="B361" s="1"/>
      <c r="K361" s="2"/>
      <c r="M361" s="3"/>
      <c r="V361" s="2"/>
    </row>
    <row r="362" ht="12.0" customHeight="1">
      <c r="B362" s="1"/>
      <c r="K362" s="2"/>
      <c r="M362" s="3"/>
      <c r="V362" s="2"/>
    </row>
    <row r="363" ht="12.0" customHeight="1">
      <c r="B363" s="1"/>
      <c r="K363" s="2"/>
      <c r="M363" s="3"/>
      <c r="V363" s="2"/>
    </row>
    <row r="364" ht="12.0" customHeight="1">
      <c r="B364" s="1"/>
      <c r="K364" s="2"/>
      <c r="M364" s="3"/>
      <c r="V364" s="2"/>
    </row>
    <row r="365" ht="12.0" customHeight="1">
      <c r="B365" s="1"/>
      <c r="K365" s="2"/>
      <c r="M365" s="3"/>
      <c r="V365" s="2"/>
    </row>
    <row r="366" ht="12.0" customHeight="1">
      <c r="B366" s="1"/>
      <c r="K366" s="2"/>
      <c r="M366" s="3"/>
      <c r="V366" s="2"/>
    </row>
    <row r="367" ht="12.0" customHeight="1">
      <c r="B367" s="1"/>
      <c r="K367" s="2"/>
      <c r="M367" s="3"/>
      <c r="V367" s="2"/>
    </row>
    <row r="368" ht="12.0" customHeight="1">
      <c r="B368" s="1"/>
      <c r="K368" s="2"/>
      <c r="M368" s="3"/>
      <c r="V368" s="2"/>
    </row>
    <row r="369" ht="12.0" customHeight="1">
      <c r="B369" s="1"/>
      <c r="K369" s="2"/>
      <c r="M369" s="3"/>
      <c r="V369" s="2"/>
    </row>
    <row r="370" ht="12.0" customHeight="1">
      <c r="B370" s="1"/>
      <c r="K370" s="2"/>
      <c r="M370" s="3"/>
      <c r="V370" s="2"/>
    </row>
    <row r="371" ht="12.0" customHeight="1">
      <c r="B371" s="1"/>
      <c r="K371" s="2"/>
      <c r="M371" s="3"/>
      <c r="V371" s="2"/>
    </row>
    <row r="372" ht="12.0" customHeight="1">
      <c r="B372" s="1"/>
      <c r="K372" s="2"/>
      <c r="M372" s="3"/>
      <c r="V372" s="2"/>
    </row>
    <row r="373" ht="12.0" customHeight="1">
      <c r="B373" s="1"/>
      <c r="K373" s="2"/>
      <c r="M373" s="3"/>
      <c r="V373" s="2"/>
    </row>
    <row r="374" ht="12.0" customHeight="1">
      <c r="B374" s="1"/>
      <c r="K374" s="2"/>
      <c r="M374" s="3"/>
      <c r="V374" s="2"/>
    </row>
    <row r="375" ht="12.0" customHeight="1">
      <c r="B375" s="1"/>
      <c r="K375" s="2"/>
      <c r="M375" s="3"/>
      <c r="V375" s="2"/>
    </row>
    <row r="376" ht="12.0" customHeight="1">
      <c r="B376" s="1"/>
      <c r="K376" s="2"/>
      <c r="M376" s="3"/>
      <c r="V376" s="2"/>
    </row>
    <row r="377" ht="12.0" customHeight="1">
      <c r="B377" s="1"/>
      <c r="K377" s="2"/>
      <c r="M377" s="3"/>
      <c r="V377" s="2"/>
    </row>
    <row r="378" ht="12.0" customHeight="1">
      <c r="B378" s="1"/>
      <c r="K378" s="2"/>
      <c r="M378" s="3"/>
      <c r="V378" s="2"/>
    </row>
    <row r="379" ht="12.0" customHeight="1">
      <c r="B379" s="1"/>
      <c r="K379" s="2"/>
      <c r="M379" s="3"/>
      <c r="V379" s="2"/>
    </row>
    <row r="380" ht="12.0" customHeight="1">
      <c r="B380" s="1"/>
      <c r="K380" s="2"/>
      <c r="M380" s="3"/>
      <c r="V380" s="2"/>
    </row>
    <row r="381" ht="12.0" customHeight="1">
      <c r="B381" s="1"/>
      <c r="K381" s="2"/>
      <c r="M381" s="3"/>
      <c r="V381" s="2"/>
    </row>
    <row r="382" ht="12.0" customHeight="1">
      <c r="B382" s="1"/>
      <c r="K382" s="2"/>
      <c r="M382" s="3"/>
      <c r="V382" s="2"/>
    </row>
    <row r="383" ht="12.0" customHeight="1">
      <c r="B383" s="1"/>
      <c r="K383" s="2"/>
      <c r="M383" s="3"/>
      <c r="V383" s="2"/>
    </row>
    <row r="384" ht="12.0" customHeight="1">
      <c r="B384" s="1"/>
      <c r="K384" s="2"/>
      <c r="M384" s="3"/>
      <c r="V384" s="2"/>
    </row>
    <row r="385" ht="12.0" customHeight="1">
      <c r="B385" s="1"/>
      <c r="K385" s="2"/>
      <c r="M385" s="3"/>
      <c r="V385" s="2"/>
    </row>
    <row r="386" ht="12.0" customHeight="1">
      <c r="B386" s="1"/>
      <c r="K386" s="2"/>
      <c r="M386" s="3"/>
      <c r="V386" s="2"/>
    </row>
    <row r="387" ht="12.0" customHeight="1">
      <c r="B387" s="1"/>
      <c r="K387" s="2"/>
      <c r="M387" s="3"/>
      <c r="V387" s="2"/>
    </row>
    <row r="388" ht="12.0" customHeight="1">
      <c r="B388" s="1"/>
      <c r="K388" s="2"/>
      <c r="M388" s="3"/>
      <c r="V388" s="2"/>
    </row>
    <row r="389" ht="12.0" customHeight="1">
      <c r="B389" s="1"/>
      <c r="K389" s="2"/>
      <c r="M389" s="3"/>
      <c r="V389" s="2"/>
    </row>
    <row r="390" ht="12.0" customHeight="1">
      <c r="B390" s="1"/>
      <c r="K390" s="2"/>
      <c r="M390" s="3"/>
      <c r="V390" s="2"/>
    </row>
    <row r="391" ht="12.0" customHeight="1">
      <c r="B391" s="1"/>
      <c r="K391" s="2"/>
      <c r="M391" s="3"/>
      <c r="V391" s="2"/>
    </row>
    <row r="392" ht="12.0" customHeight="1">
      <c r="B392" s="1"/>
      <c r="K392" s="2"/>
      <c r="M392" s="3"/>
      <c r="V392" s="2"/>
    </row>
    <row r="393" ht="12.0" customHeight="1">
      <c r="B393" s="1"/>
      <c r="K393" s="2"/>
      <c r="M393" s="3"/>
      <c r="V393" s="2"/>
    </row>
    <row r="394" ht="12.0" customHeight="1">
      <c r="B394" s="1"/>
      <c r="K394" s="2"/>
      <c r="M394" s="3"/>
      <c r="V394" s="2"/>
    </row>
    <row r="395" ht="12.0" customHeight="1">
      <c r="B395" s="1"/>
      <c r="K395" s="2"/>
      <c r="M395" s="3"/>
      <c r="V395" s="2"/>
    </row>
    <row r="396" ht="12.0" customHeight="1">
      <c r="B396" s="1"/>
      <c r="K396" s="2"/>
      <c r="M396" s="3"/>
      <c r="V396" s="2"/>
    </row>
    <row r="397" ht="12.0" customHeight="1">
      <c r="B397" s="1"/>
      <c r="K397" s="2"/>
      <c r="M397" s="3"/>
      <c r="V397" s="2"/>
    </row>
    <row r="398" ht="12.0" customHeight="1">
      <c r="B398" s="1"/>
      <c r="K398" s="2"/>
      <c r="M398" s="3"/>
      <c r="V398" s="2"/>
    </row>
    <row r="399" ht="12.0" customHeight="1">
      <c r="B399" s="1"/>
      <c r="K399" s="2"/>
      <c r="M399" s="3"/>
      <c r="V399" s="2"/>
    </row>
    <row r="400" ht="12.0" customHeight="1">
      <c r="B400" s="1"/>
      <c r="K400" s="2"/>
      <c r="M400" s="3"/>
      <c r="V400" s="2"/>
    </row>
    <row r="401" ht="12.0" customHeight="1">
      <c r="B401" s="1"/>
      <c r="K401" s="2"/>
      <c r="M401" s="3"/>
      <c r="V401" s="2"/>
    </row>
    <row r="402" ht="12.0" customHeight="1">
      <c r="B402" s="1"/>
      <c r="K402" s="2"/>
      <c r="M402" s="3"/>
      <c r="V402" s="2"/>
    </row>
    <row r="403" ht="12.0" customHeight="1">
      <c r="B403" s="1"/>
      <c r="K403" s="2"/>
      <c r="M403" s="3"/>
      <c r="V403" s="2"/>
    </row>
    <row r="404" ht="12.0" customHeight="1">
      <c r="B404" s="1"/>
      <c r="K404" s="2"/>
      <c r="M404" s="3"/>
      <c r="V404" s="2"/>
    </row>
    <row r="405" ht="12.0" customHeight="1">
      <c r="B405" s="1"/>
      <c r="K405" s="2"/>
      <c r="M405" s="3"/>
      <c r="V405" s="2"/>
    </row>
    <row r="406" ht="12.0" customHeight="1">
      <c r="B406" s="1"/>
      <c r="K406" s="2"/>
      <c r="M406" s="3"/>
      <c r="V406" s="2"/>
    </row>
    <row r="407" ht="12.0" customHeight="1">
      <c r="B407" s="1"/>
      <c r="K407" s="2"/>
      <c r="M407" s="3"/>
      <c r="V407" s="2"/>
    </row>
    <row r="408" ht="12.0" customHeight="1">
      <c r="B408" s="1"/>
      <c r="K408" s="2"/>
      <c r="M408" s="3"/>
      <c r="V408" s="2"/>
    </row>
    <row r="409" ht="12.0" customHeight="1">
      <c r="B409" s="1"/>
      <c r="K409" s="2"/>
      <c r="M409" s="3"/>
      <c r="V409" s="2"/>
    </row>
    <row r="410" ht="12.0" customHeight="1">
      <c r="B410" s="1"/>
      <c r="K410" s="2"/>
      <c r="M410" s="3"/>
      <c r="V410" s="2"/>
    </row>
    <row r="411" ht="12.0" customHeight="1">
      <c r="B411" s="1"/>
      <c r="K411" s="2"/>
      <c r="M411" s="3"/>
      <c r="V411" s="2"/>
    </row>
    <row r="412" ht="12.0" customHeight="1">
      <c r="B412" s="1"/>
      <c r="K412" s="2"/>
      <c r="M412" s="3"/>
      <c r="V412" s="2"/>
    </row>
    <row r="413" ht="12.0" customHeight="1">
      <c r="B413" s="1"/>
      <c r="K413" s="2"/>
      <c r="M413" s="3"/>
      <c r="V413" s="2"/>
    </row>
    <row r="414" ht="12.0" customHeight="1">
      <c r="B414" s="1"/>
      <c r="K414" s="2"/>
      <c r="M414" s="3"/>
      <c r="V414" s="2"/>
    </row>
    <row r="415" ht="12.0" customHeight="1">
      <c r="B415" s="1"/>
      <c r="K415" s="2"/>
      <c r="M415" s="3"/>
      <c r="V415" s="2"/>
    </row>
    <row r="416" ht="12.0" customHeight="1">
      <c r="B416" s="1"/>
      <c r="K416" s="2"/>
      <c r="M416" s="3"/>
      <c r="V416" s="2"/>
    </row>
    <row r="417" ht="12.0" customHeight="1">
      <c r="B417" s="1"/>
      <c r="K417" s="2"/>
      <c r="M417" s="3"/>
      <c r="V417" s="2"/>
    </row>
    <row r="418" ht="12.0" customHeight="1">
      <c r="B418" s="1"/>
      <c r="K418" s="2"/>
      <c r="M418" s="3"/>
      <c r="V418" s="2"/>
    </row>
    <row r="419" ht="12.0" customHeight="1">
      <c r="B419" s="1"/>
      <c r="K419" s="2"/>
      <c r="M419" s="3"/>
      <c r="V419" s="2"/>
    </row>
    <row r="420" ht="12.0" customHeight="1">
      <c r="B420" s="1"/>
      <c r="K420" s="2"/>
      <c r="M420" s="3"/>
      <c r="V420" s="2"/>
    </row>
    <row r="421" ht="12.0" customHeight="1">
      <c r="B421" s="1"/>
      <c r="K421" s="2"/>
      <c r="M421" s="3"/>
      <c r="V421" s="2"/>
    </row>
    <row r="422" ht="12.0" customHeight="1">
      <c r="B422" s="1"/>
      <c r="K422" s="2"/>
      <c r="M422" s="3"/>
      <c r="V422" s="2"/>
    </row>
    <row r="423" ht="12.0" customHeight="1">
      <c r="B423" s="1"/>
      <c r="K423" s="2"/>
      <c r="M423" s="3"/>
      <c r="V423" s="2"/>
    </row>
    <row r="424" ht="12.0" customHeight="1">
      <c r="B424" s="1"/>
      <c r="K424" s="2"/>
      <c r="M424" s="3"/>
      <c r="V424" s="2"/>
    </row>
    <row r="425" ht="12.0" customHeight="1">
      <c r="B425" s="1"/>
      <c r="K425" s="2"/>
      <c r="M425" s="3"/>
      <c r="V425" s="2"/>
    </row>
    <row r="426" ht="12.0" customHeight="1">
      <c r="B426" s="1"/>
      <c r="K426" s="2"/>
      <c r="M426" s="3"/>
      <c r="V426" s="2"/>
    </row>
    <row r="427" ht="12.0" customHeight="1">
      <c r="B427" s="1"/>
      <c r="K427" s="2"/>
      <c r="M427" s="3"/>
      <c r="V427" s="2"/>
    </row>
    <row r="428" ht="12.0" customHeight="1">
      <c r="B428" s="1"/>
      <c r="K428" s="2"/>
      <c r="M428" s="3"/>
      <c r="V428" s="2"/>
    </row>
    <row r="429" ht="12.0" customHeight="1">
      <c r="B429" s="1"/>
      <c r="K429" s="2"/>
      <c r="M429" s="3"/>
      <c r="V429" s="2"/>
    </row>
    <row r="430" ht="12.0" customHeight="1">
      <c r="B430" s="1"/>
      <c r="K430" s="2"/>
      <c r="M430" s="3"/>
      <c r="V430" s="2"/>
    </row>
    <row r="431" ht="12.0" customHeight="1">
      <c r="B431" s="1"/>
      <c r="K431" s="2"/>
      <c r="M431" s="3"/>
      <c r="V431" s="2"/>
    </row>
    <row r="432" ht="12.0" customHeight="1">
      <c r="B432" s="1"/>
      <c r="K432" s="2"/>
      <c r="M432" s="3"/>
      <c r="V432" s="2"/>
    </row>
    <row r="433" ht="12.0" customHeight="1">
      <c r="B433" s="1"/>
      <c r="K433" s="2"/>
      <c r="M433" s="3"/>
      <c r="V433" s="2"/>
    </row>
    <row r="434" ht="12.0" customHeight="1">
      <c r="B434" s="1"/>
      <c r="K434" s="2"/>
      <c r="M434" s="3"/>
      <c r="V434" s="2"/>
    </row>
    <row r="435" ht="12.0" customHeight="1">
      <c r="B435" s="1"/>
      <c r="K435" s="2"/>
      <c r="M435" s="3"/>
      <c r="V435" s="2"/>
    </row>
    <row r="436" ht="12.0" customHeight="1">
      <c r="B436" s="1"/>
      <c r="K436" s="2"/>
      <c r="M436" s="3"/>
      <c r="V436" s="2"/>
    </row>
    <row r="437" ht="12.0" customHeight="1">
      <c r="B437" s="1"/>
      <c r="K437" s="2"/>
      <c r="M437" s="3"/>
      <c r="V437" s="2"/>
    </row>
    <row r="438" ht="12.0" customHeight="1">
      <c r="B438" s="1"/>
      <c r="K438" s="2"/>
      <c r="M438" s="3"/>
      <c r="V438" s="2"/>
    </row>
    <row r="439" ht="12.0" customHeight="1">
      <c r="B439" s="1"/>
      <c r="K439" s="2"/>
      <c r="M439" s="3"/>
      <c r="V439" s="2"/>
    </row>
    <row r="440" ht="12.0" customHeight="1">
      <c r="B440" s="1"/>
      <c r="K440" s="2"/>
      <c r="M440" s="3"/>
      <c r="V440" s="2"/>
    </row>
    <row r="441" ht="12.0" customHeight="1">
      <c r="B441" s="1"/>
      <c r="K441" s="2"/>
      <c r="M441" s="3"/>
      <c r="V441" s="2"/>
    </row>
    <row r="442" ht="12.0" customHeight="1">
      <c r="B442" s="1"/>
      <c r="K442" s="2"/>
      <c r="M442" s="3"/>
      <c r="V442" s="2"/>
    </row>
    <row r="443" ht="12.0" customHeight="1">
      <c r="B443" s="1"/>
      <c r="K443" s="2"/>
      <c r="M443" s="3"/>
      <c r="V443" s="2"/>
    </row>
    <row r="444" ht="12.0" customHeight="1">
      <c r="B444" s="1"/>
      <c r="K444" s="2"/>
      <c r="M444" s="3"/>
      <c r="V444" s="2"/>
    </row>
    <row r="445" ht="12.0" customHeight="1">
      <c r="B445" s="1"/>
      <c r="K445" s="2"/>
      <c r="M445" s="3"/>
      <c r="V445" s="2"/>
    </row>
    <row r="446" ht="12.0" customHeight="1">
      <c r="B446" s="1"/>
      <c r="K446" s="2"/>
      <c r="M446" s="3"/>
      <c r="V446" s="2"/>
    </row>
    <row r="447" ht="12.0" customHeight="1">
      <c r="B447" s="1"/>
      <c r="K447" s="2"/>
      <c r="M447" s="3"/>
      <c r="V447" s="2"/>
    </row>
    <row r="448" ht="12.0" customHeight="1">
      <c r="B448" s="1"/>
      <c r="K448" s="2"/>
      <c r="M448" s="3"/>
      <c r="V448" s="2"/>
    </row>
    <row r="449" ht="12.0" customHeight="1">
      <c r="B449" s="1"/>
      <c r="K449" s="2"/>
      <c r="M449" s="3"/>
      <c r="V449" s="2"/>
    </row>
    <row r="450" ht="12.0" customHeight="1">
      <c r="B450" s="1"/>
      <c r="K450" s="2"/>
      <c r="M450" s="3"/>
      <c r="V450" s="2"/>
    </row>
    <row r="451" ht="12.0" customHeight="1">
      <c r="B451" s="1"/>
      <c r="K451" s="2"/>
      <c r="M451" s="3"/>
      <c r="V451" s="2"/>
    </row>
    <row r="452" ht="12.0" customHeight="1">
      <c r="B452" s="1"/>
      <c r="K452" s="2"/>
      <c r="M452" s="3"/>
      <c r="V452" s="2"/>
    </row>
    <row r="453" ht="12.0" customHeight="1">
      <c r="B453" s="1"/>
      <c r="K453" s="2"/>
      <c r="M453" s="3"/>
      <c r="V453" s="2"/>
    </row>
    <row r="454" ht="12.0" customHeight="1">
      <c r="B454" s="1"/>
      <c r="K454" s="2"/>
      <c r="M454" s="3"/>
      <c r="V454" s="2"/>
    </row>
    <row r="455" ht="12.0" customHeight="1">
      <c r="B455" s="1"/>
      <c r="K455" s="2"/>
      <c r="M455" s="3"/>
      <c r="V455" s="2"/>
    </row>
    <row r="456" ht="12.0" customHeight="1">
      <c r="B456" s="1"/>
      <c r="K456" s="2"/>
      <c r="M456" s="3"/>
      <c r="V456" s="2"/>
    </row>
    <row r="457" ht="12.0" customHeight="1">
      <c r="B457" s="1"/>
      <c r="K457" s="2"/>
      <c r="M457" s="3"/>
      <c r="V457" s="2"/>
    </row>
    <row r="458" ht="12.0" customHeight="1">
      <c r="B458" s="1"/>
      <c r="K458" s="2"/>
      <c r="M458" s="3"/>
      <c r="V458" s="2"/>
    </row>
    <row r="459" ht="12.0" customHeight="1">
      <c r="B459" s="1"/>
      <c r="K459" s="2"/>
      <c r="M459" s="3"/>
      <c r="V459" s="2"/>
    </row>
    <row r="460" ht="12.0" customHeight="1">
      <c r="B460" s="1"/>
      <c r="K460" s="2"/>
      <c r="M460" s="3"/>
      <c r="V460" s="2"/>
    </row>
    <row r="461" ht="12.0" customHeight="1">
      <c r="B461" s="1"/>
      <c r="K461" s="2"/>
      <c r="M461" s="3"/>
      <c r="V461" s="2"/>
    </row>
    <row r="462" ht="12.0" customHeight="1">
      <c r="B462" s="1"/>
      <c r="K462" s="2"/>
      <c r="M462" s="3"/>
      <c r="V462" s="2"/>
    </row>
    <row r="463" ht="12.0" customHeight="1">
      <c r="B463" s="1"/>
      <c r="K463" s="2"/>
      <c r="M463" s="3"/>
      <c r="V463" s="2"/>
    </row>
    <row r="464" ht="12.0" customHeight="1">
      <c r="B464" s="1"/>
      <c r="K464" s="2"/>
      <c r="M464" s="3"/>
      <c r="V464" s="2"/>
    </row>
    <row r="465" ht="12.0" customHeight="1">
      <c r="B465" s="1"/>
      <c r="K465" s="2"/>
      <c r="M465" s="3"/>
      <c r="V465" s="2"/>
    </row>
    <row r="466" ht="12.0" customHeight="1">
      <c r="B466" s="1"/>
      <c r="K466" s="2"/>
      <c r="M466" s="3"/>
      <c r="V466" s="2"/>
    </row>
    <row r="467" ht="12.0" customHeight="1">
      <c r="B467" s="1"/>
      <c r="K467" s="2"/>
      <c r="M467" s="3"/>
      <c r="V467" s="2"/>
    </row>
    <row r="468" ht="12.0" customHeight="1">
      <c r="B468" s="1"/>
      <c r="K468" s="2"/>
      <c r="M468" s="3"/>
      <c r="V468" s="2"/>
    </row>
    <row r="469" ht="12.0" customHeight="1">
      <c r="B469" s="1"/>
      <c r="K469" s="2"/>
      <c r="M469" s="3"/>
      <c r="V469" s="2"/>
    </row>
    <row r="470" ht="12.0" customHeight="1">
      <c r="B470" s="1"/>
      <c r="K470" s="2"/>
      <c r="M470" s="3"/>
      <c r="V470" s="2"/>
    </row>
    <row r="471" ht="12.0" customHeight="1">
      <c r="B471" s="1"/>
      <c r="K471" s="2"/>
      <c r="M471" s="3"/>
      <c r="V471" s="2"/>
    </row>
    <row r="472" ht="12.0" customHeight="1">
      <c r="B472" s="1"/>
      <c r="K472" s="2"/>
      <c r="M472" s="3"/>
      <c r="V472" s="2"/>
    </row>
    <row r="473" ht="12.0" customHeight="1">
      <c r="B473" s="1"/>
      <c r="K473" s="2"/>
      <c r="M473" s="3"/>
      <c r="V473" s="2"/>
    </row>
    <row r="474" ht="12.0" customHeight="1">
      <c r="B474" s="1"/>
      <c r="K474" s="2"/>
      <c r="M474" s="3"/>
      <c r="V474" s="2"/>
    </row>
    <row r="475" ht="12.0" customHeight="1">
      <c r="B475" s="1"/>
      <c r="K475" s="2"/>
      <c r="M475" s="3"/>
      <c r="V475" s="2"/>
    </row>
    <row r="476" ht="12.0" customHeight="1">
      <c r="B476" s="1"/>
      <c r="K476" s="2"/>
      <c r="M476" s="3"/>
      <c r="V476" s="2"/>
    </row>
    <row r="477" ht="12.0" customHeight="1">
      <c r="B477" s="1"/>
      <c r="K477" s="2"/>
      <c r="M477" s="3"/>
      <c r="V477" s="2"/>
    </row>
    <row r="478" ht="12.0" customHeight="1">
      <c r="B478" s="1"/>
      <c r="K478" s="2"/>
      <c r="M478" s="3"/>
      <c r="V478" s="2"/>
    </row>
    <row r="479" ht="12.0" customHeight="1">
      <c r="B479" s="1"/>
      <c r="K479" s="2"/>
      <c r="M479" s="3"/>
      <c r="V479" s="2"/>
    </row>
    <row r="480" ht="12.0" customHeight="1">
      <c r="B480" s="1"/>
      <c r="K480" s="2"/>
      <c r="M480" s="3"/>
      <c r="V480" s="2"/>
    </row>
    <row r="481" ht="12.0" customHeight="1">
      <c r="B481" s="1"/>
      <c r="K481" s="2"/>
      <c r="M481" s="3"/>
      <c r="V481" s="2"/>
    </row>
    <row r="482" ht="12.0" customHeight="1">
      <c r="B482" s="1"/>
      <c r="K482" s="2"/>
      <c r="M482" s="3"/>
      <c r="V482" s="2"/>
    </row>
    <row r="483" ht="12.0" customHeight="1">
      <c r="B483" s="1"/>
      <c r="K483" s="2"/>
      <c r="M483" s="3"/>
      <c r="V483" s="2"/>
    </row>
    <row r="484" ht="12.0" customHeight="1">
      <c r="B484" s="1"/>
      <c r="K484" s="2"/>
      <c r="M484" s="3"/>
      <c r="V484" s="2"/>
    </row>
    <row r="485" ht="12.0" customHeight="1">
      <c r="B485" s="1"/>
      <c r="K485" s="2"/>
      <c r="M485" s="3"/>
      <c r="V485" s="2"/>
    </row>
    <row r="486" ht="12.0" customHeight="1">
      <c r="B486" s="1"/>
      <c r="K486" s="2"/>
      <c r="M486" s="3"/>
      <c r="V486" s="2"/>
    </row>
    <row r="487" ht="12.0" customHeight="1">
      <c r="B487" s="1"/>
      <c r="K487" s="2"/>
      <c r="M487" s="3"/>
      <c r="V487" s="2"/>
    </row>
    <row r="488" ht="12.0" customHeight="1">
      <c r="B488" s="1"/>
      <c r="K488" s="2"/>
      <c r="M488" s="3"/>
      <c r="V488" s="2"/>
    </row>
    <row r="489" ht="12.0" customHeight="1">
      <c r="B489" s="1"/>
      <c r="K489" s="2"/>
      <c r="M489" s="3"/>
      <c r="V489" s="2"/>
    </row>
    <row r="490" ht="12.0" customHeight="1">
      <c r="B490" s="1"/>
      <c r="K490" s="2"/>
      <c r="M490" s="3"/>
      <c r="V490" s="2"/>
    </row>
    <row r="491" ht="12.0" customHeight="1">
      <c r="B491" s="1"/>
      <c r="K491" s="2"/>
      <c r="M491" s="3"/>
      <c r="V491" s="2"/>
    </row>
    <row r="492" ht="12.0" customHeight="1">
      <c r="B492" s="1"/>
      <c r="K492" s="2"/>
      <c r="M492" s="3"/>
      <c r="V492" s="2"/>
    </row>
    <row r="493" ht="12.0" customHeight="1">
      <c r="B493" s="1"/>
      <c r="K493" s="2"/>
      <c r="M493" s="3"/>
      <c r="V493" s="2"/>
    </row>
    <row r="494" ht="12.0" customHeight="1">
      <c r="B494" s="1"/>
      <c r="K494" s="2"/>
      <c r="M494" s="3"/>
      <c r="V494" s="2"/>
    </row>
    <row r="495" ht="12.0" customHeight="1">
      <c r="B495" s="1"/>
      <c r="K495" s="2"/>
      <c r="M495" s="3"/>
      <c r="V495" s="2"/>
    </row>
    <row r="496" ht="12.0" customHeight="1">
      <c r="B496" s="1"/>
      <c r="K496" s="2"/>
      <c r="M496" s="3"/>
      <c r="V496" s="2"/>
    </row>
    <row r="497" ht="12.0" customHeight="1">
      <c r="B497" s="1"/>
      <c r="K497" s="2"/>
      <c r="M497" s="3"/>
      <c r="V497" s="2"/>
    </row>
    <row r="498" ht="12.0" customHeight="1">
      <c r="B498" s="1"/>
      <c r="K498" s="2"/>
      <c r="M498" s="3"/>
      <c r="V498" s="2"/>
    </row>
    <row r="499" ht="12.0" customHeight="1">
      <c r="B499" s="1"/>
      <c r="K499" s="2"/>
      <c r="M499" s="3"/>
      <c r="V499" s="2"/>
    </row>
    <row r="500" ht="12.0" customHeight="1">
      <c r="B500" s="1"/>
      <c r="K500" s="2"/>
      <c r="M500" s="3"/>
      <c r="V500" s="2"/>
    </row>
    <row r="501" ht="12.0" customHeight="1">
      <c r="B501" s="1"/>
      <c r="K501" s="2"/>
      <c r="M501" s="3"/>
      <c r="V501" s="2"/>
    </row>
    <row r="502" ht="12.0" customHeight="1">
      <c r="B502" s="1"/>
      <c r="K502" s="2"/>
      <c r="M502" s="3"/>
      <c r="V502" s="2"/>
    </row>
    <row r="503" ht="12.0" customHeight="1">
      <c r="B503" s="1"/>
      <c r="K503" s="2"/>
      <c r="M503" s="3"/>
      <c r="V503" s="2"/>
    </row>
    <row r="504" ht="12.0" customHeight="1">
      <c r="B504" s="1"/>
      <c r="K504" s="2"/>
      <c r="M504" s="3"/>
      <c r="V504" s="2"/>
    </row>
    <row r="505" ht="12.0" customHeight="1">
      <c r="B505" s="1"/>
      <c r="K505" s="2"/>
      <c r="M505" s="3"/>
      <c r="V505" s="2"/>
    </row>
    <row r="506" ht="12.0" customHeight="1">
      <c r="B506" s="1"/>
      <c r="K506" s="2"/>
      <c r="M506" s="3"/>
      <c r="V506" s="2"/>
    </row>
    <row r="507" ht="12.0" customHeight="1">
      <c r="B507" s="1"/>
      <c r="K507" s="2"/>
      <c r="M507" s="3"/>
      <c r="V507" s="2"/>
    </row>
    <row r="508" ht="12.0" customHeight="1">
      <c r="B508" s="1"/>
      <c r="K508" s="2"/>
      <c r="M508" s="3"/>
      <c r="V508" s="2"/>
    </row>
    <row r="509" ht="12.0" customHeight="1">
      <c r="B509" s="1"/>
      <c r="K509" s="2"/>
      <c r="M509" s="3"/>
      <c r="V509" s="2"/>
    </row>
    <row r="510" ht="12.0" customHeight="1">
      <c r="B510" s="1"/>
      <c r="K510" s="2"/>
      <c r="M510" s="3"/>
      <c r="V510" s="2"/>
    </row>
    <row r="511" ht="12.0" customHeight="1">
      <c r="B511" s="1"/>
      <c r="K511" s="2"/>
      <c r="M511" s="3"/>
      <c r="V511" s="2"/>
    </row>
    <row r="512" ht="12.0" customHeight="1">
      <c r="B512" s="1"/>
      <c r="K512" s="2"/>
      <c r="M512" s="3"/>
      <c r="V512" s="2"/>
    </row>
    <row r="513" ht="12.0" customHeight="1">
      <c r="B513" s="1"/>
      <c r="K513" s="2"/>
      <c r="M513" s="3"/>
      <c r="V513" s="2"/>
    </row>
    <row r="514" ht="12.0" customHeight="1">
      <c r="B514" s="1"/>
      <c r="K514" s="2"/>
      <c r="M514" s="3"/>
      <c r="V514" s="2"/>
    </row>
    <row r="515" ht="12.0" customHeight="1">
      <c r="B515" s="1"/>
      <c r="K515" s="2"/>
      <c r="M515" s="3"/>
      <c r="V515" s="2"/>
    </row>
    <row r="516" ht="12.0" customHeight="1">
      <c r="B516" s="1"/>
      <c r="K516" s="2"/>
      <c r="M516" s="3"/>
      <c r="V516" s="2"/>
    </row>
    <row r="517" ht="12.0" customHeight="1">
      <c r="B517" s="1"/>
      <c r="K517" s="2"/>
      <c r="M517" s="3"/>
      <c r="V517" s="2"/>
    </row>
    <row r="518" ht="12.0" customHeight="1">
      <c r="B518" s="1"/>
      <c r="K518" s="2"/>
      <c r="M518" s="3"/>
      <c r="V518" s="2"/>
    </row>
    <row r="519" ht="12.0" customHeight="1">
      <c r="B519" s="1"/>
      <c r="K519" s="2"/>
      <c r="M519" s="3"/>
      <c r="V519" s="2"/>
    </row>
    <row r="520" ht="12.0" customHeight="1">
      <c r="B520" s="1"/>
      <c r="K520" s="2"/>
      <c r="M520" s="3"/>
      <c r="V520" s="2"/>
    </row>
    <row r="521" ht="12.0" customHeight="1">
      <c r="B521" s="1"/>
      <c r="K521" s="2"/>
      <c r="M521" s="3"/>
      <c r="V521" s="2"/>
    </row>
    <row r="522" ht="12.0" customHeight="1">
      <c r="B522" s="1"/>
      <c r="K522" s="2"/>
      <c r="M522" s="3"/>
      <c r="V522" s="2"/>
    </row>
    <row r="523" ht="12.0" customHeight="1">
      <c r="B523" s="1"/>
      <c r="K523" s="2"/>
      <c r="M523" s="3"/>
      <c r="V523" s="2"/>
    </row>
    <row r="524" ht="12.0" customHeight="1">
      <c r="B524" s="1"/>
      <c r="K524" s="2"/>
      <c r="M524" s="3"/>
      <c r="V524" s="2"/>
    </row>
    <row r="525" ht="12.0" customHeight="1">
      <c r="B525" s="1"/>
      <c r="K525" s="2"/>
      <c r="M525" s="3"/>
      <c r="V525" s="2"/>
    </row>
    <row r="526" ht="12.0" customHeight="1">
      <c r="B526" s="1"/>
      <c r="K526" s="2"/>
      <c r="M526" s="3"/>
      <c r="V526" s="2"/>
    </row>
    <row r="527" ht="12.0" customHeight="1">
      <c r="B527" s="1"/>
      <c r="K527" s="2"/>
      <c r="M527" s="3"/>
      <c r="V527" s="2"/>
    </row>
    <row r="528" ht="12.0" customHeight="1">
      <c r="B528" s="1"/>
      <c r="K528" s="2"/>
      <c r="M528" s="3"/>
      <c r="V528" s="2"/>
    </row>
    <row r="529" ht="12.0" customHeight="1">
      <c r="B529" s="1"/>
      <c r="K529" s="2"/>
      <c r="M529" s="3"/>
      <c r="V529" s="2"/>
    </row>
    <row r="530" ht="12.0" customHeight="1">
      <c r="B530" s="1"/>
      <c r="K530" s="2"/>
      <c r="M530" s="3"/>
      <c r="V530" s="2"/>
    </row>
    <row r="531" ht="12.0" customHeight="1">
      <c r="B531" s="1"/>
      <c r="K531" s="2"/>
      <c r="M531" s="3"/>
      <c r="V531" s="2"/>
    </row>
    <row r="532" ht="12.0" customHeight="1">
      <c r="B532" s="1"/>
      <c r="K532" s="2"/>
      <c r="M532" s="3"/>
      <c r="V532" s="2"/>
    </row>
    <row r="533" ht="12.0" customHeight="1">
      <c r="B533" s="1"/>
      <c r="K533" s="2"/>
      <c r="M533" s="3"/>
      <c r="V533" s="2"/>
    </row>
    <row r="534" ht="12.0" customHeight="1">
      <c r="B534" s="1"/>
      <c r="K534" s="2"/>
      <c r="M534" s="3"/>
      <c r="V534" s="2"/>
    </row>
    <row r="535" ht="12.0" customHeight="1">
      <c r="B535" s="1"/>
      <c r="K535" s="2"/>
      <c r="M535" s="3"/>
      <c r="V535" s="2"/>
    </row>
    <row r="536" ht="12.0" customHeight="1">
      <c r="B536" s="1"/>
      <c r="K536" s="2"/>
      <c r="M536" s="3"/>
      <c r="V536" s="2"/>
    </row>
    <row r="537" ht="12.0" customHeight="1">
      <c r="B537" s="1"/>
      <c r="K537" s="2"/>
      <c r="M537" s="3"/>
      <c r="V537" s="2"/>
    </row>
    <row r="538" ht="12.0" customHeight="1">
      <c r="B538" s="1"/>
      <c r="K538" s="2"/>
      <c r="M538" s="3"/>
      <c r="V538" s="2"/>
    </row>
    <row r="539" ht="12.0" customHeight="1">
      <c r="B539" s="1"/>
      <c r="K539" s="2"/>
      <c r="M539" s="3"/>
      <c r="V539" s="2"/>
    </row>
    <row r="540" ht="12.0" customHeight="1">
      <c r="B540" s="1"/>
      <c r="K540" s="2"/>
      <c r="M540" s="3"/>
      <c r="V540" s="2"/>
    </row>
    <row r="541" ht="12.0" customHeight="1">
      <c r="B541" s="1"/>
      <c r="K541" s="2"/>
      <c r="M541" s="3"/>
      <c r="V541" s="2"/>
    </row>
    <row r="542" ht="12.0" customHeight="1">
      <c r="B542" s="1"/>
      <c r="K542" s="2"/>
      <c r="M542" s="3"/>
      <c r="V542" s="2"/>
    </row>
    <row r="543" ht="12.0" customHeight="1">
      <c r="B543" s="1"/>
      <c r="K543" s="2"/>
      <c r="M543" s="3"/>
      <c r="V543" s="2"/>
    </row>
    <row r="544" ht="12.0" customHeight="1">
      <c r="B544" s="1"/>
      <c r="K544" s="2"/>
      <c r="M544" s="3"/>
      <c r="V544" s="2"/>
    </row>
    <row r="545" ht="12.0" customHeight="1">
      <c r="B545" s="1"/>
      <c r="K545" s="2"/>
      <c r="M545" s="3"/>
      <c r="V545" s="2"/>
    </row>
    <row r="546" ht="12.0" customHeight="1">
      <c r="B546" s="1"/>
      <c r="K546" s="2"/>
      <c r="M546" s="3"/>
      <c r="V546" s="2"/>
    </row>
    <row r="547" ht="12.0" customHeight="1">
      <c r="B547" s="1"/>
      <c r="K547" s="2"/>
      <c r="M547" s="3"/>
      <c r="V547" s="2"/>
    </row>
    <row r="548" ht="12.0" customHeight="1">
      <c r="B548" s="1"/>
      <c r="K548" s="2"/>
      <c r="M548" s="3"/>
      <c r="V548" s="2"/>
    </row>
    <row r="549" ht="12.0" customHeight="1">
      <c r="B549" s="1"/>
      <c r="K549" s="2"/>
      <c r="M549" s="3"/>
      <c r="V549" s="2"/>
    </row>
    <row r="550" ht="12.0" customHeight="1">
      <c r="B550" s="1"/>
      <c r="K550" s="2"/>
      <c r="M550" s="3"/>
      <c r="V550" s="2"/>
    </row>
    <row r="551" ht="12.0" customHeight="1">
      <c r="B551" s="1"/>
      <c r="K551" s="2"/>
      <c r="M551" s="3"/>
      <c r="V551" s="2"/>
    </row>
    <row r="552" ht="12.0" customHeight="1">
      <c r="B552" s="1"/>
      <c r="K552" s="2"/>
      <c r="M552" s="3"/>
      <c r="V552" s="2"/>
    </row>
    <row r="553" ht="12.0" customHeight="1">
      <c r="B553" s="1"/>
      <c r="K553" s="2"/>
      <c r="M553" s="3"/>
      <c r="V553" s="2"/>
    </row>
    <row r="554" ht="12.0" customHeight="1">
      <c r="B554" s="1"/>
      <c r="K554" s="2"/>
      <c r="M554" s="3"/>
      <c r="V554" s="2"/>
    </row>
    <row r="555" ht="12.0" customHeight="1">
      <c r="B555" s="1"/>
      <c r="K555" s="2"/>
      <c r="M555" s="3"/>
      <c r="V555" s="2"/>
    </row>
    <row r="556" ht="12.0" customHeight="1">
      <c r="B556" s="1"/>
      <c r="K556" s="2"/>
      <c r="M556" s="3"/>
      <c r="V556" s="2"/>
    </row>
    <row r="557" ht="12.0" customHeight="1">
      <c r="B557" s="1"/>
      <c r="K557" s="2"/>
      <c r="M557" s="3"/>
      <c r="V557" s="2"/>
    </row>
    <row r="558" ht="12.0" customHeight="1">
      <c r="B558" s="1"/>
      <c r="K558" s="2"/>
      <c r="M558" s="3"/>
      <c r="V558" s="2"/>
    </row>
    <row r="559" ht="12.0" customHeight="1">
      <c r="B559" s="1"/>
      <c r="K559" s="2"/>
      <c r="M559" s="3"/>
      <c r="V559" s="2"/>
    </row>
    <row r="560" ht="12.0" customHeight="1">
      <c r="B560" s="1"/>
      <c r="K560" s="2"/>
      <c r="M560" s="3"/>
      <c r="V560" s="2"/>
    </row>
    <row r="561" ht="12.0" customHeight="1">
      <c r="B561" s="1"/>
      <c r="K561" s="2"/>
      <c r="M561" s="3"/>
      <c r="V561" s="2"/>
    </row>
    <row r="562" ht="12.0" customHeight="1">
      <c r="B562" s="1"/>
      <c r="K562" s="2"/>
      <c r="M562" s="3"/>
      <c r="V562" s="2"/>
    </row>
    <row r="563" ht="12.0" customHeight="1">
      <c r="B563" s="1"/>
      <c r="K563" s="2"/>
      <c r="M563" s="3"/>
      <c r="V563" s="2"/>
    </row>
    <row r="564" ht="12.0" customHeight="1">
      <c r="B564" s="1"/>
      <c r="K564" s="2"/>
      <c r="M564" s="3"/>
      <c r="V564" s="2"/>
    </row>
    <row r="565" ht="12.0" customHeight="1">
      <c r="B565" s="1"/>
      <c r="K565" s="2"/>
      <c r="M565" s="3"/>
      <c r="V565" s="2"/>
    </row>
    <row r="566" ht="12.0" customHeight="1">
      <c r="B566" s="1"/>
      <c r="K566" s="2"/>
      <c r="M566" s="3"/>
      <c r="V566" s="2"/>
    </row>
    <row r="567" ht="12.0" customHeight="1">
      <c r="B567" s="1"/>
      <c r="K567" s="2"/>
      <c r="M567" s="3"/>
      <c r="V567" s="2"/>
    </row>
    <row r="568" ht="12.0" customHeight="1">
      <c r="B568" s="1"/>
      <c r="K568" s="2"/>
      <c r="M568" s="3"/>
      <c r="V568" s="2"/>
    </row>
    <row r="569" ht="12.0" customHeight="1">
      <c r="B569" s="1"/>
      <c r="K569" s="2"/>
      <c r="M569" s="3"/>
      <c r="V569" s="2"/>
    </row>
    <row r="570" ht="12.0" customHeight="1">
      <c r="B570" s="1"/>
      <c r="K570" s="2"/>
      <c r="M570" s="3"/>
      <c r="V570" s="2"/>
    </row>
    <row r="571" ht="12.0" customHeight="1">
      <c r="B571" s="1"/>
      <c r="K571" s="2"/>
      <c r="M571" s="3"/>
      <c r="V571" s="2"/>
    </row>
    <row r="572" ht="12.0" customHeight="1">
      <c r="B572" s="1"/>
      <c r="K572" s="2"/>
      <c r="M572" s="3"/>
      <c r="V572" s="2"/>
    </row>
    <row r="573" ht="12.0" customHeight="1">
      <c r="B573" s="1"/>
      <c r="K573" s="2"/>
      <c r="M573" s="3"/>
      <c r="V573" s="2"/>
    </row>
    <row r="574" ht="12.0" customHeight="1">
      <c r="B574" s="1"/>
      <c r="K574" s="2"/>
      <c r="M574" s="3"/>
      <c r="V574" s="2"/>
    </row>
    <row r="575" ht="12.0" customHeight="1">
      <c r="B575" s="1"/>
      <c r="K575" s="2"/>
      <c r="M575" s="3"/>
      <c r="V575" s="2"/>
    </row>
    <row r="576" ht="12.0" customHeight="1">
      <c r="B576" s="1"/>
      <c r="K576" s="2"/>
      <c r="M576" s="3"/>
      <c r="V576" s="2"/>
    </row>
    <row r="577" ht="12.0" customHeight="1">
      <c r="B577" s="1"/>
      <c r="K577" s="2"/>
      <c r="M577" s="3"/>
      <c r="V577" s="2"/>
    </row>
    <row r="578" ht="12.0" customHeight="1">
      <c r="B578" s="1"/>
      <c r="K578" s="2"/>
      <c r="M578" s="3"/>
      <c r="V578" s="2"/>
    </row>
    <row r="579" ht="12.0" customHeight="1">
      <c r="B579" s="1"/>
      <c r="K579" s="2"/>
      <c r="M579" s="3"/>
      <c r="V579" s="2"/>
    </row>
    <row r="580" ht="12.0" customHeight="1">
      <c r="B580" s="1"/>
      <c r="K580" s="2"/>
      <c r="M580" s="3"/>
      <c r="V580" s="2"/>
    </row>
    <row r="581" ht="12.0" customHeight="1">
      <c r="B581" s="1"/>
      <c r="K581" s="2"/>
      <c r="M581" s="3"/>
      <c r="V581" s="2"/>
    </row>
    <row r="582" ht="12.0" customHeight="1">
      <c r="B582" s="1"/>
      <c r="K582" s="2"/>
      <c r="M582" s="3"/>
      <c r="V582" s="2"/>
    </row>
    <row r="583" ht="12.0" customHeight="1">
      <c r="B583" s="1"/>
      <c r="K583" s="2"/>
      <c r="M583" s="3"/>
      <c r="V583" s="2"/>
    </row>
    <row r="584" ht="12.0" customHeight="1">
      <c r="B584" s="1"/>
      <c r="K584" s="2"/>
      <c r="M584" s="3"/>
      <c r="V584" s="2"/>
    </row>
    <row r="585" ht="12.0" customHeight="1">
      <c r="B585" s="1"/>
      <c r="K585" s="2"/>
      <c r="M585" s="3"/>
      <c r="V585" s="2"/>
    </row>
    <row r="586" ht="12.0" customHeight="1">
      <c r="B586" s="1"/>
      <c r="K586" s="2"/>
      <c r="M586" s="3"/>
      <c r="V586" s="2"/>
    </row>
    <row r="587" ht="12.0" customHeight="1">
      <c r="B587" s="1"/>
      <c r="K587" s="2"/>
      <c r="M587" s="3"/>
      <c r="V587" s="2"/>
    </row>
    <row r="588" ht="12.0" customHeight="1">
      <c r="B588" s="1"/>
      <c r="K588" s="2"/>
      <c r="M588" s="3"/>
      <c r="V588" s="2"/>
    </row>
    <row r="589" ht="12.0" customHeight="1">
      <c r="B589" s="1"/>
      <c r="K589" s="2"/>
      <c r="M589" s="3"/>
      <c r="V589" s="2"/>
    </row>
    <row r="590" ht="12.0" customHeight="1">
      <c r="B590" s="1"/>
      <c r="K590" s="2"/>
      <c r="M590" s="3"/>
      <c r="V590" s="2"/>
    </row>
    <row r="591" ht="12.0" customHeight="1">
      <c r="B591" s="1"/>
      <c r="K591" s="2"/>
      <c r="M591" s="3"/>
      <c r="V591" s="2"/>
    </row>
    <row r="592" ht="12.0" customHeight="1">
      <c r="B592" s="1"/>
      <c r="K592" s="2"/>
      <c r="M592" s="3"/>
      <c r="V592" s="2"/>
    </row>
    <row r="593" ht="12.0" customHeight="1">
      <c r="B593" s="1"/>
      <c r="K593" s="2"/>
      <c r="M593" s="3"/>
      <c r="V593" s="2"/>
    </row>
    <row r="594" ht="12.0" customHeight="1">
      <c r="B594" s="1"/>
      <c r="K594" s="2"/>
      <c r="M594" s="3"/>
      <c r="V594" s="2"/>
    </row>
    <row r="595" ht="12.0" customHeight="1">
      <c r="B595" s="1"/>
      <c r="K595" s="2"/>
      <c r="M595" s="3"/>
      <c r="V595" s="2"/>
    </row>
    <row r="596" ht="12.0" customHeight="1">
      <c r="B596" s="1"/>
      <c r="K596" s="2"/>
      <c r="M596" s="3"/>
      <c r="V596" s="2"/>
    </row>
    <row r="597" ht="12.0" customHeight="1">
      <c r="B597" s="1"/>
      <c r="K597" s="2"/>
      <c r="M597" s="3"/>
      <c r="V597" s="2"/>
    </row>
    <row r="598" ht="12.0" customHeight="1">
      <c r="B598" s="1"/>
      <c r="K598" s="2"/>
      <c r="M598" s="3"/>
      <c r="V598" s="2"/>
    </row>
    <row r="599" ht="12.0" customHeight="1">
      <c r="B599" s="1"/>
      <c r="K599" s="2"/>
      <c r="M599" s="3"/>
      <c r="V599" s="2"/>
    </row>
    <row r="600" ht="12.0" customHeight="1">
      <c r="B600" s="1"/>
      <c r="K600" s="2"/>
      <c r="M600" s="3"/>
      <c r="V600" s="2"/>
    </row>
    <row r="601" ht="12.0" customHeight="1">
      <c r="B601" s="1"/>
      <c r="K601" s="2"/>
      <c r="M601" s="3"/>
      <c r="V601" s="2"/>
    </row>
    <row r="602" ht="12.0" customHeight="1">
      <c r="B602" s="1"/>
      <c r="K602" s="2"/>
      <c r="M602" s="3"/>
      <c r="V602" s="2"/>
    </row>
    <row r="603" ht="12.0" customHeight="1">
      <c r="B603" s="1"/>
      <c r="K603" s="2"/>
      <c r="M603" s="3"/>
      <c r="V603" s="2"/>
    </row>
    <row r="604" ht="12.0" customHeight="1">
      <c r="B604" s="1"/>
      <c r="K604" s="2"/>
      <c r="M604" s="3"/>
      <c r="V604" s="2"/>
    </row>
    <row r="605" ht="12.0" customHeight="1">
      <c r="B605" s="1"/>
      <c r="K605" s="2"/>
      <c r="M605" s="3"/>
      <c r="V605" s="2"/>
    </row>
    <row r="606" ht="12.0" customHeight="1">
      <c r="B606" s="1"/>
      <c r="K606" s="2"/>
      <c r="M606" s="3"/>
      <c r="V606" s="2"/>
    </row>
    <row r="607" ht="12.0" customHeight="1">
      <c r="B607" s="1"/>
      <c r="K607" s="2"/>
      <c r="M607" s="3"/>
      <c r="V607" s="2"/>
    </row>
    <row r="608" ht="12.0" customHeight="1">
      <c r="B608" s="1"/>
      <c r="K608" s="2"/>
      <c r="M608" s="3"/>
      <c r="V608" s="2"/>
    </row>
    <row r="609" ht="12.0" customHeight="1">
      <c r="B609" s="1"/>
      <c r="K609" s="2"/>
      <c r="M609" s="3"/>
      <c r="V609" s="2"/>
    </row>
    <row r="610" ht="12.0" customHeight="1">
      <c r="B610" s="1"/>
      <c r="K610" s="2"/>
      <c r="M610" s="3"/>
      <c r="V610" s="2"/>
    </row>
    <row r="611" ht="12.0" customHeight="1">
      <c r="B611" s="1"/>
      <c r="K611" s="2"/>
      <c r="M611" s="3"/>
      <c r="V611" s="2"/>
    </row>
    <row r="612" ht="12.0" customHeight="1">
      <c r="B612" s="1"/>
      <c r="K612" s="2"/>
      <c r="M612" s="3"/>
      <c r="V612" s="2"/>
    </row>
    <row r="613" ht="12.0" customHeight="1">
      <c r="B613" s="1"/>
      <c r="K613" s="2"/>
      <c r="M613" s="3"/>
      <c r="V613" s="2"/>
    </row>
    <row r="614" ht="12.0" customHeight="1">
      <c r="B614" s="1"/>
      <c r="K614" s="2"/>
      <c r="M614" s="3"/>
      <c r="V614" s="2"/>
    </row>
    <row r="615" ht="12.0" customHeight="1">
      <c r="B615" s="1"/>
      <c r="K615" s="2"/>
      <c r="M615" s="3"/>
      <c r="V615" s="2"/>
    </row>
    <row r="616" ht="12.0" customHeight="1">
      <c r="B616" s="1"/>
      <c r="K616" s="2"/>
      <c r="M616" s="3"/>
      <c r="V616" s="2"/>
    </row>
    <row r="617" ht="12.0" customHeight="1">
      <c r="B617" s="1"/>
      <c r="K617" s="2"/>
      <c r="M617" s="3"/>
      <c r="V617" s="2"/>
    </row>
    <row r="618" ht="12.0" customHeight="1">
      <c r="B618" s="1"/>
      <c r="K618" s="2"/>
      <c r="M618" s="3"/>
      <c r="V618" s="2"/>
    </row>
    <row r="619" ht="12.0" customHeight="1">
      <c r="B619" s="1"/>
      <c r="K619" s="2"/>
      <c r="M619" s="3"/>
      <c r="V619" s="2"/>
    </row>
    <row r="620" ht="12.0" customHeight="1">
      <c r="B620" s="1"/>
      <c r="K620" s="2"/>
      <c r="M620" s="3"/>
      <c r="V620" s="2"/>
    </row>
    <row r="621" ht="12.0" customHeight="1">
      <c r="B621" s="1"/>
      <c r="K621" s="2"/>
      <c r="M621" s="3"/>
      <c r="V621" s="2"/>
    </row>
    <row r="622" ht="12.0" customHeight="1">
      <c r="B622" s="1"/>
      <c r="K622" s="2"/>
      <c r="M622" s="3"/>
      <c r="V622" s="2"/>
    </row>
    <row r="623" ht="12.0" customHeight="1">
      <c r="B623" s="1"/>
      <c r="K623" s="2"/>
      <c r="M623" s="3"/>
      <c r="V623" s="2"/>
    </row>
    <row r="624" ht="12.0" customHeight="1">
      <c r="B624" s="1"/>
      <c r="K624" s="2"/>
      <c r="M624" s="3"/>
      <c r="V624" s="2"/>
    </row>
    <row r="625" ht="12.0" customHeight="1">
      <c r="B625" s="1"/>
      <c r="K625" s="2"/>
      <c r="M625" s="3"/>
      <c r="V625" s="2"/>
    </row>
    <row r="626" ht="12.0" customHeight="1">
      <c r="B626" s="1"/>
      <c r="K626" s="2"/>
      <c r="M626" s="3"/>
      <c r="V626" s="2"/>
    </row>
    <row r="627" ht="12.0" customHeight="1">
      <c r="B627" s="1"/>
      <c r="K627" s="2"/>
      <c r="M627" s="3"/>
      <c r="V627" s="2"/>
    </row>
    <row r="628" ht="12.0" customHeight="1">
      <c r="B628" s="1"/>
      <c r="K628" s="2"/>
      <c r="M628" s="3"/>
      <c r="V628" s="2"/>
    </row>
    <row r="629" ht="12.0" customHeight="1">
      <c r="B629" s="1"/>
      <c r="K629" s="2"/>
      <c r="M629" s="3"/>
      <c r="V629" s="2"/>
    </row>
    <row r="630" ht="12.0" customHeight="1">
      <c r="B630" s="1"/>
      <c r="K630" s="2"/>
      <c r="M630" s="3"/>
      <c r="V630" s="2"/>
    </row>
    <row r="631" ht="12.0" customHeight="1">
      <c r="B631" s="1"/>
      <c r="K631" s="2"/>
      <c r="M631" s="3"/>
      <c r="V631" s="2"/>
    </row>
    <row r="632" ht="12.0" customHeight="1">
      <c r="B632" s="1"/>
      <c r="K632" s="2"/>
      <c r="M632" s="3"/>
      <c r="V632" s="2"/>
    </row>
    <row r="633" ht="12.0" customHeight="1">
      <c r="B633" s="1"/>
      <c r="K633" s="2"/>
      <c r="M633" s="3"/>
      <c r="V633" s="2"/>
    </row>
    <row r="634" ht="12.0" customHeight="1">
      <c r="B634" s="1"/>
      <c r="K634" s="2"/>
      <c r="M634" s="3"/>
      <c r="V634" s="2"/>
    </row>
    <row r="635" ht="12.0" customHeight="1">
      <c r="B635" s="1"/>
      <c r="K635" s="2"/>
      <c r="M635" s="3"/>
      <c r="V635" s="2"/>
    </row>
    <row r="636" ht="12.0" customHeight="1">
      <c r="B636" s="1"/>
      <c r="K636" s="2"/>
      <c r="M636" s="3"/>
      <c r="V636" s="2"/>
    </row>
    <row r="637" ht="12.0" customHeight="1">
      <c r="B637" s="1"/>
      <c r="K637" s="2"/>
      <c r="M637" s="3"/>
      <c r="V637" s="2"/>
    </row>
    <row r="638" ht="12.0" customHeight="1">
      <c r="B638" s="1"/>
      <c r="K638" s="2"/>
      <c r="M638" s="3"/>
      <c r="V638" s="2"/>
    </row>
    <row r="639" ht="12.0" customHeight="1">
      <c r="B639" s="1"/>
      <c r="K639" s="2"/>
      <c r="M639" s="3"/>
      <c r="V639" s="2"/>
    </row>
    <row r="640" ht="12.0" customHeight="1">
      <c r="B640" s="1"/>
      <c r="K640" s="2"/>
      <c r="M640" s="3"/>
      <c r="V640" s="2"/>
    </row>
    <row r="641" ht="12.0" customHeight="1">
      <c r="B641" s="1"/>
      <c r="K641" s="2"/>
      <c r="M641" s="3"/>
      <c r="V641" s="2"/>
    </row>
    <row r="642" ht="12.0" customHeight="1">
      <c r="B642" s="1"/>
      <c r="K642" s="2"/>
      <c r="M642" s="3"/>
      <c r="V642" s="2"/>
    </row>
    <row r="643" ht="12.0" customHeight="1">
      <c r="B643" s="1"/>
      <c r="K643" s="2"/>
      <c r="M643" s="3"/>
      <c r="V643" s="2"/>
    </row>
    <row r="644" ht="12.0" customHeight="1">
      <c r="B644" s="1"/>
      <c r="K644" s="2"/>
      <c r="M644" s="3"/>
      <c r="V644" s="2"/>
    </row>
    <row r="645" ht="12.0" customHeight="1">
      <c r="B645" s="1"/>
      <c r="K645" s="2"/>
      <c r="M645" s="3"/>
      <c r="V645" s="2"/>
    </row>
    <row r="646" ht="12.0" customHeight="1">
      <c r="B646" s="1"/>
      <c r="K646" s="2"/>
      <c r="M646" s="3"/>
      <c r="V646" s="2"/>
    </row>
    <row r="647" ht="12.0" customHeight="1">
      <c r="B647" s="1"/>
      <c r="K647" s="2"/>
      <c r="M647" s="3"/>
      <c r="V647" s="2"/>
    </row>
    <row r="648" ht="12.0" customHeight="1">
      <c r="B648" s="1"/>
      <c r="K648" s="2"/>
      <c r="M648" s="3"/>
      <c r="V648" s="2"/>
    </row>
    <row r="649" ht="12.0" customHeight="1">
      <c r="B649" s="1"/>
      <c r="K649" s="2"/>
      <c r="M649" s="3"/>
      <c r="V649" s="2"/>
    </row>
    <row r="650" ht="12.0" customHeight="1">
      <c r="B650" s="1"/>
      <c r="K650" s="2"/>
      <c r="M650" s="3"/>
      <c r="V650" s="2"/>
    </row>
    <row r="651" ht="12.0" customHeight="1">
      <c r="B651" s="1"/>
      <c r="K651" s="2"/>
      <c r="M651" s="3"/>
      <c r="V651" s="2"/>
    </row>
    <row r="652" ht="12.0" customHeight="1">
      <c r="B652" s="1"/>
      <c r="K652" s="2"/>
      <c r="M652" s="3"/>
      <c r="V652" s="2"/>
    </row>
    <row r="653" ht="12.0" customHeight="1">
      <c r="B653" s="1"/>
      <c r="K653" s="2"/>
      <c r="M653" s="3"/>
      <c r="V653" s="2"/>
    </row>
    <row r="654" ht="12.0" customHeight="1">
      <c r="B654" s="1"/>
      <c r="K654" s="2"/>
      <c r="M654" s="3"/>
      <c r="V654" s="2"/>
    </row>
    <row r="655" ht="12.0" customHeight="1">
      <c r="B655" s="1"/>
      <c r="K655" s="2"/>
      <c r="M655" s="3"/>
      <c r="V655" s="2"/>
    </row>
    <row r="656" ht="12.0" customHeight="1">
      <c r="B656" s="1"/>
      <c r="K656" s="2"/>
      <c r="M656" s="3"/>
      <c r="V656" s="2"/>
    </row>
    <row r="657" ht="12.0" customHeight="1">
      <c r="B657" s="1"/>
      <c r="K657" s="2"/>
      <c r="M657" s="3"/>
      <c r="V657" s="2"/>
    </row>
    <row r="658" ht="12.0" customHeight="1">
      <c r="B658" s="1"/>
      <c r="K658" s="2"/>
      <c r="M658" s="3"/>
      <c r="V658" s="2"/>
    </row>
    <row r="659" ht="12.0" customHeight="1">
      <c r="B659" s="1"/>
      <c r="K659" s="2"/>
      <c r="M659" s="3"/>
      <c r="V659" s="2"/>
    </row>
    <row r="660" ht="12.0" customHeight="1">
      <c r="B660" s="1"/>
      <c r="K660" s="2"/>
      <c r="M660" s="3"/>
      <c r="V660" s="2"/>
    </row>
    <row r="661" ht="12.0" customHeight="1">
      <c r="B661" s="1"/>
      <c r="K661" s="2"/>
      <c r="M661" s="3"/>
      <c r="V661" s="2"/>
    </row>
    <row r="662" ht="12.0" customHeight="1">
      <c r="B662" s="1"/>
      <c r="K662" s="2"/>
      <c r="M662" s="3"/>
      <c r="V662" s="2"/>
    </row>
    <row r="663" ht="12.0" customHeight="1">
      <c r="B663" s="1"/>
      <c r="K663" s="2"/>
      <c r="M663" s="3"/>
      <c r="V663" s="2"/>
    </row>
    <row r="664" ht="12.0" customHeight="1">
      <c r="B664" s="1"/>
      <c r="K664" s="2"/>
      <c r="M664" s="3"/>
      <c r="V664" s="2"/>
    </row>
    <row r="665" ht="12.0" customHeight="1">
      <c r="B665" s="1"/>
      <c r="K665" s="2"/>
      <c r="M665" s="3"/>
      <c r="V665" s="2"/>
    </row>
    <row r="666" ht="12.0" customHeight="1">
      <c r="B666" s="1"/>
      <c r="K666" s="2"/>
      <c r="M666" s="3"/>
      <c r="V666" s="2"/>
    </row>
    <row r="667" ht="12.0" customHeight="1">
      <c r="B667" s="1"/>
      <c r="K667" s="2"/>
      <c r="M667" s="3"/>
      <c r="V667" s="2"/>
    </row>
    <row r="668" ht="12.0" customHeight="1">
      <c r="B668" s="1"/>
      <c r="K668" s="2"/>
      <c r="M668" s="3"/>
      <c r="V668" s="2"/>
    </row>
    <row r="669" ht="12.0" customHeight="1">
      <c r="B669" s="1"/>
      <c r="K669" s="2"/>
      <c r="M669" s="3"/>
      <c r="V669" s="2"/>
    </row>
    <row r="670" ht="12.0" customHeight="1">
      <c r="B670" s="1"/>
      <c r="K670" s="2"/>
      <c r="M670" s="3"/>
      <c r="V670" s="2"/>
    </row>
    <row r="671" ht="12.0" customHeight="1">
      <c r="B671" s="1"/>
      <c r="K671" s="2"/>
      <c r="M671" s="3"/>
      <c r="V671" s="2"/>
    </row>
    <row r="672" ht="12.0" customHeight="1">
      <c r="B672" s="1"/>
      <c r="K672" s="2"/>
      <c r="M672" s="3"/>
      <c r="V672" s="2"/>
    </row>
    <row r="673" ht="12.0" customHeight="1">
      <c r="B673" s="1"/>
      <c r="K673" s="2"/>
      <c r="M673" s="3"/>
      <c r="V673" s="2"/>
    </row>
    <row r="674" ht="12.0" customHeight="1">
      <c r="B674" s="1"/>
      <c r="K674" s="2"/>
      <c r="M674" s="3"/>
      <c r="V674" s="2"/>
    </row>
    <row r="675" ht="12.0" customHeight="1">
      <c r="B675" s="1"/>
      <c r="K675" s="2"/>
      <c r="M675" s="3"/>
      <c r="V675" s="2"/>
    </row>
    <row r="676" ht="12.0" customHeight="1">
      <c r="B676" s="1"/>
      <c r="K676" s="2"/>
      <c r="M676" s="3"/>
      <c r="V676" s="2"/>
    </row>
    <row r="677" ht="12.0" customHeight="1">
      <c r="B677" s="1"/>
      <c r="K677" s="2"/>
      <c r="M677" s="3"/>
      <c r="V677" s="2"/>
    </row>
    <row r="678" ht="12.0" customHeight="1">
      <c r="B678" s="1"/>
      <c r="K678" s="2"/>
      <c r="M678" s="3"/>
      <c r="V678" s="2"/>
    </row>
    <row r="679" ht="12.0" customHeight="1">
      <c r="B679" s="1"/>
      <c r="K679" s="2"/>
      <c r="M679" s="3"/>
      <c r="V679" s="2"/>
    </row>
    <row r="680" ht="12.0" customHeight="1">
      <c r="B680" s="1"/>
      <c r="K680" s="2"/>
      <c r="M680" s="3"/>
      <c r="V680" s="2"/>
    </row>
    <row r="681" ht="12.0" customHeight="1">
      <c r="B681" s="1"/>
      <c r="K681" s="2"/>
      <c r="M681" s="3"/>
      <c r="V681" s="2"/>
    </row>
    <row r="682" ht="12.0" customHeight="1">
      <c r="B682" s="1"/>
      <c r="K682" s="2"/>
      <c r="M682" s="3"/>
      <c r="V682" s="2"/>
    </row>
    <row r="683" ht="12.0" customHeight="1">
      <c r="B683" s="1"/>
      <c r="K683" s="2"/>
      <c r="M683" s="3"/>
      <c r="V683" s="2"/>
    </row>
    <row r="684" ht="12.0" customHeight="1">
      <c r="B684" s="1"/>
      <c r="K684" s="2"/>
      <c r="M684" s="3"/>
      <c r="V684" s="2"/>
    </row>
    <row r="685" ht="12.0" customHeight="1">
      <c r="B685" s="1"/>
      <c r="K685" s="2"/>
      <c r="M685" s="3"/>
      <c r="V685" s="2"/>
    </row>
    <row r="686" ht="12.0" customHeight="1">
      <c r="B686" s="1"/>
      <c r="K686" s="2"/>
      <c r="M686" s="3"/>
      <c r="V686" s="2"/>
    </row>
    <row r="687" ht="12.0" customHeight="1">
      <c r="B687" s="1"/>
      <c r="K687" s="2"/>
      <c r="M687" s="3"/>
      <c r="V687" s="2"/>
    </row>
    <row r="688" ht="12.0" customHeight="1">
      <c r="B688" s="1"/>
      <c r="K688" s="2"/>
      <c r="M688" s="3"/>
      <c r="V688" s="2"/>
    </row>
    <row r="689" ht="12.0" customHeight="1">
      <c r="B689" s="1"/>
      <c r="K689" s="2"/>
      <c r="M689" s="3"/>
      <c r="V689" s="2"/>
    </row>
    <row r="690" ht="12.0" customHeight="1">
      <c r="B690" s="1"/>
      <c r="K690" s="2"/>
      <c r="M690" s="3"/>
      <c r="V690" s="2"/>
    </row>
    <row r="691" ht="12.0" customHeight="1">
      <c r="B691" s="1"/>
      <c r="K691" s="2"/>
      <c r="M691" s="3"/>
      <c r="V691" s="2"/>
    </row>
    <row r="692" ht="12.0" customHeight="1">
      <c r="B692" s="1"/>
      <c r="K692" s="2"/>
      <c r="M692" s="3"/>
      <c r="V692" s="2"/>
    </row>
    <row r="693" ht="12.0" customHeight="1">
      <c r="B693" s="1"/>
      <c r="K693" s="2"/>
      <c r="M693" s="3"/>
      <c r="V693" s="2"/>
    </row>
    <row r="694" ht="12.0" customHeight="1">
      <c r="B694" s="1"/>
      <c r="K694" s="2"/>
      <c r="M694" s="3"/>
      <c r="V694" s="2"/>
    </row>
    <row r="695" ht="12.0" customHeight="1">
      <c r="B695" s="1"/>
      <c r="K695" s="2"/>
      <c r="M695" s="3"/>
      <c r="V695" s="2"/>
    </row>
    <row r="696" ht="12.0" customHeight="1">
      <c r="B696" s="1"/>
      <c r="K696" s="2"/>
      <c r="M696" s="3"/>
      <c r="V696" s="2"/>
    </row>
    <row r="697" ht="12.0" customHeight="1">
      <c r="B697" s="1"/>
      <c r="K697" s="2"/>
      <c r="M697" s="3"/>
      <c r="V697" s="2"/>
    </row>
    <row r="698" ht="12.0" customHeight="1">
      <c r="B698" s="1"/>
      <c r="K698" s="2"/>
      <c r="M698" s="3"/>
      <c r="V698" s="2"/>
    </row>
    <row r="699" ht="12.0" customHeight="1">
      <c r="B699" s="1"/>
      <c r="K699" s="2"/>
      <c r="M699" s="3"/>
      <c r="V699" s="2"/>
    </row>
    <row r="700" ht="12.0" customHeight="1">
      <c r="B700" s="1"/>
      <c r="K700" s="2"/>
      <c r="M700" s="3"/>
      <c r="V700" s="2"/>
    </row>
    <row r="701" ht="12.0" customHeight="1">
      <c r="B701" s="1"/>
      <c r="K701" s="2"/>
      <c r="M701" s="3"/>
      <c r="V701" s="2"/>
    </row>
    <row r="702" ht="12.0" customHeight="1">
      <c r="B702" s="1"/>
      <c r="K702" s="2"/>
      <c r="M702" s="3"/>
      <c r="V702" s="2"/>
    </row>
    <row r="703" ht="12.0" customHeight="1">
      <c r="B703" s="1"/>
      <c r="K703" s="2"/>
      <c r="M703" s="3"/>
      <c r="V703" s="2"/>
    </row>
    <row r="704" ht="12.0" customHeight="1">
      <c r="B704" s="1"/>
      <c r="K704" s="2"/>
      <c r="M704" s="3"/>
      <c r="V704" s="2"/>
    </row>
    <row r="705" ht="12.0" customHeight="1">
      <c r="B705" s="1"/>
      <c r="K705" s="2"/>
      <c r="M705" s="3"/>
      <c r="V705" s="2"/>
    </row>
    <row r="706" ht="12.0" customHeight="1">
      <c r="B706" s="1"/>
      <c r="K706" s="2"/>
      <c r="M706" s="3"/>
      <c r="V706" s="2"/>
    </row>
    <row r="707" ht="12.0" customHeight="1">
      <c r="B707" s="1"/>
      <c r="K707" s="2"/>
      <c r="M707" s="3"/>
      <c r="V707" s="2"/>
    </row>
    <row r="708" ht="12.0" customHeight="1">
      <c r="B708" s="1"/>
      <c r="K708" s="2"/>
      <c r="M708" s="3"/>
      <c r="V708" s="2"/>
    </row>
    <row r="709" ht="12.0" customHeight="1">
      <c r="B709" s="1"/>
      <c r="K709" s="2"/>
      <c r="M709" s="3"/>
      <c r="V709" s="2"/>
    </row>
    <row r="710" ht="12.0" customHeight="1">
      <c r="B710" s="1"/>
      <c r="K710" s="2"/>
      <c r="M710" s="3"/>
      <c r="V710" s="2"/>
    </row>
    <row r="711" ht="12.0" customHeight="1">
      <c r="B711" s="1"/>
      <c r="K711" s="2"/>
      <c r="M711" s="3"/>
      <c r="V711" s="2"/>
    </row>
    <row r="712" ht="12.0" customHeight="1">
      <c r="B712" s="1"/>
      <c r="K712" s="2"/>
      <c r="M712" s="3"/>
      <c r="V712" s="2"/>
    </row>
    <row r="713" ht="12.0" customHeight="1">
      <c r="B713" s="1"/>
      <c r="K713" s="2"/>
      <c r="M713" s="3"/>
      <c r="V713" s="2"/>
    </row>
    <row r="714" ht="12.0" customHeight="1">
      <c r="B714" s="1"/>
      <c r="K714" s="2"/>
      <c r="M714" s="3"/>
      <c r="V714" s="2"/>
    </row>
    <row r="715" ht="12.0" customHeight="1">
      <c r="B715" s="1"/>
      <c r="K715" s="2"/>
      <c r="M715" s="3"/>
      <c r="V715" s="2"/>
    </row>
    <row r="716" ht="12.0" customHeight="1">
      <c r="B716" s="1"/>
      <c r="K716" s="2"/>
      <c r="M716" s="3"/>
      <c r="V716" s="2"/>
    </row>
    <row r="717" ht="12.0" customHeight="1">
      <c r="B717" s="1"/>
      <c r="K717" s="2"/>
      <c r="M717" s="3"/>
      <c r="V717" s="2"/>
    </row>
    <row r="718" ht="12.0" customHeight="1">
      <c r="B718" s="1"/>
      <c r="K718" s="2"/>
      <c r="M718" s="3"/>
      <c r="V718" s="2"/>
    </row>
    <row r="719" ht="12.0" customHeight="1">
      <c r="B719" s="1"/>
      <c r="K719" s="2"/>
      <c r="M719" s="3"/>
      <c r="V719" s="2"/>
    </row>
    <row r="720" ht="12.0" customHeight="1">
      <c r="B720" s="1"/>
      <c r="K720" s="2"/>
      <c r="M720" s="3"/>
      <c r="V720" s="2"/>
    </row>
    <row r="721" ht="12.0" customHeight="1">
      <c r="B721" s="1"/>
      <c r="K721" s="2"/>
      <c r="M721" s="3"/>
      <c r="V721" s="2"/>
    </row>
    <row r="722" ht="12.0" customHeight="1">
      <c r="B722" s="1"/>
      <c r="K722" s="2"/>
      <c r="M722" s="3"/>
      <c r="V722" s="2"/>
    </row>
    <row r="723" ht="12.0" customHeight="1">
      <c r="B723" s="1"/>
      <c r="K723" s="2"/>
      <c r="M723" s="3"/>
      <c r="V723" s="2"/>
    </row>
    <row r="724" ht="12.0" customHeight="1">
      <c r="B724" s="1"/>
      <c r="K724" s="2"/>
      <c r="M724" s="3"/>
      <c r="V724" s="2"/>
    </row>
    <row r="725" ht="12.0" customHeight="1">
      <c r="B725" s="1"/>
      <c r="K725" s="2"/>
      <c r="M725" s="3"/>
      <c r="V725" s="2"/>
    </row>
    <row r="726" ht="12.0" customHeight="1">
      <c r="B726" s="1"/>
      <c r="K726" s="2"/>
      <c r="M726" s="3"/>
      <c r="V726" s="2"/>
    </row>
    <row r="727" ht="12.0" customHeight="1">
      <c r="B727" s="1"/>
      <c r="K727" s="2"/>
      <c r="M727" s="3"/>
      <c r="V727" s="2"/>
    </row>
    <row r="728" ht="12.0" customHeight="1">
      <c r="B728" s="1"/>
      <c r="K728" s="2"/>
      <c r="M728" s="3"/>
      <c r="V728" s="2"/>
    </row>
    <row r="729" ht="12.0" customHeight="1">
      <c r="B729" s="1"/>
      <c r="K729" s="2"/>
      <c r="M729" s="3"/>
      <c r="V729" s="2"/>
    </row>
    <row r="730" ht="12.0" customHeight="1">
      <c r="B730" s="1"/>
      <c r="K730" s="2"/>
      <c r="M730" s="3"/>
      <c r="V730" s="2"/>
    </row>
    <row r="731" ht="12.0" customHeight="1">
      <c r="B731" s="1"/>
      <c r="K731" s="2"/>
      <c r="M731" s="3"/>
      <c r="V731" s="2"/>
    </row>
    <row r="732" ht="12.0" customHeight="1">
      <c r="B732" s="1"/>
      <c r="K732" s="2"/>
      <c r="M732" s="3"/>
      <c r="V732" s="2"/>
    </row>
    <row r="733" ht="12.0" customHeight="1">
      <c r="B733" s="1"/>
      <c r="K733" s="2"/>
      <c r="M733" s="3"/>
      <c r="V733" s="2"/>
    </row>
    <row r="734" ht="12.0" customHeight="1">
      <c r="B734" s="1"/>
      <c r="K734" s="2"/>
      <c r="M734" s="3"/>
      <c r="V734" s="2"/>
    </row>
    <row r="735" ht="12.0" customHeight="1">
      <c r="B735" s="1"/>
      <c r="K735" s="2"/>
      <c r="M735" s="3"/>
      <c r="V735" s="2"/>
    </row>
    <row r="736" ht="12.0" customHeight="1">
      <c r="B736" s="1"/>
      <c r="K736" s="2"/>
      <c r="M736" s="3"/>
      <c r="V736" s="2"/>
    </row>
    <row r="737" ht="12.0" customHeight="1">
      <c r="B737" s="1"/>
      <c r="K737" s="2"/>
      <c r="M737" s="3"/>
      <c r="V737" s="2"/>
    </row>
    <row r="738" ht="12.0" customHeight="1">
      <c r="B738" s="1"/>
      <c r="K738" s="2"/>
      <c r="M738" s="3"/>
      <c r="V738" s="2"/>
    </row>
    <row r="739" ht="12.0" customHeight="1">
      <c r="B739" s="1"/>
      <c r="K739" s="2"/>
      <c r="M739" s="3"/>
      <c r="V739" s="2"/>
    </row>
    <row r="740" ht="12.0" customHeight="1">
      <c r="B740" s="1"/>
      <c r="K740" s="2"/>
      <c r="M740" s="3"/>
      <c r="V740" s="2"/>
    </row>
    <row r="741" ht="12.0" customHeight="1">
      <c r="B741" s="1"/>
      <c r="K741" s="2"/>
      <c r="M741" s="3"/>
      <c r="V741" s="2"/>
    </row>
    <row r="742" ht="12.0" customHeight="1">
      <c r="B742" s="1"/>
      <c r="K742" s="2"/>
      <c r="M742" s="3"/>
      <c r="V742" s="2"/>
    </row>
    <row r="743" ht="12.0" customHeight="1">
      <c r="B743" s="1"/>
      <c r="K743" s="2"/>
      <c r="M743" s="3"/>
      <c r="V743" s="2"/>
    </row>
    <row r="744" ht="12.0" customHeight="1">
      <c r="B744" s="1"/>
      <c r="K744" s="2"/>
      <c r="M744" s="3"/>
      <c r="V744" s="2"/>
    </row>
    <row r="745" ht="12.0" customHeight="1">
      <c r="B745" s="1"/>
      <c r="K745" s="2"/>
      <c r="M745" s="3"/>
      <c r="V745" s="2"/>
    </row>
    <row r="746" ht="12.0" customHeight="1">
      <c r="B746" s="1"/>
      <c r="K746" s="2"/>
      <c r="M746" s="3"/>
      <c r="V746" s="2"/>
    </row>
    <row r="747" ht="12.0" customHeight="1">
      <c r="B747" s="1"/>
      <c r="K747" s="2"/>
      <c r="M747" s="3"/>
      <c r="V747" s="2"/>
    </row>
    <row r="748" ht="12.0" customHeight="1">
      <c r="B748" s="1"/>
      <c r="K748" s="2"/>
      <c r="M748" s="3"/>
      <c r="V748" s="2"/>
    </row>
    <row r="749" ht="12.0" customHeight="1">
      <c r="B749" s="1"/>
      <c r="K749" s="2"/>
      <c r="M749" s="3"/>
      <c r="V749" s="2"/>
    </row>
    <row r="750" ht="12.0" customHeight="1">
      <c r="B750" s="1"/>
      <c r="K750" s="2"/>
      <c r="M750" s="3"/>
      <c r="V750" s="2"/>
    </row>
    <row r="751" ht="12.0" customHeight="1">
      <c r="B751" s="1"/>
      <c r="K751" s="2"/>
      <c r="M751" s="3"/>
      <c r="V751" s="2"/>
    </row>
    <row r="752" ht="12.0" customHeight="1">
      <c r="B752" s="1"/>
      <c r="K752" s="2"/>
      <c r="M752" s="3"/>
      <c r="V752" s="2"/>
    </row>
    <row r="753" ht="12.0" customHeight="1">
      <c r="B753" s="1"/>
      <c r="K753" s="2"/>
      <c r="M753" s="3"/>
      <c r="V753" s="2"/>
    </row>
    <row r="754" ht="12.0" customHeight="1">
      <c r="B754" s="1"/>
      <c r="K754" s="2"/>
      <c r="M754" s="3"/>
      <c r="V754" s="2"/>
    </row>
    <row r="755" ht="12.0" customHeight="1">
      <c r="B755" s="1"/>
      <c r="K755" s="2"/>
      <c r="M755" s="3"/>
      <c r="V755" s="2"/>
    </row>
    <row r="756" ht="12.0" customHeight="1">
      <c r="B756" s="1"/>
      <c r="K756" s="2"/>
      <c r="M756" s="3"/>
      <c r="V756" s="2"/>
    </row>
    <row r="757" ht="12.0" customHeight="1">
      <c r="B757" s="1"/>
      <c r="K757" s="2"/>
      <c r="M757" s="3"/>
      <c r="V757" s="2"/>
    </row>
    <row r="758" ht="12.0" customHeight="1">
      <c r="B758" s="1"/>
      <c r="K758" s="2"/>
      <c r="M758" s="3"/>
      <c r="V758" s="2"/>
    </row>
    <row r="759" ht="12.0" customHeight="1">
      <c r="B759" s="1"/>
      <c r="K759" s="2"/>
      <c r="M759" s="3"/>
      <c r="V759" s="2"/>
    </row>
    <row r="760" ht="12.0" customHeight="1">
      <c r="B760" s="1"/>
      <c r="K760" s="2"/>
      <c r="M760" s="3"/>
      <c r="V760" s="2"/>
    </row>
    <row r="761" ht="12.0" customHeight="1">
      <c r="B761" s="1"/>
      <c r="K761" s="2"/>
      <c r="M761" s="3"/>
      <c r="V761" s="2"/>
    </row>
    <row r="762" ht="12.0" customHeight="1">
      <c r="B762" s="1"/>
      <c r="K762" s="2"/>
      <c r="M762" s="3"/>
      <c r="V762" s="2"/>
    </row>
    <row r="763" ht="12.0" customHeight="1">
      <c r="B763" s="1"/>
      <c r="K763" s="2"/>
      <c r="M763" s="3"/>
      <c r="V763" s="2"/>
    </row>
    <row r="764" ht="12.0" customHeight="1">
      <c r="B764" s="1"/>
      <c r="K764" s="2"/>
      <c r="M764" s="3"/>
      <c r="V764" s="2"/>
    </row>
    <row r="765" ht="12.0" customHeight="1">
      <c r="B765" s="1"/>
      <c r="K765" s="2"/>
      <c r="M765" s="3"/>
      <c r="V765" s="2"/>
    </row>
    <row r="766" ht="12.0" customHeight="1">
      <c r="B766" s="1"/>
      <c r="K766" s="2"/>
      <c r="M766" s="3"/>
      <c r="V766" s="2"/>
    </row>
    <row r="767" ht="12.0" customHeight="1">
      <c r="B767" s="1"/>
      <c r="K767" s="2"/>
      <c r="M767" s="3"/>
      <c r="V767" s="2"/>
    </row>
    <row r="768" ht="12.0" customHeight="1">
      <c r="B768" s="1"/>
      <c r="K768" s="2"/>
      <c r="M768" s="3"/>
      <c r="V768" s="2"/>
    </row>
    <row r="769" ht="12.0" customHeight="1">
      <c r="B769" s="1"/>
      <c r="K769" s="2"/>
      <c r="M769" s="3"/>
      <c r="V769" s="2"/>
    </row>
    <row r="770" ht="12.0" customHeight="1">
      <c r="B770" s="1"/>
      <c r="K770" s="2"/>
      <c r="M770" s="3"/>
      <c r="V770" s="2"/>
    </row>
    <row r="771" ht="12.0" customHeight="1">
      <c r="B771" s="1"/>
      <c r="K771" s="2"/>
      <c r="M771" s="3"/>
      <c r="V771" s="2"/>
    </row>
    <row r="772" ht="12.0" customHeight="1">
      <c r="B772" s="1"/>
      <c r="K772" s="2"/>
      <c r="M772" s="3"/>
      <c r="V772" s="2"/>
    </row>
    <row r="773" ht="12.0" customHeight="1">
      <c r="B773" s="1"/>
      <c r="K773" s="2"/>
      <c r="M773" s="3"/>
      <c r="V773" s="2"/>
    </row>
    <row r="774" ht="12.0" customHeight="1">
      <c r="B774" s="1"/>
      <c r="K774" s="2"/>
      <c r="M774" s="3"/>
      <c r="V774" s="2"/>
    </row>
    <row r="775" ht="12.0" customHeight="1">
      <c r="B775" s="1"/>
      <c r="K775" s="2"/>
      <c r="M775" s="3"/>
      <c r="V775" s="2"/>
    </row>
    <row r="776" ht="12.0" customHeight="1">
      <c r="B776" s="1"/>
      <c r="K776" s="2"/>
      <c r="M776" s="3"/>
      <c r="V776" s="2"/>
    </row>
    <row r="777" ht="12.0" customHeight="1">
      <c r="B777" s="1"/>
      <c r="K777" s="2"/>
      <c r="M777" s="3"/>
      <c r="V777" s="2"/>
    </row>
    <row r="778" ht="12.0" customHeight="1">
      <c r="B778" s="1"/>
      <c r="K778" s="2"/>
      <c r="M778" s="3"/>
      <c r="V778" s="2"/>
    </row>
    <row r="779" ht="12.0" customHeight="1">
      <c r="B779" s="1"/>
      <c r="K779" s="2"/>
      <c r="M779" s="3"/>
      <c r="V779" s="2"/>
    </row>
    <row r="780" ht="12.0" customHeight="1">
      <c r="B780" s="1"/>
      <c r="K780" s="2"/>
      <c r="M780" s="3"/>
      <c r="V780" s="2"/>
    </row>
    <row r="781" ht="12.0" customHeight="1">
      <c r="B781" s="1"/>
      <c r="K781" s="2"/>
      <c r="M781" s="3"/>
      <c r="V781" s="2"/>
    </row>
    <row r="782" ht="12.0" customHeight="1">
      <c r="B782" s="1"/>
      <c r="K782" s="2"/>
      <c r="M782" s="3"/>
      <c r="V782" s="2"/>
    </row>
    <row r="783" ht="12.0" customHeight="1">
      <c r="B783" s="1"/>
      <c r="K783" s="2"/>
      <c r="M783" s="3"/>
      <c r="V783" s="2"/>
    </row>
    <row r="784" ht="12.0" customHeight="1">
      <c r="B784" s="1"/>
      <c r="K784" s="2"/>
      <c r="M784" s="3"/>
      <c r="V784" s="2"/>
    </row>
    <row r="785" ht="12.0" customHeight="1">
      <c r="B785" s="1"/>
      <c r="K785" s="2"/>
      <c r="M785" s="3"/>
      <c r="V785" s="2"/>
    </row>
    <row r="786" ht="12.0" customHeight="1">
      <c r="B786" s="1"/>
      <c r="K786" s="2"/>
      <c r="M786" s="3"/>
      <c r="V786" s="2"/>
    </row>
    <row r="787" ht="12.0" customHeight="1">
      <c r="B787" s="1"/>
      <c r="K787" s="2"/>
      <c r="M787" s="3"/>
      <c r="V787" s="2"/>
    </row>
    <row r="788" ht="12.0" customHeight="1">
      <c r="B788" s="1"/>
      <c r="K788" s="2"/>
      <c r="M788" s="3"/>
      <c r="V788" s="2"/>
    </row>
    <row r="789" ht="12.0" customHeight="1">
      <c r="B789" s="1"/>
      <c r="K789" s="2"/>
      <c r="M789" s="3"/>
      <c r="V789" s="2"/>
    </row>
    <row r="790" ht="12.0" customHeight="1">
      <c r="B790" s="1"/>
      <c r="K790" s="2"/>
      <c r="M790" s="3"/>
      <c r="V790" s="2"/>
    </row>
    <row r="791" ht="12.0" customHeight="1">
      <c r="B791" s="1"/>
      <c r="K791" s="2"/>
      <c r="M791" s="3"/>
      <c r="V791" s="2"/>
    </row>
    <row r="792" ht="12.0" customHeight="1">
      <c r="B792" s="1"/>
      <c r="K792" s="2"/>
      <c r="M792" s="3"/>
      <c r="V792" s="2"/>
    </row>
    <row r="793" ht="12.0" customHeight="1">
      <c r="B793" s="1"/>
      <c r="K793" s="2"/>
      <c r="M793" s="3"/>
      <c r="V793" s="2"/>
    </row>
    <row r="794" ht="12.0" customHeight="1">
      <c r="B794" s="1"/>
      <c r="K794" s="2"/>
      <c r="M794" s="3"/>
      <c r="V794" s="2"/>
    </row>
    <row r="795" ht="12.0" customHeight="1">
      <c r="B795" s="1"/>
      <c r="K795" s="2"/>
      <c r="M795" s="3"/>
      <c r="V795" s="2"/>
    </row>
    <row r="796" ht="12.0" customHeight="1">
      <c r="B796" s="1"/>
      <c r="K796" s="2"/>
      <c r="M796" s="3"/>
      <c r="V796" s="2"/>
    </row>
    <row r="797" ht="12.0" customHeight="1">
      <c r="B797" s="1"/>
      <c r="K797" s="2"/>
      <c r="M797" s="3"/>
      <c r="V797" s="2"/>
    </row>
    <row r="798" ht="12.0" customHeight="1">
      <c r="B798" s="1"/>
      <c r="K798" s="2"/>
      <c r="M798" s="3"/>
      <c r="V798" s="2"/>
    </row>
    <row r="799" ht="12.0" customHeight="1">
      <c r="B799" s="1"/>
      <c r="K799" s="2"/>
      <c r="M799" s="3"/>
      <c r="V799" s="2"/>
    </row>
    <row r="800" ht="12.0" customHeight="1">
      <c r="B800" s="1"/>
      <c r="K800" s="2"/>
      <c r="M800" s="3"/>
      <c r="V800" s="2"/>
    </row>
    <row r="801" ht="12.0" customHeight="1">
      <c r="B801" s="1"/>
      <c r="K801" s="2"/>
      <c r="M801" s="3"/>
      <c r="V801" s="2"/>
    </row>
    <row r="802" ht="12.0" customHeight="1">
      <c r="B802" s="1"/>
      <c r="K802" s="2"/>
      <c r="M802" s="3"/>
      <c r="V802" s="2"/>
    </row>
    <row r="803" ht="12.0" customHeight="1">
      <c r="B803" s="1"/>
      <c r="K803" s="2"/>
      <c r="M803" s="3"/>
      <c r="V803" s="2"/>
    </row>
    <row r="804" ht="12.0" customHeight="1">
      <c r="B804" s="1"/>
      <c r="K804" s="2"/>
      <c r="M804" s="3"/>
      <c r="V804" s="2"/>
    </row>
    <row r="805" ht="12.0" customHeight="1">
      <c r="B805" s="1"/>
      <c r="K805" s="2"/>
      <c r="M805" s="3"/>
      <c r="V805" s="2"/>
    </row>
    <row r="806" ht="12.0" customHeight="1">
      <c r="B806" s="1"/>
      <c r="K806" s="2"/>
      <c r="M806" s="3"/>
      <c r="V806" s="2"/>
    </row>
    <row r="807" ht="12.0" customHeight="1">
      <c r="B807" s="1"/>
      <c r="K807" s="2"/>
      <c r="M807" s="3"/>
      <c r="V807" s="2"/>
    </row>
    <row r="808" ht="12.0" customHeight="1">
      <c r="B808" s="1"/>
      <c r="K808" s="2"/>
      <c r="M808" s="3"/>
      <c r="V808" s="2"/>
    </row>
    <row r="809" ht="12.0" customHeight="1">
      <c r="B809" s="1"/>
      <c r="K809" s="2"/>
      <c r="M809" s="3"/>
      <c r="V809" s="2"/>
    </row>
    <row r="810" ht="12.0" customHeight="1">
      <c r="B810" s="1"/>
      <c r="K810" s="2"/>
      <c r="M810" s="3"/>
      <c r="V810" s="2"/>
    </row>
    <row r="811" ht="12.0" customHeight="1">
      <c r="B811" s="1"/>
      <c r="K811" s="2"/>
      <c r="M811" s="3"/>
      <c r="V811" s="2"/>
    </row>
    <row r="812" ht="12.0" customHeight="1">
      <c r="B812" s="1"/>
      <c r="K812" s="2"/>
      <c r="M812" s="3"/>
      <c r="V812" s="2"/>
    </row>
    <row r="813" ht="12.0" customHeight="1">
      <c r="B813" s="1"/>
      <c r="K813" s="2"/>
      <c r="M813" s="3"/>
      <c r="V813" s="2"/>
    </row>
    <row r="814" ht="12.0" customHeight="1">
      <c r="B814" s="1"/>
      <c r="K814" s="2"/>
      <c r="M814" s="3"/>
      <c r="V814" s="2"/>
    </row>
    <row r="815" ht="12.0" customHeight="1">
      <c r="B815" s="1"/>
      <c r="K815" s="2"/>
      <c r="M815" s="3"/>
      <c r="V815" s="2"/>
    </row>
    <row r="816" ht="12.0" customHeight="1">
      <c r="B816" s="1"/>
      <c r="K816" s="2"/>
      <c r="M816" s="3"/>
      <c r="V816" s="2"/>
    </row>
    <row r="817" ht="12.0" customHeight="1">
      <c r="B817" s="1"/>
      <c r="K817" s="2"/>
      <c r="M817" s="3"/>
      <c r="V817" s="2"/>
    </row>
    <row r="818" ht="12.0" customHeight="1">
      <c r="B818" s="1"/>
      <c r="K818" s="2"/>
      <c r="M818" s="3"/>
      <c r="V818" s="2"/>
    </row>
    <row r="819" ht="12.0" customHeight="1">
      <c r="B819" s="1"/>
      <c r="K819" s="2"/>
      <c r="M819" s="3"/>
      <c r="V819" s="2"/>
    </row>
    <row r="820" ht="12.0" customHeight="1">
      <c r="B820" s="1"/>
      <c r="K820" s="2"/>
      <c r="M820" s="3"/>
      <c r="V820" s="2"/>
    </row>
    <row r="821" ht="12.0" customHeight="1">
      <c r="B821" s="1"/>
      <c r="K821" s="2"/>
      <c r="M821" s="3"/>
      <c r="V821" s="2"/>
    </row>
    <row r="822" ht="12.0" customHeight="1">
      <c r="B822" s="1"/>
      <c r="K822" s="2"/>
      <c r="M822" s="3"/>
      <c r="V822" s="2"/>
    </row>
    <row r="823" ht="12.0" customHeight="1">
      <c r="B823" s="1"/>
      <c r="K823" s="2"/>
      <c r="M823" s="3"/>
      <c r="V823" s="2"/>
    </row>
    <row r="824" ht="12.0" customHeight="1">
      <c r="B824" s="1"/>
      <c r="K824" s="2"/>
      <c r="M824" s="3"/>
      <c r="V824" s="2"/>
    </row>
    <row r="825" ht="12.0" customHeight="1">
      <c r="B825" s="1"/>
      <c r="K825" s="2"/>
      <c r="M825" s="3"/>
      <c r="V825" s="2"/>
    </row>
    <row r="826" ht="12.0" customHeight="1">
      <c r="B826" s="1"/>
      <c r="K826" s="2"/>
      <c r="M826" s="3"/>
      <c r="V826" s="2"/>
    </row>
    <row r="827" ht="12.0" customHeight="1">
      <c r="B827" s="1"/>
      <c r="K827" s="2"/>
      <c r="M827" s="3"/>
      <c r="V827" s="2"/>
    </row>
    <row r="828" ht="12.0" customHeight="1">
      <c r="B828" s="1"/>
      <c r="K828" s="2"/>
      <c r="M828" s="3"/>
      <c r="V828" s="2"/>
    </row>
    <row r="829" ht="12.0" customHeight="1">
      <c r="B829" s="1"/>
      <c r="K829" s="2"/>
      <c r="M829" s="3"/>
      <c r="V829" s="2"/>
    </row>
    <row r="830" ht="12.0" customHeight="1">
      <c r="B830" s="1"/>
      <c r="K830" s="2"/>
      <c r="M830" s="3"/>
      <c r="V830" s="2"/>
    </row>
    <row r="831" ht="12.0" customHeight="1">
      <c r="B831" s="1"/>
      <c r="K831" s="2"/>
      <c r="M831" s="3"/>
      <c r="V831" s="2"/>
    </row>
    <row r="832" ht="12.0" customHeight="1">
      <c r="B832" s="1"/>
      <c r="K832" s="2"/>
      <c r="M832" s="3"/>
      <c r="V832" s="2"/>
    </row>
    <row r="833" ht="12.0" customHeight="1">
      <c r="B833" s="1"/>
      <c r="K833" s="2"/>
      <c r="M833" s="3"/>
      <c r="V833" s="2"/>
    </row>
    <row r="834" ht="12.0" customHeight="1">
      <c r="B834" s="1"/>
      <c r="K834" s="2"/>
      <c r="M834" s="3"/>
      <c r="V834" s="2"/>
    </row>
    <row r="835" ht="12.0" customHeight="1">
      <c r="B835" s="1"/>
      <c r="K835" s="2"/>
      <c r="M835" s="3"/>
      <c r="V835" s="2"/>
    </row>
    <row r="836" ht="12.0" customHeight="1">
      <c r="B836" s="1"/>
      <c r="K836" s="2"/>
      <c r="M836" s="3"/>
      <c r="V836" s="2"/>
    </row>
    <row r="837" ht="12.0" customHeight="1">
      <c r="B837" s="1"/>
      <c r="K837" s="2"/>
      <c r="M837" s="3"/>
      <c r="V837" s="2"/>
    </row>
    <row r="838" ht="12.0" customHeight="1">
      <c r="B838" s="1"/>
      <c r="K838" s="2"/>
      <c r="M838" s="3"/>
      <c r="V838" s="2"/>
    </row>
    <row r="839" ht="12.0" customHeight="1">
      <c r="B839" s="1"/>
      <c r="K839" s="2"/>
      <c r="M839" s="3"/>
      <c r="V839" s="2"/>
    </row>
    <row r="840" ht="12.0" customHeight="1">
      <c r="B840" s="1"/>
      <c r="K840" s="2"/>
      <c r="M840" s="3"/>
      <c r="V840" s="2"/>
    </row>
    <row r="841" ht="12.0" customHeight="1">
      <c r="B841" s="1"/>
      <c r="K841" s="2"/>
      <c r="M841" s="3"/>
      <c r="V841" s="2"/>
    </row>
    <row r="842" ht="12.0" customHeight="1">
      <c r="B842" s="1"/>
      <c r="K842" s="2"/>
      <c r="M842" s="3"/>
      <c r="V842" s="2"/>
    </row>
    <row r="843" ht="12.0" customHeight="1">
      <c r="B843" s="1"/>
      <c r="K843" s="2"/>
      <c r="M843" s="3"/>
      <c r="V843" s="2"/>
    </row>
    <row r="844" ht="12.0" customHeight="1">
      <c r="B844" s="1"/>
      <c r="K844" s="2"/>
      <c r="M844" s="3"/>
      <c r="V844" s="2"/>
    </row>
    <row r="845" ht="12.0" customHeight="1">
      <c r="B845" s="1"/>
      <c r="K845" s="2"/>
      <c r="M845" s="3"/>
      <c r="V845" s="2"/>
    </row>
    <row r="846" ht="12.0" customHeight="1">
      <c r="B846" s="1"/>
      <c r="K846" s="2"/>
      <c r="M846" s="3"/>
      <c r="V846" s="2"/>
    </row>
    <row r="847" ht="12.0" customHeight="1">
      <c r="B847" s="1"/>
      <c r="K847" s="2"/>
      <c r="M847" s="3"/>
      <c r="V847" s="2"/>
    </row>
    <row r="848" ht="12.0" customHeight="1">
      <c r="B848" s="1"/>
      <c r="K848" s="2"/>
      <c r="M848" s="3"/>
      <c r="V848" s="2"/>
    </row>
    <row r="849" ht="12.0" customHeight="1">
      <c r="B849" s="1"/>
      <c r="K849" s="2"/>
      <c r="M849" s="3"/>
      <c r="V849" s="2"/>
    </row>
    <row r="850" ht="12.0" customHeight="1">
      <c r="B850" s="1"/>
      <c r="K850" s="2"/>
      <c r="M850" s="3"/>
      <c r="V850" s="2"/>
    </row>
    <row r="851" ht="12.0" customHeight="1">
      <c r="B851" s="1"/>
      <c r="K851" s="2"/>
      <c r="M851" s="3"/>
      <c r="V851" s="2"/>
    </row>
    <row r="852" ht="12.0" customHeight="1">
      <c r="B852" s="1"/>
      <c r="K852" s="2"/>
      <c r="M852" s="3"/>
      <c r="V852" s="2"/>
    </row>
    <row r="853" ht="12.0" customHeight="1">
      <c r="B853" s="1"/>
      <c r="K853" s="2"/>
      <c r="M853" s="3"/>
      <c r="V853" s="2"/>
    </row>
    <row r="854" ht="12.0" customHeight="1">
      <c r="B854" s="1"/>
      <c r="K854" s="2"/>
      <c r="M854" s="3"/>
      <c r="V854" s="2"/>
    </row>
    <row r="855" ht="12.0" customHeight="1">
      <c r="B855" s="1"/>
      <c r="K855" s="2"/>
      <c r="M855" s="3"/>
      <c r="V855" s="2"/>
    </row>
    <row r="856" ht="12.0" customHeight="1">
      <c r="B856" s="1"/>
      <c r="K856" s="2"/>
      <c r="M856" s="3"/>
      <c r="V856" s="2"/>
    </row>
    <row r="857" ht="12.0" customHeight="1">
      <c r="B857" s="1"/>
      <c r="K857" s="2"/>
      <c r="M857" s="3"/>
      <c r="V857" s="2"/>
    </row>
    <row r="858" ht="12.0" customHeight="1">
      <c r="B858" s="1"/>
      <c r="K858" s="2"/>
      <c r="M858" s="3"/>
      <c r="V858" s="2"/>
    </row>
    <row r="859" ht="12.0" customHeight="1">
      <c r="B859" s="1"/>
      <c r="K859" s="2"/>
      <c r="M859" s="3"/>
      <c r="V859" s="2"/>
    </row>
    <row r="860" ht="12.0" customHeight="1">
      <c r="B860" s="1"/>
      <c r="K860" s="2"/>
      <c r="M860" s="3"/>
      <c r="V860" s="2"/>
    </row>
    <row r="861" ht="12.0" customHeight="1">
      <c r="B861" s="1"/>
      <c r="K861" s="2"/>
      <c r="M861" s="3"/>
      <c r="V861" s="2"/>
    </row>
    <row r="862" ht="12.0" customHeight="1">
      <c r="B862" s="1"/>
      <c r="K862" s="2"/>
      <c r="M862" s="3"/>
      <c r="V862" s="2"/>
    </row>
    <row r="863" ht="12.0" customHeight="1">
      <c r="B863" s="1"/>
      <c r="K863" s="2"/>
      <c r="M863" s="3"/>
      <c r="V863" s="2"/>
    </row>
    <row r="864" ht="12.0" customHeight="1">
      <c r="B864" s="1"/>
      <c r="K864" s="2"/>
      <c r="M864" s="3"/>
      <c r="V864" s="2"/>
    </row>
    <row r="865" ht="12.0" customHeight="1">
      <c r="B865" s="1"/>
      <c r="K865" s="2"/>
      <c r="M865" s="3"/>
      <c r="V865" s="2"/>
    </row>
    <row r="866" ht="12.0" customHeight="1">
      <c r="B866" s="1"/>
      <c r="K866" s="2"/>
      <c r="M866" s="3"/>
      <c r="V866" s="2"/>
    </row>
    <row r="867" ht="12.0" customHeight="1">
      <c r="B867" s="1"/>
      <c r="K867" s="2"/>
      <c r="M867" s="3"/>
      <c r="V867" s="2"/>
    </row>
    <row r="868" ht="12.0" customHeight="1">
      <c r="B868" s="1"/>
      <c r="K868" s="2"/>
      <c r="M868" s="3"/>
      <c r="V868" s="2"/>
    </row>
    <row r="869" ht="12.0" customHeight="1">
      <c r="B869" s="1"/>
      <c r="K869" s="2"/>
      <c r="M869" s="3"/>
      <c r="V869" s="2"/>
    </row>
    <row r="870" ht="12.0" customHeight="1">
      <c r="B870" s="1"/>
      <c r="K870" s="2"/>
      <c r="M870" s="3"/>
      <c r="V870" s="2"/>
    </row>
    <row r="871" ht="12.0" customHeight="1">
      <c r="B871" s="1"/>
      <c r="K871" s="2"/>
      <c r="M871" s="3"/>
      <c r="V871" s="2"/>
    </row>
    <row r="872" ht="12.0" customHeight="1">
      <c r="B872" s="1"/>
      <c r="K872" s="2"/>
      <c r="M872" s="3"/>
      <c r="V872" s="2"/>
    </row>
    <row r="873" ht="12.0" customHeight="1">
      <c r="B873" s="1"/>
      <c r="K873" s="2"/>
      <c r="M873" s="3"/>
      <c r="V873" s="2"/>
    </row>
    <row r="874" ht="12.0" customHeight="1">
      <c r="B874" s="1"/>
      <c r="K874" s="2"/>
      <c r="M874" s="3"/>
      <c r="V874" s="2"/>
    </row>
    <row r="875" ht="12.0" customHeight="1">
      <c r="B875" s="1"/>
      <c r="K875" s="2"/>
      <c r="M875" s="3"/>
      <c r="V875" s="2"/>
    </row>
    <row r="876" ht="12.0" customHeight="1">
      <c r="B876" s="1"/>
      <c r="K876" s="2"/>
      <c r="M876" s="3"/>
      <c r="V876" s="2"/>
    </row>
    <row r="877" ht="12.0" customHeight="1">
      <c r="B877" s="1"/>
      <c r="K877" s="2"/>
      <c r="M877" s="3"/>
      <c r="V877" s="2"/>
    </row>
    <row r="878" ht="12.0" customHeight="1">
      <c r="B878" s="1"/>
      <c r="K878" s="2"/>
      <c r="M878" s="3"/>
      <c r="V878" s="2"/>
    </row>
    <row r="879" ht="12.0" customHeight="1">
      <c r="B879" s="1"/>
      <c r="K879" s="2"/>
      <c r="M879" s="3"/>
      <c r="V879" s="2"/>
    </row>
    <row r="880" ht="12.0" customHeight="1">
      <c r="B880" s="1"/>
      <c r="K880" s="2"/>
      <c r="M880" s="3"/>
      <c r="V880" s="2"/>
    </row>
    <row r="881" ht="12.0" customHeight="1">
      <c r="B881" s="1"/>
      <c r="K881" s="2"/>
      <c r="M881" s="3"/>
      <c r="V881" s="2"/>
    </row>
    <row r="882" ht="12.0" customHeight="1">
      <c r="B882" s="1"/>
      <c r="K882" s="2"/>
      <c r="M882" s="3"/>
      <c r="V882" s="2"/>
    </row>
    <row r="883" ht="12.0" customHeight="1">
      <c r="B883" s="1"/>
      <c r="K883" s="2"/>
      <c r="M883" s="3"/>
      <c r="V883" s="2"/>
    </row>
    <row r="884" ht="12.0" customHeight="1">
      <c r="B884" s="1"/>
      <c r="K884" s="2"/>
      <c r="M884" s="3"/>
      <c r="V884" s="2"/>
    </row>
    <row r="885" ht="12.0" customHeight="1">
      <c r="B885" s="1"/>
      <c r="K885" s="2"/>
      <c r="M885" s="3"/>
      <c r="V885" s="2"/>
    </row>
    <row r="886" ht="12.0" customHeight="1">
      <c r="B886" s="1"/>
      <c r="K886" s="2"/>
      <c r="M886" s="3"/>
      <c r="V886" s="2"/>
    </row>
    <row r="887" ht="12.0" customHeight="1">
      <c r="B887" s="1"/>
      <c r="K887" s="2"/>
      <c r="M887" s="3"/>
      <c r="V887" s="2"/>
    </row>
    <row r="888" ht="12.0" customHeight="1">
      <c r="B888" s="1"/>
      <c r="K888" s="2"/>
      <c r="M888" s="3"/>
      <c r="V888" s="2"/>
    </row>
    <row r="889" ht="12.0" customHeight="1">
      <c r="B889" s="1"/>
      <c r="K889" s="2"/>
      <c r="M889" s="3"/>
      <c r="V889" s="2"/>
    </row>
    <row r="890" ht="12.0" customHeight="1">
      <c r="B890" s="1"/>
      <c r="K890" s="2"/>
      <c r="M890" s="3"/>
      <c r="V890" s="2"/>
    </row>
    <row r="891" ht="12.0" customHeight="1">
      <c r="B891" s="1"/>
      <c r="K891" s="2"/>
      <c r="M891" s="3"/>
      <c r="V891" s="2"/>
    </row>
    <row r="892" ht="12.0" customHeight="1">
      <c r="B892" s="1"/>
      <c r="K892" s="2"/>
      <c r="M892" s="3"/>
      <c r="V892" s="2"/>
    </row>
    <row r="893" ht="12.0" customHeight="1">
      <c r="B893" s="1"/>
      <c r="K893" s="2"/>
      <c r="M893" s="3"/>
      <c r="V893" s="2"/>
    </row>
    <row r="894" ht="12.0" customHeight="1">
      <c r="B894" s="1"/>
      <c r="K894" s="2"/>
      <c r="M894" s="3"/>
      <c r="V894" s="2"/>
    </row>
    <row r="895" ht="12.0" customHeight="1">
      <c r="B895" s="1"/>
      <c r="K895" s="2"/>
      <c r="M895" s="3"/>
      <c r="V895" s="2"/>
    </row>
    <row r="896" ht="12.0" customHeight="1">
      <c r="B896" s="1"/>
      <c r="K896" s="2"/>
      <c r="M896" s="3"/>
      <c r="V896" s="2"/>
    </row>
    <row r="897" ht="12.0" customHeight="1">
      <c r="B897" s="1"/>
      <c r="K897" s="2"/>
      <c r="M897" s="3"/>
      <c r="V897" s="2"/>
    </row>
    <row r="898" ht="12.0" customHeight="1">
      <c r="B898" s="1"/>
      <c r="K898" s="2"/>
      <c r="M898" s="3"/>
      <c r="V898" s="2"/>
    </row>
    <row r="899" ht="12.0" customHeight="1">
      <c r="B899" s="1"/>
      <c r="K899" s="2"/>
      <c r="M899" s="3"/>
      <c r="V899" s="2"/>
    </row>
    <row r="900" ht="12.0" customHeight="1">
      <c r="B900" s="1"/>
      <c r="K900" s="2"/>
      <c r="M900" s="3"/>
      <c r="V900" s="2"/>
    </row>
    <row r="901" ht="12.0" customHeight="1">
      <c r="B901" s="1"/>
      <c r="K901" s="2"/>
      <c r="M901" s="3"/>
      <c r="V901" s="2"/>
    </row>
    <row r="902" ht="12.0" customHeight="1">
      <c r="B902" s="1"/>
      <c r="K902" s="2"/>
      <c r="M902" s="3"/>
      <c r="V902" s="2"/>
    </row>
    <row r="903" ht="12.0" customHeight="1">
      <c r="B903" s="1"/>
      <c r="K903" s="2"/>
      <c r="M903" s="3"/>
      <c r="V903" s="2"/>
    </row>
    <row r="904" ht="12.0" customHeight="1">
      <c r="B904" s="1"/>
      <c r="K904" s="2"/>
      <c r="M904" s="3"/>
      <c r="V904" s="2"/>
    </row>
    <row r="905" ht="12.0" customHeight="1">
      <c r="B905" s="1"/>
      <c r="K905" s="2"/>
      <c r="M905" s="3"/>
      <c r="V905" s="2"/>
    </row>
    <row r="906" ht="12.0" customHeight="1">
      <c r="B906" s="1"/>
      <c r="K906" s="2"/>
      <c r="M906" s="3"/>
      <c r="V906" s="2"/>
    </row>
    <row r="907" ht="12.0" customHeight="1">
      <c r="B907" s="1"/>
      <c r="K907" s="2"/>
      <c r="M907" s="3"/>
      <c r="V907" s="2"/>
    </row>
    <row r="908" ht="12.0" customHeight="1">
      <c r="B908" s="1"/>
      <c r="K908" s="2"/>
      <c r="M908" s="3"/>
      <c r="V908" s="2"/>
    </row>
    <row r="909" ht="12.0" customHeight="1">
      <c r="B909" s="1"/>
      <c r="K909" s="2"/>
      <c r="M909" s="3"/>
      <c r="V909" s="2"/>
    </row>
    <row r="910" ht="12.0" customHeight="1">
      <c r="B910" s="1"/>
      <c r="K910" s="2"/>
      <c r="M910" s="3"/>
      <c r="V910" s="2"/>
    </row>
    <row r="911" ht="12.0" customHeight="1">
      <c r="B911" s="1"/>
      <c r="K911" s="2"/>
      <c r="M911" s="3"/>
      <c r="V911" s="2"/>
    </row>
    <row r="912" ht="12.0" customHeight="1">
      <c r="B912" s="1"/>
      <c r="K912" s="2"/>
      <c r="M912" s="3"/>
      <c r="V912" s="2"/>
    </row>
    <row r="913" ht="12.0" customHeight="1">
      <c r="B913" s="1"/>
      <c r="K913" s="2"/>
      <c r="M913" s="3"/>
      <c r="V913" s="2"/>
    </row>
    <row r="914" ht="12.0" customHeight="1">
      <c r="B914" s="1"/>
      <c r="K914" s="2"/>
      <c r="M914" s="3"/>
      <c r="V914" s="2"/>
    </row>
    <row r="915" ht="12.0" customHeight="1">
      <c r="B915" s="1"/>
      <c r="K915" s="2"/>
      <c r="M915" s="3"/>
      <c r="V915" s="2"/>
    </row>
    <row r="916" ht="12.0" customHeight="1">
      <c r="B916" s="1"/>
      <c r="K916" s="2"/>
      <c r="M916" s="3"/>
      <c r="V916" s="2"/>
    </row>
    <row r="917" ht="12.0" customHeight="1">
      <c r="B917" s="1"/>
      <c r="K917" s="2"/>
      <c r="M917" s="3"/>
      <c r="V917" s="2"/>
    </row>
    <row r="918" ht="12.0" customHeight="1">
      <c r="B918" s="1"/>
      <c r="K918" s="2"/>
      <c r="M918" s="3"/>
      <c r="V918" s="2"/>
    </row>
    <row r="919" ht="12.0" customHeight="1">
      <c r="B919" s="1"/>
      <c r="K919" s="2"/>
      <c r="M919" s="3"/>
      <c r="V919" s="2"/>
    </row>
    <row r="920" ht="12.0" customHeight="1">
      <c r="B920" s="1"/>
      <c r="K920" s="2"/>
      <c r="M920" s="3"/>
      <c r="V920" s="2"/>
    </row>
    <row r="921" ht="12.0" customHeight="1">
      <c r="B921" s="1"/>
      <c r="K921" s="2"/>
      <c r="M921" s="3"/>
      <c r="V921" s="2"/>
    </row>
    <row r="922" ht="12.0" customHeight="1">
      <c r="B922" s="1"/>
      <c r="K922" s="2"/>
      <c r="M922" s="3"/>
      <c r="V922" s="2"/>
    </row>
    <row r="923" ht="12.0" customHeight="1">
      <c r="B923" s="1"/>
      <c r="K923" s="2"/>
      <c r="M923" s="3"/>
      <c r="V923" s="2"/>
    </row>
    <row r="924" ht="12.0" customHeight="1">
      <c r="B924" s="1"/>
      <c r="K924" s="2"/>
      <c r="M924" s="3"/>
      <c r="V924" s="2"/>
    </row>
    <row r="925" ht="12.0" customHeight="1">
      <c r="B925" s="1"/>
      <c r="K925" s="2"/>
      <c r="M925" s="3"/>
      <c r="V925" s="2"/>
    </row>
    <row r="926" ht="12.0" customHeight="1">
      <c r="B926" s="1"/>
      <c r="K926" s="2"/>
      <c r="M926" s="3"/>
      <c r="V926" s="2"/>
    </row>
    <row r="927" ht="12.0" customHeight="1">
      <c r="B927" s="1"/>
      <c r="K927" s="2"/>
      <c r="M927" s="3"/>
      <c r="V927" s="2"/>
    </row>
    <row r="928" ht="12.0" customHeight="1">
      <c r="B928" s="1"/>
      <c r="K928" s="2"/>
      <c r="M928" s="3"/>
      <c r="V928" s="2"/>
    </row>
    <row r="929" ht="12.0" customHeight="1">
      <c r="B929" s="1"/>
      <c r="K929" s="2"/>
      <c r="M929" s="3"/>
      <c r="V929" s="2"/>
    </row>
    <row r="930" ht="12.0" customHeight="1">
      <c r="B930" s="1"/>
      <c r="K930" s="2"/>
      <c r="M930" s="3"/>
      <c r="V930" s="2"/>
    </row>
    <row r="931" ht="12.0" customHeight="1">
      <c r="B931" s="1"/>
      <c r="K931" s="2"/>
      <c r="M931" s="3"/>
      <c r="V931" s="2"/>
    </row>
    <row r="932" ht="12.0" customHeight="1">
      <c r="B932" s="1"/>
      <c r="K932" s="2"/>
      <c r="M932" s="3"/>
      <c r="V932" s="2"/>
    </row>
    <row r="933" ht="12.0" customHeight="1">
      <c r="B933" s="1"/>
      <c r="K933" s="2"/>
      <c r="M933" s="3"/>
      <c r="V933" s="2"/>
    </row>
    <row r="934" ht="12.0" customHeight="1">
      <c r="B934" s="1"/>
      <c r="K934" s="2"/>
      <c r="M934" s="3"/>
      <c r="V934" s="2"/>
    </row>
    <row r="935" ht="12.0" customHeight="1">
      <c r="B935" s="1"/>
      <c r="K935" s="2"/>
      <c r="M935" s="3"/>
      <c r="V935" s="2"/>
    </row>
    <row r="936" ht="12.0" customHeight="1">
      <c r="B936" s="1"/>
      <c r="K936" s="2"/>
      <c r="M936" s="3"/>
      <c r="V936" s="2"/>
    </row>
    <row r="937" ht="12.0" customHeight="1">
      <c r="B937" s="1"/>
      <c r="K937" s="2"/>
      <c r="M937" s="3"/>
      <c r="V937" s="2"/>
    </row>
    <row r="938" ht="12.0" customHeight="1">
      <c r="B938" s="1"/>
      <c r="K938" s="2"/>
      <c r="M938" s="3"/>
      <c r="V938" s="2"/>
    </row>
    <row r="939" ht="12.0" customHeight="1">
      <c r="B939" s="1"/>
      <c r="K939" s="2"/>
      <c r="M939" s="3"/>
      <c r="V939" s="2"/>
    </row>
    <row r="940" ht="12.0" customHeight="1">
      <c r="B940" s="1"/>
      <c r="K940" s="2"/>
      <c r="M940" s="3"/>
      <c r="V940" s="2"/>
    </row>
    <row r="941" ht="12.0" customHeight="1">
      <c r="B941" s="1"/>
      <c r="K941" s="2"/>
      <c r="M941" s="3"/>
      <c r="V941" s="2"/>
    </row>
    <row r="942" ht="12.0" customHeight="1">
      <c r="B942" s="1"/>
      <c r="K942" s="2"/>
      <c r="M942" s="3"/>
      <c r="V942" s="2"/>
    </row>
    <row r="943" ht="12.0" customHeight="1">
      <c r="B943" s="1"/>
      <c r="K943" s="2"/>
      <c r="M943" s="3"/>
      <c r="V943" s="2"/>
    </row>
    <row r="944" ht="12.0" customHeight="1">
      <c r="B944" s="1"/>
      <c r="K944" s="2"/>
      <c r="M944" s="3"/>
      <c r="V944" s="2"/>
    </row>
    <row r="945" ht="12.0" customHeight="1">
      <c r="B945" s="1"/>
      <c r="K945" s="2"/>
      <c r="M945" s="3"/>
      <c r="V945" s="2"/>
    </row>
    <row r="946" ht="12.0" customHeight="1">
      <c r="B946" s="1"/>
      <c r="K946" s="2"/>
      <c r="M946" s="3"/>
      <c r="V946" s="2"/>
    </row>
    <row r="947" ht="12.0" customHeight="1">
      <c r="B947" s="1"/>
      <c r="K947" s="2"/>
      <c r="M947" s="3"/>
      <c r="V947" s="2"/>
    </row>
    <row r="948" ht="12.0" customHeight="1">
      <c r="B948" s="1"/>
      <c r="K948" s="2"/>
      <c r="M948" s="3"/>
      <c r="V948" s="2"/>
    </row>
    <row r="949" ht="12.0" customHeight="1">
      <c r="B949" s="1"/>
      <c r="K949" s="2"/>
      <c r="M949" s="3"/>
      <c r="V949" s="2"/>
    </row>
    <row r="950" ht="12.0" customHeight="1">
      <c r="B950" s="1"/>
      <c r="K950" s="2"/>
      <c r="M950" s="3"/>
      <c r="V950" s="2"/>
    </row>
    <row r="951" ht="12.0" customHeight="1">
      <c r="B951" s="1"/>
      <c r="K951" s="2"/>
      <c r="M951" s="3"/>
      <c r="V951" s="2"/>
    </row>
    <row r="952" ht="12.0" customHeight="1">
      <c r="B952" s="1"/>
      <c r="K952" s="2"/>
      <c r="M952" s="3"/>
      <c r="V952" s="2"/>
    </row>
    <row r="953" ht="12.0" customHeight="1">
      <c r="B953" s="1"/>
      <c r="K953" s="2"/>
      <c r="M953" s="3"/>
      <c r="V953" s="2"/>
    </row>
    <row r="954" ht="12.0" customHeight="1">
      <c r="B954" s="1"/>
      <c r="K954" s="2"/>
      <c r="M954" s="3"/>
      <c r="V954" s="2"/>
    </row>
    <row r="955" ht="12.0" customHeight="1">
      <c r="B955" s="1"/>
      <c r="K955" s="2"/>
      <c r="M955" s="3"/>
      <c r="V955" s="2"/>
    </row>
    <row r="956" ht="12.0" customHeight="1">
      <c r="B956" s="1"/>
      <c r="K956" s="2"/>
      <c r="M956" s="3"/>
      <c r="V956" s="2"/>
    </row>
    <row r="957" ht="12.0" customHeight="1">
      <c r="B957" s="1"/>
      <c r="K957" s="2"/>
      <c r="M957" s="3"/>
      <c r="V957" s="2"/>
    </row>
    <row r="958" ht="12.0" customHeight="1">
      <c r="B958" s="1"/>
      <c r="K958" s="2"/>
      <c r="M958" s="3"/>
      <c r="V958" s="2"/>
    </row>
    <row r="959" ht="12.0" customHeight="1">
      <c r="B959" s="1"/>
      <c r="K959" s="2"/>
      <c r="M959" s="3"/>
      <c r="V959" s="2"/>
    </row>
    <row r="960" ht="12.0" customHeight="1">
      <c r="B960" s="1"/>
      <c r="K960" s="2"/>
      <c r="M960" s="3"/>
      <c r="V960" s="2"/>
    </row>
    <row r="961" ht="12.0" customHeight="1">
      <c r="B961" s="1"/>
      <c r="K961" s="2"/>
      <c r="M961" s="3"/>
      <c r="V961" s="2"/>
    </row>
    <row r="962" ht="12.0" customHeight="1">
      <c r="B962" s="1"/>
      <c r="K962" s="2"/>
      <c r="M962" s="3"/>
      <c r="V962" s="2"/>
    </row>
    <row r="963" ht="12.0" customHeight="1">
      <c r="B963" s="1"/>
      <c r="K963" s="2"/>
      <c r="M963" s="3"/>
      <c r="V963" s="2"/>
    </row>
    <row r="964" ht="12.0" customHeight="1">
      <c r="B964" s="1"/>
      <c r="K964" s="2"/>
      <c r="M964" s="3"/>
      <c r="V964" s="2"/>
    </row>
    <row r="965" ht="12.0" customHeight="1">
      <c r="B965" s="1"/>
      <c r="K965" s="2"/>
      <c r="M965" s="3"/>
      <c r="V965" s="2"/>
    </row>
    <row r="966" ht="12.0" customHeight="1">
      <c r="B966" s="1"/>
      <c r="K966" s="2"/>
      <c r="M966" s="3"/>
      <c r="V966" s="2"/>
    </row>
    <row r="967" ht="12.0" customHeight="1">
      <c r="B967" s="1"/>
      <c r="K967" s="2"/>
      <c r="M967" s="3"/>
      <c r="V967" s="2"/>
    </row>
    <row r="968" ht="12.0" customHeight="1">
      <c r="B968" s="1"/>
      <c r="K968" s="2"/>
      <c r="M968" s="3"/>
      <c r="V968" s="2"/>
    </row>
    <row r="969" ht="12.0" customHeight="1">
      <c r="B969" s="1"/>
      <c r="K969" s="2"/>
      <c r="M969" s="3"/>
      <c r="V969" s="2"/>
    </row>
    <row r="970" ht="12.0" customHeight="1">
      <c r="B970" s="1"/>
      <c r="K970" s="2"/>
      <c r="M970" s="3"/>
      <c r="V970" s="2"/>
    </row>
    <row r="971" ht="12.0" customHeight="1">
      <c r="B971" s="1"/>
      <c r="K971" s="2"/>
      <c r="M971" s="3"/>
      <c r="V971" s="2"/>
    </row>
    <row r="972" ht="12.0" customHeight="1">
      <c r="B972" s="1"/>
      <c r="K972" s="2"/>
      <c r="M972" s="3"/>
      <c r="V972" s="2"/>
    </row>
    <row r="973" ht="12.0" customHeight="1">
      <c r="B973" s="1"/>
      <c r="K973" s="2"/>
      <c r="M973" s="3"/>
      <c r="V973" s="2"/>
    </row>
    <row r="974" ht="12.0" customHeight="1">
      <c r="B974" s="1"/>
      <c r="K974" s="2"/>
      <c r="M974" s="3"/>
      <c r="V974" s="2"/>
    </row>
    <row r="975" ht="12.0" customHeight="1">
      <c r="B975" s="1"/>
      <c r="K975" s="2"/>
      <c r="M975" s="3"/>
      <c r="V975" s="2"/>
    </row>
    <row r="976" ht="12.0" customHeight="1">
      <c r="B976" s="1"/>
      <c r="K976" s="2"/>
      <c r="M976" s="3"/>
      <c r="V976" s="2"/>
    </row>
    <row r="977" ht="12.0" customHeight="1">
      <c r="B977" s="1"/>
      <c r="K977" s="2"/>
      <c r="M977" s="3"/>
      <c r="V977" s="2"/>
    </row>
    <row r="978" ht="12.0" customHeight="1">
      <c r="B978" s="1"/>
      <c r="K978" s="2"/>
      <c r="M978" s="3"/>
      <c r="V978" s="2"/>
    </row>
    <row r="979" ht="12.0" customHeight="1">
      <c r="B979" s="1"/>
      <c r="K979" s="2"/>
      <c r="M979" s="3"/>
      <c r="V979" s="2"/>
    </row>
    <row r="980" ht="12.0" customHeight="1">
      <c r="B980" s="1"/>
      <c r="K980" s="2"/>
      <c r="M980" s="3"/>
      <c r="V980" s="2"/>
    </row>
    <row r="981" ht="12.0" customHeight="1">
      <c r="B981" s="1"/>
      <c r="K981" s="2"/>
      <c r="M981" s="3"/>
      <c r="V981" s="2"/>
    </row>
    <row r="982" ht="12.0" customHeight="1">
      <c r="B982" s="1"/>
      <c r="K982" s="2"/>
      <c r="M982" s="3"/>
      <c r="V982" s="2"/>
    </row>
    <row r="983" ht="12.0" customHeight="1">
      <c r="B983" s="1"/>
      <c r="K983" s="2"/>
      <c r="M983" s="3"/>
      <c r="V983" s="2"/>
    </row>
    <row r="984" ht="12.0" customHeight="1">
      <c r="B984" s="1"/>
      <c r="K984" s="2"/>
      <c r="M984" s="3"/>
      <c r="V984" s="2"/>
    </row>
    <row r="985" ht="12.0" customHeight="1">
      <c r="B985" s="1"/>
      <c r="K985" s="2"/>
      <c r="M985" s="3"/>
      <c r="V985" s="2"/>
    </row>
    <row r="986" ht="12.0" customHeight="1">
      <c r="B986" s="1"/>
      <c r="K986" s="2"/>
      <c r="M986" s="3"/>
      <c r="V986" s="2"/>
    </row>
    <row r="987" ht="12.0" customHeight="1">
      <c r="B987" s="1"/>
      <c r="K987" s="2"/>
      <c r="M987" s="3"/>
      <c r="V987" s="2"/>
    </row>
    <row r="988" ht="12.0" customHeight="1">
      <c r="B988" s="1"/>
      <c r="K988" s="2"/>
      <c r="M988" s="3"/>
      <c r="V988" s="2"/>
    </row>
    <row r="989" ht="12.0" customHeight="1">
      <c r="B989" s="1"/>
      <c r="K989" s="2"/>
      <c r="M989" s="3"/>
      <c r="V989" s="2"/>
    </row>
    <row r="990" ht="12.0" customHeight="1">
      <c r="B990" s="1"/>
      <c r="K990" s="2"/>
      <c r="M990" s="3"/>
      <c r="V990" s="2"/>
    </row>
    <row r="991" ht="12.0" customHeight="1">
      <c r="B991" s="1"/>
      <c r="K991" s="2"/>
      <c r="M991" s="3"/>
      <c r="V991" s="2"/>
    </row>
    <row r="992" ht="12.0" customHeight="1">
      <c r="B992" s="1"/>
      <c r="K992" s="2"/>
      <c r="M992" s="3"/>
      <c r="V992" s="2"/>
    </row>
    <row r="993" ht="12.0" customHeight="1">
      <c r="B993" s="1"/>
      <c r="K993" s="2"/>
      <c r="M993" s="3"/>
      <c r="V993" s="2"/>
    </row>
    <row r="994" ht="12.0" customHeight="1">
      <c r="B994" s="1"/>
      <c r="K994" s="2"/>
      <c r="M994" s="3"/>
      <c r="V994" s="2"/>
    </row>
    <row r="995" ht="12.0" customHeight="1">
      <c r="B995" s="1"/>
      <c r="K995" s="2"/>
      <c r="M995" s="3"/>
      <c r="V995" s="2"/>
    </row>
    <row r="996" ht="12.0" customHeight="1">
      <c r="B996" s="1"/>
      <c r="K996" s="2"/>
      <c r="M996" s="3"/>
      <c r="V996" s="2"/>
    </row>
    <row r="997" ht="12.0" customHeight="1">
      <c r="B997" s="1"/>
      <c r="K997" s="2"/>
      <c r="M997" s="3"/>
      <c r="V997" s="2"/>
    </row>
    <row r="998" ht="12.0" customHeight="1">
      <c r="B998" s="1"/>
      <c r="K998" s="2"/>
      <c r="M998" s="3"/>
      <c r="V998" s="2"/>
    </row>
    <row r="999" ht="12.0" customHeight="1">
      <c r="B999" s="1"/>
      <c r="K999" s="2"/>
      <c r="M999" s="3"/>
      <c r="V999" s="2"/>
    </row>
    <row r="1000" ht="12.0" customHeight="1">
      <c r="B1000" s="1"/>
      <c r="K1000" s="2"/>
      <c r="M1000" s="3"/>
      <c r="V1000" s="2"/>
    </row>
    <row r="1001" ht="12.0" customHeight="1">
      <c r="B1001" s="1"/>
      <c r="K1001" s="2"/>
      <c r="M1001" s="3"/>
      <c r="V1001" s="2"/>
    </row>
    <row r="1002" ht="12.0" customHeight="1">
      <c r="B1002" s="1"/>
      <c r="K1002" s="2"/>
      <c r="M1002" s="3"/>
      <c r="V1002" s="2"/>
    </row>
  </sheetData>
  <mergeCells count="10">
    <mergeCell ref="B61:B63"/>
    <mergeCell ref="B68:B70"/>
    <mergeCell ref="B71:B73"/>
    <mergeCell ref="J8:K8"/>
    <mergeCell ref="U8:V8"/>
    <mergeCell ref="U9:V9"/>
    <mergeCell ref="B38:B40"/>
    <mergeCell ref="B48:B53"/>
    <mergeCell ref="B54:B57"/>
    <mergeCell ref="B58:B60"/>
  </mergeCells>
  <dataValidations>
    <dataValidation type="list" allowBlank="1" showErrorMessage="1" sqref="J31">
      <formula1>"TIMBER ROOF TRUSSES,NO ROOF TRUSSES"</formula1>
    </dataValidation>
    <dataValidation type="list" allowBlank="1" showErrorMessage="1" sqref="J18 J35 J38 J42 J45 J58 J61 J65 J68 J71 J75 J81">
      <formula1>"YES,NO"</formula1>
    </dataValidation>
    <dataValidation type="list" allowBlank="1" showErrorMessage="1" sqref="U17:U18 U21 U26 U31 U35 U38 U42 U45 U48 U54 U58 U61 U65 U68 U71 U75 U81">
      <formula1>"DELAPIDATED,POOR,FAIR,GOOD,VERY GOOD,EXCELLENT,NOT APPLICABLE"</formula1>
    </dataValidation>
    <dataValidation type="list" allowBlank="1" showErrorMessage="1" sqref="J54">
      <formula1>"STEEL WINDOW FRAMES,ALUMINIUM WINDOW FRAMES,NO WINDOWS FITTED"</formula1>
    </dataValidation>
    <dataValidation type="list" allowBlank="1" showErrorMessage="1" sqref="J26">
      <formula1>"CONCRETE ROOF TILES,IBR,CORRUGATED ROOFING SHEETS,NO ROOFING"</formula1>
    </dataValidation>
    <dataValidation type="list" allowBlank="1" showErrorMessage="1" sqref="J12">
      <formula1>"2010-2013,2014-2021,2021-2023"</formula1>
    </dataValidation>
    <dataValidation type="list" allowBlank="1" showErrorMessage="1" sqref="J48">
      <formula1>"VINYL FLOORING,TILING FLOORING,TIMBER FLOORING,CARPETS FLOORING,NO FLOORING"</formula1>
    </dataValidation>
    <dataValidation type="list" allowBlank="1" showErrorMessage="1" sqref="J21">
      <formula1>"STOCK BRICKS,BLOCKS,FACE BRICK,NO BRICKWORK DONE"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48.0"/>
    <col customWidth="1" hidden="1" min="4" max="5" width="28.25"/>
    <col customWidth="1" min="6" max="8" width="23.0"/>
    <col customWidth="1" min="9" max="9" width="0.38"/>
    <col customWidth="1" min="10" max="10" width="50.75"/>
    <col customWidth="1" min="11" max="11" width="30.75"/>
    <col customWidth="1" min="12" max="12" width="33.75"/>
    <col customWidth="1" min="13" max="13" width="37.75"/>
    <col customWidth="1" min="14" max="14" width="38.25"/>
    <col customWidth="1" min="15" max="15" width="42.75"/>
    <col customWidth="1" min="16" max="16" width="33.25"/>
    <col customWidth="1" min="17" max="26" width="9.13"/>
  </cols>
  <sheetData>
    <row r="1" ht="12.0" customHeight="1">
      <c r="B1" s="1"/>
      <c r="C1" s="5"/>
      <c r="K1" s="151"/>
      <c r="L1" s="1"/>
      <c r="M1" s="3"/>
      <c r="N1" s="1"/>
      <c r="P1" s="151"/>
    </row>
    <row r="2" ht="12.0" customHeight="1">
      <c r="B2" s="1"/>
      <c r="C2" s="5"/>
      <c r="K2" s="151"/>
      <c r="L2" s="1"/>
      <c r="M2" s="3"/>
      <c r="N2" s="1"/>
      <c r="P2" s="151"/>
    </row>
    <row r="3" ht="12.0" customHeight="1">
      <c r="B3" s="1"/>
      <c r="C3" s="5" t="s">
        <v>0</v>
      </c>
      <c r="K3" s="151"/>
      <c r="L3" s="1"/>
      <c r="M3" s="3"/>
      <c r="N3" s="1"/>
      <c r="P3" s="151"/>
    </row>
    <row r="4" ht="12.0" customHeight="1">
      <c r="B4" s="1"/>
      <c r="C4" s="4" t="s">
        <v>78</v>
      </c>
      <c r="K4" s="151"/>
      <c r="L4" s="1"/>
      <c r="M4" s="3"/>
      <c r="N4" s="1"/>
      <c r="P4" s="151"/>
    </row>
    <row r="5" ht="34.5" customHeight="1">
      <c r="B5" s="1"/>
      <c r="C5" s="152"/>
      <c r="K5" s="151"/>
      <c r="L5" s="1"/>
      <c r="M5" s="3"/>
      <c r="N5" s="1"/>
      <c r="P5" s="151"/>
    </row>
    <row r="6" ht="34.5" customHeight="1">
      <c r="B6" s="1"/>
      <c r="C6" s="152"/>
      <c r="K6" s="151"/>
      <c r="L6" s="1"/>
      <c r="M6" s="3"/>
      <c r="N6" s="1"/>
      <c r="P6" s="151"/>
    </row>
    <row r="7" ht="49.5" customHeight="1">
      <c r="B7" s="1"/>
      <c r="D7" s="153"/>
      <c r="E7" s="154"/>
      <c r="F7" s="155" t="s">
        <v>79</v>
      </c>
      <c r="G7" s="156"/>
      <c r="H7" s="19"/>
      <c r="I7" s="157" t="s">
        <v>80</v>
      </c>
      <c r="J7" s="156"/>
      <c r="K7" s="19"/>
      <c r="L7" s="158"/>
      <c r="M7" s="159"/>
      <c r="N7" s="160"/>
      <c r="O7" s="161"/>
      <c r="P7" s="151"/>
    </row>
    <row r="8" ht="30.75" customHeight="1">
      <c r="B8" s="1"/>
      <c r="D8" s="153"/>
      <c r="E8" s="154"/>
      <c r="F8" s="162"/>
      <c r="G8" s="163"/>
      <c r="H8" s="164"/>
      <c r="I8" s="165"/>
      <c r="J8" s="6" t="s">
        <v>2</v>
      </c>
      <c r="K8" s="7"/>
      <c r="L8" s="166"/>
      <c r="M8" s="159"/>
      <c r="N8" s="160"/>
      <c r="O8" s="8" t="s">
        <v>3</v>
      </c>
      <c r="P8" s="7"/>
    </row>
    <row r="9" ht="69.75" customHeight="1">
      <c r="A9" s="20"/>
      <c r="B9" s="167" t="s">
        <v>6</v>
      </c>
      <c r="C9" s="167" t="s">
        <v>7</v>
      </c>
      <c r="D9" s="168"/>
      <c r="E9" s="168" t="s">
        <v>8</v>
      </c>
      <c r="F9" s="169" t="s">
        <v>9</v>
      </c>
      <c r="G9" s="169" t="s">
        <v>10</v>
      </c>
      <c r="H9" s="169" t="s">
        <v>11</v>
      </c>
      <c r="I9" s="170" t="s">
        <v>12</v>
      </c>
      <c r="J9" s="26" t="s">
        <v>13</v>
      </c>
      <c r="K9" s="24" t="s">
        <v>14</v>
      </c>
      <c r="L9" s="171" t="s">
        <v>15</v>
      </c>
      <c r="M9" s="172" t="s">
        <v>16</v>
      </c>
      <c r="N9" s="173" t="s">
        <v>17</v>
      </c>
      <c r="O9" s="31" t="s">
        <v>18</v>
      </c>
      <c r="P9" s="24" t="s">
        <v>14</v>
      </c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0.0" customHeight="1">
      <c r="A10" s="20"/>
      <c r="B10" s="174"/>
      <c r="C10" s="174"/>
      <c r="D10" s="175"/>
      <c r="E10" s="37"/>
      <c r="F10" s="176">
        <v>3.0</v>
      </c>
      <c r="G10" s="176">
        <v>2.0</v>
      </c>
      <c r="H10" s="176">
        <v>1.0</v>
      </c>
      <c r="I10" s="177"/>
      <c r="J10" s="178"/>
      <c r="K10" s="179"/>
      <c r="L10" s="180"/>
      <c r="M10" s="181"/>
      <c r="N10" s="182"/>
      <c r="O10" s="20"/>
      <c r="P10" s="183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29.25" customHeight="1">
      <c r="A11" s="17"/>
      <c r="B11" s="52"/>
      <c r="C11" s="184" t="s">
        <v>19</v>
      </c>
      <c r="D11" s="185"/>
      <c r="E11" s="48"/>
      <c r="F11" s="186"/>
      <c r="G11" s="186"/>
      <c r="H11" s="186"/>
      <c r="I11" s="187"/>
      <c r="J11" s="188">
        <v>300.0</v>
      </c>
      <c r="K11" s="189"/>
      <c r="L11" s="190" t="str">
        <f>AVERAGE(#REF!)</f>
        <v>#REF!</v>
      </c>
      <c r="M11" s="191">
        <v>303.333333333333</v>
      </c>
      <c r="N11" s="192"/>
      <c r="O11" s="193"/>
      <c r="P11" s="191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customHeight="1">
      <c r="A12" s="17"/>
      <c r="B12" s="52"/>
      <c r="C12" s="194" t="s">
        <v>20</v>
      </c>
      <c r="D12" s="185" t="s">
        <v>81</v>
      </c>
      <c r="E12" s="54"/>
      <c r="F12" s="186"/>
      <c r="G12" s="186"/>
      <c r="H12" s="186"/>
      <c r="I12" s="195"/>
      <c r="J12" s="196" t="s">
        <v>9</v>
      </c>
      <c r="K12" s="197"/>
      <c r="L12" s="190"/>
      <c r="M12" s="191"/>
      <c r="N12" s="192"/>
      <c r="O12" s="193"/>
      <c r="P12" s="191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customHeight="1">
      <c r="A13" s="17"/>
      <c r="B13" s="52"/>
      <c r="C13" s="198"/>
      <c r="D13" s="185" t="s">
        <v>11</v>
      </c>
      <c r="E13" s="54"/>
      <c r="F13" s="186"/>
      <c r="G13" s="186"/>
      <c r="H13" s="186"/>
      <c r="I13" s="195"/>
      <c r="J13" s="195"/>
      <c r="K13" s="120"/>
      <c r="L13" s="199"/>
      <c r="M13" s="14"/>
      <c r="N13" s="200"/>
      <c r="O13" s="17"/>
      <c r="P13" s="201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customHeight="1">
      <c r="A14" s="17"/>
      <c r="B14" s="52"/>
      <c r="C14" s="198"/>
      <c r="D14" s="185" t="s">
        <v>10</v>
      </c>
      <c r="E14" s="54"/>
      <c r="F14" s="186"/>
      <c r="G14" s="186"/>
      <c r="H14" s="186"/>
      <c r="I14" s="195"/>
      <c r="J14" s="195"/>
      <c r="K14" s="99"/>
      <c r="L14" s="199"/>
      <c r="M14" s="14"/>
      <c r="N14" s="200"/>
      <c r="O14" s="17"/>
      <c r="P14" s="202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customHeight="1">
      <c r="A15" s="17"/>
      <c r="B15" s="52"/>
      <c r="C15" s="198"/>
      <c r="D15" s="185" t="s">
        <v>9</v>
      </c>
      <c r="E15" s="17"/>
      <c r="F15" s="186"/>
      <c r="G15" s="186"/>
      <c r="H15" s="186"/>
      <c r="I15" s="195"/>
      <c r="J15" s="195"/>
      <c r="K15" s="99"/>
      <c r="L15" s="199"/>
      <c r="M15" s="14"/>
      <c r="N15" s="200"/>
      <c r="O15" s="17"/>
      <c r="P15" s="202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customHeight="1">
      <c r="A16" s="17"/>
      <c r="B16" s="52"/>
      <c r="C16" s="198"/>
      <c r="D16" s="185" t="s">
        <v>21</v>
      </c>
      <c r="E16" s="63">
        <v>1.19</v>
      </c>
      <c r="F16" s="186"/>
      <c r="G16" s="203">
        <v>1.25</v>
      </c>
      <c r="H16" s="203">
        <v>1.32</v>
      </c>
      <c r="I16" s="195"/>
      <c r="J16" s="195"/>
      <c r="K16" s="99"/>
      <c r="L16" s="199"/>
      <c r="M16" s="14"/>
      <c r="N16" s="200"/>
      <c r="O16" s="17"/>
      <c r="P16" s="20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7.75" customHeight="1">
      <c r="A17" s="34"/>
      <c r="B17" s="44">
        <v>1.0</v>
      </c>
      <c r="C17" s="65" t="s">
        <v>22</v>
      </c>
      <c r="D17" s="66"/>
      <c r="E17" s="66"/>
      <c r="F17" s="67">
        <f>754.600732600733*E16</f>
        <v>897.9748718</v>
      </c>
      <c r="G17" s="67">
        <f>F17/$G$16</f>
        <v>718.3798974</v>
      </c>
      <c r="H17" s="67">
        <f>F17/$H$16</f>
        <v>680.2839938</v>
      </c>
      <c r="I17" s="204"/>
      <c r="J17" s="204"/>
      <c r="K17" s="73">
        <f>IF(J12="2010-2013",J11*H17,IF(J12="2014-2021",J11*G17,IF(J12="2021-2023",J11*F17,-2)))</f>
        <v>269392.4615</v>
      </c>
      <c r="L17" s="199" t="str">
        <f t="shared" ref="L17:L18" si="1">AVERAGE(#REF!)</f>
        <v>#REF!</v>
      </c>
      <c r="M17" s="205">
        <v>228895.555555556</v>
      </c>
      <c r="N17" s="206">
        <f t="shared" ref="N17:N18" si="2">M17/$M$11</f>
        <v>754.6007326</v>
      </c>
      <c r="O17" s="207" t="s">
        <v>82</v>
      </c>
      <c r="P17" s="73">
        <f t="shared" ref="P17:P18" si="3">IF(O17="Delapidated",K17*0.6,IF(O17="Poor",K17*0.7,IF(O17="Fair",K17*0.8,IF(O17="Good",K17*0.85,IF(O17="Very Good",K17*0.9,IF(O17="Excellent",K17*1,IF(O17="Not Applicable",K17*1,0)))))))</f>
        <v>242453.2154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27.75" customHeight="1">
      <c r="A18" s="34"/>
      <c r="B18" s="83">
        <f>B17+1</f>
        <v>2</v>
      </c>
      <c r="C18" s="208" t="s">
        <v>24</v>
      </c>
      <c r="D18" s="66"/>
      <c r="E18" s="66"/>
      <c r="F18" s="209"/>
      <c r="G18" s="67"/>
      <c r="H18" s="67"/>
      <c r="I18" s="204"/>
      <c r="J18" s="72" t="s">
        <v>25</v>
      </c>
      <c r="K18" s="73">
        <f>IF(J18="YES",IF(J12="2010-2013",H19*$J$11,IF(J12="2014-2021",G19*$J$11,IF(J12="2021-2023",F19*$J$11,0))),0)</f>
        <v>69727.46154</v>
      </c>
      <c r="L18" s="199" t="str">
        <f t="shared" si="1"/>
        <v>#REF!</v>
      </c>
      <c r="M18" s="205">
        <v>59245.5555555556</v>
      </c>
      <c r="N18" s="206">
        <f t="shared" si="2"/>
        <v>195.3150183</v>
      </c>
      <c r="O18" s="207" t="s">
        <v>82</v>
      </c>
      <c r="P18" s="73">
        <f t="shared" si="3"/>
        <v>62754.71538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5.25" customHeight="1">
      <c r="A19" s="34"/>
      <c r="B19" s="84"/>
      <c r="C19" s="79" t="s">
        <v>25</v>
      </c>
      <c r="D19" s="66"/>
      <c r="E19" s="66"/>
      <c r="F19" s="67">
        <f>195.315018315018*E16</f>
        <v>232.4248718</v>
      </c>
      <c r="G19" s="67">
        <f t="shared" ref="G19:G20" si="4">F19/$G$16</f>
        <v>185.9398974</v>
      </c>
      <c r="H19" s="67">
        <f t="shared" ref="H19:H20" si="5">F19/$H$16</f>
        <v>176.0794483</v>
      </c>
      <c r="I19" s="210">
        <v>1.0</v>
      </c>
      <c r="J19" s="204"/>
      <c r="K19" s="73"/>
      <c r="L19" s="199"/>
      <c r="M19" s="205"/>
      <c r="N19" s="206"/>
      <c r="O19" s="34"/>
      <c r="P19" s="73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customHeight="1">
      <c r="A20" s="34"/>
      <c r="B20" s="85"/>
      <c r="C20" s="79" t="s">
        <v>26</v>
      </c>
      <c r="D20" s="66"/>
      <c r="E20" s="66"/>
      <c r="F20" s="67">
        <v>0.0</v>
      </c>
      <c r="G20" s="67">
        <f t="shared" si="4"/>
        <v>0</v>
      </c>
      <c r="H20" s="67">
        <f t="shared" si="5"/>
        <v>0</v>
      </c>
      <c r="I20" s="210">
        <v>2.0</v>
      </c>
      <c r="J20" s="204"/>
      <c r="K20" s="73"/>
      <c r="L20" s="199"/>
      <c r="M20" s="205"/>
      <c r="N20" s="206"/>
      <c r="O20" s="34"/>
      <c r="P20" s="73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208" t="s">
        <v>83</v>
      </c>
      <c r="D21" s="66"/>
      <c r="E21" s="66"/>
      <c r="F21" s="67"/>
      <c r="G21" s="67"/>
      <c r="H21" s="67"/>
      <c r="I21" s="204"/>
      <c r="J21" s="72" t="s">
        <v>28</v>
      </c>
      <c r="K21" s="73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193314.9769</v>
      </c>
      <c r="L21" s="199" t="str">
        <f>AVERAGE(#REF!)</f>
        <v>#REF!</v>
      </c>
      <c r="M21" s="205">
        <f>161365.555555556+2889</f>
        <v>164254.5556</v>
      </c>
      <c r="N21" s="206">
        <f>M21/$M$11</f>
        <v>541.4985348</v>
      </c>
      <c r="O21" s="207" t="s">
        <v>82</v>
      </c>
      <c r="P21" s="73">
        <f>IF(O21="Delapidated",K21*0.6,IF(O21="Poor",K21*0.7,IF(O21="Fair",K21*0.8,IF(O21="Good",K21*0.85,IF(O21="Very Good",K21*0.9,IF(O21="Excellent",K21*1,IF(O21="Not Applicable",K21*1,0)))))))</f>
        <v>173983.4792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customHeight="1">
      <c r="A22" s="34"/>
      <c r="B22" s="84"/>
      <c r="C22" s="79" t="s">
        <v>28</v>
      </c>
      <c r="D22" s="66"/>
      <c r="E22" s="66"/>
      <c r="F22" s="67">
        <f>541.498534798536*E16</f>
        <v>644.3832564</v>
      </c>
      <c r="G22" s="67">
        <f t="shared" ref="G22:G25" si="6">F22/$G$16</f>
        <v>515.5066051</v>
      </c>
      <c r="H22" s="67">
        <f t="shared" ref="H22:H25" si="7">F22/$H$16</f>
        <v>488.1691336</v>
      </c>
      <c r="I22" s="210">
        <v>1.0</v>
      </c>
      <c r="J22" s="204"/>
      <c r="K22" s="73"/>
      <c r="L22" s="199"/>
      <c r="M22" s="205"/>
      <c r="N22" s="206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customHeight="1">
      <c r="A23" s="34"/>
      <c r="B23" s="84"/>
      <c r="C23" s="79" t="s">
        <v>29</v>
      </c>
      <c r="D23" s="66"/>
      <c r="E23" s="66"/>
      <c r="F23" s="67">
        <f>F22*0.8</f>
        <v>515.5066051</v>
      </c>
      <c r="G23" s="67">
        <f t="shared" si="6"/>
        <v>412.4052841</v>
      </c>
      <c r="H23" s="67">
        <f t="shared" si="7"/>
        <v>390.5353069</v>
      </c>
      <c r="I23" s="210">
        <v>2.0</v>
      </c>
      <c r="J23" s="204"/>
      <c r="K23" s="73"/>
      <c r="L23" s="199"/>
      <c r="M23" s="205"/>
      <c r="N23" s="206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customHeight="1">
      <c r="A24" s="34"/>
      <c r="B24" s="84"/>
      <c r="C24" s="79" t="s">
        <v>30</v>
      </c>
      <c r="D24" s="66"/>
      <c r="E24" s="66"/>
      <c r="F24" s="67">
        <f>F22*1.3</f>
        <v>837.6982333</v>
      </c>
      <c r="G24" s="67">
        <f t="shared" si="6"/>
        <v>670.1585867</v>
      </c>
      <c r="H24" s="67">
        <f t="shared" si="7"/>
        <v>634.6198737</v>
      </c>
      <c r="I24" s="210">
        <v>3.0</v>
      </c>
      <c r="J24" s="204"/>
      <c r="K24" s="73"/>
      <c r="L24" s="199"/>
      <c r="M24" s="205"/>
      <c r="N24" s="206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customHeight="1">
      <c r="A25" s="34"/>
      <c r="B25" s="85"/>
      <c r="C25" s="79" t="s">
        <v>84</v>
      </c>
      <c r="D25" s="66"/>
      <c r="E25" s="66"/>
      <c r="F25" s="67">
        <v>0.0</v>
      </c>
      <c r="G25" s="67">
        <f t="shared" si="6"/>
        <v>0</v>
      </c>
      <c r="H25" s="67">
        <f t="shared" si="7"/>
        <v>0</v>
      </c>
      <c r="I25" s="210">
        <v>4.0</v>
      </c>
      <c r="J25" s="204"/>
      <c r="K25" s="73"/>
      <c r="L25" s="199"/>
      <c r="M25" s="205"/>
      <c r="N25" s="206"/>
      <c r="O25" s="34"/>
      <c r="P25" s="73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26.25" customHeight="1">
      <c r="A26" s="34"/>
      <c r="B26" s="83">
        <f>B21+1</f>
        <v>4</v>
      </c>
      <c r="C26" s="208" t="s">
        <v>85</v>
      </c>
      <c r="D26" s="66"/>
      <c r="E26" s="66"/>
      <c r="F26" s="67"/>
      <c r="G26" s="67"/>
      <c r="H26" s="67"/>
      <c r="I26" s="204"/>
      <c r="J26" s="72" t="s">
        <v>33</v>
      </c>
      <c r="K26" s="73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46410</v>
      </c>
      <c r="L26" s="199" t="str">
        <f>AVERAGE(#REF!)</f>
        <v>#REF!</v>
      </c>
      <c r="M26" s="205">
        <f>169777.777777778+11748</f>
        <v>181525.7778</v>
      </c>
      <c r="N26" s="206">
        <f>M26/$M$11</f>
        <v>598.43663</v>
      </c>
      <c r="O26" s="207" t="s">
        <v>82</v>
      </c>
      <c r="P26" s="73">
        <f>IF(O26="Delapidated",K26*0.6,IF(O26="Poor",K26*0.7,IF(O26="Fair",K26*0.8,IF(O26="Good",K26*0.85,IF(O26="Very Good",K26*0.9,IF(O26="Excellent",K26*1,IF(O26="Not Applicable",K26*1,0)))))))</f>
        <v>41769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customHeight="1">
      <c r="A27" s="34"/>
      <c r="B27" s="84"/>
      <c r="C27" s="79" t="s">
        <v>33</v>
      </c>
      <c r="D27" s="66"/>
      <c r="E27" s="66"/>
      <c r="F27" s="67">
        <f>130*E16</f>
        <v>154.7</v>
      </c>
      <c r="G27" s="67">
        <f t="shared" ref="G27:G30" si="8">F27/$G$16</f>
        <v>123.76</v>
      </c>
      <c r="H27" s="67">
        <f t="shared" ref="H27:H30" si="9">F27/$H$16</f>
        <v>117.1969697</v>
      </c>
      <c r="I27" s="210">
        <v>1.0</v>
      </c>
      <c r="J27" s="204"/>
      <c r="K27" s="73"/>
      <c r="L27" s="199"/>
      <c r="M27" s="205"/>
      <c r="N27" s="206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customHeight="1">
      <c r="A28" s="34"/>
      <c r="B28" s="84"/>
      <c r="C28" s="79" t="s">
        <v>34</v>
      </c>
      <c r="D28" s="66"/>
      <c r="E28" s="66"/>
      <c r="F28" s="67">
        <f>F27*1.6</f>
        <v>247.52</v>
      </c>
      <c r="G28" s="67">
        <f t="shared" si="8"/>
        <v>198.016</v>
      </c>
      <c r="H28" s="67">
        <f t="shared" si="9"/>
        <v>187.5151515</v>
      </c>
      <c r="I28" s="210">
        <v>2.0</v>
      </c>
      <c r="J28" s="204"/>
      <c r="K28" s="73"/>
      <c r="L28" s="199"/>
      <c r="M28" s="205"/>
      <c r="N28" s="206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customHeight="1">
      <c r="A29" s="34"/>
      <c r="B29" s="84"/>
      <c r="C29" s="79" t="s">
        <v>35</v>
      </c>
      <c r="D29" s="66"/>
      <c r="E29" s="66"/>
      <c r="F29" s="67">
        <f>F27*0.6</f>
        <v>92.82</v>
      </c>
      <c r="G29" s="67">
        <f t="shared" si="8"/>
        <v>74.256</v>
      </c>
      <c r="H29" s="67">
        <f t="shared" si="9"/>
        <v>70.31818182</v>
      </c>
      <c r="I29" s="210">
        <v>3.0</v>
      </c>
      <c r="J29" s="204"/>
      <c r="K29" s="73"/>
      <c r="L29" s="199"/>
      <c r="M29" s="205"/>
      <c r="N29" s="206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customHeight="1">
      <c r="A30" s="34"/>
      <c r="B30" s="85"/>
      <c r="C30" s="79" t="s">
        <v>86</v>
      </c>
      <c r="D30" s="66"/>
      <c r="E30" s="66"/>
      <c r="F30" s="67">
        <v>0.0</v>
      </c>
      <c r="G30" s="67">
        <f t="shared" si="8"/>
        <v>0</v>
      </c>
      <c r="H30" s="67">
        <f t="shared" si="9"/>
        <v>0</v>
      </c>
      <c r="I30" s="210">
        <v>4.0</v>
      </c>
      <c r="J30" s="204"/>
      <c r="K30" s="73"/>
      <c r="L30" s="199"/>
      <c r="M30" s="205"/>
      <c r="N30" s="206"/>
      <c r="O30" s="34"/>
      <c r="P30" s="73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75" customHeight="1">
      <c r="A31" s="34"/>
      <c r="B31" s="44">
        <f>B26+1</f>
        <v>5</v>
      </c>
      <c r="C31" s="74" t="s">
        <v>37</v>
      </c>
      <c r="D31" s="66"/>
      <c r="E31" s="66"/>
      <c r="F31" s="75"/>
      <c r="G31" s="67"/>
      <c r="H31" s="67"/>
      <c r="I31" s="68"/>
      <c r="J31" s="72" t="s">
        <v>38</v>
      </c>
      <c r="K31" s="70">
        <f>IF(J31="TIMBER ROOF TRUSSES",IF(J12="2010-2013",H32*$J$11,IF(J12="2014-2021",G32*$J$11,IF(J12="2021-2023",F32*$J$11,0))),IF(J31="STRUCTURAL STEEL TRUSSES",IF(J12="2010-2013",#REF!*$J$11,IF(J12="2014-2021",#REF!*$J$11,IF(J12="2021-2023",#REF!*$J$11,0))),0))</f>
        <v>149940</v>
      </c>
      <c r="L31" s="59" t="str">
        <f>AVERAGE(#REF!)</f>
        <v>#REF!</v>
      </c>
      <c r="M31" s="43">
        <f>51922.2222222222+844</f>
        <v>52766.22222</v>
      </c>
      <c r="N31" s="71" t="str">
        <f>M31/$M$12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89964</v>
      </c>
      <c r="Q31" s="20"/>
      <c r="R31" s="20"/>
      <c r="S31" s="20"/>
      <c r="T31" s="20"/>
      <c r="U31" s="34"/>
      <c r="V31" s="34"/>
      <c r="W31" s="34"/>
      <c r="X31" s="34"/>
      <c r="Y31" s="34"/>
      <c r="Z31" s="34"/>
    </row>
    <row r="32" ht="30.0" customHeight="1">
      <c r="A32" s="34"/>
      <c r="B32" s="44"/>
      <c r="C32" s="79" t="s">
        <v>38</v>
      </c>
      <c r="D32" s="66"/>
      <c r="E32" s="66"/>
      <c r="F32" s="67">
        <f>420*$E$16</f>
        <v>499.8</v>
      </c>
      <c r="G32" s="67">
        <f>F32/$G$16</f>
        <v>399.84</v>
      </c>
      <c r="H32" s="67">
        <f>F32/$H$16</f>
        <v>378.6363636</v>
      </c>
      <c r="I32" s="77">
        <v>1.0</v>
      </c>
      <c r="J32" s="78"/>
      <c r="K32" s="70"/>
      <c r="L32" s="59"/>
      <c r="M32" s="43"/>
      <c r="N32" s="71"/>
      <c r="O32" s="44"/>
      <c r="P32" s="212"/>
      <c r="Q32" s="20"/>
      <c r="R32" s="20"/>
      <c r="S32" s="20"/>
      <c r="T32" s="20"/>
      <c r="U32" s="142"/>
      <c r="V32" s="213"/>
      <c r="W32" s="34"/>
      <c r="X32" s="34"/>
      <c r="Y32" s="34"/>
      <c r="Z32" s="34"/>
    </row>
    <row r="33" ht="30.0" customHeight="1">
      <c r="A33" s="34"/>
      <c r="B33" s="44"/>
      <c r="C33" s="79" t="s">
        <v>41</v>
      </c>
      <c r="D33" s="66"/>
      <c r="E33" s="66"/>
      <c r="F33" s="67">
        <v>0.0</v>
      </c>
      <c r="G33" s="67">
        <v>0.0</v>
      </c>
      <c r="H33" s="67">
        <f>F33/$H$19</f>
        <v>0</v>
      </c>
      <c r="I33" s="77"/>
      <c r="J33" s="78"/>
      <c r="K33" s="70"/>
      <c r="L33" s="59"/>
      <c r="M33" s="43"/>
      <c r="N33" s="71"/>
      <c r="O33" s="44"/>
      <c r="P33" s="212"/>
      <c r="Q33" s="20"/>
      <c r="R33" s="20"/>
      <c r="S33" s="20"/>
      <c r="T33" s="20"/>
      <c r="U33" s="142"/>
      <c r="V33" s="213"/>
      <c r="W33" s="34"/>
      <c r="X33" s="34"/>
      <c r="Y33" s="34"/>
      <c r="Z33" s="34"/>
    </row>
    <row r="34" ht="30.0" customHeight="1">
      <c r="A34" s="34"/>
      <c r="B34" s="83">
        <v>6.0</v>
      </c>
      <c r="C34" s="208" t="s">
        <v>88</v>
      </c>
      <c r="D34" s="66"/>
      <c r="E34" s="66"/>
      <c r="F34" s="67"/>
      <c r="G34" s="67"/>
      <c r="H34" s="67"/>
      <c r="I34" s="204"/>
      <c r="J34" s="72" t="s">
        <v>25</v>
      </c>
      <c r="K34" s="73">
        <f>IF(J34="YES",IF(J12="2010-2013",H35*$J$11,IF(J12="2014-2021",G35*$J$11,IF(J12="2021-2023",F35*$J$11,0))),0)</f>
        <v>17850</v>
      </c>
      <c r="L34" s="199" t="str">
        <f>AVERAGE(#REF!)</f>
        <v>#REF!</v>
      </c>
      <c r="M34" s="205">
        <f>64727.7777777778+8148-50000</f>
        <v>22875.77778</v>
      </c>
      <c r="N34" s="206">
        <f t="shared" ref="N34:N39" si="10">M34/$M$11</f>
        <v>75.41465201</v>
      </c>
      <c r="O34" s="207" t="s">
        <v>82</v>
      </c>
      <c r="P34" s="73">
        <f>IF(O34="Delapidated",K34*0.6,IF(O34="Poor",K34*0.7,IF(O34="Fair",K34*0.8,IF(O34="Good",K34*0.85,IF(O34="Very Good",K34*0.9,IF(O34="Excellent",K34*1,IF(O34="Not Applicable",K34*1,0)))))))</f>
        <v>16065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2.0" customHeight="1">
      <c r="A35" s="34"/>
      <c r="B35" s="84"/>
      <c r="C35" s="79" t="s">
        <v>25</v>
      </c>
      <c r="D35" s="66"/>
      <c r="E35" s="66"/>
      <c r="F35" s="67">
        <f>50*E16</f>
        <v>59.5</v>
      </c>
      <c r="G35" s="67">
        <f t="shared" ref="G35:G36" si="11">F35/$G$16</f>
        <v>47.6</v>
      </c>
      <c r="H35" s="67">
        <f t="shared" ref="H35:H36" si="12">F35/$H$16</f>
        <v>45.07575758</v>
      </c>
      <c r="I35" s="210">
        <v>1.0</v>
      </c>
      <c r="J35" s="204"/>
      <c r="K35" s="73"/>
      <c r="L35" s="199"/>
      <c r="M35" s="205"/>
      <c r="N35" s="206">
        <f t="shared" si="10"/>
        <v>0</v>
      </c>
      <c r="O35" s="34"/>
      <c r="P35" s="73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customHeight="1">
      <c r="A36" s="34"/>
      <c r="B36" s="85"/>
      <c r="C36" s="79" t="s">
        <v>26</v>
      </c>
      <c r="D36" s="66"/>
      <c r="E36" s="66"/>
      <c r="F36" s="67">
        <v>0.0</v>
      </c>
      <c r="G36" s="67">
        <f t="shared" si="11"/>
        <v>0</v>
      </c>
      <c r="H36" s="67">
        <f t="shared" si="12"/>
        <v>0</v>
      </c>
      <c r="I36" s="210">
        <v>2.0</v>
      </c>
      <c r="J36" s="204"/>
      <c r="K36" s="73"/>
      <c r="L36" s="199"/>
      <c r="M36" s="205"/>
      <c r="N36" s="206">
        <f t="shared" si="10"/>
        <v>0</v>
      </c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29.25" customHeight="1">
      <c r="A37" s="34"/>
      <c r="B37" s="83">
        <f>B34+1</f>
        <v>7</v>
      </c>
      <c r="C37" s="208" t="s">
        <v>45</v>
      </c>
      <c r="D37" s="66"/>
      <c r="E37" s="66"/>
      <c r="F37" s="67"/>
      <c r="G37" s="67"/>
      <c r="H37" s="67"/>
      <c r="I37" s="204"/>
      <c r="J37" s="72" t="s">
        <v>25</v>
      </c>
      <c r="K37" s="73">
        <f>IF(J37="YES",IF(J12="2010-2013",H38*$J$11,IF(J12="2014-2021",G38*$J$11,IF(J12="2021-2023",F38*$J$11,0))),0)</f>
        <v>62475</v>
      </c>
      <c r="L37" s="199"/>
      <c r="M37" s="205"/>
      <c r="N37" s="206">
        <f t="shared" si="10"/>
        <v>0</v>
      </c>
      <c r="O37" s="207" t="s">
        <v>82</v>
      </c>
      <c r="P37" s="73">
        <f>IF(O37="Delapidated",K37*0.6,IF(O37="Poor",K37*0.7,IF(O37="Fair",K37*0.8,IF(O37="Good",K37*0.85,IF(O37="Very Good",K37*0.9,IF(O37="Excellent",K37*1,IF(O37="Not Applicable",K37*1,0)))))))</f>
        <v>56227.5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2.0" customHeight="1">
      <c r="A38" s="34"/>
      <c r="B38" s="84"/>
      <c r="C38" s="79" t="s">
        <v>25</v>
      </c>
      <c r="D38" s="66"/>
      <c r="E38" s="66"/>
      <c r="F38" s="67">
        <f>175*E16</f>
        <v>208.25</v>
      </c>
      <c r="G38" s="67">
        <f t="shared" ref="G38:G39" si="13">F38/$G$16</f>
        <v>166.6</v>
      </c>
      <c r="H38" s="67">
        <f t="shared" ref="H38:H39" si="14">F38/$H$16</f>
        <v>157.7651515</v>
      </c>
      <c r="I38" s="210">
        <v>1.0</v>
      </c>
      <c r="J38" s="204"/>
      <c r="K38" s="73"/>
      <c r="L38" s="199"/>
      <c r="M38" s="205">
        <v>30000.0</v>
      </c>
      <c r="N38" s="206">
        <f t="shared" si="10"/>
        <v>98.9010989</v>
      </c>
      <c r="O38" s="34"/>
      <c r="P38" s="73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2.0" customHeight="1">
      <c r="A39" s="34"/>
      <c r="B39" s="85"/>
      <c r="C39" s="79" t="s">
        <v>26</v>
      </c>
      <c r="D39" s="66"/>
      <c r="E39" s="66"/>
      <c r="F39" s="67">
        <v>0.0</v>
      </c>
      <c r="G39" s="67">
        <f t="shared" si="13"/>
        <v>0</v>
      </c>
      <c r="H39" s="67">
        <f t="shared" si="14"/>
        <v>0</v>
      </c>
      <c r="I39" s="210">
        <v>2.0</v>
      </c>
      <c r="J39" s="204"/>
      <c r="K39" s="73"/>
      <c r="L39" s="199"/>
      <c r="M39" s="205"/>
      <c r="N39" s="206">
        <f t="shared" si="10"/>
        <v>0</v>
      </c>
      <c r="O39" s="34"/>
      <c r="P39" s="73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2.0" customHeight="1">
      <c r="A40" s="34"/>
      <c r="B40" s="44"/>
      <c r="C40" s="214" t="s">
        <v>48</v>
      </c>
      <c r="D40" s="66"/>
      <c r="E40" s="66"/>
      <c r="F40" s="67"/>
      <c r="G40" s="67"/>
      <c r="H40" s="67"/>
      <c r="I40" s="210"/>
      <c r="J40" s="91">
        <v>4.0</v>
      </c>
      <c r="K40" s="51"/>
      <c r="L40" s="199"/>
      <c r="M40" s="136"/>
      <c r="N40" s="118"/>
      <c r="O40" s="34"/>
      <c r="P40" s="51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3.75" customHeight="1">
      <c r="A41" s="34"/>
      <c r="B41" s="83">
        <f>B37+1</f>
        <v>8</v>
      </c>
      <c r="C41" s="208" t="s">
        <v>49</v>
      </c>
      <c r="D41" s="66"/>
      <c r="E41" s="66"/>
      <c r="F41" s="67"/>
      <c r="G41" s="67"/>
      <c r="H41" s="67"/>
      <c r="I41" s="204"/>
      <c r="J41" s="72" t="s">
        <v>25</v>
      </c>
      <c r="K41" s="73">
        <f>IF(J41="YES",IF(J12="2010-2013",H42*$J$40,IF(J12="2014-2021",G42*$J$40,IF(J12="2021-2023",F42*$J$40,0))),0)</f>
        <v>32000</v>
      </c>
      <c r="L41" s="199"/>
      <c r="M41" s="205">
        <v>20000.0</v>
      </c>
      <c r="N41" s="206">
        <f>M41/$M$11</f>
        <v>65.93406593</v>
      </c>
      <c r="O41" s="207" t="s">
        <v>82</v>
      </c>
      <c r="P41" s="73">
        <f>IF(O41="Delapidated",K41*0.6,IF(O41="Poor",K41*0.7,IF(O41="Fair",K41*0.8,IF(O41="Good",K41*0.85,IF(O41="Very Good",K41*0.9,IF(O41="Excellent",K41*1,IF(O41="Not Applicable",K41*1,0)))))))</f>
        <v>28800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0" customHeight="1">
      <c r="A42" s="34"/>
      <c r="B42" s="84"/>
      <c r="C42" s="79" t="s">
        <v>25</v>
      </c>
      <c r="D42" s="66"/>
      <c r="E42" s="66"/>
      <c r="F42" s="67">
        <v>8000.0</v>
      </c>
      <c r="G42" s="67">
        <f t="shared" ref="G42:G43" si="15">F42/$G$16</f>
        <v>6400</v>
      </c>
      <c r="H42" s="67">
        <f t="shared" ref="H42:H43" si="16">F42/$H$16</f>
        <v>6060.606061</v>
      </c>
      <c r="I42" s="210">
        <v>1.0</v>
      </c>
      <c r="J42" s="204"/>
      <c r="K42" s="73"/>
      <c r="L42" s="199"/>
      <c r="M42" s="205"/>
      <c r="N42" s="206"/>
      <c r="O42" s="34"/>
      <c r="P42" s="73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0" customHeight="1">
      <c r="A43" s="34"/>
      <c r="B43" s="85"/>
      <c r="C43" s="79" t="s">
        <v>26</v>
      </c>
      <c r="D43" s="66"/>
      <c r="E43" s="66"/>
      <c r="F43" s="67">
        <v>0.0</v>
      </c>
      <c r="G43" s="67">
        <f t="shared" si="15"/>
        <v>0</v>
      </c>
      <c r="H43" s="67">
        <f t="shared" si="16"/>
        <v>0</v>
      </c>
      <c r="I43" s="210">
        <v>2.0</v>
      </c>
      <c r="J43" s="204"/>
      <c r="K43" s="73"/>
      <c r="L43" s="199"/>
      <c r="M43" s="205"/>
      <c r="N43" s="206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3">
        <f>B41+1</f>
        <v>9</v>
      </c>
      <c r="C44" s="208" t="s">
        <v>50</v>
      </c>
      <c r="D44" s="66"/>
      <c r="E44" s="66"/>
      <c r="F44" s="67"/>
      <c r="G44" s="67"/>
      <c r="H44" s="67"/>
      <c r="I44" s="204"/>
      <c r="J44" s="72" t="s">
        <v>25</v>
      </c>
      <c r="K44" s="73">
        <f>IF(J44="YES",IF(J12="2010-2013",H45*$J$11,IF(J12="2014-2021",G45*$J$11,IF(J12="2021-2023",F45*$J$11,0))),0)</f>
        <v>60431.07692</v>
      </c>
      <c r="L44" s="199" t="str">
        <f>AVERAGE(#REF!)</f>
        <v>#REF!</v>
      </c>
      <c r="M44" s="205">
        <v>51346.6666666667</v>
      </c>
      <c r="N44" s="206">
        <f>M44/$M$11</f>
        <v>169.2747253</v>
      </c>
      <c r="O44" s="207" t="s">
        <v>82</v>
      </c>
      <c r="P44" s="73">
        <f>IF(O44="Delapidated",K44*0.6,IF(O44="Poor",K44*0.7,IF(O44="Fair",K44*0.8,IF(O44="Good",K44*0.85,IF(O44="Very Good",K44*0.9,IF(O44="Excellent",K44*1,IF(O44="Not Applicable",K44*1,0)))))))</f>
        <v>54387.96923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84"/>
      <c r="C45" s="79" t="s">
        <v>25</v>
      </c>
      <c r="D45" s="66"/>
      <c r="E45" s="66"/>
      <c r="F45" s="67">
        <f>169.274725274725*E16</f>
        <v>201.4369231</v>
      </c>
      <c r="G45" s="67">
        <f t="shared" ref="G45:G46" si="17">F45/$G$16</f>
        <v>161.1495385</v>
      </c>
      <c r="H45" s="67">
        <f t="shared" ref="H45:H46" si="18">F45/$H$16</f>
        <v>152.6037296</v>
      </c>
      <c r="I45" s="210">
        <v>1.0</v>
      </c>
      <c r="J45" s="204"/>
      <c r="K45" s="73"/>
      <c r="L45" s="199"/>
      <c r="M45" s="205"/>
      <c r="N45" s="206"/>
      <c r="O45" s="34"/>
      <c r="P45" s="73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customHeight="1">
      <c r="A46" s="34"/>
      <c r="B46" s="85"/>
      <c r="C46" s="79" t="s">
        <v>26</v>
      </c>
      <c r="D46" s="66"/>
      <c r="E46" s="66"/>
      <c r="F46" s="67">
        <v>0.0</v>
      </c>
      <c r="G46" s="67">
        <f t="shared" si="17"/>
        <v>0</v>
      </c>
      <c r="H46" s="67">
        <f t="shared" si="18"/>
        <v>0</v>
      </c>
      <c r="I46" s="210">
        <v>2.0</v>
      </c>
      <c r="J46" s="204"/>
      <c r="K46" s="73"/>
      <c r="L46" s="199"/>
      <c r="M46" s="205"/>
      <c r="N46" s="206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27.0" customHeight="1">
      <c r="A47" s="34"/>
      <c r="B47" s="83">
        <v>10.0</v>
      </c>
      <c r="C47" s="92" t="s">
        <v>51</v>
      </c>
      <c r="D47" s="66"/>
      <c r="E47" s="66"/>
      <c r="F47" s="67"/>
      <c r="G47" s="67"/>
      <c r="H47" s="67"/>
      <c r="I47" s="210"/>
      <c r="J47" s="72" t="s">
        <v>52</v>
      </c>
      <c r="K47" s="73">
        <f>IF(J47="VINYL FLOORING",IF(J12="2010-2013",H48*$J$11,IF(J12="2014-2021",G48*$J$11,IF(J12="2021-2023",F48*$J$11,0))),IF(J47="TILING FLOORING",IF(J12="2010-2013",H49*$J$11,IF(J12="2014-2021",G49*$J$11,IF(J12="2021-2023",F49*$J$11,0))),IF(J47="TIMBER FLOORING",IF(J12="2010-2013",H50*$J$11,IF(J12="2014-2021",G50*$J$11,IF(J12="2021-2023",F50*$J$11,0))),IF(J47="CARPETS FLOORING",IF(J12="2010-2013",H51*$J$11,IF(J12="2014-2021",G51*$J$11,IF(J12="2021-2023",F51*$J$11,0))),0))))</f>
        <v>78540</v>
      </c>
      <c r="L47" s="199"/>
      <c r="M47" s="205"/>
      <c r="N47" s="206"/>
      <c r="O47" s="207" t="s">
        <v>82</v>
      </c>
      <c r="P47" s="73">
        <f>IF(O47="Delapidated",K47*0.6,IF(O47="Poor",K47*0.7,IF(O47="Fair",K47*0.8,IF(O47="Good",K47*0.85,IF(O47="Very Good",K47*0.9,IF(O47="Excellent",K47*1,IF(O47="Not Applicable",K47*1,0)))))))</f>
        <v>70686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84"/>
      <c r="C48" s="79" t="s">
        <v>53</v>
      </c>
      <c r="D48" s="66"/>
      <c r="E48" s="66"/>
      <c r="F48" s="67">
        <f>F49*0.7</f>
        <v>183.26</v>
      </c>
      <c r="G48" s="67">
        <f t="shared" ref="G48:G52" si="19">F48/$G$16</f>
        <v>146.608</v>
      </c>
      <c r="H48" s="67">
        <f t="shared" ref="H48:H52" si="20">F48/$H$16</f>
        <v>138.8333333</v>
      </c>
      <c r="I48" s="210"/>
      <c r="J48" s="204"/>
      <c r="K48" s="73"/>
      <c r="L48" s="199"/>
      <c r="M48" s="205"/>
      <c r="N48" s="206"/>
      <c r="O48" s="34"/>
      <c r="P48" s="73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customHeight="1">
      <c r="A49" s="34"/>
      <c r="B49" s="84"/>
      <c r="C49" s="79" t="s">
        <v>52</v>
      </c>
      <c r="D49" s="66"/>
      <c r="E49" s="66"/>
      <c r="F49" s="67">
        <f>220*E16</f>
        <v>261.8</v>
      </c>
      <c r="G49" s="67">
        <f t="shared" si="19"/>
        <v>209.44</v>
      </c>
      <c r="H49" s="67">
        <f t="shared" si="20"/>
        <v>198.3333333</v>
      </c>
      <c r="I49" s="210"/>
      <c r="J49" s="204"/>
      <c r="K49" s="73"/>
      <c r="L49" s="199"/>
      <c r="M49" s="205"/>
      <c r="N49" s="206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customHeight="1">
      <c r="A50" s="34"/>
      <c r="B50" s="84"/>
      <c r="C50" s="79" t="s">
        <v>54</v>
      </c>
      <c r="D50" s="66"/>
      <c r="E50" s="66"/>
      <c r="F50" s="67">
        <f>F49*1.2</f>
        <v>314.16</v>
      </c>
      <c r="G50" s="67">
        <f t="shared" si="19"/>
        <v>251.328</v>
      </c>
      <c r="H50" s="67">
        <f t="shared" si="20"/>
        <v>238</v>
      </c>
      <c r="I50" s="210"/>
      <c r="J50" s="204"/>
      <c r="K50" s="73"/>
      <c r="L50" s="199"/>
      <c r="M50" s="205"/>
      <c r="N50" s="206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customHeight="1">
      <c r="A51" s="34"/>
      <c r="B51" s="84"/>
      <c r="C51" s="79" t="s">
        <v>55</v>
      </c>
      <c r="D51" s="66"/>
      <c r="E51" s="66"/>
      <c r="F51" s="67">
        <f>F49*1.3</f>
        <v>340.34</v>
      </c>
      <c r="G51" s="67">
        <f t="shared" si="19"/>
        <v>272.272</v>
      </c>
      <c r="H51" s="67">
        <f t="shared" si="20"/>
        <v>257.8333333</v>
      </c>
      <c r="I51" s="210"/>
      <c r="J51" s="204"/>
      <c r="K51" s="73"/>
      <c r="L51" s="199"/>
      <c r="M51" s="205"/>
      <c r="N51" s="206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customHeight="1">
      <c r="A52" s="34"/>
      <c r="B52" s="85"/>
      <c r="C52" s="79" t="s">
        <v>56</v>
      </c>
      <c r="D52" s="66"/>
      <c r="E52" s="66"/>
      <c r="F52" s="67">
        <v>0.0</v>
      </c>
      <c r="G52" s="67">
        <f t="shared" si="19"/>
        <v>0</v>
      </c>
      <c r="H52" s="67">
        <f t="shared" si="20"/>
        <v>0</v>
      </c>
      <c r="I52" s="210"/>
      <c r="J52" s="204"/>
      <c r="K52" s="73"/>
      <c r="L52" s="199"/>
      <c r="M52" s="205"/>
      <c r="N52" s="206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28.5" customHeight="1">
      <c r="A53" s="34"/>
      <c r="B53" s="83">
        <f>B47+1</f>
        <v>11</v>
      </c>
      <c r="C53" s="208" t="s">
        <v>57</v>
      </c>
      <c r="D53" s="66"/>
      <c r="E53" s="66"/>
      <c r="F53" s="67"/>
      <c r="G53" s="67"/>
      <c r="H53" s="67"/>
      <c r="I53" s="204"/>
      <c r="J53" s="72" t="s">
        <v>58</v>
      </c>
      <c r="K53" s="73">
        <f>IF(J53="STEEL WINDOW FRAMES",IF(J12="2010-2013",H54*$J$11,IF(J12="2014-2021",G54*$J$11,IF(J12="2021-2023",F54*$J$11,0))),IF(J53="ALUMINIUM WINDOW FRAMES",IF(J12="2010-2013",H55*$J$11,IF(J12="2014-2021",G55*$J$11,IF(J12="2021-2023",F55*$J$11,0))),0))</f>
        <v>74970</v>
      </c>
      <c r="L53" s="199" t="str">
        <f>AVERAGE(#REF!)</f>
        <v>#REF!</v>
      </c>
      <c r="M53" s="205">
        <v>68860.0</v>
      </c>
      <c r="N53" s="206">
        <f>M53/$M$11</f>
        <v>227.010989</v>
      </c>
      <c r="O53" s="207" t="s">
        <v>82</v>
      </c>
      <c r="P53" s="73">
        <f>IF(O53="Delapidated",K53*0.6,IF(O53="Poor",K53*0.7,IF(O53="Fair",K53*0.8,IF(O53="Good",K53*0.85,IF(O53="Very Good",K53*0.9,IF(O53="Excellent",K53*1,IF(O53="Not Applicable",K53*1,0)))))))</f>
        <v>67473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34"/>
      <c r="B54" s="84"/>
      <c r="C54" s="79" t="s">
        <v>59</v>
      </c>
      <c r="D54" s="66"/>
      <c r="E54" s="66"/>
      <c r="F54" s="93">
        <f>F55*0.3</f>
        <v>74.97</v>
      </c>
      <c r="G54" s="67">
        <f t="shared" ref="G54:G56" si="21">F54/$G$16</f>
        <v>59.976</v>
      </c>
      <c r="H54" s="67">
        <f t="shared" ref="H54:H56" si="22">F54/$H$16</f>
        <v>56.79545455</v>
      </c>
      <c r="I54" s="210">
        <v>1.0</v>
      </c>
      <c r="J54" s="204"/>
      <c r="K54" s="73"/>
      <c r="L54" s="199"/>
      <c r="M54" s="205"/>
      <c r="N54" s="206"/>
      <c r="O54" s="34"/>
      <c r="P54" s="73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customHeight="1">
      <c r="A55" s="34"/>
      <c r="B55" s="84"/>
      <c r="C55" s="79" t="s">
        <v>58</v>
      </c>
      <c r="D55" s="66"/>
      <c r="E55" s="66"/>
      <c r="F55" s="67">
        <f>210*E16</f>
        <v>249.9</v>
      </c>
      <c r="G55" s="67">
        <f t="shared" si="21"/>
        <v>199.92</v>
      </c>
      <c r="H55" s="67">
        <f t="shared" si="22"/>
        <v>189.3181818</v>
      </c>
      <c r="I55" s="210">
        <v>2.0</v>
      </c>
      <c r="J55" s="204"/>
      <c r="K55" s="73"/>
      <c r="L55" s="199"/>
      <c r="M55" s="205"/>
      <c r="N55" s="206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34"/>
      <c r="B56" s="85"/>
      <c r="C56" s="79" t="s">
        <v>60</v>
      </c>
      <c r="D56" s="66"/>
      <c r="E56" s="66"/>
      <c r="F56" s="67">
        <v>0.0</v>
      </c>
      <c r="G56" s="67">
        <f t="shared" si="21"/>
        <v>0</v>
      </c>
      <c r="H56" s="67">
        <f t="shared" si="22"/>
        <v>0</v>
      </c>
      <c r="I56" s="210">
        <v>3.0</v>
      </c>
      <c r="J56" s="204"/>
      <c r="K56" s="73"/>
      <c r="L56" s="199"/>
      <c r="M56" s="205"/>
      <c r="N56" s="206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27.75" customHeight="1">
      <c r="A57" s="34"/>
      <c r="B57" s="83">
        <f>B53+1</f>
        <v>12</v>
      </c>
      <c r="C57" s="208" t="s">
        <v>61</v>
      </c>
      <c r="D57" s="66"/>
      <c r="E57" s="66"/>
      <c r="F57" s="67"/>
      <c r="G57" s="67"/>
      <c r="H57" s="67"/>
      <c r="I57" s="204"/>
      <c r="J57" s="72" t="s">
        <v>25</v>
      </c>
      <c r="K57" s="73">
        <f>IF(J57="YES",IF(J12="2010-2013",H58*$J$11,IF(J12="2014-2021",G58*$J$11,IF(J12="2021-2023",F58*$J$11,0))),0)</f>
        <v>89226.46154</v>
      </c>
      <c r="L57" s="199" t="str">
        <f>AVERAGE(#REF!)</f>
        <v>#REF!</v>
      </c>
      <c r="M57" s="205">
        <v>75813.3333333333</v>
      </c>
      <c r="N57" s="206">
        <f>M57/$M$11</f>
        <v>249.9340659</v>
      </c>
      <c r="O57" s="207" t="s">
        <v>82</v>
      </c>
      <c r="P57" s="73">
        <f>IF(O57="Delapidated",K57*0.6,IF(O57="Poor",K57*0.7,IF(O57="Fair",K57*0.8,IF(O57="Good",K57*0.85,IF(O57="Very Good",K57*0.9,IF(O57="Excellent",K57*1,IF(O57="Not Applicable",K57*1,0)))))))</f>
        <v>80303.81538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customHeight="1">
      <c r="A58" s="34"/>
      <c r="B58" s="84"/>
      <c r="C58" s="79" t="s">
        <v>25</v>
      </c>
      <c r="D58" s="66"/>
      <c r="E58" s="66"/>
      <c r="F58" s="67">
        <f>249.934065934066*E16</f>
        <v>297.4215385</v>
      </c>
      <c r="G58" s="67">
        <f t="shared" ref="G58:G59" si="23">F58/$G$16</f>
        <v>237.9372308</v>
      </c>
      <c r="H58" s="67">
        <f t="shared" ref="H58:H59" si="24">F58/$H$16</f>
        <v>225.3193473</v>
      </c>
      <c r="I58" s="210">
        <v>1.0</v>
      </c>
      <c r="J58" s="204"/>
      <c r="K58" s="73"/>
      <c r="L58" s="199"/>
      <c r="M58" s="205"/>
      <c r="N58" s="206"/>
      <c r="O58" s="34"/>
      <c r="P58" s="73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customHeight="1">
      <c r="A59" s="34"/>
      <c r="B59" s="85"/>
      <c r="C59" s="79" t="s">
        <v>26</v>
      </c>
      <c r="D59" s="66"/>
      <c r="E59" s="66"/>
      <c r="F59" s="67">
        <v>0.0</v>
      </c>
      <c r="G59" s="67">
        <f t="shared" si="23"/>
        <v>0</v>
      </c>
      <c r="H59" s="67">
        <f t="shared" si="24"/>
        <v>0</v>
      </c>
      <c r="I59" s="210">
        <v>2.0</v>
      </c>
      <c r="J59" s="204"/>
      <c r="K59" s="73"/>
      <c r="L59" s="199"/>
      <c r="M59" s="205"/>
      <c r="N59" s="206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3">
        <f>B57+1</f>
        <v>13</v>
      </c>
      <c r="C60" s="208" t="s">
        <v>62</v>
      </c>
      <c r="D60" s="66"/>
      <c r="E60" s="66"/>
      <c r="F60" s="67"/>
      <c r="G60" s="67"/>
      <c r="H60" s="67"/>
      <c r="I60" s="204"/>
      <c r="J60" s="72" t="s">
        <v>25</v>
      </c>
      <c r="K60" s="73">
        <f>IF(J60="YES",IF(J12="2010-2013",H61*$J$11,IF(J12="2014-2021",G61*$J$11,IF(J12="2021-2023",F61*$J$11,0))),0)</f>
        <v>20973.03077</v>
      </c>
      <c r="L60" s="199" t="str">
        <f>AVERAGE(#REF!)</f>
        <v>#REF!</v>
      </c>
      <c r="M60" s="205">
        <v>89101.1111111111</v>
      </c>
      <c r="N60" s="206">
        <f>M60/$M$11</f>
        <v>293.7399267</v>
      </c>
      <c r="O60" s="207" t="s">
        <v>82</v>
      </c>
      <c r="P60" s="73">
        <f>IF(O60="Delapidated",K60*0.6,IF(O60="Poor",K60*0.7,IF(O60="Fair",K60*0.8,IF(O60="Good",K60*0.85,IF(O60="Very Good",K60*0.9,IF(O60="Excellent",K60*1,IF(O60="Not Applicable",K60*1,0)))))))</f>
        <v>18875.72769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84"/>
      <c r="C61" s="79" t="s">
        <v>25</v>
      </c>
      <c r="D61" s="66"/>
      <c r="E61" s="66"/>
      <c r="F61" s="67">
        <f>293.739926739927*0.2*E16</f>
        <v>69.91010256</v>
      </c>
      <c r="G61" s="67">
        <f t="shared" ref="G61:G62" si="25">F61/$G$16</f>
        <v>55.92808205</v>
      </c>
      <c r="H61" s="67">
        <f t="shared" ref="H61:H62" si="26">F61/$H$16</f>
        <v>52.96219891</v>
      </c>
      <c r="I61" s="210">
        <v>1.0</v>
      </c>
      <c r="J61" s="204"/>
      <c r="K61" s="73"/>
      <c r="L61" s="199"/>
      <c r="M61" s="205"/>
      <c r="N61" s="206"/>
      <c r="O61" s="34"/>
      <c r="P61" s="73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customHeight="1">
      <c r="A62" s="34"/>
      <c r="B62" s="85"/>
      <c r="C62" s="79" t="s">
        <v>26</v>
      </c>
      <c r="D62" s="66"/>
      <c r="E62" s="66"/>
      <c r="F62" s="67">
        <v>0.0</v>
      </c>
      <c r="G62" s="67">
        <f t="shared" si="25"/>
        <v>0</v>
      </c>
      <c r="H62" s="67">
        <f t="shared" si="26"/>
        <v>0</v>
      </c>
      <c r="I62" s="210">
        <v>2.0</v>
      </c>
      <c r="J62" s="204"/>
      <c r="K62" s="73"/>
      <c r="L62" s="199"/>
      <c r="M62" s="205"/>
      <c r="N62" s="206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34"/>
      <c r="B63" s="44"/>
      <c r="C63" s="214" t="s">
        <v>63</v>
      </c>
      <c r="D63" s="66"/>
      <c r="E63" s="66"/>
      <c r="F63" s="67"/>
      <c r="G63" s="67"/>
      <c r="H63" s="67"/>
      <c r="I63" s="90"/>
      <c r="J63" s="40">
        <v>4.0</v>
      </c>
      <c r="K63" s="142"/>
      <c r="L63" s="104"/>
      <c r="M63" s="43"/>
      <c r="N63" s="71"/>
      <c r="O63" s="44"/>
      <c r="P63" s="4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75" customHeight="1">
      <c r="A64" s="34"/>
      <c r="B64" s="83">
        <f>B60+1</f>
        <v>14</v>
      </c>
      <c r="C64" s="74" t="s">
        <v>64</v>
      </c>
      <c r="D64" s="66"/>
      <c r="E64" s="66"/>
      <c r="F64" s="75"/>
      <c r="G64" s="67"/>
      <c r="H64" s="67"/>
      <c r="I64" s="68"/>
      <c r="J64" s="72" t="s">
        <v>25</v>
      </c>
      <c r="K64" s="70">
        <f>IF(J64="YES",IF(J12="2010-2013",H65*J63,IF(J12="2014-2021",G65*J63,IF(J12="2021-2023",F65*J63,0))),0)</f>
        <v>96000</v>
      </c>
      <c r="L64" s="59" t="str">
        <f>AVERAGE(#REF!)</f>
        <v>#REF!</v>
      </c>
      <c r="M64" s="43">
        <f>35711.1111111111+1089</f>
        <v>36800.11111</v>
      </c>
      <c r="N64" s="71" t="str">
        <f>M64/$M$12</f>
        <v>#DIV/0!</v>
      </c>
      <c r="O64" s="207" t="s">
        <v>87</v>
      </c>
      <c r="P64" s="73">
        <f>IF(O64="Delapidated",K64*0.6,IF(O64="Poor",K64*0.7,IF(O64="Fair",K64*0.8,IF(O64="Good",K64*0.85,IF(O64="Very Good",K64*0.9,IF(O64="Excellent",K64*1,IF(O64="Not Applicable",K64*1,0)))))))</f>
        <v>57600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83"/>
      <c r="C65" s="79" t="s">
        <v>25</v>
      </c>
      <c r="D65" s="66"/>
      <c r="E65" s="66"/>
      <c r="F65" s="67">
        <v>24000.0</v>
      </c>
      <c r="G65" s="67">
        <f t="shared" ref="G65:G66" si="27">F65/$G$16</f>
        <v>19200</v>
      </c>
      <c r="H65" s="67">
        <f t="shared" ref="H65:H66" si="28">F65/$H$16</f>
        <v>18181.81818</v>
      </c>
      <c r="I65" s="210">
        <v>1.0</v>
      </c>
      <c r="J65" s="204"/>
      <c r="K65" s="73"/>
      <c r="L65" s="199"/>
      <c r="M65" s="205"/>
      <c r="N65" s="206"/>
      <c r="O65" s="34"/>
      <c r="P65" s="73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34"/>
      <c r="B66" s="85"/>
      <c r="C66" s="79" t="s">
        <v>26</v>
      </c>
      <c r="D66" s="66"/>
      <c r="E66" s="66"/>
      <c r="F66" s="67">
        <v>0.0</v>
      </c>
      <c r="G66" s="67">
        <f t="shared" si="27"/>
        <v>0</v>
      </c>
      <c r="H66" s="67">
        <f t="shared" si="28"/>
        <v>0</v>
      </c>
      <c r="I66" s="210">
        <v>2.0</v>
      </c>
      <c r="J66" s="204"/>
      <c r="K66" s="73"/>
      <c r="L66" s="199"/>
      <c r="M66" s="205"/>
      <c r="N66" s="206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83">
        <v>15.0</v>
      </c>
      <c r="C67" s="208" t="s">
        <v>65</v>
      </c>
      <c r="D67" s="66"/>
      <c r="E67" s="66"/>
      <c r="F67" s="67"/>
      <c r="G67" s="67"/>
      <c r="H67" s="67"/>
      <c r="I67" s="204"/>
      <c r="J67" s="72" t="s">
        <v>25</v>
      </c>
      <c r="K67" s="73">
        <f>IF(J67="YES",IF(J12="2010-2013",H68*$J$11,IF(J12="2014-2021",G68*$J$11,IF(J12="2021-2023",F68*$J$11,0))),0)</f>
        <v>56341.92308</v>
      </c>
      <c r="L67" s="199" t="str">
        <f>AVERAGE(#REF!)</f>
        <v>#REF!</v>
      </c>
      <c r="M67" s="205">
        <v>47872.2222222222</v>
      </c>
      <c r="N67" s="206">
        <f>M67/$M$11</f>
        <v>157.8205128</v>
      </c>
      <c r="O67" s="207" t="s">
        <v>82</v>
      </c>
      <c r="P67" s="73">
        <f>IF(O67="Delapidated",K67*0.6,IF(O67="Poor",K67*0.7,IF(O67="Fair",K67*0.8,IF(O67="Good",K67*0.85,IF(O67="Very Good",K67*0.9,IF(O67="Excellent",K67*1,IF(O67="Not Applicable",K67*1,0)))))))</f>
        <v>50707.73077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84"/>
      <c r="C68" s="79" t="s">
        <v>25</v>
      </c>
      <c r="D68" s="66"/>
      <c r="E68" s="66"/>
      <c r="F68" s="67">
        <f>157.820512820513*E16</f>
        <v>187.8064103</v>
      </c>
      <c r="G68" s="67">
        <f t="shared" ref="G68:G69" si="29">F68/$G$16</f>
        <v>150.2451282</v>
      </c>
      <c r="H68" s="67">
        <f t="shared" ref="H68:H69" si="30">F68/$H$16</f>
        <v>142.2775835</v>
      </c>
      <c r="I68" s="210">
        <v>1.0</v>
      </c>
      <c r="J68" s="204"/>
      <c r="K68" s="73"/>
      <c r="L68" s="199"/>
      <c r="M68" s="205"/>
      <c r="N68" s="206"/>
      <c r="O68" s="34"/>
      <c r="P68" s="73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customHeight="1">
      <c r="A69" s="34"/>
      <c r="B69" s="85"/>
      <c r="C69" s="79" t="s">
        <v>26</v>
      </c>
      <c r="D69" s="66"/>
      <c r="E69" s="66"/>
      <c r="F69" s="67">
        <v>0.0</v>
      </c>
      <c r="G69" s="67">
        <f t="shared" si="29"/>
        <v>0</v>
      </c>
      <c r="H69" s="67">
        <f t="shared" si="30"/>
        <v>0</v>
      </c>
      <c r="I69" s="210">
        <v>2.0</v>
      </c>
      <c r="J69" s="204"/>
      <c r="K69" s="73"/>
      <c r="L69" s="199"/>
      <c r="M69" s="205"/>
      <c r="N69" s="206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1.5" customHeight="1">
      <c r="A70" s="34"/>
      <c r="B70" s="83">
        <f>B67+1</f>
        <v>16</v>
      </c>
      <c r="C70" s="208" t="s">
        <v>66</v>
      </c>
      <c r="D70" s="66"/>
      <c r="E70" s="66"/>
      <c r="F70" s="67"/>
      <c r="G70" s="67"/>
      <c r="H70" s="67"/>
      <c r="I70" s="204"/>
      <c r="J70" s="72" t="s">
        <v>25</v>
      </c>
      <c r="K70" s="73">
        <f>IF(J70="YES",IF(J12="2010-2013",H71*$J$11,IF(J12="2014-2021",G71*$J$11,IF(J12="2021-2023",F71*$J$11,0))),0)</f>
        <v>64260</v>
      </c>
      <c r="L70" s="199" t="str">
        <f>AVERAGE(#REF!)</f>
        <v>#REF!</v>
      </c>
      <c r="M70" s="205">
        <v>41666.6666666667</v>
      </c>
      <c r="N70" s="206">
        <f>M70/$M$11</f>
        <v>137.3626374</v>
      </c>
      <c r="O70" s="207" t="s">
        <v>82</v>
      </c>
      <c r="P70" s="73">
        <f>IF(O70="Delapidated",K70*0.6,IF(O70="Poor",K70*0.7,IF(O70="Fair",K70*0.8,IF(O70="Good",K70*0.85,IF(O70="Very Good",K70*0.9,IF(O70="Excellent",K70*1,IF(O70="Not Applicable",K70*1,0)))))))</f>
        <v>57834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84"/>
      <c r="C71" s="79" t="s">
        <v>25</v>
      </c>
      <c r="D71" s="66"/>
      <c r="E71" s="66"/>
      <c r="F71" s="67">
        <f>180*E16</f>
        <v>214.2</v>
      </c>
      <c r="G71" s="67">
        <f t="shared" ref="G71:G72" si="31">F71/$G$16</f>
        <v>171.36</v>
      </c>
      <c r="H71" s="67">
        <f t="shared" ref="H71:H72" si="32">F71/$H$16</f>
        <v>162.2727273</v>
      </c>
      <c r="I71" s="210">
        <v>1.0</v>
      </c>
      <c r="J71" s="204"/>
      <c r="K71" s="73"/>
      <c r="L71" s="199"/>
      <c r="M71" s="205"/>
      <c r="N71" s="206"/>
      <c r="O71" s="34"/>
      <c r="P71" s="73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customHeight="1">
      <c r="A72" s="34"/>
      <c r="B72" s="85"/>
      <c r="C72" s="79" t="s">
        <v>26</v>
      </c>
      <c r="D72" s="66"/>
      <c r="E72" s="66"/>
      <c r="F72" s="67">
        <v>0.0</v>
      </c>
      <c r="G72" s="67">
        <f t="shared" si="31"/>
        <v>0</v>
      </c>
      <c r="H72" s="67">
        <f t="shared" si="32"/>
        <v>0</v>
      </c>
      <c r="I72" s="210">
        <v>2.0</v>
      </c>
      <c r="J72" s="204"/>
      <c r="K72" s="73"/>
      <c r="L72" s="199"/>
      <c r="M72" s="205"/>
      <c r="N72" s="206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34"/>
      <c r="B73" s="44"/>
      <c r="C73" s="214" t="s">
        <v>89</v>
      </c>
      <c r="D73" s="66"/>
      <c r="E73" s="66"/>
      <c r="F73" s="67"/>
      <c r="G73" s="67"/>
      <c r="H73" s="67"/>
      <c r="I73" s="90"/>
      <c r="J73" s="40">
        <v>9.0</v>
      </c>
      <c r="K73" s="142"/>
      <c r="L73" s="104"/>
      <c r="M73" s="43"/>
      <c r="N73" s="71"/>
      <c r="O73" s="44"/>
      <c r="P73" s="4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75" customHeight="1">
      <c r="A74" s="17"/>
      <c r="B74" s="83">
        <f>B70+1</f>
        <v>17</v>
      </c>
      <c r="C74" s="96" t="s">
        <v>68</v>
      </c>
      <c r="D74" s="97"/>
      <c r="E74" s="97"/>
      <c r="F74" s="98"/>
      <c r="G74" s="67"/>
      <c r="H74" s="67"/>
      <c r="I74" s="68"/>
      <c r="J74" s="72" t="s">
        <v>25</v>
      </c>
      <c r="K74" s="58">
        <f>IF(J74="YES",IF(J12="2010-2013",H75*J73,IF(J12="2014-2021",G75*J73,IF(J12="2021-2023",F75*J73,0))),0)</f>
        <v>58500</v>
      </c>
      <c r="L74" s="59"/>
      <c r="M74" s="60"/>
      <c r="N74" s="71"/>
      <c r="O74" s="207" t="s">
        <v>82</v>
      </c>
      <c r="P74" s="73">
        <f>IF(O74="Delapidated",K74*0.6,IF(O74="Poor",K74*0.7,IF(O74="Fair",K74*0.8,IF(O74="Good",K74*0.85,IF(O74="Very Good",K74*0.9,IF(O74="Excellent",K74*1,IF(O74="Not Applicable",K74*1,0)))))))</f>
        <v>52650</v>
      </c>
      <c r="Q74" s="34"/>
      <c r="R74" s="34"/>
      <c r="S74" s="34"/>
      <c r="T74" s="34"/>
      <c r="U74" s="34"/>
      <c r="V74" s="34"/>
      <c r="W74" s="17"/>
      <c r="X74" s="17"/>
      <c r="Y74" s="17"/>
      <c r="Z74" s="17"/>
    </row>
    <row r="75" ht="30.0" customHeight="1">
      <c r="A75" s="34"/>
      <c r="B75" s="84"/>
      <c r="C75" s="79" t="s">
        <v>25</v>
      </c>
      <c r="D75" s="66"/>
      <c r="E75" s="66"/>
      <c r="F75" s="67">
        <v>6500.0</v>
      </c>
      <c r="G75" s="67">
        <f t="shared" ref="G75:G78" si="33">F75/$G$16</f>
        <v>5200</v>
      </c>
      <c r="H75" s="67">
        <f t="shared" ref="H75:H78" si="34">F75/$H$16</f>
        <v>4924.242424</v>
      </c>
      <c r="I75" s="210">
        <v>1.0</v>
      </c>
      <c r="J75" s="204"/>
      <c r="K75" s="73"/>
      <c r="L75" s="199"/>
      <c r="M75" s="205"/>
      <c r="N75" s="206"/>
      <c r="O75" s="34"/>
      <c r="P75" s="73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34"/>
      <c r="B76" s="85"/>
      <c r="C76" s="79" t="s">
        <v>26</v>
      </c>
      <c r="D76" s="66"/>
      <c r="E76" s="66"/>
      <c r="F76" s="67">
        <v>0.0</v>
      </c>
      <c r="G76" s="67">
        <f t="shared" si="33"/>
        <v>0</v>
      </c>
      <c r="H76" s="67">
        <f t="shared" si="34"/>
        <v>0</v>
      </c>
      <c r="I76" s="210">
        <v>2.0</v>
      </c>
      <c r="J76" s="204"/>
      <c r="K76" s="73"/>
      <c r="L76" s="199"/>
      <c r="M76" s="205"/>
      <c r="N76" s="206"/>
      <c r="O76" s="34"/>
      <c r="P76" s="73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customHeight="1">
      <c r="A77" s="34"/>
      <c r="B77" s="83"/>
      <c r="C77" s="79" t="s">
        <v>25</v>
      </c>
      <c r="D77" s="66"/>
      <c r="E77" s="66"/>
      <c r="F77" s="67">
        <f>120*E16</f>
        <v>142.8</v>
      </c>
      <c r="G77" s="67">
        <f t="shared" si="33"/>
        <v>114.24</v>
      </c>
      <c r="H77" s="67">
        <f t="shared" si="34"/>
        <v>108.1818182</v>
      </c>
      <c r="I77" s="210">
        <v>1.0</v>
      </c>
      <c r="J77" s="215"/>
      <c r="K77" s="73"/>
      <c r="L77" s="199"/>
      <c r="M77" s="205"/>
      <c r="N77" s="206"/>
      <c r="O77" s="34"/>
      <c r="P77" s="73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30.0" customHeight="1">
      <c r="A78" s="34"/>
      <c r="B78" s="85"/>
      <c r="C78" s="79" t="s">
        <v>26</v>
      </c>
      <c r="D78" s="66"/>
      <c r="E78" s="66"/>
      <c r="F78" s="67">
        <v>0.0</v>
      </c>
      <c r="G78" s="67">
        <f t="shared" si="33"/>
        <v>0</v>
      </c>
      <c r="H78" s="67">
        <f t="shared" si="34"/>
        <v>0</v>
      </c>
      <c r="I78" s="210">
        <v>2.0</v>
      </c>
      <c r="J78" s="216"/>
      <c r="K78" s="217"/>
      <c r="L78" s="199"/>
      <c r="M78" s="205"/>
      <c r="N78" s="206"/>
      <c r="O78" s="17"/>
      <c r="P78" s="125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30.0" customHeight="1">
      <c r="A79" s="218"/>
      <c r="B79" s="219"/>
      <c r="C79" s="220"/>
      <c r="D79" s="221"/>
      <c r="E79" s="221"/>
      <c r="F79" s="221"/>
      <c r="G79" s="67"/>
      <c r="H79" s="67"/>
      <c r="I79" s="222"/>
      <c r="J79" s="223"/>
      <c r="K79" s="45"/>
      <c r="L79" s="190"/>
      <c r="M79" s="224"/>
      <c r="N79" s="225"/>
      <c r="O79" s="193"/>
      <c r="P79" s="197"/>
      <c r="Q79" s="218"/>
      <c r="R79" s="218"/>
      <c r="S79" s="218"/>
      <c r="T79" s="218"/>
      <c r="U79" s="218"/>
      <c r="V79" s="218"/>
      <c r="W79" s="218"/>
      <c r="X79" s="218"/>
      <c r="Y79" s="218"/>
      <c r="Z79" s="218"/>
    </row>
    <row r="80" ht="30.0" customHeight="1">
      <c r="A80" s="34"/>
      <c r="B80" s="219"/>
      <c r="C80" s="214" t="s">
        <v>69</v>
      </c>
      <c r="D80" s="66"/>
      <c r="E80" s="66"/>
      <c r="F80" s="67"/>
      <c r="G80" s="67"/>
      <c r="H80" s="67"/>
      <c r="I80" s="226"/>
      <c r="J80" s="227">
        <v>40.0</v>
      </c>
      <c r="K80" s="228"/>
      <c r="L80" s="190"/>
      <c r="M80" s="224"/>
      <c r="N80" s="225"/>
      <c r="O80" s="193"/>
      <c r="P80" s="197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30.0" customHeight="1">
      <c r="A81" s="34"/>
      <c r="B81" s="44">
        <v>18.0</v>
      </c>
      <c r="C81" s="74" t="s">
        <v>70</v>
      </c>
      <c r="D81" s="66"/>
      <c r="E81" s="66"/>
      <c r="F81" s="67"/>
      <c r="G81" s="67"/>
      <c r="H81" s="67"/>
      <c r="I81" s="210"/>
      <c r="J81" s="229" t="s">
        <v>25</v>
      </c>
      <c r="K81" s="230">
        <f>IF(J81="YES",IF(J12="2010-2013",H82*J80,IF(J12="2014-2021",G82*J80,IF(J12="2021-2023",F82*J80,0))),0)</f>
        <v>119000</v>
      </c>
      <c r="L81" s="199"/>
      <c r="M81" s="205"/>
      <c r="N81" s="206"/>
      <c r="O81" s="231" t="s">
        <v>82</v>
      </c>
      <c r="P81" s="120">
        <f>IF(O81="Delapidated",K81*0.6,IF(O81="Poor",K81*0.7,IF(O81="Fair",K81*0.8,IF(O81="Good",K81*0.85,IF(O81="Very Good",K81*0.9,IF(O81="Excellent",K81*1,IF(O81="Not Applicable",K81*1,0)))))))</f>
        <v>107100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30.0" hidden="1" customHeight="1">
      <c r="A82" s="34"/>
      <c r="B82" s="219"/>
      <c r="C82" s="79" t="s">
        <v>25</v>
      </c>
      <c r="D82" s="66"/>
      <c r="E82" s="66"/>
      <c r="F82" s="67">
        <f>2500*E16</f>
        <v>2975</v>
      </c>
      <c r="G82" s="67">
        <f>F82/$G$16</f>
        <v>2380</v>
      </c>
      <c r="H82" s="67">
        <f>F82/$H$16</f>
        <v>2253.787879</v>
      </c>
      <c r="I82" s="210">
        <v>1.0</v>
      </c>
      <c r="J82" s="232"/>
      <c r="K82" s="233"/>
      <c r="L82" s="199"/>
      <c r="M82" s="205"/>
      <c r="N82" s="206"/>
      <c r="O82" s="17"/>
      <c r="P82" s="2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30.0" hidden="1" customHeight="1">
      <c r="A83" s="34"/>
      <c r="B83" s="235"/>
      <c r="C83" s="236" t="s">
        <v>26</v>
      </c>
      <c r="D83" s="237"/>
      <c r="E83" s="237"/>
      <c r="F83" s="238">
        <v>0.0</v>
      </c>
      <c r="G83" s="238">
        <v>0.0</v>
      </c>
      <c r="H83" s="238">
        <v>0.0</v>
      </c>
      <c r="I83" s="239">
        <v>2.0</v>
      </c>
      <c r="J83" s="240"/>
      <c r="K83" s="233"/>
      <c r="L83" s="199"/>
      <c r="M83" s="205"/>
      <c r="N83" s="206"/>
      <c r="O83" s="17"/>
      <c r="P83" s="2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31.5" hidden="1" customHeight="1">
      <c r="A84" s="34"/>
      <c r="B84" s="20"/>
      <c r="C84" s="241"/>
      <c r="D84" s="242"/>
      <c r="E84" s="242"/>
      <c r="F84" s="243"/>
      <c r="G84" s="243"/>
      <c r="H84" s="243"/>
      <c r="I84" s="244"/>
      <c r="J84" s="245"/>
      <c r="K84" s="246"/>
      <c r="L84" s="247"/>
      <c r="M84" s="248"/>
      <c r="N84" s="249"/>
      <c r="O84" s="250"/>
      <c r="P84" s="191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30.0" hidden="1" customHeight="1">
      <c r="A85" s="88"/>
      <c r="B85" s="142"/>
      <c r="C85" s="251" t="s">
        <v>71</v>
      </c>
      <c r="D85" s="252"/>
      <c r="E85" s="252"/>
      <c r="F85" s="252">
        <v>3884.68131868132</v>
      </c>
      <c r="G85" s="252"/>
      <c r="H85" s="252"/>
      <c r="I85" s="252"/>
      <c r="J85" s="252"/>
      <c r="K85" s="253"/>
      <c r="L85" s="199" t="str">
        <f>AVERAGE(#REF!)</f>
        <v>#REF!</v>
      </c>
      <c r="M85" s="136">
        <v>1178353.33333333</v>
      </c>
      <c r="N85" s="118">
        <f>M85/$M$11</f>
        <v>3884.681319</v>
      </c>
      <c r="O85" s="34"/>
      <c r="P85" s="233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30.0" hidden="1" customHeight="1">
      <c r="A86" s="17"/>
      <c r="B86" s="20"/>
      <c r="C86" s="254" t="s">
        <v>72</v>
      </c>
      <c r="D86" s="71"/>
      <c r="E86" s="71"/>
      <c r="F86" s="71"/>
      <c r="G86" s="71"/>
      <c r="H86" s="71"/>
      <c r="I86" s="71"/>
      <c r="J86" s="71"/>
      <c r="K86" s="43"/>
      <c r="L86" s="199"/>
      <c r="M86" s="117"/>
      <c r="N86" s="118"/>
      <c r="O86" s="17"/>
      <c r="P86" s="234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hidden="1" customHeight="1">
      <c r="A87" s="17"/>
      <c r="B87" s="119"/>
      <c r="C87" s="255"/>
      <c r="D87" s="97"/>
      <c r="E87" s="97"/>
      <c r="F87" s="97"/>
      <c r="G87" s="97"/>
      <c r="H87" s="97"/>
      <c r="I87" s="97"/>
      <c r="J87" s="97"/>
      <c r="K87" s="102"/>
      <c r="L87" s="199"/>
      <c r="M87" s="117"/>
      <c r="N87" s="118"/>
      <c r="O87" s="17"/>
      <c r="P87" s="234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hidden="1" customHeight="1">
      <c r="A88" s="17"/>
      <c r="B88" s="142"/>
      <c r="C88" s="254" t="s">
        <v>71</v>
      </c>
      <c r="D88" s="256"/>
      <c r="E88" s="256"/>
      <c r="F88" s="256">
        <v>3884.68131868132</v>
      </c>
      <c r="G88" s="256"/>
      <c r="H88" s="256"/>
      <c r="I88" s="256"/>
      <c r="J88" s="256"/>
      <c r="K88" s="51"/>
      <c r="L88" s="199" t="str">
        <f t="shared" ref="L88:L90" si="35">AVERAGE(#REF!)</f>
        <v>#REF!</v>
      </c>
      <c r="M88" s="117">
        <v>1178353.33333333</v>
      </c>
      <c r="N88" s="118">
        <f>M88/$M$11</f>
        <v>3884.681319</v>
      </c>
      <c r="O88" s="17"/>
      <c r="P88" s="234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0.0" hidden="1" customHeight="1">
      <c r="A89" s="17"/>
      <c r="B89" s="142"/>
      <c r="C89" s="257" t="s">
        <v>73</v>
      </c>
      <c r="D89" s="258"/>
      <c r="E89" s="258"/>
      <c r="F89" s="258"/>
      <c r="G89" s="258"/>
      <c r="H89" s="258"/>
      <c r="I89" s="258"/>
      <c r="J89" s="259"/>
      <c r="K89" s="51"/>
      <c r="L89" s="199" t="str">
        <f t="shared" si="35"/>
        <v>#REF!</v>
      </c>
      <c r="M89" s="117">
        <v>0.0</v>
      </c>
      <c r="N89" s="118"/>
      <c r="O89" s="17"/>
      <c r="P89" s="234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customHeight="1">
      <c r="A90" s="260"/>
      <c r="B90" s="142"/>
      <c r="C90" s="260"/>
      <c r="D90" s="259"/>
      <c r="E90" s="259"/>
      <c r="F90" s="259"/>
      <c r="G90" s="259"/>
      <c r="H90" s="259"/>
      <c r="I90" s="260"/>
      <c r="J90" s="143"/>
      <c r="K90" s="261"/>
      <c r="L90" s="262" t="str">
        <f t="shared" si="35"/>
        <v>#REF!</v>
      </c>
      <c r="M90" s="115">
        <v>1178353.33333333</v>
      </c>
      <c r="N90" s="263">
        <f>M90/$M$11</f>
        <v>3884.681319</v>
      </c>
      <c r="O90" s="17"/>
      <c r="P90" s="264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 ht="30.0" customHeight="1">
      <c r="A91" s="260"/>
      <c r="B91" s="142"/>
      <c r="C91" s="260"/>
      <c r="D91" s="143"/>
      <c r="E91" s="143"/>
      <c r="F91" s="143"/>
      <c r="G91" s="143"/>
      <c r="H91" s="143"/>
      <c r="I91" s="88"/>
      <c r="J91" s="144" t="s">
        <v>74</v>
      </c>
      <c r="K91" s="265">
        <f>SUM(K17:K81)</f>
        <v>1559352.392</v>
      </c>
      <c r="L91" s="262" t="str">
        <f>L90*14%</f>
        <v>#REF!</v>
      </c>
      <c r="M91" s="115"/>
      <c r="N91" s="263"/>
      <c r="O91" s="17"/>
      <c r="P91" s="266">
        <f>SUM(P17:P81)</f>
        <v>1329635.153</v>
      </c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 ht="33.0" customHeight="1">
      <c r="A92" s="260"/>
      <c r="B92" s="142"/>
      <c r="C92" s="260"/>
      <c r="D92" s="143"/>
      <c r="E92" s="143"/>
      <c r="F92" s="143"/>
      <c r="G92" s="143"/>
      <c r="H92" s="143"/>
      <c r="I92" s="88"/>
      <c r="J92" s="144" t="s">
        <v>75</v>
      </c>
      <c r="K92" s="265">
        <f>K91/J11</f>
        <v>5197.841308</v>
      </c>
      <c r="L92" s="262" t="str">
        <f>SUM(L88:L91)</f>
        <v>#REF!</v>
      </c>
      <c r="M92" s="115"/>
      <c r="N92" s="263"/>
      <c r="O92" s="17"/>
      <c r="P92" s="266">
        <f>P91/J11</f>
        <v>4432.117177</v>
      </c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 ht="30.0" customHeight="1">
      <c r="A93" s="260"/>
      <c r="B93" s="267"/>
      <c r="C93" s="260"/>
      <c r="D93" s="148"/>
      <c r="E93" s="148"/>
      <c r="F93" s="148"/>
      <c r="G93" s="148"/>
      <c r="H93" s="148"/>
      <c r="I93" s="260"/>
      <c r="K93" s="260"/>
      <c r="L93" s="262" t="str">
        <f>L90/L11</f>
        <v>#REF!</v>
      </c>
      <c r="M93" s="115">
        <v>3898.39171841914</v>
      </c>
      <c r="N93" s="268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 ht="12.0" customHeight="1">
      <c r="B94" s="1"/>
      <c r="J94" s="144" t="s">
        <v>76</v>
      </c>
      <c r="K94" s="150">
        <f>K91/1.14</f>
        <v>1367852.976</v>
      </c>
      <c r="L94" s="1"/>
      <c r="M94" s="3"/>
      <c r="N94" s="1"/>
      <c r="P94" s="150">
        <f>P91/1.14</f>
        <v>1166346.626</v>
      </c>
    </row>
    <row r="95" ht="12.0" customHeight="1">
      <c r="B95" s="1"/>
      <c r="J95" s="144" t="s">
        <v>77</v>
      </c>
      <c r="K95" s="150">
        <f>K94/J11</f>
        <v>4559.509919</v>
      </c>
      <c r="L95" s="1"/>
      <c r="M95" s="3"/>
      <c r="N95" s="1"/>
      <c r="P95" s="150">
        <f>P94/J11</f>
        <v>3887.822085</v>
      </c>
    </row>
    <row r="96" ht="12.0" customHeight="1">
      <c r="B96" s="1"/>
      <c r="K96" s="151"/>
      <c r="L96" s="1"/>
      <c r="M96" s="3"/>
      <c r="N96" s="1"/>
      <c r="P96" s="151"/>
    </row>
    <row r="97" ht="12.0" customHeight="1">
      <c r="B97" s="1"/>
      <c r="K97" s="151"/>
      <c r="L97" s="1"/>
      <c r="M97" s="3"/>
      <c r="N97" s="1"/>
      <c r="P97" s="151"/>
    </row>
    <row r="98" ht="12.0" customHeight="1">
      <c r="B98" s="1"/>
      <c r="K98" s="151"/>
      <c r="L98" s="1"/>
      <c r="M98" s="3"/>
      <c r="N98" s="1"/>
      <c r="P98" s="151"/>
    </row>
    <row r="99" ht="12.0" customHeight="1">
      <c r="B99" s="1"/>
      <c r="K99" s="151"/>
      <c r="L99" s="1"/>
      <c r="M99" s="3"/>
      <c r="N99" s="1"/>
      <c r="P99" s="151"/>
    </row>
    <row r="100" ht="12.0" customHeight="1">
      <c r="B100" s="1"/>
      <c r="K100" s="151"/>
      <c r="L100" s="1"/>
      <c r="M100" s="3"/>
      <c r="N100" s="1"/>
      <c r="P100" s="151"/>
    </row>
    <row r="101" ht="12.0" customHeight="1">
      <c r="B101" s="1"/>
      <c r="K101" s="151"/>
      <c r="L101" s="1"/>
      <c r="M101" s="3"/>
      <c r="N101" s="1"/>
      <c r="P101" s="151"/>
    </row>
    <row r="102" ht="12.0" customHeight="1">
      <c r="B102" s="1"/>
      <c r="K102" s="151"/>
      <c r="L102" s="1"/>
      <c r="M102" s="3"/>
      <c r="N102" s="1"/>
      <c r="P102" s="151"/>
    </row>
    <row r="103" ht="12.0" customHeight="1">
      <c r="B103" s="1"/>
      <c r="K103" s="151"/>
      <c r="L103" s="151"/>
      <c r="M103" s="151"/>
      <c r="N103" s="151"/>
      <c r="P103" s="151"/>
    </row>
    <row r="104" ht="12.0" customHeight="1">
      <c r="B104" s="1"/>
      <c r="K104" s="151"/>
      <c r="L104" s="1"/>
      <c r="M104" s="3"/>
      <c r="N104" s="1"/>
      <c r="P104" s="151"/>
    </row>
    <row r="105" ht="12.0" customHeight="1">
      <c r="B105" s="1"/>
      <c r="K105" s="151"/>
      <c r="L105" s="1"/>
      <c r="M105" s="3"/>
      <c r="N105" s="1"/>
      <c r="P105" s="151"/>
    </row>
    <row r="106" ht="12.0" customHeight="1">
      <c r="B106" s="1"/>
      <c r="K106" s="151"/>
      <c r="L106" s="1"/>
      <c r="M106" s="3"/>
      <c r="N106" s="1"/>
      <c r="P106" s="151"/>
    </row>
    <row r="107" ht="12.0" customHeight="1">
      <c r="B107" s="1"/>
      <c r="K107" s="151"/>
      <c r="L107" s="1"/>
      <c r="M107" s="3"/>
      <c r="N107" s="1"/>
      <c r="P107" s="151"/>
    </row>
    <row r="108" ht="12.0" customHeight="1">
      <c r="B108" s="1"/>
      <c r="K108" s="151"/>
      <c r="L108" s="1"/>
      <c r="M108" s="3"/>
      <c r="N108" s="1"/>
      <c r="P108" s="151"/>
    </row>
    <row r="109" ht="12.0" customHeight="1">
      <c r="B109" s="1"/>
      <c r="K109" s="151"/>
      <c r="L109" s="1"/>
      <c r="M109" s="3"/>
      <c r="N109" s="1"/>
      <c r="P109" s="151"/>
    </row>
    <row r="110" ht="12.0" customHeight="1">
      <c r="B110" s="1"/>
      <c r="K110" s="151"/>
      <c r="L110" s="1"/>
      <c r="M110" s="3"/>
      <c r="N110" s="1"/>
      <c r="P110" s="151"/>
    </row>
    <row r="111" ht="12.0" customHeight="1">
      <c r="B111" s="1"/>
      <c r="K111" s="151"/>
      <c r="L111" s="1"/>
      <c r="M111" s="3"/>
      <c r="N111" s="1"/>
      <c r="P111" s="151"/>
    </row>
    <row r="112" ht="12.0" customHeight="1">
      <c r="B112" s="1"/>
      <c r="K112" s="151"/>
      <c r="L112" s="1"/>
      <c r="M112" s="3"/>
      <c r="N112" s="1"/>
      <c r="P112" s="151"/>
    </row>
    <row r="113" ht="12.0" customHeight="1">
      <c r="B113" s="1"/>
      <c r="K113" s="151"/>
      <c r="L113" s="1"/>
      <c r="M113" s="3"/>
      <c r="N113" s="1"/>
      <c r="P113" s="151"/>
    </row>
    <row r="114" ht="12.0" customHeight="1">
      <c r="B114" s="1"/>
      <c r="K114" s="151"/>
      <c r="L114" s="1"/>
      <c r="M114" s="3"/>
      <c r="N114" s="1"/>
      <c r="P114" s="151"/>
    </row>
    <row r="115" ht="12.0" customHeight="1">
      <c r="B115" s="1"/>
      <c r="K115" s="151"/>
      <c r="L115" s="1"/>
      <c r="M115" s="3"/>
      <c r="N115" s="1"/>
      <c r="P115" s="151"/>
    </row>
    <row r="116" ht="12.0" customHeight="1">
      <c r="B116" s="1"/>
      <c r="K116" s="151"/>
      <c r="L116" s="1"/>
      <c r="M116" s="3"/>
      <c r="N116" s="1"/>
      <c r="P116" s="151"/>
    </row>
    <row r="117" ht="12.0" customHeight="1">
      <c r="B117" s="1"/>
      <c r="K117" s="151"/>
      <c r="L117" s="1"/>
      <c r="M117" s="3"/>
      <c r="N117" s="1"/>
      <c r="P117" s="151"/>
    </row>
    <row r="118" ht="12.0" customHeight="1">
      <c r="B118" s="1"/>
      <c r="K118" s="151"/>
      <c r="L118" s="1"/>
      <c r="M118" s="3"/>
      <c r="N118" s="1"/>
      <c r="P118" s="151"/>
    </row>
    <row r="119" ht="12.0" customHeight="1">
      <c r="B119" s="1"/>
      <c r="K119" s="151"/>
      <c r="L119" s="1"/>
      <c r="M119" s="3"/>
      <c r="N119" s="1"/>
      <c r="P119" s="151"/>
    </row>
    <row r="120" ht="12.0" customHeight="1">
      <c r="B120" s="1"/>
      <c r="K120" s="151"/>
      <c r="L120" s="1"/>
      <c r="M120" s="3"/>
      <c r="N120" s="1"/>
      <c r="P120" s="151"/>
    </row>
    <row r="121" ht="12.0" customHeight="1">
      <c r="B121" s="1"/>
      <c r="K121" s="151"/>
      <c r="L121" s="1"/>
      <c r="M121" s="3"/>
      <c r="N121" s="1"/>
      <c r="P121" s="151"/>
    </row>
    <row r="122" ht="12.0" customHeight="1">
      <c r="B122" s="1"/>
      <c r="K122" s="151"/>
      <c r="L122" s="1"/>
      <c r="M122" s="3"/>
      <c r="N122" s="1"/>
      <c r="P122" s="151"/>
    </row>
    <row r="123" ht="12.0" customHeight="1">
      <c r="B123" s="1"/>
      <c r="K123" s="151"/>
      <c r="L123" s="1"/>
      <c r="M123" s="3"/>
      <c r="N123" s="1"/>
      <c r="P123" s="151"/>
    </row>
    <row r="124" ht="12.0" customHeight="1">
      <c r="B124" s="1"/>
      <c r="K124" s="151"/>
      <c r="L124" s="1"/>
      <c r="M124" s="3"/>
      <c r="N124" s="1"/>
      <c r="P124" s="151"/>
    </row>
    <row r="125" ht="12.0" customHeight="1">
      <c r="B125" s="1"/>
      <c r="K125" s="151"/>
      <c r="L125" s="1"/>
      <c r="M125" s="3"/>
      <c r="N125" s="1"/>
      <c r="P125" s="151"/>
    </row>
    <row r="126" ht="12.0" customHeight="1">
      <c r="B126" s="1"/>
      <c r="K126" s="151"/>
      <c r="L126" s="1"/>
      <c r="M126" s="3"/>
      <c r="N126" s="1"/>
      <c r="P126" s="151"/>
    </row>
    <row r="127" ht="12.0" customHeight="1">
      <c r="B127" s="1"/>
      <c r="K127" s="151"/>
      <c r="L127" s="1"/>
      <c r="M127" s="3"/>
      <c r="N127" s="1"/>
      <c r="P127" s="151"/>
    </row>
    <row r="128" ht="12.0" customHeight="1">
      <c r="B128" s="1"/>
      <c r="K128" s="151"/>
      <c r="L128" s="1"/>
      <c r="M128" s="3"/>
      <c r="N128" s="1"/>
      <c r="P128" s="151"/>
    </row>
    <row r="129" ht="12.0" customHeight="1">
      <c r="B129" s="1"/>
      <c r="K129" s="151"/>
      <c r="L129" s="1"/>
      <c r="M129" s="3"/>
      <c r="N129" s="1"/>
      <c r="P129" s="151"/>
    </row>
    <row r="130" ht="12.0" customHeight="1">
      <c r="B130" s="1"/>
      <c r="K130" s="151"/>
      <c r="L130" s="1"/>
      <c r="M130" s="3"/>
      <c r="N130" s="1"/>
      <c r="P130" s="151"/>
    </row>
    <row r="131" ht="12.0" customHeight="1">
      <c r="B131" s="1"/>
      <c r="K131" s="151"/>
      <c r="L131" s="1"/>
      <c r="M131" s="3"/>
      <c r="N131" s="1"/>
      <c r="P131" s="151"/>
    </row>
    <row r="132" ht="12.0" customHeight="1">
      <c r="B132" s="1"/>
      <c r="K132" s="151"/>
      <c r="L132" s="1"/>
      <c r="M132" s="3"/>
      <c r="N132" s="1"/>
      <c r="P132" s="151"/>
    </row>
    <row r="133" ht="12.0" customHeight="1">
      <c r="B133" s="1"/>
      <c r="K133" s="151"/>
      <c r="L133" s="1"/>
      <c r="M133" s="3"/>
      <c r="N133" s="1"/>
      <c r="P133" s="151"/>
    </row>
    <row r="134" ht="12.0" customHeight="1">
      <c r="B134" s="1"/>
      <c r="K134" s="151"/>
      <c r="L134" s="1"/>
      <c r="M134" s="3"/>
      <c r="N134" s="1"/>
      <c r="P134" s="151"/>
    </row>
    <row r="135" ht="12.0" customHeight="1">
      <c r="B135" s="1"/>
      <c r="K135" s="151"/>
      <c r="L135" s="1"/>
      <c r="M135" s="3"/>
      <c r="N135" s="1"/>
      <c r="P135" s="151"/>
    </row>
    <row r="136" ht="12.0" customHeight="1">
      <c r="B136" s="1"/>
      <c r="K136" s="151"/>
      <c r="L136" s="1"/>
      <c r="M136" s="3"/>
      <c r="N136" s="1"/>
      <c r="P136" s="151"/>
    </row>
    <row r="137" ht="12.0" customHeight="1">
      <c r="B137" s="1"/>
      <c r="K137" s="151"/>
      <c r="L137" s="1"/>
      <c r="M137" s="3"/>
      <c r="N137" s="1"/>
      <c r="P137" s="151"/>
    </row>
    <row r="138" ht="12.0" customHeight="1">
      <c r="B138" s="1"/>
      <c r="K138" s="151"/>
      <c r="L138" s="1"/>
      <c r="M138" s="3"/>
      <c r="N138" s="1"/>
      <c r="P138" s="151"/>
    </row>
    <row r="139" ht="12.0" customHeight="1">
      <c r="B139" s="1"/>
      <c r="K139" s="151"/>
      <c r="L139" s="1"/>
      <c r="M139" s="3"/>
      <c r="N139" s="1"/>
      <c r="P139" s="151"/>
    </row>
    <row r="140" ht="12.0" customHeight="1">
      <c r="B140" s="1"/>
      <c r="K140" s="151"/>
      <c r="L140" s="1"/>
      <c r="M140" s="3"/>
      <c r="N140" s="1"/>
      <c r="P140" s="151"/>
    </row>
    <row r="141" ht="12.0" customHeight="1">
      <c r="B141" s="1"/>
      <c r="K141" s="151"/>
      <c r="L141" s="1"/>
      <c r="M141" s="3"/>
      <c r="N141" s="1"/>
      <c r="P141" s="151"/>
    </row>
    <row r="142" ht="12.0" customHeight="1">
      <c r="B142" s="1"/>
      <c r="K142" s="151"/>
      <c r="L142" s="1"/>
      <c r="M142" s="3"/>
      <c r="N142" s="1"/>
      <c r="P142" s="151"/>
    </row>
    <row r="143" ht="12.0" customHeight="1">
      <c r="B143" s="1"/>
      <c r="K143" s="151"/>
      <c r="L143" s="1"/>
      <c r="M143" s="3"/>
      <c r="N143" s="1"/>
      <c r="P143" s="151"/>
    </row>
    <row r="144" ht="12.0" customHeight="1">
      <c r="B144" s="1"/>
      <c r="K144" s="151"/>
      <c r="L144" s="1"/>
      <c r="M144" s="3"/>
      <c r="N144" s="1"/>
      <c r="P144" s="151"/>
    </row>
    <row r="145" ht="12.0" customHeight="1">
      <c r="B145" s="1"/>
      <c r="K145" s="151"/>
      <c r="L145" s="1"/>
      <c r="M145" s="3"/>
      <c r="N145" s="1"/>
      <c r="P145" s="151"/>
    </row>
    <row r="146" ht="12.0" customHeight="1">
      <c r="B146" s="1"/>
      <c r="K146" s="151"/>
      <c r="L146" s="1"/>
      <c r="M146" s="3"/>
      <c r="N146" s="1"/>
      <c r="P146" s="151"/>
    </row>
    <row r="147" ht="12.0" customHeight="1">
      <c r="B147" s="1"/>
      <c r="K147" s="151"/>
      <c r="L147" s="1"/>
      <c r="M147" s="3"/>
      <c r="N147" s="1"/>
      <c r="P147" s="151"/>
    </row>
    <row r="148" ht="12.0" customHeight="1">
      <c r="B148" s="1"/>
      <c r="K148" s="151"/>
      <c r="L148" s="1"/>
      <c r="M148" s="3"/>
      <c r="N148" s="1"/>
      <c r="P148" s="151"/>
    </row>
    <row r="149" ht="12.0" customHeight="1">
      <c r="B149" s="1"/>
      <c r="K149" s="151"/>
      <c r="L149" s="1"/>
      <c r="M149" s="3"/>
      <c r="N149" s="1"/>
      <c r="P149" s="151"/>
    </row>
    <row r="150" ht="12.0" customHeight="1">
      <c r="B150" s="1"/>
      <c r="K150" s="151"/>
      <c r="L150" s="1"/>
      <c r="M150" s="3"/>
      <c r="N150" s="1"/>
      <c r="P150" s="151"/>
    </row>
    <row r="151" ht="12.0" customHeight="1">
      <c r="B151" s="1"/>
      <c r="K151" s="151"/>
      <c r="L151" s="1"/>
      <c r="M151" s="3"/>
      <c r="N151" s="1"/>
      <c r="P151" s="151"/>
    </row>
    <row r="152" ht="12.0" customHeight="1">
      <c r="B152" s="1"/>
      <c r="K152" s="151"/>
      <c r="L152" s="1"/>
      <c r="M152" s="3"/>
      <c r="N152" s="1"/>
      <c r="P152" s="151"/>
    </row>
    <row r="153" ht="12.0" customHeight="1">
      <c r="B153" s="1"/>
      <c r="K153" s="151"/>
      <c r="L153" s="1"/>
      <c r="M153" s="3"/>
      <c r="N153" s="1"/>
      <c r="P153" s="151"/>
    </row>
    <row r="154" ht="12.0" customHeight="1">
      <c r="B154" s="1"/>
      <c r="K154" s="151"/>
      <c r="L154" s="1"/>
      <c r="M154" s="3"/>
      <c r="N154" s="1"/>
      <c r="P154" s="151"/>
    </row>
    <row r="155" ht="12.0" customHeight="1">
      <c r="B155" s="1"/>
      <c r="K155" s="151"/>
      <c r="L155" s="1"/>
      <c r="M155" s="3"/>
      <c r="N155" s="1"/>
      <c r="P155" s="151"/>
    </row>
    <row r="156" ht="12.0" customHeight="1">
      <c r="B156" s="1"/>
      <c r="K156" s="151"/>
      <c r="L156" s="1"/>
      <c r="M156" s="3"/>
      <c r="N156" s="1"/>
      <c r="P156" s="151"/>
    </row>
    <row r="157" ht="12.0" customHeight="1">
      <c r="B157" s="1"/>
      <c r="K157" s="151"/>
      <c r="L157" s="1"/>
      <c r="M157" s="3"/>
      <c r="N157" s="1"/>
      <c r="P157" s="151"/>
    </row>
    <row r="158" ht="12.0" customHeight="1">
      <c r="B158" s="1"/>
      <c r="K158" s="151"/>
      <c r="L158" s="1"/>
      <c r="M158" s="3"/>
      <c r="N158" s="1"/>
      <c r="P158" s="151"/>
    </row>
    <row r="159" ht="12.0" customHeight="1">
      <c r="B159" s="1"/>
      <c r="K159" s="151"/>
      <c r="L159" s="1"/>
      <c r="M159" s="3"/>
      <c r="N159" s="1"/>
      <c r="P159" s="151"/>
    </row>
    <row r="160" ht="12.0" customHeight="1">
      <c r="B160" s="1"/>
      <c r="K160" s="151"/>
      <c r="L160" s="1"/>
      <c r="M160" s="3"/>
      <c r="N160" s="1"/>
      <c r="P160" s="151"/>
    </row>
    <row r="161" ht="12.0" customHeight="1">
      <c r="B161" s="1"/>
      <c r="K161" s="151"/>
      <c r="L161" s="1"/>
      <c r="M161" s="3"/>
      <c r="N161" s="1"/>
      <c r="P161" s="151"/>
    </row>
    <row r="162" ht="12.0" customHeight="1">
      <c r="B162" s="1"/>
      <c r="K162" s="151"/>
      <c r="L162" s="1"/>
      <c r="M162" s="3"/>
      <c r="N162" s="1"/>
      <c r="P162" s="151"/>
    </row>
    <row r="163" ht="12.0" customHeight="1">
      <c r="B163" s="1"/>
      <c r="K163" s="151"/>
      <c r="L163" s="1"/>
      <c r="M163" s="3"/>
      <c r="N163" s="1"/>
      <c r="P163" s="151"/>
    </row>
    <row r="164" ht="12.0" customHeight="1">
      <c r="B164" s="1"/>
      <c r="K164" s="151"/>
      <c r="L164" s="1"/>
      <c r="M164" s="3"/>
      <c r="N164" s="1"/>
      <c r="P164" s="151"/>
    </row>
    <row r="165" ht="12.0" customHeight="1">
      <c r="B165" s="1"/>
      <c r="K165" s="151"/>
      <c r="L165" s="1"/>
      <c r="M165" s="3"/>
      <c r="N165" s="1"/>
      <c r="P165" s="151"/>
    </row>
    <row r="166" ht="12.0" customHeight="1">
      <c r="B166" s="1"/>
      <c r="K166" s="151"/>
      <c r="L166" s="1"/>
      <c r="M166" s="3"/>
      <c r="N166" s="1"/>
      <c r="P166" s="151"/>
    </row>
    <row r="167" ht="12.0" customHeight="1">
      <c r="B167" s="1"/>
      <c r="K167" s="151"/>
      <c r="L167" s="1"/>
      <c r="M167" s="3"/>
      <c r="N167" s="1"/>
      <c r="P167" s="151"/>
    </row>
    <row r="168" ht="12.0" customHeight="1">
      <c r="B168" s="1"/>
      <c r="K168" s="151"/>
      <c r="L168" s="1"/>
      <c r="M168" s="3"/>
      <c r="N168" s="1"/>
      <c r="P168" s="151"/>
    </row>
    <row r="169" ht="12.0" customHeight="1">
      <c r="B169" s="1"/>
      <c r="K169" s="151"/>
      <c r="L169" s="1"/>
      <c r="M169" s="3"/>
      <c r="N169" s="1"/>
      <c r="P169" s="151"/>
    </row>
    <row r="170" ht="12.0" customHeight="1">
      <c r="B170" s="1"/>
      <c r="K170" s="151"/>
      <c r="L170" s="1"/>
      <c r="M170" s="3"/>
      <c r="N170" s="1"/>
      <c r="P170" s="151"/>
    </row>
    <row r="171" ht="12.0" customHeight="1">
      <c r="B171" s="1"/>
      <c r="K171" s="151"/>
      <c r="L171" s="1"/>
      <c r="M171" s="3"/>
      <c r="N171" s="1"/>
      <c r="P171" s="151"/>
    </row>
    <row r="172" ht="12.0" customHeight="1">
      <c r="B172" s="1"/>
      <c r="K172" s="151"/>
      <c r="L172" s="1"/>
      <c r="M172" s="3"/>
      <c r="N172" s="1"/>
      <c r="P172" s="151"/>
    </row>
    <row r="173" ht="12.0" customHeight="1">
      <c r="B173" s="1"/>
      <c r="K173" s="151"/>
      <c r="L173" s="1"/>
      <c r="M173" s="3"/>
      <c r="N173" s="1"/>
      <c r="P173" s="151"/>
    </row>
    <row r="174" ht="12.0" customHeight="1">
      <c r="B174" s="1"/>
      <c r="K174" s="151"/>
      <c r="L174" s="1"/>
      <c r="M174" s="3"/>
      <c r="N174" s="1"/>
      <c r="P174" s="151"/>
    </row>
    <row r="175" ht="12.0" customHeight="1">
      <c r="B175" s="1"/>
      <c r="K175" s="151"/>
      <c r="L175" s="1"/>
      <c r="M175" s="3"/>
      <c r="N175" s="1"/>
      <c r="P175" s="151"/>
    </row>
    <row r="176" ht="12.0" customHeight="1">
      <c r="B176" s="1"/>
      <c r="K176" s="151"/>
      <c r="L176" s="1"/>
      <c r="M176" s="3"/>
      <c r="N176" s="1"/>
      <c r="P176" s="151"/>
    </row>
    <row r="177" ht="12.0" customHeight="1">
      <c r="B177" s="1"/>
      <c r="K177" s="151"/>
      <c r="L177" s="1"/>
      <c r="M177" s="3"/>
      <c r="N177" s="1"/>
      <c r="P177" s="151"/>
    </row>
    <row r="178" ht="12.0" customHeight="1">
      <c r="B178" s="1"/>
      <c r="K178" s="151"/>
      <c r="L178" s="1"/>
      <c r="M178" s="3"/>
      <c r="N178" s="1"/>
      <c r="P178" s="151"/>
    </row>
    <row r="179" ht="12.0" customHeight="1">
      <c r="B179" s="1"/>
      <c r="K179" s="151"/>
      <c r="L179" s="1"/>
      <c r="M179" s="3"/>
      <c r="N179" s="1"/>
      <c r="P179" s="151"/>
    </row>
    <row r="180" ht="12.0" customHeight="1">
      <c r="B180" s="1"/>
      <c r="K180" s="151"/>
      <c r="L180" s="1"/>
      <c r="M180" s="3"/>
      <c r="N180" s="1"/>
      <c r="P180" s="151"/>
    </row>
    <row r="181" ht="12.0" customHeight="1">
      <c r="B181" s="1"/>
      <c r="K181" s="151"/>
      <c r="L181" s="1"/>
      <c r="M181" s="3"/>
      <c r="N181" s="1"/>
      <c r="P181" s="151"/>
    </row>
    <row r="182" ht="12.0" customHeight="1">
      <c r="B182" s="1"/>
      <c r="K182" s="151"/>
      <c r="L182" s="1"/>
      <c r="M182" s="3"/>
      <c r="N182" s="1"/>
      <c r="P182" s="151"/>
    </row>
    <row r="183" ht="12.0" customHeight="1">
      <c r="B183" s="1"/>
      <c r="K183" s="151"/>
      <c r="L183" s="1"/>
      <c r="M183" s="3"/>
      <c r="N183" s="1"/>
      <c r="P183" s="151"/>
    </row>
    <row r="184" ht="12.0" customHeight="1">
      <c r="B184" s="1"/>
      <c r="K184" s="151"/>
      <c r="L184" s="1"/>
      <c r="M184" s="3"/>
      <c r="N184" s="1"/>
      <c r="P184" s="151"/>
    </row>
    <row r="185" ht="12.0" customHeight="1">
      <c r="B185" s="1"/>
      <c r="K185" s="151"/>
      <c r="L185" s="1"/>
      <c r="M185" s="3"/>
      <c r="N185" s="1"/>
      <c r="P185" s="151"/>
    </row>
    <row r="186" ht="12.0" customHeight="1">
      <c r="B186" s="1"/>
      <c r="K186" s="151"/>
      <c r="L186" s="1"/>
      <c r="M186" s="3"/>
      <c r="N186" s="1"/>
      <c r="P186" s="151"/>
    </row>
    <row r="187" ht="12.0" customHeight="1">
      <c r="B187" s="1"/>
      <c r="K187" s="151"/>
      <c r="L187" s="1"/>
      <c r="M187" s="3"/>
      <c r="N187" s="1"/>
      <c r="P187" s="151"/>
    </row>
    <row r="188" ht="12.0" customHeight="1">
      <c r="B188" s="1"/>
      <c r="K188" s="151"/>
      <c r="L188" s="1"/>
      <c r="M188" s="3"/>
      <c r="N188" s="1"/>
      <c r="P188" s="151"/>
    </row>
    <row r="189" ht="12.0" customHeight="1">
      <c r="B189" s="1"/>
      <c r="K189" s="151"/>
      <c r="L189" s="1"/>
      <c r="M189" s="3"/>
      <c r="N189" s="1"/>
      <c r="P189" s="151"/>
    </row>
    <row r="190" ht="12.0" customHeight="1">
      <c r="B190" s="1"/>
      <c r="K190" s="151"/>
      <c r="L190" s="1"/>
      <c r="M190" s="3"/>
      <c r="N190" s="1"/>
      <c r="P190" s="151"/>
    </row>
    <row r="191" ht="12.0" customHeight="1">
      <c r="B191" s="1"/>
      <c r="K191" s="151"/>
      <c r="L191" s="1"/>
      <c r="M191" s="3"/>
      <c r="N191" s="1"/>
      <c r="P191" s="151"/>
    </row>
    <row r="192" ht="12.0" customHeight="1">
      <c r="B192" s="1"/>
      <c r="K192" s="151"/>
      <c r="L192" s="1"/>
      <c r="M192" s="3"/>
      <c r="N192" s="1"/>
      <c r="P192" s="151"/>
    </row>
    <row r="193" ht="12.0" customHeight="1">
      <c r="B193" s="1"/>
      <c r="K193" s="151"/>
      <c r="L193" s="1"/>
      <c r="M193" s="3"/>
      <c r="N193" s="1"/>
      <c r="P193" s="151"/>
    </row>
    <row r="194" ht="12.0" customHeight="1">
      <c r="B194" s="1"/>
      <c r="K194" s="151"/>
      <c r="L194" s="1"/>
      <c r="M194" s="3"/>
      <c r="N194" s="1"/>
      <c r="P194" s="151"/>
    </row>
    <row r="195" ht="12.0" customHeight="1">
      <c r="B195" s="1"/>
      <c r="K195" s="151"/>
      <c r="L195" s="1"/>
      <c r="M195" s="3"/>
      <c r="N195" s="1"/>
      <c r="P195" s="151"/>
    </row>
    <row r="196" ht="12.0" customHeight="1">
      <c r="B196" s="1"/>
      <c r="K196" s="151"/>
      <c r="L196" s="1"/>
      <c r="M196" s="3"/>
      <c r="N196" s="1"/>
      <c r="P196" s="151"/>
    </row>
    <row r="197" ht="12.0" customHeight="1">
      <c r="B197" s="1"/>
      <c r="K197" s="151"/>
      <c r="L197" s="1"/>
      <c r="M197" s="3"/>
      <c r="N197" s="1"/>
      <c r="P197" s="151"/>
    </row>
    <row r="198" ht="12.0" customHeight="1">
      <c r="B198" s="1"/>
      <c r="K198" s="151"/>
      <c r="L198" s="1"/>
      <c r="M198" s="3"/>
      <c r="N198" s="1"/>
      <c r="P198" s="151"/>
    </row>
    <row r="199" ht="12.0" customHeight="1">
      <c r="B199" s="1"/>
      <c r="K199" s="151"/>
      <c r="L199" s="1"/>
      <c r="M199" s="3"/>
      <c r="N199" s="1"/>
      <c r="P199" s="151"/>
    </row>
    <row r="200" ht="12.0" customHeight="1">
      <c r="B200" s="1"/>
      <c r="K200" s="151"/>
      <c r="L200" s="1"/>
      <c r="M200" s="3"/>
      <c r="N200" s="1"/>
      <c r="P200" s="151"/>
    </row>
    <row r="201" ht="12.0" customHeight="1">
      <c r="B201" s="1"/>
      <c r="K201" s="151"/>
      <c r="L201" s="1"/>
      <c r="M201" s="3"/>
      <c r="N201" s="1"/>
      <c r="P201" s="151"/>
    </row>
    <row r="202" ht="12.0" customHeight="1">
      <c r="B202" s="1"/>
      <c r="K202" s="151"/>
      <c r="L202" s="1"/>
      <c r="M202" s="3"/>
      <c r="N202" s="1"/>
      <c r="P202" s="151"/>
    </row>
    <row r="203" ht="12.0" customHeight="1">
      <c r="B203" s="1"/>
      <c r="K203" s="151"/>
      <c r="L203" s="1"/>
      <c r="M203" s="3"/>
      <c r="N203" s="1"/>
      <c r="P203" s="151"/>
    </row>
    <row r="204" ht="12.0" customHeight="1">
      <c r="B204" s="1"/>
      <c r="K204" s="151"/>
      <c r="L204" s="1"/>
      <c r="M204" s="3"/>
      <c r="N204" s="1"/>
      <c r="P204" s="151"/>
    </row>
    <row r="205" ht="12.0" customHeight="1">
      <c r="B205" s="1"/>
      <c r="K205" s="151"/>
      <c r="L205" s="1"/>
      <c r="M205" s="3"/>
      <c r="N205" s="1"/>
      <c r="P205" s="151"/>
    </row>
    <row r="206" ht="12.0" customHeight="1">
      <c r="B206" s="1"/>
      <c r="K206" s="151"/>
      <c r="L206" s="1"/>
      <c r="M206" s="3"/>
      <c r="N206" s="1"/>
      <c r="P206" s="151"/>
    </row>
    <row r="207" ht="12.0" customHeight="1">
      <c r="B207" s="1"/>
      <c r="K207" s="151"/>
      <c r="L207" s="1"/>
      <c r="M207" s="3"/>
      <c r="N207" s="1"/>
      <c r="P207" s="151"/>
    </row>
    <row r="208" ht="12.0" customHeight="1">
      <c r="B208" s="1"/>
      <c r="K208" s="151"/>
      <c r="L208" s="1"/>
      <c r="M208" s="3"/>
      <c r="N208" s="1"/>
      <c r="P208" s="151"/>
    </row>
    <row r="209" ht="12.0" customHeight="1">
      <c r="B209" s="1"/>
      <c r="K209" s="151"/>
      <c r="L209" s="1"/>
      <c r="M209" s="3"/>
      <c r="N209" s="1"/>
      <c r="P209" s="151"/>
    </row>
    <row r="210" ht="12.0" customHeight="1">
      <c r="B210" s="1"/>
      <c r="K210" s="151"/>
      <c r="L210" s="1"/>
      <c r="M210" s="3"/>
      <c r="N210" s="1"/>
      <c r="P210" s="151"/>
    </row>
    <row r="211" ht="12.0" customHeight="1">
      <c r="B211" s="1"/>
      <c r="K211" s="151"/>
      <c r="L211" s="1"/>
      <c r="M211" s="3"/>
      <c r="N211" s="1"/>
      <c r="P211" s="151"/>
    </row>
    <row r="212" ht="12.0" customHeight="1">
      <c r="B212" s="1"/>
      <c r="K212" s="151"/>
      <c r="L212" s="1"/>
      <c r="M212" s="3"/>
      <c r="N212" s="1"/>
      <c r="P212" s="151"/>
    </row>
    <row r="213" ht="12.0" customHeight="1">
      <c r="B213" s="1"/>
      <c r="K213" s="151"/>
      <c r="L213" s="1"/>
      <c r="M213" s="3"/>
      <c r="N213" s="1"/>
      <c r="P213" s="151"/>
    </row>
    <row r="214" ht="12.0" customHeight="1">
      <c r="B214" s="1"/>
      <c r="K214" s="151"/>
      <c r="L214" s="1"/>
      <c r="M214" s="3"/>
      <c r="N214" s="1"/>
      <c r="P214" s="151"/>
    </row>
    <row r="215" ht="12.0" customHeight="1">
      <c r="B215" s="1"/>
      <c r="K215" s="151"/>
      <c r="L215" s="1"/>
      <c r="M215" s="3"/>
      <c r="N215" s="1"/>
      <c r="P215" s="151"/>
    </row>
    <row r="216" ht="12.0" customHeight="1">
      <c r="B216" s="1"/>
      <c r="K216" s="151"/>
      <c r="L216" s="1"/>
      <c r="M216" s="3"/>
      <c r="N216" s="1"/>
      <c r="P216" s="151"/>
    </row>
    <row r="217" ht="12.0" customHeight="1">
      <c r="B217" s="1"/>
      <c r="K217" s="151"/>
      <c r="L217" s="1"/>
      <c r="M217" s="3"/>
      <c r="N217" s="1"/>
      <c r="P217" s="151"/>
    </row>
    <row r="218" ht="12.0" customHeight="1">
      <c r="B218" s="1"/>
      <c r="K218" s="151"/>
      <c r="L218" s="1"/>
      <c r="M218" s="3"/>
      <c r="N218" s="1"/>
      <c r="P218" s="151"/>
    </row>
    <row r="219" ht="12.0" customHeight="1">
      <c r="B219" s="1"/>
      <c r="K219" s="151"/>
      <c r="L219" s="1"/>
      <c r="M219" s="3"/>
      <c r="N219" s="1"/>
      <c r="P219" s="151"/>
    </row>
    <row r="220" ht="12.0" customHeight="1">
      <c r="B220" s="1"/>
      <c r="K220" s="151"/>
      <c r="L220" s="1"/>
      <c r="M220" s="3"/>
      <c r="N220" s="1"/>
      <c r="P220" s="151"/>
    </row>
    <row r="221" ht="12.0" customHeight="1">
      <c r="B221" s="1"/>
      <c r="K221" s="151"/>
      <c r="L221" s="1"/>
      <c r="M221" s="3"/>
      <c r="N221" s="1"/>
      <c r="P221" s="151"/>
    </row>
    <row r="222" ht="12.0" customHeight="1">
      <c r="B222" s="1"/>
      <c r="K222" s="151"/>
      <c r="L222" s="1"/>
      <c r="M222" s="3"/>
      <c r="N222" s="1"/>
      <c r="P222" s="151"/>
    </row>
    <row r="223" ht="12.0" customHeight="1">
      <c r="B223" s="1"/>
      <c r="K223" s="151"/>
      <c r="L223" s="1"/>
      <c r="M223" s="3"/>
      <c r="N223" s="1"/>
      <c r="P223" s="151"/>
    </row>
    <row r="224" ht="12.0" customHeight="1">
      <c r="B224" s="1"/>
      <c r="K224" s="151"/>
      <c r="L224" s="1"/>
      <c r="M224" s="3"/>
      <c r="N224" s="1"/>
      <c r="P224" s="151"/>
    </row>
    <row r="225" ht="12.0" customHeight="1">
      <c r="B225" s="1"/>
      <c r="K225" s="151"/>
      <c r="L225" s="1"/>
      <c r="M225" s="3"/>
      <c r="N225" s="1"/>
      <c r="P225" s="151"/>
    </row>
    <row r="226" ht="12.0" customHeight="1">
      <c r="B226" s="1"/>
      <c r="K226" s="151"/>
      <c r="L226" s="1"/>
      <c r="M226" s="3"/>
      <c r="N226" s="1"/>
      <c r="P226" s="151"/>
    </row>
    <row r="227" ht="12.0" customHeight="1">
      <c r="B227" s="1"/>
      <c r="K227" s="151"/>
      <c r="L227" s="1"/>
      <c r="M227" s="3"/>
      <c r="N227" s="1"/>
      <c r="P227" s="151"/>
    </row>
    <row r="228" ht="12.0" customHeight="1">
      <c r="B228" s="1"/>
      <c r="K228" s="151"/>
      <c r="L228" s="1"/>
      <c r="M228" s="3"/>
      <c r="N228" s="1"/>
      <c r="P228" s="151"/>
    </row>
    <row r="229" ht="12.0" customHeight="1">
      <c r="B229" s="1"/>
      <c r="K229" s="151"/>
      <c r="L229" s="1"/>
      <c r="M229" s="3"/>
      <c r="N229" s="1"/>
      <c r="P229" s="151"/>
    </row>
    <row r="230" ht="12.0" customHeight="1">
      <c r="B230" s="1"/>
      <c r="K230" s="151"/>
      <c r="L230" s="1"/>
      <c r="M230" s="3"/>
      <c r="N230" s="1"/>
      <c r="P230" s="151"/>
    </row>
    <row r="231" ht="12.0" customHeight="1">
      <c r="B231" s="1"/>
      <c r="K231" s="151"/>
      <c r="L231" s="1"/>
      <c r="M231" s="3"/>
      <c r="N231" s="1"/>
      <c r="P231" s="151"/>
    </row>
    <row r="232" ht="12.0" customHeight="1">
      <c r="B232" s="1"/>
      <c r="K232" s="151"/>
      <c r="L232" s="1"/>
      <c r="M232" s="3"/>
      <c r="N232" s="1"/>
      <c r="P232" s="151"/>
    </row>
    <row r="233" ht="12.0" customHeight="1">
      <c r="B233" s="1"/>
      <c r="K233" s="151"/>
      <c r="L233" s="1"/>
      <c r="M233" s="3"/>
      <c r="N233" s="1"/>
      <c r="P233" s="151"/>
    </row>
    <row r="234" ht="12.0" customHeight="1">
      <c r="B234" s="1"/>
      <c r="K234" s="151"/>
      <c r="L234" s="1"/>
      <c r="M234" s="3"/>
      <c r="N234" s="1"/>
      <c r="P234" s="151"/>
    </row>
    <row r="235" ht="12.0" customHeight="1">
      <c r="B235" s="1"/>
      <c r="K235" s="151"/>
      <c r="L235" s="1"/>
      <c r="M235" s="3"/>
      <c r="N235" s="1"/>
      <c r="P235" s="151"/>
    </row>
    <row r="236" ht="12.0" customHeight="1">
      <c r="B236" s="1"/>
      <c r="K236" s="151"/>
      <c r="L236" s="1"/>
      <c r="M236" s="3"/>
      <c r="N236" s="1"/>
      <c r="P236" s="151"/>
    </row>
    <row r="237" ht="12.0" customHeight="1">
      <c r="B237" s="1"/>
      <c r="K237" s="151"/>
      <c r="L237" s="1"/>
      <c r="M237" s="3"/>
      <c r="N237" s="1"/>
      <c r="P237" s="151"/>
    </row>
    <row r="238" ht="12.0" customHeight="1">
      <c r="B238" s="1"/>
      <c r="K238" s="151"/>
      <c r="L238" s="1"/>
      <c r="M238" s="3"/>
      <c r="N238" s="1"/>
      <c r="P238" s="151"/>
    </row>
    <row r="239" ht="12.0" customHeight="1">
      <c r="B239" s="1"/>
      <c r="K239" s="151"/>
      <c r="L239" s="1"/>
      <c r="M239" s="3"/>
      <c r="N239" s="1"/>
      <c r="P239" s="151"/>
    </row>
    <row r="240" ht="12.0" customHeight="1">
      <c r="B240" s="1"/>
      <c r="K240" s="151"/>
      <c r="L240" s="1"/>
      <c r="M240" s="3"/>
      <c r="N240" s="1"/>
      <c r="P240" s="151"/>
    </row>
    <row r="241" ht="12.0" customHeight="1">
      <c r="B241" s="1"/>
      <c r="K241" s="151"/>
      <c r="L241" s="1"/>
      <c r="M241" s="3"/>
      <c r="N241" s="1"/>
      <c r="P241" s="151"/>
    </row>
    <row r="242" ht="12.0" customHeight="1">
      <c r="B242" s="1"/>
      <c r="K242" s="151"/>
      <c r="L242" s="1"/>
      <c r="M242" s="3"/>
      <c r="N242" s="1"/>
      <c r="P242" s="151"/>
    </row>
    <row r="243" ht="12.0" customHeight="1">
      <c r="B243" s="1"/>
      <c r="K243" s="151"/>
      <c r="L243" s="1"/>
      <c r="M243" s="3"/>
      <c r="N243" s="1"/>
      <c r="P243" s="151"/>
    </row>
    <row r="244" ht="12.0" customHeight="1">
      <c r="B244" s="1"/>
      <c r="K244" s="151"/>
      <c r="L244" s="1"/>
      <c r="M244" s="3"/>
      <c r="N244" s="1"/>
      <c r="P244" s="151"/>
    </row>
    <row r="245" ht="12.0" customHeight="1">
      <c r="B245" s="1"/>
      <c r="K245" s="151"/>
      <c r="L245" s="1"/>
      <c r="M245" s="3"/>
      <c r="N245" s="1"/>
      <c r="P245" s="151"/>
    </row>
    <row r="246" ht="12.0" customHeight="1">
      <c r="B246" s="1"/>
      <c r="K246" s="151"/>
      <c r="L246" s="1"/>
      <c r="M246" s="3"/>
      <c r="N246" s="1"/>
      <c r="P246" s="151"/>
    </row>
    <row r="247" ht="12.0" customHeight="1">
      <c r="B247" s="1"/>
      <c r="K247" s="151"/>
      <c r="L247" s="1"/>
      <c r="M247" s="3"/>
      <c r="N247" s="1"/>
      <c r="P247" s="151"/>
    </row>
    <row r="248" ht="12.0" customHeight="1">
      <c r="B248" s="1"/>
      <c r="K248" s="151"/>
      <c r="L248" s="1"/>
      <c r="M248" s="3"/>
      <c r="N248" s="1"/>
      <c r="P248" s="151"/>
    </row>
    <row r="249" ht="12.0" customHeight="1">
      <c r="B249" s="1"/>
      <c r="K249" s="151"/>
      <c r="L249" s="1"/>
      <c r="M249" s="3"/>
      <c r="N249" s="1"/>
      <c r="P249" s="151"/>
    </row>
    <row r="250" ht="12.0" customHeight="1">
      <c r="B250" s="1"/>
      <c r="K250" s="151"/>
      <c r="L250" s="1"/>
      <c r="M250" s="3"/>
      <c r="N250" s="1"/>
      <c r="P250" s="151"/>
    </row>
    <row r="251" ht="12.0" customHeight="1">
      <c r="B251" s="1"/>
      <c r="K251" s="151"/>
      <c r="L251" s="1"/>
      <c r="M251" s="3"/>
      <c r="N251" s="1"/>
      <c r="P251" s="151"/>
    </row>
    <row r="252" ht="12.0" customHeight="1">
      <c r="B252" s="1"/>
      <c r="K252" s="151"/>
      <c r="L252" s="1"/>
      <c r="M252" s="3"/>
      <c r="N252" s="1"/>
      <c r="P252" s="151"/>
    </row>
    <row r="253" ht="12.0" customHeight="1">
      <c r="B253" s="1"/>
      <c r="K253" s="151"/>
      <c r="L253" s="1"/>
      <c r="M253" s="3"/>
      <c r="N253" s="1"/>
      <c r="P253" s="151"/>
    </row>
    <row r="254" ht="12.0" customHeight="1">
      <c r="B254" s="1"/>
      <c r="K254" s="151"/>
      <c r="L254" s="1"/>
      <c r="M254" s="3"/>
      <c r="N254" s="1"/>
      <c r="P254" s="151"/>
    </row>
    <row r="255" ht="12.0" customHeight="1">
      <c r="B255" s="1"/>
      <c r="K255" s="151"/>
      <c r="L255" s="1"/>
      <c r="M255" s="3"/>
      <c r="N255" s="1"/>
      <c r="P255" s="151"/>
    </row>
    <row r="256" ht="12.0" customHeight="1">
      <c r="B256" s="1"/>
      <c r="K256" s="151"/>
      <c r="L256" s="1"/>
      <c r="M256" s="3"/>
      <c r="N256" s="1"/>
      <c r="P256" s="151"/>
    </row>
    <row r="257" ht="12.0" customHeight="1">
      <c r="B257" s="1"/>
      <c r="K257" s="151"/>
      <c r="L257" s="1"/>
      <c r="M257" s="3"/>
      <c r="N257" s="1"/>
      <c r="P257" s="151"/>
    </row>
    <row r="258" ht="12.0" customHeight="1">
      <c r="B258" s="1"/>
      <c r="K258" s="151"/>
      <c r="L258" s="1"/>
      <c r="M258" s="3"/>
      <c r="N258" s="1"/>
      <c r="P258" s="151"/>
    </row>
    <row r="259" ht="12.0" customHeight="1">
      <c r="B259" s="1"/>
      <c r="K259" s="151"/>
      <c r="L259" s="1"/>
      <c r="M259" s="3"/>
      <c r="N259" s="1"/>
      <c r="P259" s="151"/>
    </row>
    <row r="260" ht="12.0" customHeight="1">
      <c r="B260" s="1"/>
      <c r="K260" s="151"/>
      <c r="L260" s="1"/>
      <c r="M260" s="3"/>
      <c r="N260" s="1"/>
      <c r="P260" s="151"/>
    </row>
    <row r="261" ht="12.0" customHeight="1">
      <c r="B261" s="1"/>
      <c r="K261" s="151"/>
      <c r="L261" s="1"/>
      <c r="M261" s="3"/>
      <c r="N261" s="1"/>
      <c r="P261" s="151"/>
    </row>
    <row r="262" ht="12.0" customHeight="1">
      <c r="B262" s="1"/>
      <c r="K262" s="151"/>
      <c r="L262" s="1"/>
      <c r="M262" s="3"/>
      <c r="N262" s="1"/>
      <c r="P262" s="151"/>
    </row>
    <row r="263" ht="12.0" customHeight="1">
      <c r="B263" s="1"/>
      <c r="K263" s="151"/>
      <c r="L263" s="1"/>
      <c r="M263" s="3"/>
      <c r="N263" s="1"/>
      <c r="P263" s="151"/>
    </row>
    <row r="264" ht="12.0" customHeight="1">
      <c r="B264" s="1"/>
      <c r="K264" s="151"/>
      <c r="L264" s="1"/>
      <c r="M264" s="3"/>
      <c r="N264" s="1"/>
      <c r="P264" s="151"/>
    </row>
    <row r="265" ht="12.0" customHeight="1">
      <c r="B265" s="1"/>
      <c r="K265" s="151"/>
      <c r="L265" s="1"/>
      <c r="M265" s="3"/>
      <c r="N265" s="1"/>
      <c r="P265" s="151"/>
    </row>
    <row r="266" ht="12.0" customHeight="1">
      <c r="B266" s="1"/>
      <c r="K266" s="151"/>
      <c r="L266" s="1"/>
      <c r="M266" s="3"/>
      <c r="N266" s="1"/>
      <c r="P266" s="151"/>
    </row>
    <row r="267" ht="12.0" customHeight="1">
      <c r="B267" s="1"/>
      <c r="K267" s="151"/>
      <c r="L267" s="1"/>
      <c r="M267" s="3"/>
      <c r="N267" s="1"/>
      <c r="P267" s="151"/>
    </row>
    <row r="268" ht="12.0" customHeight="1">
      <c r="B268" s="1"/>
      <c r="K268" s="151"/>
      <c r="L268" s="1"/>
      <c r="M268" s="3"/>
      <c r="N268" s="1"/>
      <c r="P268" s="151"/>
    </row>
    <row r="269" ht="12.0" customHeight="1">
      <c r="B269" s="1"/>
      <c r="K269" s="151"/>
      <c r="L269" s="1"/>
      <c r="M269" s="3"/>
      <c r="N269" s="1"/>
      <c r="P269" s="151"/>
    </row>
    <row r="270" ht="12.0" customHeight="1">
      <c r="B270" s="1"/>
      <c r="K270" s="151"/>
      <c r="L270" s="1"/>
      <c r="M270" s="3"/>
      <c r="N270" s="1"/>
      <c r="P270" s="151"/>
    </row>
    <row r="271" ht="12.0" customHeight="1">
      <c r="B271" s="1"/>
      <c r="K271" s="151"/>
      <c r="L271" s="1"/>
      <c r="M271" s="3"/>
      <c r="N271" s="1"/>
      <c r="P271" s="151"/>
    </row>
    <row r="272" ht="12.0" customHeight="1">
      <c r="B272" s="1"/>
      <c r="K272" s="151"/>
      <c r="L272" s="1"/>
      <c r="M272" s="3"/>
      <c r="N272" s="1"/>
      <c r="P272" s="151"/>
    </row>
    <row r="273" ht="12.0" customHeight="1">
      <c r="B273" s="1"/>
      <c r="K273" s="151"/>
      <c r="L273" s="1"/>
      <c r="M273" s="3"/>
      <c r="N273" s="1"/>
      <c r="P273" s="151"/>
    </row>
    <row r="274" ht="12.0" customHeight="1">
      <c r="B274" s="1"/>
      <c r="K274" s="151"/>
      <c r="L274" s="1"/>
      <c r="M274" s="3"/>
      <c r="N274" s="1"/>
      <c r="P274" s="151"/>
    </row>
    <row r="275" ht="12.0" customHeight="1">
      <c r="B275" s="1"/>
      <c r="K275" s="151"/>
      <c r="L275" s="1"/>
      <c r="M275" s="3"/>
      <c r="N275" s="1"/>
      <c r="P275" s="151"/>
    </row>
    <row r="276" ht="12.0" customHeight="1">
      <c r="B276" s="1"/>
      <c r="K276" s="151"/>
      <c r="L276" s="1"/>
      <c r="M276" s="3"/>
      <c r="N276" s="1"/>
      <c r="P276" s="151"/>
    </row>
    <row r="277" ht="12.0" customHeight="1">
      <c r="B277" s="1"/>
      <c r="K277" s="151"/>
      <c r="L277" s="1"/>
      <c r="M277" s="3"/>
      <c r="N277" s="1"/>
      <c r="P277" s="151"/>
    </row>
    <row r="278" ht="12.0" customHeight="1">
      <c r="B278" s="1"/>
      <c r="K278" s="151"/>
      <c r="L278" s="1"/>
      <c r="M278" s="3"/>
      <c r="N278" s="1"/>
      <c r="P278" s="151"/>
    </row>
    <row r="279" ht="12.0" customHeight="1">
      <c r="B279" s="1"/>
      <c r="K279" s="151"/>
      <c r="L279" s="1"/>
      <c r="M279" s="3"/>
      <c r="N279" s="1"/>
      <c r="P279" s="151"/>
    </row>
    <row r="280" ht="12.0" customHeight="1">
      <c r="B280" s="1"/>
      <c r="K280" s="151"/>
      <c r="L280" s="1"/>
      <c r="M280" s="3"/>
      <c r="N280" s="1"/>
      <c r="P280" s="151"/>
    </row>
    <row r="281" ht="12.0" customHeight="1">
      <c r="B281" s="1"/>
      <c r="K281" s="151"/>
      <c r="L281" s="1"/>
      <c r="M281" s="3"/>
      <c r="N281" s="1"/>
      <c r="P281" s="151"/>
    </row>
    <row r="282" ht="12.0" customHeight="1">
      <c r="B282" s="1"/>
      <c r="K282" s="151"/>
      <c r="L282" s="1"/>
      <c r="M282" s="3"/>
      <c r="N282" s="1"/>
      <c r="P282" s="151"/>
    </row>
    <row r="283" ht="12.0" customHeight="1">
      <c r="B283" s="1"/>
      <c r="K283" s="151"/>
      <c r="L283" s="1"/>
      <c r="M283" s="3"/>
      <c r="N283" s="1"/>
      <c r="P283" s="151"/>
    </row>
    <row r="284" ht="12.0" customHeight="1">
      <c r="B284" s="1"/>
      <c r="K284" s="151"/>
      <c r="L284" s="1"/>
      <c r="M284" s="3"/>
      <c r="N284" s="1"/>
      <c r="P284" s="151"/>
    </row>
    <row r="285" ht="12.0" customHeight="1">
      <c r="B285" s="1"/>
      <c r="K285" s="151"/>
      <c r="L285" s="1"/>
      <c r="M285" s="3"/>
      <c r="N285" s="1"/>
      <c r="P285" s="151"/>
    </row>
    <row r="286" ht="12.0" customHeight="1">
      <c r="B286" s="1"/>
      <c r="K286" s="151"/>
      <c r="L286" s="1"/>
      <c r="M286" s="3"/>
      <c r="N286" s="1"/>
      <c r="P286" s="151"/>
    </row>
    <row r="287" ht="12.0" customHeight="1">
      <c r="B287" s="1"/>
      <c r="K287" s="151"/>
      <c r="L287" s="1"/>
      <c r="M287" s="3"/>
      <c r="N287" s="1"/>
      <c r="P287" s="151"/>
    </row>
    <row r="288" ht="12.0" customHeight="1">
      <c r="B288" s="1"/>
      <c r="K288" s="151"/>
      <c r="L288" s="1"/>
      <c r="M288" s="3"/>
      <c r="N288" s="1"/>
      <c r="P288" s="151"/>
    </row>
    <row r="289" ht="12.0" customHeight="1">
      <c r="B289" s="1"/>
      <c r="K289" s="151"/>
      <c r="L289" s="1"/>
      <c r="M289" s="3"/>
      <c r="N289" s="1"/>
      <c r="P289" s="151"/>
    </row>
    <row r="290" ht="12.0" customHeight="1">
      <c r="B290" s="1"/>
      <c r="K290" s="151"/>
      <c r="L290" s="1"/>
      <c r="M290" s="3"/>
      <c r="N290" s="1"/>
      <c r="P290" s="151"/>
    </row>
    <row r="291" ht="12.0" customHeight="1">
      <c r="B291" s="1"/>
      <c r="K291" s="151"/>
      <c r="L291" s="1"/>
      <c r="M291" s="3"/>
      <c r="N291" s="1"/>
      <c r="P291" s="151"/>
    </row>
    <row r="292" ht="12.0" customHeight="1">
      <c r="B292" s="1"/>
      <c r="K292" s="151"/>
      <c r="L292" s="1"/>
      <c r="M292" s="3"/>
      <c r="N292" s="1"/>
      <c r="P292" s="151"/>
    </row>
    <row r="293" ht="12.0" customHeight="1">
      <c r="B293" s="1"/>
      <c r="K293" s="151"/>
      <c r="L293" s="1"/>
      <c r="M293" s="3"/>
      <c r="N293" s="1"/>
      <c r="P293" s="151"/>
    </row>
    <row r="294" ht="12.0" customHeight="1">
      <c r="B294" s="1"/>
      <c r="K294" s="151"/>
      <c r="L294" s="1"/>
      <c r="M294" s="3"/>
      <c r="N294" s="1"/>
      <c r="P294" s="151"/>
    </row>
    <row r="295" ht="12.0" customHeight="1">
      <c r="B295" s="1"/>
      <c r="K295" s="151"/>
      <c r="L295" s="1"/>
      <c r="M295" s="3"/>
      <c r="N295" s="1"/>
      <c r="P295" s="151"/>
    </row>
    <row r="296" ht="12.0" customHeight="1">
      <c r="B296" s="1"/>
      <c r="K296" s="151"/>
      <c r="L296" s="1"/>
      <c r="M296" s="3"/>
      <c r="N296" s="1"/>
      <c r="P296" s="151"/>
    </row>
    <row r="297" ht="12.0" customHeight="1">
      <c r="B297" s="1"/>
      <c r="K297" s="151"/>
      <c r="L297" s="1"/>
      <c r="M297" s="3"/>
      <c r="N297" s="1"/>
      <c r="P297" s="151"/>
    </row>
    <row r="298" ht="12.0" customHeight="1">
      <c r="B298" s="1"/>
      <c r="K298" s="151"/>
      <c r="L298" s="1"/>
      <c r="M298" s="3"/>
      <c r="N298" s="1"/>
      <c r="P298" s="151"/>
    </row>
    <row r="299" ht="12.0" customHeight="1">
      <c r="B299" s="1"/>
      <c r="K299" s="151"/>
      <c r="L299" s="1"/>
      <c r="M299" s="3"/>
      <c r="N299" s="1"/>
      <c r="P299" s="151"/>
    </row>
    <row r="300" ht="12.0" customHeight="1">
      <c r="B300" s="1"/>
      <c r="K300" s="151"/>
      <c r="L300" s="1"/>
      <c r="M300" s="3"/>
      <c r="N300" s="1"/>
      <c r="P300" s="151"/>
    </row>
    <row r="301" ht="12.0" customHeight="1">
      <c r="B301" s="1"/>
      <c r="K301" s="151"/>
      <c r="L301" s="1"/>
      <c r="M301" s="3"/>
      <c r="N301" s="1"/>
      <c r="P301" s="151"/>
    </row>
    <row r="302" ht="12.0" customHeight="1">
      <c r="B302" s="1"/>
      <c r="K302" s="151"/>
      <c r="L302" s="1"/>
      <c r="M302" s="3"/>
      <c r="N302" s="1"/>
      <c r="P302" s="151"/>
    </row>
    <row r="303" ht="12.0" customHeight="1">
      <c r="B303" s="1"/>
      <c r="K303" s="151"/>
      <c r="L303" s="1"/>
      <c r="M303" s="3"/>
      <c r="N303" s="1"/>
      <c r="P303" s="151"/>
    </row>
    <row r="304" ht="12.0" customHeight="1">
      <c r="B304" s="1"/>
      <c r="K304" s="151"/>
      <c r="L304" s="1"/>
      <c r="M304" s="3"/>
      <c r="N304" s="1"/>
      <c r="P304" s="151"/>
    </row>
    <row r="305" ht="12.0" customHeight="1">
      <c r="B305" s="1"/>
      <c r="K305" s="151"/>
      <c r="L305" s="1"/>
      <c r="M305" s="3"/>
      <c r="N305" s="1"/>
      <c r="P305" s="151"/>
    </row>
    <row r="306" ht="12.0" customHeight="1">
      <c r="B306" s="1"/>
      <c r="K306" s="151"/>
      <c r="L306" s="1"/>
      <c r="M306" s="3"/>
      <c r="N306" s="1"/>
      <c r="P306" s="151"/>
    </row>
    <row r="307" ht="12.0" customHeight="1">
      <c r="B307" s="1"/>
      <c r="K307" s="151"/>
      <c r="L307" s="1"/>
      <c r="M307" s="3"/>
      <c r="N307" s="1"/>
      <c r="P307" s="151"/>
    </row>
    <row r="308" ht="12.0" customHeight="1">
      <c r="B308" s="1"/>
      <c r="K308" s="151"/>
      <c r="L308" s="1"/>
      <c r="M308" s="3"/>
      <c r="N308" s="1"/>
      <c r="P308" s="151"/>
    </row>
    <row r="309" ht="12.0" customHeight="1">
      <c r="B309" s="1"/>
      <c r="K309" s="151"/>
      <c r="L309" s="1"/>
      <c r="M309" s="3"/>
      <c r="N309" s="1"/>
      <c r="P309" s="151"/>
    </row>
    <row r="310" ht="12.0" customHeight="1">
      <c r="B310" s="1"/>
      <c r="K310" s="151"/>
      <c r="L310" s="1"/>
      <c r="M310" s="3"/>
      <c r="N310" s="1"/>
      <c r="P310" s="151"/>
    </row>
    <row r="311" ht="12.0" customHeight="1">
      <c r="B311" s="1"/>
      <c r="K311" s="151"/>
      <c r="L311" s="1"/>
      <c r="M311" s="3"/>
      <c r="N311" s="1"/>
      <c r="P311" s="151"/>
    </row>
    <row r="312" ht="12.0" customHeight="1">
      <c r="B312" s="1"/>
      <c r="K312" s="151"/>
      <c r="L312" s="1"/>
      <c r="M312" s="3"/>
      <c r="N312" s="1"/>
      <c r="P312" s="151"/>
    </row>
    <row r="313" ht="12.0" customHeight="1">
      <c r="B313" s="1"/>
      <c r="K313" s="151"/>
      <c r="L313" s="1"/>
      <c r="M313" s="3"/>
      <c r="N313" s="1"/>
      <c r="P313" s="151"/>
    </row>
    <row r="314" ht="12.0" customHeight="1">
      <c r="B314" s="1"/>
      <c r="K314" s="151"/>
      <c r="L314" s="1"/>
      <c r="M314" s="3"/>
      <c r="N314" s="1"/>
      <c r="P314" s="151"/>
    </row>
    <row r="315" ht="12.0" customHeight="1">
      <c r="B315" s="1"/>
      <c r="K315" s="151"/>
      <c r="L315" s="1"/>
      <c r="M315" s="3"/>
      <c r="N315" s="1"/>
      <c r="P315" s="151"/>
    </row>
    <row r="316" ht="12.0" customHeight="1">
      <c r="B316" s="1"/>
      <c r="K316" s="151"/>
      <c r="L316" s="1"/>
      <c r="M316" s="3"/>
      <c r="N316" s="1"/>
      <c r="P316" s="151"/>
    </row>
    <row r="317" ht="12.0" customHeight="1">
      <c r="B317" s="1"/>
      <c r="K317" s="151"/>
      <c r="L317" s="1"/>
      <c r="M317" s="3"/>
      <c r="N317" s="1"/>
      <c r="P317" s="151"/>
    </row>
    <row r="318" ht="12.0" customHeight="1">
      <c r="B318" s="1"/>
      <c r="K318" s="151"/>
      <c r="L318" s="1"/>
      <c r="M318" s="3"/>
      <c r="N318" s="1"/>
      <c r="P318" s="151"/>
    </row>
    <row r="319" ht="12.0" customHeight="1">
      <c r="B319" s="1"/>
      <c r="K319" s="151"/>
      <c r="L319" s="1"/>
      <c r="M319" s="3"/>
      <c r="N319" s="1"/>
      <c r="P319" s="151"/>
    </row>
    <row r="320" ht="12.0" customHeight="1">
      <c r="B320" s="1"/>
      <c r="K320" s="151"/>
      <c r="L320" s="1"/>
      <c r="M320" s="3"/>
      <c r="N320" s="1"/>
      <c r="P320" s="151"/>
    </row>
    <row r="321" ht="12.0" customHeight="1">
      <c r="B321" s="1"/>
      <c r="K321" s="151"/>
      <c r="L321" s="1"/>
      <c r="M321" s="3"/>
      <c r="N321" s="1"/>
      <c r="P321" s="151"/>
    </row>
    <row r="322" ht="12.0" customHeight="1">
      <c r="B322" s="1"/>
      <c r="K322" s="151"/>
      <c r="L322" s="1"/>
      <c r="M322" s="3"/>
      <c r="N322" s="1"/>
      <c r="P322" s="151"/>
    </row>
    <row r="323" ht="12.0" customHeight="1">
      <c r="B323" s="1"/>
      <c r="K323" s="151"/>
      <c r="L323" s="1"/>
      <c r="M323" s="3"/>
      <c r="N323" s="1"/>
      <c r="P323" s="151"/>
    </row>
    <row r="324" ht="12.0" customHeight="1">
      <c r="B324" s="1"/>
      <c r="K324" s="151"/>
      <c r="L324" s="1"/>
      <c r="M324" s="3"/>
      <c r="N324" s="1"/>
      <c r="P324" s="151"/>
    </row>
    <row r="325" ht="12.0" customHeight="1">
      <c r="B325" s="1"/>
      <c r="K325" s="151"/>
      <c r="L325" s="1"/>
      <c r="M325" s="3"/>
      <c r="N325" s="1"/>
      <c r="P325" s="151"/>
    </row>
    <row r="326" ht="12.0" customHeight="1">
      <c r="B326" s="1"/>
      <c r="K326" s="151"/>
      <c r="L326" s="1"/>
      <c r="M326" s="3"/>
      <c r="N326" s="1"/>
      <c r="P326" s="151"/>
    </row>
    <row r="327" ht="12.0" customHeight="1">
      <c r="B327" s="1"/>
      <c r="K327" s="151"/>
      <c r="L327" s="1"/>
      <c r="M327" s="3"/>
      <c r="N327" s="1"/>
      <c r="P327" s="151"/>
    </row>
    <row r="328" ht="12.0" customHeight="1">
      <c r="B328" s="1"/>
      <c r="K328" s="151"/>
      <c r="L328" s="1"/>
      <c r="M328" s="3"/>
      <c r="N328" s="1"/>
      <c r="P328" s="151"/>
    </row>
    <row r="329" ht="12.0" customHeight="1">
      <c r="B329" s="1"/>
      <c r="K329" s="151"/>
      <c r="L329" s="1"/>
      <c r="M329" s="3"/>
      <c r="N329" s="1"/>
      <c r="P329" s="151"/>
    </row>
    <row r="330" ht="12.0" customHeight="1">
      <c r="B330" s="1"/>
      <c r="K330" s="151"/>
      <c r="L330" s="1"/>
      <c r="M330" s="3"/>
      <c r="N330" s="1"/>
      <c r="P330" s="151"/>
    </row>
    <row r="331" ht="12.0" customHeight="1">
      <c r="B331" s="1"/>
      <c r="K331" s="151"/>
      <c r="L331" s="1"/>
      <c r="M331" s="3"/>
      <c r="N331" s="1"/>
      <c r="P331" s="151"/>
    </row>
    <row r="332" ht="12.0" customHeight="1">
      <c r="B332" s="1"/>
      <c r="K332" s="151"/>
      <c r="L332" s="1"/>
      <c r="M332" s="3"/>
      <c r="N332" s="1"/>
      <c r="P332" s="151"/>
    </row>
    <row r="333" ht="12.0" customHeight="1">
      <c r="B333" s="1"/>
      <c r="K333" s="151"/>
      <c r="L333" s="1"/>
      <c r="M333" s="3"/>
      <c r="N333" s="1"/>
      <c r="P333" s="151"/>
    </row>
    <row r="334" ht="12.0" customHeight="1">
      <c r="B334" s="1"/>
      <c r="K334" s="151"/>
      <c r="L334" s="1"/>
      <c r="M334" s="3"/>
      <c r="N334" s="1"/>
      <c r="P334" s="151"/>
    </row>
    <row r="335" ht="12.0" customHeight="1">
      <c r="B335" s="1"/>
      <c r="K335" s="151"/>
      <c r="L335" s="1"/>
      <c r="M335" s="3"/>
      <c r="N335" s="1"/>
      <c r="P335" s="151"/>
    </row>
    <row r="336" ht="12.0" customHeight="1">
      <c r="B336" s="1"/>
      <c r="K336" s="151"/>
      <c r="L336" s="1"/>
      <c r="M336" s="3"/>
      <c r="N336" s="1"/>
      <c r="P336" s="151"/>
    </row>
    <row r="337" ht="12.0" customHeight="1">
      <c r="B337" s="1"/>
      <c r="K337" s="151"/>
      <c r="L337" s="1"/>
      <c r="M337" s="3"/>
      <c r="N337" s="1"/>
      <c r="P337" s="151"/>
    </row>
    <row r="338" ht="12.0" customHeight="1">
      <c r="B338" s="1"/>
      <c r="K338" s="151"/>
      <c r="L338" s="1"/>
      <c r="M338" s="3"/>
      <c r="N338" s="1"/>
      <c r="P338" s="151"/>
    </row>
    <row r="339" ht="12.0" customHeight="1">
      <c r="B339" s="1"/>
      <c r="K339" s="151"/>
      <c r="L339" s="1"/>
      <c r="M339" s="3"/>
      <c r="N339" s="1"/>
      <c r="P339" s="151"/>
    </row>
    <row r="340" ht="12.0" customHeight="1">
      <c r="B340" s="1"/>
      <c r="K340" s="151"/>
      <c r="L340" s="1"/>
      <c r="M340" s="3"/>
      <c r="N340" s="1"/>
      <c r="P340" s="151"/>
    </row>
    <row r="341" ht="12.0" customHeight="1">
      <c r="B341" s="1"/>
      <c r="K341" s="151"/>
      <c r="L341" s="1"/>
      <c r="M341" s="3"/>
      <c r="N341" s="1"/>
      <c r="P341" s="151"/>
    </row>
    <row r="342" ht="12.0" customHeight="1">
      <c r="B342" s="1"/>
      <c r="K342" s="151"/>
      <c r="L342" s="1"/>
      <c r="M342" s="3"/>
      <c r="N342" s="1"/>
      <c r="P342" s="151"/>
    </row>
    <row r="343" ht="12.0" customHeight="1">
      <c r="B343" s="1"/>
      <c r="K343" s="151"/>
      <c r="L343" s="1"/>
      <c r="M343" s="3"/>
      <c r="N343" s="1"/>
      <c r="P343" s="151"/>
    </row>
    <row r="344" ht="12.0" customHeight="1">
      <c r="B344" s="1"/>
      <c r="K344" s="151"/>
      <c r="L344" s="1"/>
      <c r="M344" s="3"/>
      <c r="N344" s="1"/>
      <c r="P344" s="151"/>
    </row>
    <row r="345" ht="12.0" customHeight="1">
      <c r="B345" s="1"/>
      <c r="K345" s="151"/>
      <c r="L345" s="1"/>
      <c r="M345" s="3"/>
      <c r="N345" s="1"/>
      <c r="P345" s="151"/>
    </row>
    <row r="346" ht="12.0" customHeight="1">
      <c r="B346" s="1"/>
      <c r="K346" s="151"/>
      <c r="L346" s="1"/>
      <c r="M346" s="3"/>
      <c r="N346" s="1"/>
      <c r="P346" s="151"/>
    </row>
    <row r="347" ht="12.0" customHeight="1">
      <c r="B347" s="1"/>
      <c r="K347" s="151"/>
      <c r="L347" s="1"/>
      <c r="M347" s="3"/>
      <c r="N347" s="1"/>
      <c r="P347" s="151"/>
    </row>
    <row r="348" ht="12.0" customHeight="1">
      <c r="B348" s="1"/>
      <c r="K348" s="151"/>
      <c r="L348" s="1"/>
      <c r="M348" s="3"/>
      <c r="N348" s="1"/>
      <c r="P348" s="151"/>
    </row>
    <row r="349" ht="12.0" customHeight="1">
      <c r="B349" s="1"/>
      <c r="K349" s="151"/>
      <c r="L349" s="1"/>
      <c r="M349" s="3"/>
      <c r="N349" s="1"/>
      <c r="P349" s="151"/>
    </row>
    <row r="350" ht="12.0" customHeight="1">
      <c r="B350" s="1"/>
      <c r="K350" s="151"/>
      <c r="L350" s="1"/>
      <c r="M350" s="3"/>
      <c r="N350" s="1"/>
      <c r="P350" s="151"/>
    </row>
    <row r="351" ht="12.0" customHeight="1">
      <c r="B351" s="1"/>
      <c r="K351" s="151"/>
      <c r="L351" s="1"/>
      <c r="M351" s="3"/>
      <c r="N351" s="1"/>
      <c r="P351" s="151"/>
    </row>
    <row r="352" ht="12.0" customHeight="1">
      <c r="B352" s="1"/>
      <c r="K352" s="151"/>
      <c r="L352" s="1"/>
      <c r="M352" s="3"/>
      <c r="N352" s="1"/>
      <c r="P352" s="151"/>
    </row>
    <row r="353" ht="12.0" customHeight="1">
      <c r="B353" s="1"/>
      <c r="K353" s="151"/>
      <c r="L353" s="1"/>
      <c r="M353" s="3"/>
      <c r="N353" s="1"/>
      <c r="P353" s="151"/>
    </row>
    <row r="354" ht="12.0" customHeight="1">
      <c r="B354" s="1"/>
      <c r="K354" s="151"/>
      <c r="L354" s="1"/>
      <c r="M354" s="3"/>
      <c r="N354" s="1"/>
      <c r="P354" s="151"/>
    </row>
    <row r="355" ht="12.0" customHeight="1">
      <c r="B355" s="1"/>
      <c r="K355" s="151"/>
      <c r="L355" s="1"/>
      <c r="M355" s="3"/>
      <c r="N355" s="1"/>
      <c r="P355" s="151"/>
    </row>
    <row r="356" ht="12.0" customHeight="1">
      <c r="B356" s="1"/>
      <c r="K356" s="151"/>
      <c r="L356" s="1"/>
      <c r="M356" s="3"/>
      <c r="N356" s="1"/>
      <c r="P356" s="151"/>
    </row>
    <row r="357" ht="12.0" customHeight="1">
      <c r="B357" s="1"/>
      <c r="K357" s="151"/>
      <c r="L357" s="1"/>
      <c r="M357" s="3"/>
      <c r="N357" s="1"/>
      <c r="P357" s="151"/>
    </row>
    <row r="358" ht="12.0" customHeight="1">
      <c r="B358" s="1"/>
      <c r="K358" s="151"/>
      <c r="L358" s="1"/>
      <c r="M358" s="3"/>
      <c r="N358" s="1"/>
      <c r="P358" s="151"/>
    </row>
    <row r="359" ht="12.0" customHeight="1">
      <c r="B359" s="1"/>
      <c r="K359" s="151"/>
      <c r="L359" s="1"/>
      <c r="M359" s="3"/>
      <c r="N359" s="1"/>
      <c r="P359" s="151"/>
    </row>
    <row r="360" ht="12.0" customHeight="1">
      <c r="B360" s="1"/>
      <c r="K360" s="151"/>
      <c r="L360" s="1"/>
      <c r="M360" s="3"/>
      <c r="N360" s="1"/>
      <c r="P360" s="151"/>
    </row>
    <row r="361" ht="12.0" customHeight="1">
      <c r="B361" s="1"/>
      <c r="K361" s="151"/>
      <c r="L361" s="1"/>
      <c r="M361" s="3"/>
      <c r="N361" s="1"/>
      <c r="P361" s="151"/>
    </row>
    <row r="362" ht="12.0" customHeight="1">
      <c r="B362" s="1"/>
      <c r="K362" s="151"/>
      <c r="L362" s="1"/>
      <c r="M362" s="3"/>
      <c r="N362" s="1"/>
      <c r="P362" s="151"/>
    </row>
    <row r="363" ht="12.0" customHeight="1">
      <c r="B363" s="1"/>
      <c r="K363" s="151"/>
      <c r="L363" s="1"/>
      <c r="M363" s="3"/>
      <c r="N363" s="1"/>
      <c r="P363" s="151"/>
    </row>
    <row r="364" ht="12.0" customHeight="1">
      <c r="B364" s="1"/>
      <c r="K364" s="151"/>
      <c r="L364" s="1"/>
      <c r="M364" s="3"/>
      <c r="N364" s="1"/>
      <c r="P364" s="151"/>
    </row>
    <row r="365" ht="12.0" customHeight="1">
      <c r="B365" s="1"/>
      <c r="K365" s="151"/>
      <c r="L365" s="1"/>
      <c r="M365" s="3"/>
      <c r="N365" s="1"/>
      <c r="P365" s="151"/>
    </row>
    <row r="366" ht="12.0" customHeight="1">
      <c r="B366" s="1"/>
      <c r="K366" s="151"/>
      <c r="L366" s="1"/>
      <c r="M366" s="3"/>
      <c r="N366" s="1"/>
      <c r="P366" s="151"/>
    </row>
    <row r="367" ht="12.0" customHeight="1">
      <c r="B367" s="1"/>
      <c r="K367" s="151"/>
      <c r="L367" s="1"/>
      <c r="M367" s="3"/>
      <c r="N367" s="1"/>
      <c r="P367" s="151"/>
    </row>
    <row r="368" ht="12.0" customHeight="1">
      <c r="B368" s="1"/>
      <c r="K368" s="151"/>
      <c r="L368" s="1"/>
      <c r="M368" s="3"/>
      <c r="N368" s="1"/>
      <c r="P368" s="151"/>
    </row>
    <row r="369" ht="12.0" customHeight="1">
      <c r="B369" s="1"/>
      <c r="K369" s="151"/>
      <c r="L369" s="1"/>
      <c r="M369" s="3"/>
      <c r="N369" s="1"/>
      <c r="P369" s="151"/>
    </row>
    <row r="370" ht="12.0" customHeight="1">
      <c r="B370" s="1"/>
      <c r="K370" s="151"/>
      <c r="L370" s="1"/>
      <c r="M370" s="3"/>
      <c r="N370" s="1"/>
      <c r="P370" s="151"/>
    </row>
    <row r="371" ht="12.0" customHeight="1">
      <c r="B371" s="1"/>
      <c r="K371" s="151"/>
      <c r="L371" s="1"/>
      <c r="M371" s="3"/>
      <c r="N371" s="1"/>
      <c r="P371" s="151"/>
    </row>
    <row r="372" ht="12.0" customHeight="1">
      <c r="B372" s="1"/>
      <c r="K372" s="151"/>
      <c r="L372" s="1"/>
      <c r="M372" s="3"/>
      <c r="N372" s="1"/>
      <c r="P372" s="151"/>
    </row>
    <row r="373" ht="12.0" customHeight="1">
      <c r="B373" s="1"/>
      <c r="K373" s="151"/>
      <c r="L373" s="1"/>
      <c r="M373" s="3"/>
      <c r="N373" s="1"/>
      <c r="P373" s="151"/>
    </row>
    <row r="374" ht="12.0" customHeight="1">
      <c r="B374" s="1"/>
      <c r="K374" s="151"/>
      <c r="L374" s="1"/>
      <c r="M374" s="3"/>
      <c r="N374" s="1"/>
      <c r="P374" s="151"/>
    </row>
    <row r="375" ht="12.0" customHeight="1">
      <c r="B375" s="1"/>
      <c r="K375" s="151"/>
      <c r="L375" s="1"/>
      <c r="M375" s="3"/>
      <c r="N375" s="1"/>
      <c r="P375" s="151"/>
    </row>
    <row r="376" ht="12.0" customHeight="1">
      <c r="B376" s="1"/>
      <c r="K376" s="151"/>
      <c r="L376" s="1"/>
      <c r="M376" s="3"/>
      <c r="N376" s="1"/>
      <c r="P376" s="151"/>
    </row>
    <row r="377" ht="12.0" customHeight="1">
      <c r="B377" s="1"/>
      <c r="K377" s="151"/>
      <c r="L377" s="1"/>
      <c r="M377" s="3"/>
      <c r="N377" s="1"/>
      <c r="P377" s="151"/>
    </row>
    <row r="378" ht="12.0" customHeight="1">
      <c r="B378" s="1"/>
      <c r="K378" s="151"/>
      <c r="L378" s="1"/>
      <c r="M378" s="3"/>
      <c r="N378" s="1"/>
      <c r="P378" s="151"/>
    </row>
    <row r="379" ht="12.0" customHeight="1">
      <c r="B379" s="1"/>
      <c r="K379" s="151"/>
      <c r="L379" s="1"/>
      <c r="M379" s="3"/>
      <c r="N379" s="1"/>
      <c r="P379" s="151"/>
    </row>
    <row r="380" ht="12.0" customHeight="1">
      <c r="B380" s="1"/>
      <c r="K380" s="151"/>
      <c r="L380" s="1"/>
      <c r="M380" s="3"/>
      <c r="N380" s="1"/>
      <c r="P380" s="151"/>
    </row>
    <row r="381" ht="12.0" customHeight="1">
      <c r="B381" s="1"/>
      <c r="K381" s="151"/>
      <c r="L381" s="1"/>
      <c r="M381" s="3"/>
      <c r="N381" s="1"/>
      <c r="P381" s="151"/>
    </row>
    <row r="382" ht="12.0" customHeight="1">
      <c r="B382" s="1"/>
      <c r="K382" s="151"/>
      <c r="L382" s="1"/>
      <c r="M382" s="3"/>
      <c r="N382" s="1"/>
      <c r="P382" s="151"/>
    </row>
    <row r="383" ht="12.0" customHeight="1">
      <c r="B383" s="1"/>
      <c r="K383" s="151"/>
      <c r="L383" s="1"/>
      <c r="M383" s="3"/>
      <c r="N383" s="1"/>
      <c r="P383" s="151"/>
    </row>
    <row r="384" ht="12.0" customHeight="1">
      <c r="B384" s="1"/>
      <c r="K384" s="151"/>
      <c r="L384" s="1"/>
      <c r="M384" s="3"/>
      <c r="N384" s="1"/>
      <c r="P384" s="151"/>
    </row>
    <row r="385" ht="12.0" customHeight="1">
      <c r="B385" s="1"/>
      <c r="K385" s="151"/>
      <c r="L385" s="1"/>
      <c r="M385" s="3"/>
      <c r="N385" s="1"/>
      <c r="P385" s="151"/>
    </row>
    <row r="386" ht="12.0" customHeight="1">
      <c r="B386" s="1"/>
      <c r="K386" s="151"/>
      <c r="L386" s="1"/>
      <c r="M386" s="3"/>
      <c r="N386" s="1"/>
      <c r="P386" s="151"/>
    </row>
    <row r="387" ht="12.0" customHeight="1">
      <c r="B387" s="1"/>
      <c r="K387" s="151"/>
      <c r="L387" s="1"/>
      <c r="M387" s="3"/>
      <c r="N387" s="1"/>
      <c r="P387" s="151"/>
    </row>
    <row r="388" ht="12.0" customHeight="1">
      <c r="B388" s="1"/>
      <c r="K388" s="151"/>
      <c r="L388" s="1"/>
      <c r="M388" s="3"/>
      <c r="N388" s="1"/>
      <c r="P388" s="151"/>
    </row>
    <row r="389" ht="12.0" customHeight="1">
      <c r="B389" s="1"/>
      <c r="K389" s="151"/>
      <c r="L389" s="1"/>
      <c r="M389" s="3"/>
      <c r="N389" s="1"/>
      <c r="P389" s="151"/>
    </row>
    <row r="390" ht="12.0" customHeight="1">
      <c r="B390" s="1"/>
      <c r="K390" s="151"/>
      <c r="L390" s="1"/>
      <c r="M390" s="3"/>
      <c r="N390" s="1"/>
      <c r="P390" s="151"/>
    </row>
    <row r="391" ht="12.0" customHeight="1">
      <c r="B391" s="1"/>
      <c r="K391" s="151"/>
      <c r="L391" s="1"/>
      <c r="M391" s="3"/>
      <c r="N391" s="1"/>
      <c r="P391" s="151"/>
    </row>
    <row r="392" ht="12.0" customHeight="1">
      <c r="B392" s="1"/>
      <c r="K392" s="151"/>
      <c r="L392" s="1"/>
      <c r="M392" s="3"/>
      <c r="N392" s="1"/>
      <c r="P392" s="151"/>
    </row>
    <row r="393" ht="12.0" customHeight="1">
      <c r="B393" s="1"/>
      <c r="K393" s="151"/>
      <c r="L393" s="1"/>
      <c r="M393" s="3"/>
      <c r="N393" s="1"/>
      <c r="P393" s="151"/>
    </row>
    <row r="394" ht="12.0" customHeight="1">
      <c r="B394" s="1"/>
      <c r="K394" s="151"/>
      <c r="L394" s="1"/>
      <c r="M394" s="3"/>
      <c r="N394" s="1"/>
      <c r="P394" s="151"/>
    </row>
    <row r="395" ht="12.0" customHeight="1">
      <c r="B395" s="1"/>
      <c r="K395" s="151"/>
      <c r="L395" s="1"/>
      <c r="M395" s="3"/>
      <c r="N395" s="1"/>
      <c r="P395" s="151"/>
    </row>
    <row r="396" ht="12.0" customHeight="1">
      <c r="B396" s="1"/>
      <c r="K396" s="151"/>
      <c r="L396" s="1"/>
      <c r="M396" s="3"/>
      <c r="N396" s="1"/>
      <c r="P396" s="151"/>
    </row>
    <row r="397" ht="12.0" customHeight="1">
      <c r="B397" s="1"/>
      <c r="K397" s="151"/>
      <c r="L397" s="1"/>
      <c r="M397" s="3"/>
      <c r="N397" s="1"/>
      <c r="P397" s="151"/>
    </row>
    <row r="398" ht="12.0" customHeight="1">
      <c r="B398" s="1"/>
      <c r="K398" s="151"/>
      <c r="L398" s="1"/>
      <c r="M398" s="3"/>
      <c r="N398" s="1"/>
      <c r="P398" s="151"/>
    </row>
    <row r="399" ht="12.0" customHeight="1">
      <c r="B399" s="1"/>
      <c r="K399" s="151"/>
      <c r="L399" s="1"/>
      <c r="M399" s="3"/>
      <c r="N399" s="1"/>
      <c r="P399" s="151"/>
    </row>
    <row r="400" ht="12.0" customHeight="1">
      <c r="B400" s="1"/>
      <c r="K400" s="151"/>
      <c r="L400" s="1"/>
      <c r="M400" s="3"/>
      <c r="N400" s="1"/>
      <c r="P400" s="151"/>
    </row>
    <row r="401" ht="12.0" customHeight="1">
      <c r="B401" s="1"/>
      <c r="K401" s="151"/>
      <c r="L401" s="1"/>
      <c r="M401" s="3"/>
      <c r="N401" s="1"/>
      <c r="P401" s="151"/>
    </row>
    <row r="402" ht="12.0" customHeight="1">
      <c r="B402" s="1"/>
      <c r="K402" s="151"/>
      <c r="L402" s="1"/>
      <c r="M402" s="3"/>
      <c r="N402" s="1"/>
      <c r="P402" s="151"/>
    </row>
    <row r="403" ht="12.0" customHeight="1">
      <c r="B403" s="1"/>
      <c r="K403" s="151"/>
      <c r="L403" s="1"/>
      <c r="M403" s="3"/>
      <c r="N403" s="1"/>
      <c r="P403" s="151"/>
    </row>
    <row r="404" ht="12.0" customHeight="1">
      <c r="B404" s="1"/>
      <c r="K404" s="151"/>
      <c r="L404" s="1"/>
      <c r="M404" s="3"/>
      <c r="N404" s="1"/>
      <c r="P404" s="151"/>
    </row>
    <row r="405" ht="12.0" customHeight="1">
      <c r="B405" s="1"/>
      <c r="K405" s="151"/>
      <c r="L405" s="1"/>
      <c r="M405" s="3"/>
      <c r="N405" s="1"/>
      <c r="P405" s="151"/>
    </row>
    <row r="406" ht="12.0" customHeight="1">
      <c r="B406" s="1"/>
      <c r="K406" s="151"/>
      <c r="L406" s="1"/>
      <c r="M406" s="3"/>
      <c r="N406" s="1"/>
      <c r="P406" s="151"/>
    </row>
    <row r="407" ht="12.0" customHeight="1">
      <c r="B407" s="1"/>
      <c r="K407" s="151"/>
      <c r="L407" s="1"/>
      <c r="M407" s="3"/>
      <c r="N407" s="1"/>
      <c r="P407" s="151"/>
    </row>
    <row r="408" ht="12.0" customHeight="1">
      <c r="B408" s="1"/>
      <c r="K408" s="151"/>
      <c r="L408" s="1"/>
      <c r="M408" s="3"/>
      <c r="N408" s="1"/>
      <c r="P408" s="151"/>
    </row>
    <row r="409" ht="12.0" customHeight="1">
      <c r="B409" s="1"/>
      <c r="K409" s="151"/>
      <c r="L409" s="1"/>
      <c r="M409" s="3"/>
      <c r="N409" s="1"/>
      <c r="P409" s="151"/>
    </row>
    <row r="410" ht="12.0" customHeight="1">
      <c r="B410" s="1"/>
      <c r="K410" s="151"/>
      <c r="L410" s="1"/>
      <c r="M410" s="3"/>
      <c r="N410" s="1"/>
      <c r="P410" s="151"/>
    </row>
    <row r="411" ht="12.0" customHeight="1">
      <c r="B411" s="1"/>
      <c r="K411" s="151"/>
      <c r="L411" s="1"/>
      <c r="M411" s="3"/>
      <c r="N411" s="1"/>
      <c r="P411" s="151"/>
    </row>
    <row r="412" ht="12.0" customHeight="1">
      <c r="B412" s="1"/>
      <c r="K412" s="151"/>
      <c r="L412" s="1"/>
      <c r="M412" s="3"/>
      <c r="N412" s="1"/>
      <c r="P412" s="151"/>
    </row>
    <row r="413" ht="12.0" customHeight="1">
      <c r="B413" s="1"/>
      <c r="K413" s="151"/>
      <c r="L413" s="1"/>
      <c r="M413" s="3"/>
      <c r="N413" s="1"/>
      <c r="P413" s="151"/>
    </row>
    <row r="414" ht="12.0" customHeight="1">
      <c r="B414" s="1"/>
      <c r="K414" s="151"/>
      <c r="L414" s="1"/>
      <c r="M414" s="3"/>
      <c r="N414" s="1"/>
      <c r="P414" s="151"/>
    </row>
    <row r="415" ht="12.0" customHeight="1">
      <c r="B415" s="1"/>
      <c r="K415" s="151"/>
      <c r="L415" s="1"/>
      <c r="M415" s="3"/>
      <c r="N415" s="1"/>
      <c r="P415" s="151"/>
    </row>
    <row r="416" ht="12.0" customHeight="1">
      <c r="B416" s="1"/>
      <c r="K416" s="151"/>
      <c r="L416" s="1"/>
      <c r="M416" s="3"/>
      <c r="N416" s="1"/>
      <c r="P416" s="151"/>
    </row>
    <row r="417" ht="12.0" customHeight="1">
      <c r="B417" s="1"/>
      <c r="K417" s="151"/>
      <c r="L417" s="1"/>
      <c r="M417" s="3"/>
      <c r="N417" s="1"/>
      <c r="P417" s="151"/>
    </row>
    <row r="418" ht="12.0" customHeight="1">
      <c r="B418" s="1"/>
      <c r="K418" s="151"/>
      <c r="L418" s="1"/>
      <c r="M418" s="3"/>
      <c r="N418" s="1"/>
      <c r="P418" s="151"/>
    </row>
    <row r="419" ht="12.0" customHeight="1">
      <c r="B419" s="1"/>
      <c r="K419" s="151"/>
      <c r="L419" s="1"/>
      <c r="M419" s="3"/>
      <c r="N419" s="1"/>
      <c r="P419" s="151"/>
    </row>
    <row r="420" ht="12.0" customHeight="1">
      <c r="B420" s="1"/>
      <c r="K420" s="151"/>
      <c r="L420" s="1"/>
      <c r="M420" s="3"/>
      <c r="N420" s="1"/>
      <c r="P420" s="151"/>
    </row>
    <row r="421" ht="12.0" customHeight="1">
      <c r="B421" s="1"/>
      <c r="K421" s="151"/>
      <c r="L421" s="1"/>
      <c r="M421" s="3"/>
      <c r="N421" s="1"/>
      <c r="P421" s="151"/>
    </row>
    <row r="422" ht="12.0" customHeight="1">
      <c r="B422" s="1"/>
      <c r="K422" s="151"/>
      <c r="L422" s="1"/>
      <c r="M422" s="3"/>
      <c r="N422" s="1"/>
      <c r="P422" s="151"/>
    </row>
    <row r="423" ht="12.0" customHeight="1">
      <c r="B423" s="1"/>
      <c r="K423" s="151"/>
      <c r="L423" s="1"/>
      <c r="M423" s="3"/>
      <c r="N423" s="1"/>
      <c r="P423" s="151"/>
    </row>
    <row r="424" ht="12.0" customHeight="1">
      <c r="B424" s="1"/>
      <c r="K424" s="151"/>
      <c r="L424" s="1"/>
      <c r="M424" s="3"/>
      <c r="N424" s="1"/>
      <c r="P424" s="151"/>
    </row>
    <row r="425" ht="12.0" customHeight="1">
      <c r="B425" s="1"/>
      <c r="K425" s="151"/>
      <c r="L425" s="1"/>
      <c r="M425" s="3"/>
      <c r="N425" s="1"/>
      <c r="P425" s="151"/>
    </row>
    <row r="426" ht="12.0" customHeight="1">
      <c r="B426" s="1"/>
      <c r="K426" s="151"/>
      <c r="L426" s="1"/>
      <c r="M426" s="3"/>
      <c r="N426" s="1"/>
      <c r="P426" s="151"/>
    </row>
    <row r="427" ht="12.0" customHeight="1">
      <c r="B427" s="1"/>
      <c r="K427" s="151"/>
      <c r="L427" s="1"/>
      <c r="M427" s="3"/>
      <c r="N427" s="1"/>
      <c r="P427" s="151"/>
    </row>
    <row r="428" ht="12.0" customHeight="1">
      <c r="B428" s="1"/>
      <c r="K428" s="151"/>
      <c r="L428" s="1"/>
      <c r="M428" s="3"/>
      <c r="N428" s="1"/>
      <c r="P428" s="151"/>
    </row>
    <row r="429" ht="12.0" customHeight="1">
      <c r="B429" s="1"/>
      <c r="K429" s="151"/>
      <c r="L429" s="1"/>
      <c r="M429" s="3"/>
      <c r="N429" s="1"/>
      <c r="P429" s="151"/>
    </row>
    <row r="430" ht="12.0" customHeight="1">
      <c r="B430" s="1"/>
      <c r="K430" s="151"/>
      <c r="L430" s="1"/>
      <c r="M430" s="3"/>
      <c r="N430" s="1"/>
      <c r="P430" s="151"/>
    </row>
    <row r="431" ht="12.0" customHeight="1">
      <c r="B431" s="1"/>
      <c r="K431" s="151"/>
      <c r="L431" s="1"/>
      <c r="M431" s="3"/>
      <c r="N431" s="1"/>
      <c r="P431" s="151"/>
    </row>
    <row r="432" ht="12.0" customHeight="1">
      <c r="B432" s="1"/>
      <c r="K432" s="151"/>
      <c r="L432" s="1"/>
      <c r="M432" s="3"/>
      <c r="N432" s="1"/>
      <c r="P432" s="151"/>
    </row>
    <row r="433" ht="12.0" customHeight="1">
      <c r="B433" s="1"/>
      <c r="K433" s="151"/>
      <c r="L433" s="1"/>
      <c r="M433" s="3"/>
      <c r="N433" s="1"/>
      <c r="P433" s="151"/>
    </row>
    <row r="434" ht="12.0" customHeight="1">
      <c r="B434" s="1"/>
      <c r="K434" s="151"/>
      <c r="L434" s="1"/>
      <c r="M434" s="3"/>
      <c r="N434" s="1"/>
      <c r="P434" s="151"/>
    </row>
    <row r="435" ht="12.0" customHeight="1">
      <c r="B435" s="1"/>
      <c r="K435" s="151"/>
      <c r="L435" s="1"/>
      <c r="M435" s="3"/>
      <c r="N435" s="1"/>
      <c r="P435" s="151"/>
    </row>
    <row r="436" ht="12.0" customHeight="1">
      <c r="B436" s="1"/>
      <c r="K436" s="151"/>
      <c r="L436" s="1"/>
      <c r="M436" s="3"/>
      <c r="N436" s="1"/>
      <c r="P436" s="151"/>
    </row>
    <row r="437" ht="12.0" customHeight="1">
      <c r="B437" s="1"/>
      <c r="K437" s="151"/>
      <c r="L437" s="1"/>
      <c r="M437" s="3"/>
      <c r="N437" s="1"/>
      <c r="P437" s="151"/>
    </row>
    <row r="438" ht="12.0" customHeight="1">
      <c r="B438" s="1"/>
      <c r="K438" s="151"/>
      <c r="L438" s="1"/>
      <c r="M438" s="3"/>
      <c r="N438" s="1"/>
      <c r="P438" s="151"/>
    </row>
    <row r="439" ht="12.0" customHeight="1">
      <c r="B439" s="1"/>
      <c r="K439" s="151"/>
      <c r="L439" s="1"/>
      <c r="M439" s="3"/>
      <c r="N439" s="1"/>
      <c r="P439" s="151"/>
    </row>
    <row r="440" ht="12.0" customHeight="1">
      <c r="B440" s="1"/>
      <c r="K440" s="151"/>
      <c r="L440" s="1"/>
      <c r="M440" s="3"/>
      <c r="N440" s="1"/>
      <c r="P440" s="151"/>
    </row>
    <row r="441" ht="12.0" customHeight="1">
      <c r="B441" s="1"/>
      <c r="K441" s="151"/>
      <c r="L441" s="1"/>
      <c r="M441" s="3"/>
      <c r="N441" s="1"/>
      <c r="P441" s="151"/>
    </row>
    <row r="442" ht="12.0" customHeight="1">
      <c r="B442" s="1"/>
      <c r="K442" s="151"/>
      <c r="L442" s="1"/>
      <c r="M442" s="3"/>
      <c r="N442" s="1"/>
      <c r="P442" s="151"/>
    </row>
    <row r="443" ht="12.0" customHeight="1">
      <c r="B443" s="1"/>
      <c r="K443" s="151"/>
      <c r="L443" s="1"/>
      <c r="M443" s="3"/>
      <c r="N443" s="1"/>
      <c r="P443" s="151"/>
    </row>
    <row r="444" ht="12.0" customHeight="1">
      <c r="B444" s="1"/>
      <c r="K444" s="151"/>
      <c r="L444" s="1"/>
      <c r="M444" s="3"/>
      <c r="N444" s="1"/>
      <c r="P444" s="151"/>
    </row>
    <row r="445" ht="12.0" customHeight="1">
      <c r="B445" s="1"/>
      <c r="K445" s="151"/>
      <c r="L445" s="1"/>
      <c r="M445" s="3"/>
      <c r="N445" s="1"/>
      <c r="P445" s="151"/>
    </row>
    <row r="446" ht="12.0" customHeight="1">
      <c r="B446" s="1"/>
      <c r="K446" s="151"/>
      <c r="L446" s="1"/>
      <c r="M446" s="3"/>
      <c r="N446" s="1"/>
      <c r="P446" s="151"/>
    </row>
    <row r="447" ht="12.0" customHeight="1">
      <c r="B447" s="1"/>
      <c r="K447" s="151"/>
      <c r="L447" s="1"/>
      <c r="M447" s="3"/>
      <c r="N447" s="1"/>
      <c r="P447" s="151"/>
    </row>
    <row r="448" ht="12.0" customHeight="1">
      <c r="B448" s="1"/>
      <c r="K448" s="151"/>
      <c r="L448" s="1"/>
      <c r="M448" s="3"/>
      <c r="N448" s="1"/>
      <c r="P448" s="151"/>
    </row>
    <row r="449" ht="12.0" customHeight="1">
      <c r="B449" s="1"/>
      <c r="K449" s="151"/>
      <c r="L449" s="1"/>
      <c r="M449" s="3"/>
      <c r="N449" s="1"/>
      <c r="P449" s="151"/>
    </row>
    <row r="450" ht="12.0" customHeight="1">
      <c r="B450" s="1"/>
      <c r="K450" s="151"/>
      <c r="L450" s="1"/>
      <c r="M450" s="3"/>
      <c r="N450" s="1"/>
      <c r="P450" s="151"/>
    </row>
    <row r="451" ht="12.0" customHeight="1">
      <c r="B451" s="1"/>
      <c r="K451" s="151"/>
      <c r="L451" s="1"/>
      <c r="M451" s="3"/>
      <c r="N451" s="1"/>
      <c r="P451" s="151"/>
    </row>
    <row r="452" ht="12.0" customHeight="1">
      <c r="B452" s="1"/>
      <c r="K452" s="151"/>
      <c r="L452" s="1"/>
      <c r="M452" s="3"/>
      <c r="N452" s="1"/>
      <c r="P452" s="151"/>
    </row>
    <row r="453" ht="12.0" customHeight="1">
      <c r="B453" s="1"/>
      <c r="K453" s="151"/>
      <c r="L453" s="1"/>
      <c r="M453" s="3"/>
      <c r="N453" s="1"/>
      <c r="P453" s="151"/>
    </row>
    <row r="454" ht="12.0" customHeight="1">
      <c r="B454" s="1"/>
      <c r="K454" s="151"/>
      <c r="L454" s="1"/>
      <c r="M454" s="3"/>
      <c r="N454" s="1"/>
      <c r="P454" s="151"/>
    </row>
    <row r="455" ht="12.0" customHeight="1">
      <c r="B455" s="1"/>
      <c r="K455" s="151"/>
      <c r="L455" s="1"/>
      <c r="M455" s="3"/>
      <c r="N455" s="1"/>
      <c r="P455" s="151"/>
    </row>
    <row r="456" ht="12.0" customHeight="1">
      <c r="B456" s="1"/>
      <c r="K456" s="151"/>
      <c r="L456" s="1"/>
      <c r="M456" s="3"/>
      <c r="N456" s="1"/>
      <c r="P456" s="151"/>
    </row>
    <row r="457" ht="12.0" customHeight="1">
      <c r="B457" s="1"/>
      <c r="K457" s="151"/>
      <c r="L457" s="1"/>
      <c r="M457" s="3"/>
      <c r="N457" s="1"/>
      <c r="P457" s="151"/>
    </row>
    <row r="458" ht="12.0" customHeight="1">
      <c r="B458" s="1"/>
      <c r="K458" s="151"/>
      <c r="L458" s="1"/>
      <c r="M458" s="3"/>
      <c r="N458" s="1"/>
      <c r="P458" s="151"/>
    </row>
    <row r="459" ht="12.0" customHeight="1">
      <c r="B459" s="1"/>
      <c r="K459" s="151"/>
      <c r="L459" s="1"/>
      <c r="M459" s="3"/>
      <c r="N459" s="1"/>
      <c r="P459" s="151"/>
    </row>
    <row r="460" ht="12.0" customHeight="1">
      <c r="B460" s="1"/>
      <c r="K460" s="151"/>
      <c r="L460" s="1"/>
      <c r="M460" s="3"/>
      <c r="N460" s="1"/>
      <c r="P460" s="151"/>
    </row>
    <row r="461" ht="12.0" customHeight="1">
      <c r="B461" s="1"/>
      <c r="K461" s="151"/>
      <c r="L461" s="1"/>
      <c r="M461" s="3"/>
      <c r="N461" s="1"/>
      <c r="P461" s="151"/>
    </row>
    <row r="462" ht="12.0" customHeight="1">
      <c r="B462" s="1"/>
      <c r="K462" s="151"/>
      <c r="L462" s="1"/>
      <c r="M462" s="3"/>
      <c r="N462" s="1"/>
      <c r="P462" s="151"/>
    </row>
    <row r="463" ht="12.0" customHeight="1">
      <c r="B463" s="1"/>
      <c r="K463" s="151"/>
      <c r="L463" s="1"/>
      <c r="M463" s="3"/>
      <c r="N463" s="1"/>
      <c r="P463" s="151"/>
    </row>
    <row r="464" ht="12.0" customHeight="1">
      <c r="B464" s="1"/>
      <c r="K464" s="151"/>
      <c r="L464" s="1"/>
      <c r="M464" s="3"/>
      <c r="N464" s="1"/>
      <c r="P464" s="151"/>
    </row>
    <row r="465" ht="12.0" customHeight="1">
      <c r="B465" s="1"/>
      <c r="K465" s="151"/>
      <c r="L465" s="1"/>
      <c r="M465" s="3"/>
      <c r="N465" s="1"/>
      <c r="P465" s="151"/>
    </row>
    <row r="466" ht="12.0" customHeight="1">
      <c r="B466" s="1"/>
      <c r="K466" s="151"/>
      <c r="L466" s="1"/>
      <c r="M466" s="3"/>
      <c r="N466" s="1"/>
      <c r="P466" s="151"/>
    </row>
    <row r="467" ht="12.0" customHeight="1">
      <c r="B467" s="1"/>
      <c r="K467" s="151"/>
      <c r="L467" s="1"/>
      <c r="M467" s="3"/>
      <c r="N467" s="1"/>
      <c r="P467" s="151"/>
    </row>
    <row r="468" ht="12.0" customHeight="1">
      <c r="B468" s="1"/>
      <c r="K468" s="151"/>
      <c r="L468" s="1"/>
      <c r="M468" s="3"/>
      <c r="N468" s="1"/>
      <c r="P468" s="151"/>
    </row>
    <row r="469" ht="12.0" customHeight="1">
      <c r="B469" s="1"/>
      <c r="K469" s="151"/>
      <c r="L469" s="1"/>
      <c r="M469" s="3"/>
      <c r="N469" s="1"/>
      <c r="P469" s="151"/>
    </row>
    <row r="470" ht="12.0" customHeight="1">
      <c r="B470" s="1"/>
      <c r="K470" s="151"/>
      <c r="L470" s="1"/>
      <c r="M470" s="3"/>
      <c r="N470" s="1"/>
      <c r="P470" s="151"/>
    </row>
    <row r="471" ht="12.0" customHeight="1">
      <c r="B471" s="1"/>
      <c r="K471" s="151"/>
      <c r="L471" s="1"/>
      <c r="M471" s="3"/>
      <c r="N471" s="1"/>
      <c r="P471" s="151"/>
    </row>
    <row r="472" ht="12.0" customHeight="1">
      <c r="B472" s="1"/>
      <c r="K472" s="151"/>
      <c r="L472" s="1"/>
      <c r="M472" s="3"/>
      <c r="N472" s="1"/>
      <c r="P472" s="151"/>
    </row>
    <row r="473" ht="12.0" customHeight="1">
      <c r="B473" s="1"/>
      <c r="K473" s="151"/>
      <c r="L473" s="1"/>
      <c r="M473" s="3"/>
      <c r="N473" s="1"/>
      <c r="P473" s="151"/>
    </row>
    <row r="474" ht="12.0" customHeight="1">
      <c r="B474" s="1"/>
      <c r="K474" s="151"/>
      <c r="L474" s="1"/>
      <c r="M474" s="3"/>
      <c r="N474" s="1"/>
      <c r="P474" s="151"/>
    </row>
    <row r="475" ht="12.0" customHeight="1">
      <c r="B475" s="1"/>
      <c r="K475" s="151"/>
      <c r="L475" s="1"/>
      <c r="M475" s="3"/>
      <c r="N475" s="1"/>
      <c r="P475" s="151"/>
    </row>
    <row r="476" ht="12.0" customHeight="1">
      <c r="B476" s="1"/>
      <c r="K476" s="151"/>
      <c r="L476" s="1"/>
      <c r="M476" s="3"/>
      <c r="N476" s="1"/>
      <c r="P476" s="151"/>
    </row>
    <row r="477" ht="12.0" customHeight="1">
      <c r="B477" s="1"/>
      <c r="K477" s="151"/>
      <c r="L477" s="1"/>
      <c r="M477" s="3"/>
      <c r="N477" s="1"/>
      <c r="P477" s="151"/>
    </row>
    <row r="478" ht="12.0" customHeight="1">
      <c r="B478" s="1"/>
      <c r="K478" s="151"/>
      <c r="L478" s="1"/>
      <c r="M478" s="3"/>
      <c r="N478" s="1"/>
      <c r="P478" s="151"/>
    </row>
    <row r="479" ht="12.0" customHeight="1">
      <c r="B479" s="1"/>
      <c r="K479" s="151"/>
      <c r="L479" s="1"/>
      <c r="M479" s="3"/>
      <c r="N479" s="1"/>
      <c r="P479" s="151"/>
    </row>
    <row r="480" ht="12.0" customHeight="1">
      <c r="B480" s="1"/>
      <c r="K480" s="151"/>
      <c r="L480" s="1"/>
      <c r="M480" s="3"/>
      <c r="N480" s="1"/>
      <c r="P480" s="151"/>
    </row>
    <row r="481" ht="12.0" customHeight="1">
      <c r="B481" s="1"/>
      <c r="K481" s="151"/>
      <c r="L481" s="1"/>
      <c r="M481" s="3"/>
      <c r="N481" s="1"/>
      <c r="P481" s="151"/>
    </row>
    <row r="482" ht="12.0" customHeight="1">
      <c r="B482" s="1"/>
      <c r="K482" s="151"/>
      <c r="L482" s="1"/>
      <c r="M482" s="3"/>
      <c r="N482" s="1"/>
      <c r="P482" s="151"/>
    </row>
    <row r="483" ht="12.0" customHeight="1">
      <c r="B483" s="1"/>
      <c r="K483" s="151"/>
      <c r="L483" s="1"/>
      <c r="M483" s="3"/>
      <c r="N483" s="1"/>
      <c r="P483" s="151"/>
    </row>
    <row r="484" ht="12.0" customHeight="1">
      <c r="B484" s="1"/>
      <c r="K484" s="151"/>
      <c r="L484" s="1"/>
      <c r="M484" s="3"/>
      <c r="N484" s="1"/>
      <c r="P484" s="151"/>
    </row>
    <row r="485" ht="12.0" customHeight="1">
      <c r="B485" s="1"/>
      <c r="K485" s="151"/>
      <c r="L485" s="1"/>
      <c r="M485" s="3"/>
      <c r="N485" s="1"/>
      <c r="P485" s="151"/>
    </row>
    <row r="486" ht="12.0" customHeight="1">
      <c r="B486" s="1"/>
      <c r="K486" s="151"/>
      <c r="L486" s="1"/>
      <c r="M486" s="3"/>
      <c r="N486" s="1"/>
      <c r="P486" s="151"/>
    </row>
    <row r="487" ht="12.0" customHeight="1">
      <c r="B487" s="1"/>
      <c r="K487" s="151"/>
      <c r="L487" s="1"/>
      <c r="M487" s="3"/>
      <c r="N487" s="1"/>
      <c r="P487" s="151"/>
    </row>
    <row r="488" ht="12.0" customHeight="1">
      <c r="B488" s="1"/>
      <c r="K488" s="151"/>
      <c r="L488" s="1"/>
      <c r="M488" s="3"/>
      <c r="N488" s="1"/>
      <c r="P488" s="151"/>
    </row>
    <row r="489" ht="12.0" customHeight="1">
      <c r="B489" s="1"/>
      <c r="K489" s="151"/>
      <c r="L489" s="1"/>
      <c r="M489" s="3"/>
      <c r="N489" s="1"/>
      <c r="P489" s="151"/>
    </row>
    <row r="490" ht="12.0" customHeight="1">
      <c r="B490" s="1"/>
      <c r="K490" s="151"/>
      <c r="L490" s="1"/>
      <c r="M490" s="3"/>
      <c r="N490" s="1"/>
      <c r="P490" s="151"/>
    </row>
    <row r="491" ht="12.0" customHeight="1">
      <c r="B491" s="1"/>
      <c r="K491" s="151"/>
      <c r="L491" s="1"/>
      <c r="M491" s="3"/>
      <c r="N491" s="1"/>
      <c r="P491" s="151"/>
    </row>
    <row r="492" ht="12.0" customHeight="1">
      <c r="B492" s="1"/>
      <c r="K492" s="151"/>
      <c r="L492" s="1"/>
      <c r="M492" s="3"/>
      <c r="N492" s="1"/>
      <c r="P492" s="151"/>
    </row>
    <row r="493" ht="12.0" customHeight="1">
      <c r="B493" s="1"/>
      <c r="K493" s="151"/>
      <c r="L493" s="1"/>
      <c r="M493" s="3"/>
      <c r="N493" s="1"/>
      <c r="P493" s="151"/>
    </row>
    <row r="494" ht="12.0" customHeight="1">
      <c r="B494" s="1"/>
      <c r="K494" s="151"/>
      <c r="L494" s="1"/>
      <c r="M494" s="3"/>
      <c r="N494" s="1"/>
      <c r="P494" s="151"/>
    </row>
    <row r="495" ht="12.0" customHeight="1">
      <c r="B495" s="1"/>
      <c r="K495" s="151"/>
      <c r="L495" s="1"/>
      <c r="M495" s="3"/>
      <c r="N495" s="1"/>
      <c r="P495" s="151"/>
    </row>
    <row r="496" ht="12.0" customHeight="1">
      <c r="B496" s="1"/>
      <c r="K496" s="151"/>
      <c r="L496" s="1"/>
      <c r="M496" s="3"/>
      <c r="N496" s="1"/>
      <c r="P496" s="151"/>
    </row>
    <row r="497" ht="12.0" customHeight="1">
      <c r="B497" s="1"/>
      <c r="K497" s="151"/>
      <c r="L497" s="1"/>
      <c r="M497" s="3"/>
      <c r="N497" s="1"/>
      <c r="P497" s="151"/>
    </row>
    <row r="498" ht="12.0" customHeight="1">
      <c r="B498" s="1"/>
      <c r="K498" s="151"/>
      <c r="L498" s="1"/>
      <c r="M498" s="3"/>
      <c r="N498" s="1"/>
      <c r="P498" s="151"/>
    </row>
    <row r="499" ht="12.0" customHeight="1">
      <c r="B499" s="1"/>
      <c r="K499" s="151"/>
      <c r="L499" s="1"/>
      <c r="M499" s="3"/>
      <c r="N499" s="1"/>
      <c r="P499" s="151"/>
    </row>
    <row r="500" ht="12.0" customHeight="1">
      <c r="B500" s="1"/>
      <c r="K500" s="151"/>
      <c r="L500" s="1"/>
      <c r="M500" s="3"/>
      <c r="N500" s="1"/>
      <c r="P500" s="151"/>
    </row>
    <row r="501" ht="12.0" customHeight="1">
      <c r="B501" s="1"/>
      <c r="K501" s="151"/>
      <c r="L501" s="1"/>
      <c r="M501" s="3"/>
      <c r="N501" s="1"/>
      <c r="P501" s="151"/>
    </row>
    <row r="502" ht="12.0" customHeight="1">
      <c r="B502" s="1"/>
      <c r="K502" s="151"/>
      <c r="L502" s="1"/>
      <c r="M502" s="3"/>
      <c r="N502" s="1"/>
      <c r="P502" s="151"/>
    </row>
    <row r="503" ht="12.0" customHeight="1">
      <c r="B503" s="1"/>
      <c r="K503" s="151"/>
      <c r="L503" s="1"/>
      <c r="M503" s="3"/>
      <c r="N503" s="1"/>
      <c r="P503" s="151"/>
    </row>
    <row r="504" ht="12.0" customHeight="1">
      <c r="B504" s="1"/>
      <c r="K504" s="151"/>
      <c r="L504" s="1"/>
      <c r="M504" s="3"/>
      <c r="N504" s="1"/>
      <c r="P504" s="151"/>
    </row>
    <row r="505" ht="12.0" customHeight="1">
      <c r="B505" s="1"/>
      <c r="K505" s="151"/>
      <c r="L505" s="1"/>
      <c r="M505" s="3"/>
      <c r="N505" s="1"/>
      <c r="P505" s="151"/>
    </row>
    <row r="506" ht="12.0" customHeight="1">
      <c r="B506" s="1"/>
      <c r="K506" s="151"/>
      <c r="L506" s="1"/>
      <c r="M506" s="3"/>
      <c r="N506" s="1"/>
      <c r="P506" s="151"/>
    </row>
    <row r="507" ht="12.0" customHeight="1">
      <c r="B507" s="1"/>
      <c r="K507" s="151"/>
      <c r="L507" s="1"/>
      <c r="M507" s="3"/>
      <c r="N507" s="1"/>
      <c r="P507" s="151"/>
    </row>
    <row r="508" ht="12.0" customHeight="1">
      <c r="B508" s="1"/>
      <c r="K508" s="151"/>
      <c r="L508" s="1"/>
      <c r="M508" s="3"/>
      <c r="N508" s="1"/>
      <c r="P508" s="151"/>
    </row>
    <row r="509" ht="12.0" customHeight="1">
      <c r="B509" s="1"/>
      <c r="K509" s="151"/>
      <c r="L509" s="1"/>
      <c r="M509" s="3"/>
      <c r="N509" s="1"/>
      <c r="P509" s="151"/>
    </row>
    <row r="510" ht="12.0" customHeight="1">
      <c r="B510" s="1"/>
      <c r="K510" s="151"/>
      <c r="L510" s="1"/>
      <c r="M510" s="3"/>
      <c r="N510" s="1"/>
      <c r="P510" s="151"/>
    </row>
    <row r="511" ht="12.0" customHeight="1">
      <c r="B511" s="1"/>
      <c r="K511" s="151"/>
      <c r="L511" s="1"/>
      <c r="M511" s="3"/>
      <c r="N511" s="1"/>
      <c r="P511" s="151"/>
    </row>
    <row r="512" ht="12.0" customHeight="1">
      <c r="B512" s="1"/>
      <c r="K512" s="151"/>
      <c r="L512" s="1"/>
      <c r="M512" s="3"/>
      <c r="N512" s="1"/>
      <c r="P512" s="151"/>
    </row>
    <row r="513" ht="12.0" customHeight="1">
      <c r="B513" s="1"/>
      <c r="K513" s="151"/>
      <c r="L513" s="1"/>
      <c r="M513" s="3"/>
      <c r="N513" s="1"/>
      <c r="P513" s="151"/>
    </row>
    <row r="514" ht="12.0" customHeight="1">
      <c r="B514" s="1"/>
      <c r="K514" s="151"/>
      <c r="L514" s="1"/>
      <c r="M514" s="3"/>
      <c r="N514" s="1"/>
      <c r="P514" s="151"/>
    </row>
    <row r="515" ht="12.0" customHeight="1">
      <c r="B515" s="1"/>
      <c r="K515" s="151"/>
      <c r="L515" s="1"/>
      <c r="M515" s="3"/>
      <c r="N515" s="1"/>
      <c r="P515" s="151"/>
    </row>
    <row r="516" ht="12.0" customHeight="1">
      <c r="B516" s="1"/>
      <c r="K516" s="151"/>
      <c r="L516" s="1"/>
      <c r="M516" s="3"/>
      <c r="N516" s="1"/>
      <c r="P516" s="151"/>
    </row>
    <row r="517" ht="12.0" customHeight="1">
      <c r="B517" s="1"/>
      <c r="K517" s="151"/>
      <c r="L517" s="1"/>
      <c r="M517" s="3"/>
      <c r="N517" s="1"/>
      <c r="P517" s="151"/>
    </row>
    <row r="518" ht="12.0" customHeight="1">
      <c r="B518" s="1"/>
      <c r="K518" s="151"/>
      <c r="L518" s="1"/>
      <c r="M518" s="3"/>
      <c r="N518" s="1"/>
      <c r="P518" s="151"/>
    </row>
    <row r="519" ht="12.0" customHeight="1">
      <c r="B519" s="1"/>
      <c r="K519" s="151"/>
      <c r="L519" s="1"/>
      <c r="M519" s="3"/>
      <c r="N519" s="1"/>
      <c r="P519" s="151"/>
    </row>
    <row r="520" ht="12.0" customHeight="1">
      <c r="B520" s="1"/>
      <c r="K520" s="151"/>
      <c r="L520" s="1"/>
      <c r="M520" s="3"/>
      <c r="N520" s="1"/>
      <c r="P520" s="151"/>
    </row>
    <row r="521" ht="12.0" customHeight="1">
      <c r="B521" s="1"/>
      <c r="K521" s="151"/>
      <c r="L521" s="1"/>
      <c r="M521" s="3"/>
      <c r="N521" s="1"/>
      <c r="P521" s="151"/>
    </row>
    <row r="522" ht="12.0" customHeight="1">
      <c r="B522" s="1"/>
      <c r="K522" s="151"/>
      <c r="L522" s="1"/>
      <c r="M522" s="3"/>
      <c r="N522" s="1"/>
      <c r="P522" s="151"/>
    </row>
    <row r="523" ht="12.0" customHeight="1">
      <c r="B523" s="1"/>
      <c r="K523" s="151"/>
      <c r="L523" s="1"/>
      <c r="M523" s="3"/>
      <c r="N523" s="1"/>
      <c r="P523" s="151"/>
    </row>
    <row r="524" ht="12.0" customHeight="1">
      <c r="B524" s="1"/>
      <c r="K524" s="151"/>
      <c r="L524" s="1"/>
      <c r="M524" s="3"/>
      <c r="N524" s="1"/>
      <c r="P524" s="151"/>
    </row>
    <row r="525" ht="12.0" customHeight="1">
      <c r="B525" s="1"/>
      <c r="K525" s="151"/>
      <c r="L525" s="1"/>
      <c r="M525" s="3"/>
      <c r="N525" s="1"/>
      <c r="P525" s="151"/>
    </row>
    <row r="526" ht="12.0" customHeight="1">
      <c r="B526" s="1"/>
      <c r="K526" s="151"/>
      <c r="L526" s="1"/>
      <c r="M526" s="3"/>
      <c r="N526" s="1"/>
      <c r="P526" s="151"/>
    </row>
    <row r="527" ht="12.0" customHeight="1">
      <c r="B527" s="1"/>
      <c r="K527" s="151"/>
      <c r="L527" s="1"/>
      <c r="M527" s="3"/>
      <c r="N527" s="1"/>
      <c r="P527" s="151"/>
    </row>
    <row r="528" ht="12.0" customHeight="1">
      <c r="B528" s="1"/>
      <c r="K528" s="151"/>
      <c r="L528" s="1"/>
      <c r="M528" s="3"/>
      <c r="N528" s="1"/>
      <c r="P528" s="151"/>
    </row>
    <row r="529" ht="12.0" customHeight="1">
      <c r="B529" s="1"/>
      <c r="K529" s="151"/>
      <c r="L529" s="1"/>
      <c r="M529" s="3"/>
      <c r="N529" s="1"/>
      <c r="P529" s="151"/>
    </row>
    <row r="530" ht="12.0" customHeight="1">
      <c r="B530" s="1"/>
      <c r="K530" s="151"/>
      <c r="L530" s="1"/>
      <c r="M530" s="3"/>
      <c r="N530" s="1"/>
      <c r="P530" s="151"/>
    </row>
    <row r="531" ht="12.0" customHeight="1">
      <c r="B531" s="1"/>
      <c r="K531" s="151"/>
      <c r="L531" s="1"/>
      <c r="M531" s="3"/>
      <c r="N531" s="1"/>
      <c r="P531" s="151"/>
    </row>
    <row r="532" ht="12.0" customHeight="1">
      <c r="B532" s="1"/>
      <c r="K532" s="151"/>
      <c r="L532" s="1"/>
      <c r="M532" s="3"/>
      <c r="N532" s="1"/>
      <c r="P532" s="151"/>
    </row>
    <row r="533" ht="12.0" customHeight="1">
      <c r="B533" s="1"/>
      <c r="K533" s="151"/>
      <c r="L533" s="1"/>
      <c r="M533" s="3"/>
      <c r="N533" s="1"/>
      <c r="P533" s="151"/>
    </row>
    <row r="534" ht="12.0" customHeight="1">
      <c r="B534" s="1"/>
      <c r="K534" s="151"/>
      <c r="L534" s="1"/>
      <c r="M534" s="3"/>
      <c r="N534" s="1"/>
      <c r="P534" s="151"/>
    </row>
    <row r="535" ht="12.0" customHeight="1">
      <c r="B535" s="1"/>
      <c r="K535" s="151"/>
      <c r="L535" s="1"/>
      <c r="M535" s="3"/>
      <c r="N535" s="1"/>
      <c r="P535" s="151"/>
    </row>
    <row r="536" ht="12.0" customHeight="1">
      <c r="B536" s="1"/>
      <c r="K536" s="151"/>
      <c r="L536" s="1"/>
      <c r="M536" s="3"/>
      <c r="N536" s="1"/>
      <c r="P536" s="151"/>
    </row>
    <row r="537" ht="12.0" customHeight="1">
      <c r="B537" s="1"/>
      <c r="K537" s="151"/>
      <c r="L537" s="1"/>
      <c r="M537" s="3"/>
      <c r="N537" s="1"/>
      <c r="P537" s="151"/>
    </row>
    <row r="538" ht="12.0" customHeight="1">
      <c r="B538" s="1"/>
      <c r="K538" s="151"/>
      <c r="L538" s="1"/>
      <c r="M538" s="3"/>
      <c r="N538" s="1"/>
      <c r="P538" s="151"/>
    </row>
    <row r="539" ht="12.0" customHeight="1">
      <c r="B539" s="1"/>
      <c r="K539" s="151"/>
      <c r="L539" s="1"/>
      <c r="M539" s="3"/>
      <c r="N539" s="1"/>
      <c r="P539" s="151"/>
    </row>
    <row r="540" ht="12.0" customHeight="1">
      <c r="B540" s="1"/>
      <c r="K540" s="151"/>
      <c r="L540" s="1"/>
      <c r="M540" s="3"/>
      <c r="N540" s="1"/>
      <c r="P540" s="151"/>
    </row>
    <row r="541" ht="12.0" customHeight="1">
      <c r="B541" s="1"/>
      <c r="K541" s="151"/>
      <c r="L541" s="1"/>
      <c r="M541" s="3"/>
      <c r="N541" s="1"/>
      <c r="P541" s="151"/>
    </row>
    <row r="542" ht="12.0" customHeight="1">
      <c r="B542" s="1"/>
      <c r="K542" s="151"/>
      <c r="L542" s="1"/>
      <c r="M542" s="3"/>
      <c r="N542" s="1"/>
      <c r="P542" s="151"/>
    </row>
    <row r="543" ht="12.0" customHeight="1">
      <c r="B543" s="1"/>
      <c r="K543" s="151"/>
      <c r="L543" s="1"/>
      <c r="M543" s="3"/>
      <c r="N543" s="1"/>
      <c r="P543" s="151"/>
    </row>
    <row r="544" ht="12.0" customHeight="1">
      <c r="B544" s="1"/>
      <c r="K544" s="151"/>
      <c r="L544" s="1"/>
      <c r="M544" s="3"/>
      <c r="N544" s="1"/>
      <c r="P544" s="151"/>
    </row>
    <row r="545" ht="12.0" customHeight="1">
      <c r="B545" s="1"/>
      <c r="K545" s="151"/>
      <c r="L545" s="1"/>
      <c r="M545" s="3"/>
      <c r="N545" s="1"/>
      <c r="P545" s="151"/>
    </row>
    <row r="546" ht="12.0" customHeight="1">
      <c r="B546" s="1"/>
      <c r="K546" s="151"/>
      <c r="L546" s="1"/>
      <c r="M546" s="3"/>
      <c r="N546" s="1"/>
      <c r="P546" s="151"/>
    </row>
    <row r="547" ht="12.0" customHeight="1">
      <c r="B547" s="1"/>
      <c r="K547" s="151"/>
      <c r="L547" s="1"/>
      <c r="M547" s="3"/>
      <c r="N547" s="1"/>
      <c r="P547" s="151"/>
    </row>
    <row r="548" ht="12.0" customHeight="1">
      <c r="B548" s="1"/>
      <c r="K548" s="151"/>
      <c r="L548" s="1"/>
      <c r="M548" s="3"/>
      <c r="N548" s="1"/>
      <c r="P548" s="151"/>
    </row>
    <row r="549" ht="12.0" customHeight="1">
      <c r="B549" s="1"/>
      <c r="K549" s="151"/>
      <c r="L549" s="1"/>
      <c r="M549" s="3"/>
      <c r="N549" s="1"/>
      <c r="P549" s="151"/>
    </row>
    <row r="550" ht="12.0" customHeight="1">
      <c r="B550" s="1"/>
      <c r="K550" s="151"/>
      <c r="L550" s="1"/>
      <c r="M550" s="3"/>
      <c r="N550" s="1"/>
      <c r="P550" s="151"/>
    </row>
    <row r="551" ht="12.0" customHeight="1">
      <c r="B551" s="1"/>
      <c r="K551" s="151"/>
      <c r="L551" s="1"/>
      <c r="M551" s="3"/>
      <c r="N551" s="1"/>
      <c r="P551" s="151"/>
    </row>
    <row r="552" ht="12.0" customHeight="1">
      <c r="B552" s="1"/>
      <c r="K552" s="151"/>
      <c r="L552" s="1"/>
      <c r="M552" s="3"/>
      <c r="N552" s="1"/>
      <c r="P552" s="151"/>
    </row>
    <row r="553" ht="12.0" customHeight="1">
      <c r="B553" s="1"/>
      <c r="K553" s="151"/>
      <c r="L553" s="1"/>
      <c r="M553" s="3"/>
      <c r="N553" s="1"/>
      <c r="P553" s="151"/>
    </row>
    <row r="554" ht="12.0" customHeight="1">
      <c r="B554" s="1"/>
      <c r="K554" s="151"/>
      <c r="L554" s="1"/>
      <c r="M554" s="3"/>
      <c r="N554" s="1"/>
      <c r="P554" s="151"/>
    </row>
    <row r="555" ht="12.0" customHeight="1">
      <c r="B555" s="1"/>
      <c r="K555" s="151"/>
      <c r="L555" s="1"/>
      <c r="M555" s="3"/>
      <c r="N555" s="1"/>
      <c r="P555" s="151"/>
    </row>
    <row r="556" ht="12.0" customHeight="1">
      <c r="B556" s="1"/>
      <c r="K556" s="151"/>
      <c r="L556" s="1"/>
      <c r="M556" s="3"/>
      <c r="N556" s="1"/>
      <c r="P556" s="151"/>
    </row>
    <row r="557" ht="12.0" customHeight="1">
      <c r="B557" s="1"/>
      <c r="K557" s="151"/>
      <c r="L557" s="1"/>
      <c r="M557" s="3"/>
      <c r="N557" s="1"/>
      <c r="P557" s="151"/>
    </row>
    <row r="558" ht="12.0" customHeight="1">
      <c r="B558" s="1"/>
      <c r="K558" s="151"/>
      <c r="L558" s="1"/>
      <c r="M558" s="3"/>
      <c r="N558" s="1"/>
      <c r="P558" s="151"/>
    </row>
    <row r="559" ht="12.0" customHeight="1">
      <c r="B559" s="1"/>
      <c r="K559" s="151"/>
      <c r="L559" s="1"/>
      <c r="M559" s="3"/>
      <c r="N559" s="1"/>
      <c r="P559" s="151"/>
    </row>
    <row r="560" ht="12.0" customHeight="1">
      <c r="B560" s="1"/>
      <c r="K560" s="151"/>
      <c r="L560" s="1"/>
      <c r="M560" s="3"/>
      <c r="N560" s="1"/>
      <c r="P560" s="151"/>
    </row>
    <row r="561" ht="12.0" customHeight="1">
      <c r="B561" s="1"/>
      <c r="K561" s="151"/>
      <c r="L561" s="1"/>
      <c r="M561" s="3"/>
      <c r="N561" s="1"/>
      <c r="P561" s="151"/>
    </row>
    <row r="562" ht="12.0" customHeight="1">
      <c r="B562" s="1"/>
      <c r="K562" s="151"/>
      <c r="L562" s="1"/>
      <c r="M562" s="3"/>
      <c r="N562" s="1"/>
      <c r="P562" s="151"/>
    </row>
    <row r="563" ht="12.0" customHeight="1">
      <c r="B563" s="1"/>
      <c r="K563" s="151"/>
      <c r="L563" s="1"/>
      <c r="M563" s="3"/>
      <c r="N563" s="1"/>
      <c r="P563" s="151"/>
    </row>
    <row r="564" ht="12.0" customHeight="1">
      <c r="B564" s="1"/>
      <c r="K564" s="151"/>
      <c r="L564" s="1"/>
      <c r="M564" s="3"/>
      <c r="N564" s="1"/>
      <c r="P564" s="151"/>
    </row>
    <row r="565" ht="12.0" customHeight="1">
      <c r="B565" s="1"/>
      <c r="K565" s="151"/>
      <c r="L565" s="1"/>
      <c r="M565" s="3"/>
      <c r="N565" s="1"/>
      <c r="P565" s="151"/>
    </row>
    <row r="566" ht="12.0" customHeight="1">
      <c r="B566" s="1"/>
      <c r="K566" s="151"/>
      <c r="L566" s="1"/>
      <c r="M566" s="3"/>
      <c r="N566" s="1"/>
      <c r="P566" s="151"/>
    </row>
    <row r="567" ht="12.0" customHeight="1">
      <c r="B567" s="1"/>
      <c r="K567" s="151"/>
      <c r="L567" s="1"/>
      <c r="M567" s="3"/>
      <c r="N567" s="1"/>
      <c r="P567" s="151"/>
    </row>
    <row r="568" ht="12.0" customHeight="1">
      <c r="B568" s="1"/>
      <c r="K568" s="151"/>
      <c r="L568" s="1"/>
      <c r="M568" s="3"/>
      <c r="N568" s="1"/>
      <c r="P568" s="151"/>
    </row>
    <row r="569" ht="12.0" customHeight="1">
      <c r="B569" s="1"/>
      <c r="K569" s="151"/>
      <c r="L569" s="1"/>
      <c r="M569" s="3"/>
      <c r="N569" s="1"/>
      <c r="P569" s="151"/>
    </row>
    <row r="570" ht="12.0" customHeight="1">
      <c r="B570" s="1"/>
      <c r="K570" s="151"/>
      <c r="L570" s="1"/>
      <c r="M570" s="3"/>
      <c r="N570" s="1"/>
      <c r="P570" s="151"/>
    </row>
    <row r="571" ht="12.0" customHeight="1">
      <c r="B571" s="1"/>
      <c r="K571" s="151"/>
      <c r="L571" s="1"/>
      <c r="M571" s="3"/>
      <c r="N571" s="1"/>
      <c r="P571" s="151"/>
    </row>
    <row r="572" ht="12.0" customHeight="1">
      <c r="B572" s="1"/>
      <c r="K572" s="151"/>
      <c r="L572" s="1"/>
      <c r="M572" s="3"/>
      <c r="N572" s="1"/>
      <c r="P572" s="151"/>
    </row>
    <row r="573" ht="12.0" customHeight="1">
      <c r="B573" s="1"/>
      <c r="K573" s="151"/>
      <c r="L573" s="1"/>
      <c r="M573" s="3"/>
      <c r="N573" s="1"/>
      <c r="P573" s="151"/>
    </row>
    <row r="574" ht="12.0" customHeight="1">
      <c r="B574" s="1"/>
      <c r="K574" s="151"/>
      <c r="L574" s="1"/>
      <c r="M574" s="3"/>
      <c r="N574" s="1"/>
      <c r="P574" s="151"/>
    </row>
    <row r="575" ht="12.0" customHeight="1">
      <c r="B575" s="1"/>
      <c r="K575" s="151"/>
      <c r="L575" s="1"/>
      <c r="M575" s="3"/>
      <c r="N575" s="1"/>
      <c r="P575" s="151"/>
    </row>
    <row r="576" ht="12.0" customHeight="1">
      <c r="B576" s="1"/>
      <c r="K576" s="151"/>
      <c r="L576" s="1"/>
      <c r="M576" s="3"/>
      <c r="N576" s="1"/>
      <c r="P576" s="151"/>
    </row>
    <row r="577" ht="12.0" customHeight="1">
      <c r="B577" s="1"/>
      <c r="K577" s="151"/>
      <c r="L577" s="1"/>
      <c r="M577" s="3"/>
      <c r="N577" s="1"/>
      <c r="P577" s="151"/>
    </row>
    <row r="578" ht="12.0" customHeight="1">
      <c r="B578" s="1"/>
      <c r="K578" s="151"/>
      <c r="L578" s="1"/>
      <c r="M578" s="3"/>
      <c r="N578" s="1"/>
      <c r="P578" s="151"/>
    </row>
    <row r="579" ht="12.0" customHeight="1">
      <c r="B579" s="1"/>
      <c r="K579" s="151"/>
      <c r="L579" s="1"/>
      <c r="M579" s="3"/>
      <c r="N579" s="1"/>
      <c r="P579" s="151"/>
    </row>
    <row r="580" ht="12.0" customHeight="1">
      <c r="B580" s="1"/>
      <c r="K580" s="151"/>
      <c r="L580" s="1"/>
      <c r="M580" s="3"/>
      <c r="N580" s="1"/>
      <c r="P580" s="151"/>
    </row>
    <row r="581" ht="12.0" customHeight="1">
      <c r="B581" s="1"/>
      <c r="K581" s="151"/>
      <c r="L581" s="1"/>
      <c r="M581" s="3"/>
      <c r="N581" s="1"/>
      <c r="P581" s="151"/>
    </row>
    <row r="582" ht="12.0" customHeight="1">
      <c r="B582" s="1"/>
      <c r="K582" s="151"/>
      <c r="L582" s="1"/>
      <c r="M582" s="3"/>
      <c r="N582" s="1"/>
      <c r="P582" s="151"/>
    </row>
    <row r="583" ht="12.0" customHeight="1">
      <c r="B583" s="1"/>
      <c r="K583" s="151"/>
      <c r="L583" s="1"/>
      <c r="M583" s="3"/>
      <c r="N583" s="1"/>
      <c r="P583" s="151"/>
    </row>
    <row r="584" ht="12.0" customHeight="1">
      <c r="B584" s="1"/>
      <c r="K584" s="151"/>
      <c r="L584" s="1"/>
      <c r="M584" s="3"/>
      <c r="N584" s="1"/>
      <c r="P584" s="151"/>
    </row>
    <row r="585" ht="12.0" customHeight="1">
      <c r="B585" s="1"/>
      <c r="K585" s="151"/>
      <c r="L585" s="1"/>
      <c r="M585" s="3"/>
      <c r="N585" s="1"/>
      <c r="P585" s="151"/>
    </row>
    <row r="586" ht="12.0" customHeight="1">
      <c r="B586" s="1"/>
      <c r="K586" s="151"/>
      <c r="L586" s="1"/>
      <c r="M586" s="3"/>
      <c r="N586" s="1"/>
      <c r="P586" s="151"/>
    </row>
    <row r="587" ht="12.0" customHeight="1">
      <c r="B587" s="1"/>
      <c r="K587" s="151"/>
      <c r="L587" s="1"/>
      <c r="M587" s="3"/>
      <c r="N587" s="1"/>
      <c r="P587" s="151"/>
    </row>
    <row r="588" ht="12.0" customHeight="1">
      <c r="B588" s="1"/>
      <c r="K588" s="151"/>
      <c r="L588" s="1"/>
      <c r="M588" s="3"/>
      <c r="N588" s="1"/>
      <c r="P588" s="151"/>
    </row>
    <row r="589" ht="12.0" customHeight="1">
      <c r="B589" s="1"/>
      <c r="K589" s="151"/>
      <c r="L589" s="1"/>
      <c r="M589" s="3"/>
      <c r="N589" s="1"/>
      <c r="P589" s="151"/>
    </row>
    <row r="590" ht="12.0" customHeight="1">
      <c r="B590" s="1"/>
      <c r="K590" s="151"/>
      <c r="L590" s="1"/>
      <c r="M590" s="3"/>
      <c r="N590" s="1"/>
      <c r="P590" s="151"/>
    </row>
    <row r="591" ht="12.0" customHeight="1">
      <c r="B591" s="1"/>
      <c r="K591" s="151"/>
      <c r="L591" s="1"/>
      <c r="M591" s="3"/>
      <c r="N591" s="1"/>
      <c r="P591" s="151"/>
    </row>
    <row r="592" ht="12.0" customHeight="1">
      <c r="B592" s="1"/>
      <c r="K592" s="151"/>
      <c r="L592" s="1"/>
      <c r="M592" s="3"/>
      <c r="N592" s="1"/>
      <c r="P592" s="151"/>
    </row>
    <row r="593" ht="12.0" customHeight="1">
      <c r="B593" s="1"/>
      <c r="K593" s="151"/>
      <c r="L593" s="1"/>
      <c r="M593" s="3"/>
      <c r="N593" s="1"/>
      <c r="P593" s="151"/>
    </row>
    <row r="594" ht="12.0" customHeight="1">
      <c r="B594" s="1"/>
      <c r="K594" s="151"/>
      <c r="L594" s="1"/>
      <c r="M594" s="3"/>
      <c r="N594" s="1"/>
      <c r="P594" s="151"/>
    </row>
    <row r="595" ht="12.0" customHeight="1">
      <c r="B595" s="1"/>
      <c r="K595" s="151"/>
      <c r="L595" s="1"/>
      <c r="M595" s="3"/>
      <c r="N595" s="1"/>
      <c r="P595" s="151"/>
    </row>
    <row r="596" ht="12.0" customHeight="1">
      <c r="B596" s="1"/>
      <c r="K596" s="151"/>
      <c r="L596" s="1"/>
      <c r="M596" s="3"/>
      <c r="N596" s="1"/>
      <c r="P596" s="151"/>
    </row>
    <row r="597" ht="12.0" customHeight="1">
      <c r="B597" s="1"/>
      <c r="K597" s="151"/>
      <c r="L597" s="1"/>
      <c r="M597" s="3"/>
      <c r="N597" s="1"/>
      <c r="P597" s="151"/>
    </row>
    <row r="598" ht="12.0" customHeight="1">
      <c r="B598" s="1"/>
      <c r="K598" s="151"/>
      <c r="L598" s="1"/>
      <c r="M598" s="3"/>
      <c r="N598" s="1"/>
      <c r="P598" s="151"/>
    </row>
    <row r="599" ht="12.0" customHeight="1">
      <c r="B599" s="1"/>
      <c r="K599" s="151"/>
      <c r="L599" s="1"/>
      <c r="M599" s="3"/>
      <c r="N599" s="1"/>
      <c r="P599" s="151"/>
    </row>
    <row r="600" ht="12.0" customHeight="1">
      <c r="B600" s="1"/>
      <c r="K600" s="151"/>
      <c r="L600" s="1"/>
      <c r="M600" s="3"/>
      <c r="N600" s="1"/>
      <c r="P600" s="151"/>
    </row>
    <row r="601" ht="12.0" customHeight="1">
      <c r="B601" s="1"/>
      <c r="K601" s="151"/>
      <c r="L601" s="1"/>
      <c r="M601" s="3"/>
      <c r="N601" s="1"/>
      <c r="P601" s="151"/>
    </row>
    <row r="602" ht="12.0" customHeight="1">
      <c r="B602" s="1"/>
      <c r="K602" s="151"/>
      <c r="L602" s="1"/>
      <c r="M602" s="3"/>
      <c r="N602" s="1"/>
      <c r="P602" s="151"/>
    </row>
    <row r="603" ht="12.0" customHeight="1">
      <c r="B603" s="1"/>
      <c r="K603" s="151"/>
      <c r="L603" s="1"/>
      <c r="M603" s="3"/>
      <c r="N603" s="1"/>
      <c r="P603" s="151"/>
    </row>
    <row r="604" ht="12.0" customHeight="1">
      <c r="B604" s="1"/>
      <c r="K604" s="151"/>
      <c r="L604" s="1"/>
      <c r="M604" s="3"/>
      <c r="N604" s="1"/>
      <c r="P604" s="151"/>
    </row>
    <row r="605" ht="12.0" customHeight="1">
      <c r="B605" s="1"/>
      <c r="K605" s="151"/>
      <c r="L605" s="1"/>
      <c r="M605" s="3"/>
      <c r="N605" s="1"/>
      <c r="P605" s="151"/>
    </row>
    <row r="606" ht="12.0" customHeight="1">
      <c r="B606" s="1"/>
      <c r="K606" s="151"/>
      <c r="L606" s="1"/>
      <c r="M606" s="3"/>
      <c r="N606" s="1"/>
      <c r="P606" s="151"/>
    </row>
    <row r="607" ht="12.0" customHeight="1">
      <c r="B607" s="1"/>
      <c r="K607" s="151"/>
      <c r="L607" s="1"/>
      <c r="M607" s="3"/>
      <c r="N607" s="1"/>
      <c r="P607" s="151"/>
    </row>
    <row r="608" ht="12.0" customHeight="1">
      <c r="B608" s="1"/>
      <c r="K608" s="151"/>
      <c r="L608" s="1"/>
      <c r="M608" s="3"/>
      <c r="N608" s="1"/>
      <c r="P608" s="151"/>
    </row>
    <row r="609" ht="12.0" customHeight="1">
      <c r="B609" s="1"/>
      <c r="K609" s="151"/>
      <c r="L609" s="1"/>
      <c r="M609" s="3"/>
      <c r="N609" s="1"/>
      <c r="P609" s="151"/>
    </row>
    <row r="610" ht="12.0" customHeight="1">
      <c r="B610" s="1"/>
      <c r="K610" s="151"/>
      <c r="L610" s="1"/>
      <c r="M610" s="3"/>
      <c r="N610" s="1"/>
      <c r="P610" s="151"/>
    </row>
    <row r="611" ht="12.0" customHeight="1">
      <c r="B611" s="1"/>
      <c r="K611" s="151"/>
      <c r="L611" s="1"/>
      <c r="M611" s="3"/>
      <c r="N611" s="1"/>
      <c r="P611" s="151"/>
    </row>
    <row r="612" ht="12.0" customHeight="1">
      <c r="B612" s="1"/>
      <c r="K612" s="151"/>
      <c r="L612" s="1"/>
      <c r="M612" s="3"/>
      <c r="N612" s="1"/>
      <c r="P612" s="151"/>
    </row>
    <row r="613" ht="12.0" customHeight="1">
      <c r="B613" s="1"/>
      <c r="K613" s="151"/>
      <c r="L613" s="1"/>
      <c r="M613" s="3"/>
      <c r="N613" s="1"/>
      <c r="P613" s="151"/>
    </row>
    <row r="614" ht="12.0" customHeight="1">
      <c r="B614" s="1"/>
      <c r="K614" s="151"/>
      <c r="L614" s="1"/>
      <c r="M614" s="3"/>
      <c r="N614" s="1"/>
      <c r="P614" s="151"/>
    </row>
    <row r="615" ht="12.0" customHeight="1">
      <c r="B615" s="1"/>
      <c r="K615" s="151"/>
      <c r="L615" s="1"/>
      <c r="M615" s="3"/>
      <c r="N615" s="1"/>
      <c r="P615" s="151"/>
    </row>
    <row r="616" ht="12.0" customHeight="1">
      <c r="B616" s="1"/>
      <c r="K616" s="151"/>
      <c r="L616" s="1"/>
      <c r="M616" s="3"/>
      <c r="N616" s="1"/>
      <c r="P616" s="151"/>
    </row>
    <row r="617" ht="12.0" customHeight="1">
      <c r="B617" s="1"/>
      <c r="K617" s="151"/>
      <c r="L617" s="1"/>
      <c r="M617" s="3"/>
      <c r="N617" s="1"/>
      <c r="P617" s="151"/>
    </row>
    <row r="618" ht="12.0" customHeight="1">
      <c r="B618" s="1"/>
      <c r="K618" s="151"/>
      <c r="L618" s="1"/>
      <c r="M618" s="3"/>
      <c r="N618" s="1"/>
      <c r="P618" s="151"/>
    </row>
    <row r="619" ht="12.0" customHeight="1">
      <c r="B619" s="1"/>
      <c r="K619" s="151"/>
      <c r="L619" s="1"/>
      <c r="M619" s="3"/>
      <c r="N619" s="1"/>
      <c r="P619" s="151"/>
    </row>
    <row r="620" ht="12.0" customHeight="1">
      <c r="B620" s="1"/>
      <c r="K620" s="151"/>
      <c r="L620" s="1"/>
      <c r="M620" s="3"/>
      <c r="N620" s="1"/>
      <c r="P620" s="151"/>
    </row>
    <row r="621" ht="12.0" customHeight="1">
      <c r="B621" s="1"/>
      <c r="K621" s="151"/>
      <c r="L621" s="1"/>
      <c r="M621" s="3"/>
      <c r="N621" s="1"/>
      <c r="P621" s="151"/>
    </row>
    <row r="622" ht="12.0" customHeight="1">
      <c r="B622" s="1"/>
      <c r="K622" s="151"/>
      <c r="L622" s="1"/>
      <c r="M622" s="3"/>
      <c r="N622" s="1"/>
      <c r="P622" s="151"/>
    </row>
    <row r="623" ht="12.0" customHeight="1">
      <c r="B623" s="1"/>
      <c r="K623" s="151"/>
      <c r="L623" s="1"/>
      <c r="M623" s="3"/>
      <c r="N623" s="1"/>
      <c r="P623" s="151"/>
    </row>
    <row r="624" ht="12.0" customHeight="1">
      <c r="B624" s="1"/>
      <c r="K624" s="151"/>
      <c r="L624" s="1"/>
      <c r="M624" s="3"/>
      <c r="N624" s="1"/>
      <c r="P624" s="151"/>
    </row>
    <row r="625" ht="12.0" customHeight="1">
      <c r="B625" s="1"/>
      <c r="K625" s="151"/>
      <c r="L625" s="1"/>
      <c r="M625" s="3"/>
      <c r="N625" s="1"/>
      <c r="P625" s="151"/>
    </row>
    <row r="626" ht="12.0" customHeight="1">
      <c r="B626" s="1"/>
      <c r="K626" s="151"/>
      <c r="L626" s="1"/>
      <c r="M626" s="3"/>
      <c r="N626" s="1"/>
      <c r="P626" s="151"/>
    </row>
    <row r="627" ht="12.0" customHeight="1">
      <c r="B627" s="1"/>
      <c r="K627" s="151"/>
      <c r="L627" s="1"/>
      <c r="M627" s="3"/>
      <c r="N627" s="1"/>
      <c r="P627" s="151"/>
    </row>
    <row r="628" ht="12.0" customHeight="1">
      <c r="B628" s="1"/>
      <c r="K628" s="151"/>
      <c r="L628" s="1"/>
      <c r="M628" s="3"/>
      <c r="N628" s="1"/>
      <c r="P628" s="151"/>
    </row>
    <row r="629" ht="12.0" customHeight="1">
      <c r="B629" s="1"/>
      <c r="K629" s="151"/>
      <c r="L629" s="1"/>
      <c r="M629" s="3"/>
      <c r="N629" s="1"/>
      <c r="P629" s="151"/>
    </row>
    <row r="630" ht="12.0" customHeight="1">
      <c r="B630" s="1"/>
      <c r="K630" s="151"/>
      <c r="L630" s="1"/>
      <c r="M630" s="3"/>
      <c r="N630" s="1"/>
      <c r="P630" s="151"/>
    </row>
    <row r="631" ht="12.0" customHeight="1">
      <c r="B631" s="1"/>
      <c r="K631" s="151"/>
      <c r="L631" s="1"/>
      <c r="M631" s="3"/>
      <c r="N631" s="1"/>
      <c r="P631" s="151"/>
    </row>
    <row r="632" ht="12.0" customHeight="1">
      <c r="B632" s="1"/>
      <c r="K632" s="151"/>
      <c r="L632" s="1"/>
      <c r="M632" s="3"/>
      <c r="N632" s="1"/>
      <c r="P632" s="151"/>
    </row>
    <row r="633" ht="12.0" customHeight="1">
      <c r="B633" s="1"/>
      <c r="K633" s="151"/>
      <c r="L633" s="1"/>
      <c r="M633" s="3"/>
      <c r="N633" s="1"/>
      <c r="P633" s="151"/>
    </row>
    <row r="634" ht="12.0" customHeight="1">
      <c r="B634" s="1"/>
      <c r="K634" s="151"/>
      <c r="L634" s="1"/>
      <c r="M634" s="3"/>
      <c r="N634" s="1"/>
      <c r="P634" s="151"/>
    </row>
    <row r="635" ht="12.0" customHeight="1">
      <c r="B635" s="1"/>
      <c r="K635" s="151"/>
      <c r="L635" s="1"/>
      <c r="M635" s="3"/>
      <c r="N635" s="1"/>
      <c r="P635" s="151"/>
    </row>
    <row r="636" ht="12.0" customHeight="1">
      <c r="B636" s="1"/>
      <c r="K636" s="151"/>
      <c r="L636" s="1"/>
      <c r="M636" s="3"/>
      <c r="N636" s="1"/>
      <c r="P636" s="151"/>
    </row>
    <row r="637" ht="12.0" customHeight="1">
      <c r="B637" s="1"/>
      <c r="K637" s="151"/>
      <c r="L637" s="1"/>
      <c r="M637" s="3"/>
      <c r="N637" s="1"/>
      <c r="P637" s="151"/>
    </row>
    <row r="638" ht="12.0" customHeight="1">
      <c r="B638" s="1"/>
      <c r="K638" s="151"/>
      <c r="L638" s="1"/>
      <c r="M638" s="3"/>
      <c r="N638" s="1"/>
      <c r="P638" s="151"/>
    </row>
    <row r="639" ht="12.0" customHeight="1">
      <c r="B639" s="1"/>
      <c r="K639" s="151"/>
      <c r="L639" s="1"/>
      <c r="M639" s="3"/>
      <c r="N639" s="1"/>
      <c r="P639" s="151"/>
    </row>
    <row r="640" ht="12.0" customHeight="1">
      <c r="B640" s="1"/>
      <c r="K640" s="151"/>
      <c r="L640" s="1"/>
      <c r="M640" s="3"/>
      <c r="N640" s="1"/>
      <c r="P640" s="151"/>
    </row>
    <row r="641" ht="12.0" customHeight="1">
      <c r="B641" s="1"/>
      <c r="K641" s="151"/>
      <c r="L641" s="1"/>
      <c r="M641" s="3"/>
      <c r="N641" s="1"/>
      <c r="P641" s="151"/>
    </row>
    <row r="642" ht="12.0" customHeight="1">
      <c r="B642" s="1"/>
      <c r="K642" s="151"/>
      <c r="L642" s="1"/>
      <c r="M642" s="3"/>
      <c r="N642" s="1"/>
      <c r="P642" s="151"/>
    </row>
    <row r="643" ht="12.0" customHeight="1">
      <c r="B643" s="1"/>
      <c r="K643" s="151"/>
      <c r="L643" s="1"/>
      <c r="M643" s="3"/>
      <c r="N643" s="1"/>
      <c r="P643" s="151"/>
    </row>
    <row r="644" ht="12.0" customHeight="1">
      <c r="B644" s="1"/>
      <c r="K644" s="151"/>
      <c r="L644" s="1"/>
      <c r="M644" s="3"/>
      <c r="N644" s="1"/>
      <c r="P644" s="151"/>
    </row>
    <row r="645" ht="12.0" customHeight="1">
      <c r="B645" s="1"/>
      <c r="K645" s="151"/>
      <c r="L645" s="1"/>
      <c r="M645" s="3"/>
      <c r="N645" s="1"/>
      <c r="P645" s="151"/>
    </row>
    <row r="646" ht="12.0" customHeight="1">
      <c r="B646" s="1"/>
      <c r="K646" s="151"/>
      <c r="L646" s="1"/>
      <c r="M646" s="3"/>
      <c r="N646" s="1"/>
      <c r="P646" s="151"/>
    </row>
    <row r="647" ht="12.0" customHeight="1">
      <c r="B647" s="1"/>
      <c r="K647" s="151"/>
      <c r="L647" s="1"/>
      <c r="M647" s="3"/>
      <c r="N647" s="1"/>
      <c r="P647" s="151"/>
    </row>
    <row r="648" ht="12.0" customHeight="1">
      <c r="B648" s="1"/>
      <c r="K648" s="151"/>
      <c r="L648" s="1"/>
      <c r="M648" s="3"/>
      <c r="N648" s="1"/>
      <c r="P648" s="151"/>
    </row>
    <row r="649" ht="12.0" customHeight="1">
      <c r="B649" s="1"/>
      <c r="K649" s="151"/>
      <c r="L649" s="1"/>
      <c r="M649" s="3"/>
      <c r="N649" s="1"/>
      <c r="P649" s="151"/>
    </row>
    <row r="650" ht="12.0" customHeight="1">
      <c r="B650" s="1"/>
      <c r="K650" s="151"/>
      <c r="L650" s="1"/>
      <c r="M650" s="3"/>
      <c r="N650" s="1"/>
      <c r="P650" s="151"/>
    </row>
    <row r="651" ht="12.0" customHeight="1">
      <c r="B651" s="1"/>
      <c r="K651" s="151"/>
      <c r="L651" s="1"/>
      <c r="M651" s="3"/>
      <c r="N651" s="1"/>
      <c r="P651" s="151"/>
    </row>
    <row r="652" ht="12.0" customHeight="1">
      <c r="B652" s="1"/>
      <c r="K652" s="151"/>
      <c r="L652" s="1"/>
      <c r="M652" s="3"/>
      <c r="N652" s="1"/>
      <c r="P652" s="151"/>
    </row>
    <row r="653" ht="12.0" customHeight="1">
      <c r="B653" s="1"/>
      <c r="K653" s="151"/>
      <c r="L653" s="1"/>
      <c r="M653" s="3"/>
      <c r="N653" s="1"/>
      <c r="P653" s="151"/>
    </row>
    <row r="654" ht="12.0" customHeight="1">
      <c r="B654" s="1"/>
      <c r="K654" s="151"/>
      <c r="L654" s="1"/>
      <c r="M654" s="3"/>
      <c r="N654" s="1"/>
      <c r="P654" s="151"/>
    </row>
    <row r="655" ht="12.0" customHeight="1">
      <c r="B655" s="1"/>
      <c r="K655" s="151"/>
      <c r="L655" s="1"/>
      <c r="M655" s="3"/>
      <c r="N655" s="1"/>
      <c r="P655" s="151"/>
    </row>
    <row r="656" ht="12.0" customHeight="1">
      <c r="B656" s="1"/>
      <c r="K656" s="151"/>
      <c r="L656" s="1"/>
      <c r="M656" s="3"/>
      <c r="N656" s="1"/>
      <c r="P656" s="151"/>
    </row>
    <row r="657" ht="12.0" customHeight="1">
      <c r="B657" s="1"/>
      <c r="K657" s="151"/>
      <c r="L657" s="1"/>
      <c r="M657" s="3"/>
      <c r="N657" s="1"/>
      <c r="P657" s="151"/>
    </row>
    <row r="658" ht="12.0" customHeight="1">
      <c r="B658" s="1"/>
      <c r="K658" s="151"/>
      <c r="L658" s="1"/>
      <c r="M658" s="3"/>
      <c r="N658" s="1"/>
      <c r="P658" s="151"/>
    </row>
    <row r="659" ht="12.0" customHeight="1">
      <c r="B659" s="1"/>
      <c r="K659" s="151"/>
      <c r="L659" s="1"/>
      <c r="M659" s="3"/>
      <c r="N659" s="1"/>
      <c r="P659" s="151"/>
    </row>
    <row r="660" ht="12.0" customHeight="1">
      <c r="B660" s="1"/>
      <c r="K660" s="151"/>
      <c r="L660" s="1"/>
      <c r="M660" s="3"/>
      <c r="N660" s="1"/>
      <c r="P660" s="151"/>
    </row>
    <row r="661" ht="12.0" customHeight="1">
      <c r="B661" s="1"/>
      <c r="K661" s="151"/>
      <c r="L661" s="1"/>
      <c r="M661" s="3"/>
      <c r="N661" s="1"/>
      <c r="P661" s="151"/>
    </row>
    <row r="662" ht="12.0" customHeight="1">
      <c r="B662" s="1"/>
      <c r="K662" s="151"/>
      <c r="L662" s="1"/>
      <c r="M662" s="3"/>
      <c r="N662" s="1"/>
      <c r="P662" s="151"/>
    </row>
    <row r="663" ht="12.0" customHeight="1">
      <c r="B663" s="1"/>
      <c r="K663" s="151"/>
      <c r="L663" s="1"/>
      <c r="M663" s="3"/>
      <c r="N663" s="1"/>
      <c r="P663" s="151"/>
    </row>
    <row r="664" ht="12.0" customHeight="1">
      <c r="B664" s="1"/>
      <c r="K664" s="151"/>
      <c r="L664" s="1"/>
      <c r="M664" s="3"/>
      <c r="N664" s="1"/>
      <c r="P664" s="151"/>
    </row>
    <row r="665" ht="12.0" customHeight="1">
      <c r="B665" s="1"/>
      <c r="K665" s="151"/>
      <c r="L665" s="1"/>
      <c r="M665" s="3"/>
      <c r="N665" s="1"/>
      <c r="P665" s="151"/>
    </row>
    <row r="666" ht="12.0" customHeight="1">
      <c r="B666" s="1"/>
      <c r="K666" s="151"/>
      <c r="L666" s="1"/>
      <c r="M666" s="3"/>
      <c r="N666" s="1"/>
      <c r="P666" s="151"/>
    </row>
    <row r="667" ht="12.0" customHeight="1">
      <c r="B667" s="1"/>
      <c r="K667" s="151"/>
      <c r="L667" s="1"/>
      <c r="M667" s="3"/>
      <c r="N667" s="1"/>
      <c r="P667" s="151"/>
    </row>
    <row r="668" ht="12.0" customHeight="1">
      <c r="B668" s="1"/>
      <c r="K668" s="151"/>
      <c r="L668" s="1"/>
      <c r="M668" s="3"/>
      <c r="N668" s="1"/>
      <c r="P668" s="151"/>
    </row>
    <row r="669" ht="12.0" customHeight="1">
      <c r="B669" s="1"/>
      <c r="K669" s="151"/>
      <c r="L669" s="1"/>
      <c r="M669" s="3"/>
      <c r="N669" s="1"/>
      <c r="P669" s="151"/>
    </row>
    <row r="670" ht="12.0" customHeight="1">
      <c r="B670" s="1"/>
      <c r="K670" s="151"/>
      <c r="L670" s="1"/>
      <c r="M670" s="3"/>
      <c r="N670" s="1"/>
      <c r="P670" s="151"/>
    </row>
    <row r="671" ht="12.0" customHeight="1">
      <c r="B671" s="1"/>
      <c r="K671" s="151"/>
      <c r="L671" s="1"/>
      <c r="M671" s="3"/>
      <c r="N671" s="1"/>
      <c r="P671" s="151"/>
    </row>
    <row r="672" ht="12.0" customHeight="1">
      <c r="B672" s="1"/>
      <c r="K672" s="151"/>
      <c r="L672" s="1"/>
      <c r="M672" s="3"/>
      <c r="N672" s="1"/>
      <c r="P672" s="151"/>
    </row>
    <row r="673" ht="12.0" customHeight="1">
      <c r="B673" s="1"/>
      <c r="K673" s="151"/>
      <c r="L673" s="1"/>
      <c r="M673" s="3"/>
      <c r="N673" s="1"/>
      <c r="P673" s="151"/>
    </row>
    <row r="674" ht="12.0" customHeight="1">
      <c r="B674" s="1"/>
      <c r="K674" s="151"/>
      <c r="L674" s="1"/>
      <c r="M674" s="3"/>
      <c r="N674" s="1"/>
      <c r="P674" s="151"/>
    </row>
    <row r="675" ht="12.0" customHeight="1">
      <c r="B675" s="1"/>
      <c r="K675" s="151"/>
      <c r="L675" s="1"/>
      <c r="M675" s="3"/>
      <c r="N675" s="1"/>
      <c r="P675" s="151"/>
    </row>
    <row r="676" ht="12.0" customHeight="1">
      <c r="B676" s="1"/>
      <c r="K676" s="151"/>
      <c r="L676" s="1"/>
      <c r="M676" s="3"/>
      <c r="N676" s="1"/>
      <c r="P676" s="151"/>
    </row>
    <row r="677" ht="12.0" customHeight="1">
      <c r="B677" s="1"/>
      <c r="K677" s="151"/>
      <c r="L677" s="1"/>
      <c r="M677" s="3"/>
      <c r="N677" s="1"/>
      <c r="P677" s="151"/>
    </row>
    <row r="678" ht="12.0" customHeight="1">
      <c r="B678" s="1"/>
      <c r="K678" s="151"/>
      <c r="L678" s="1"/>
      <c r="M678" s="3"/>
      <c r="N678" s="1"/>
      <c r="P678" s="151"/>
    </row>
    <row r="679" ht="12.0" customHeight="1">
      <c r="B679" s="1"/>
      <c r="K679" s="151"/>
      <c r="L679" s="1"/>
      <c r="M679" s="3"/>
      <c r="N679" s="1"/>
      <c r="P679" s="151"/>
    </row>
    <row r="680" ht="12.0" customHeight="1">
      <c r="B680" s="1"/>
      <c r="K680" s="151"/>
      <c r="L680" s="1"/>
      <c r="M680" s="3"/>
      <c r="N680" s="1"/>
      <c r="P680" s="151"/>
    </row>
    <row r="681" ht="12.0" customHeight="1">
      <c r="B681" s="1"/>
      <c r="K681" s="151"/>
      <c r="L681" s="1"/>
      <c r="M681" s="3"/>
      <c r="N681" s="1"/>
      <c r="P681" s="151"/>
    </row>
    <row r="682" ht="12.0" customHeight="1">
      <c r="B682" s="1"/>
      <c r="K682" s="151"/>
      <c r="L682" s="1"/>
      <c r="M682" s="3"/>
      <c r="N682" s="1"/>
      <c r="P682" s="151"/>
    </row>
    <row r="683" ht="12.0" customHeight="1">
      <c r="B683" s="1"/>
      <c r="K683" s="151"/>
      <c r="L683" s="1"/>
      <c r="M683" s="3"/>
      <c r="N683" s="1"/>
      <c r="P683" s="151"/>
    </row>
    <row r="684" ht="12.0" customHeight="1">
      <c r="B684" s="1"/>
      <c r="K684" s="151"/>
      <c r="L684" s="1"/>
      <c r="M684" s="3"/>
      <c r="N684" s="1"/>
      <c r="P684" s="151"/>
    </row>
    <row r="685" ht="12.0" customHeight="1">
      <c r="B685" s="1"/>
      <c r="K685" s="151"/>
      <c r="L685" s="1"/>
      <c r="M685" s="3"/>
      <c r="N685" s="1"/>
      <c r="P685" s="151"/>
    </row>
    <row r="686" ht="12.0" customHeight="1">
      <c r="B686" s="1"/>
      <c r="K686" s="151"/>
      <c r="L686" s="1"/>
      <c r="M686" s="3"/>
      <c r="N686" s="1"/>
      <c r="P686" s="151"/>
    </row>
    <row r="687" ht="12.0" customHeight="1">
      <c r="B687" s="1"/>
      <c r="K687" s="151"/>
      <c r="L687" s="1"/>
      <c r="M687" s="3"/>
      <c r="N687" s="1"/>
      <c r="P687" s="151"/>
    </row>
    <row r="688" ht="12.0" customHeight="1">
      <c r="B688" s="1"/>
      <c r="K688" s="151"/>
      <c r="L688" s="1"/>
      <c r="M688" s="3"/>
      <c r="N688" s="1"/>
      <c r="P688" s="151"/>
    </row>
    <row r="689" ht="12.0" customHeight="1">
      <c r="B689" s="1"/>
      <c r="K689" s="151"/>
      <c r="L689" s="1"/>
      <c r="M689" s="3"/>
      <c r="N689" s="1"/>
      <c r="P689" s="151"/>
    </row>
    <row r="690" ht="12.0" customHeight="1">
      <c r="B690" s="1"/>
      <c r="K690" s="151"/>
      <c r="L690" s="1"/>
      <c r="M690" s="3"/>
      <c r="N690" s="1"/>
      <c r="P690" s="151"/>
    </row>
    <row r="691" ht="12.0" customHeight="1">
      <c r="B691" s="1"/>
      <c r="K691" s="151"/>
      <c r="L691" s="1"/>
      <c r="M691" s="3"/>
      <c r="N691" s="1"/>
      <c r="P691" s="151"/>
    </row>
    <row r="692" ht="12.0" customHeight="1">
      <c r="B692" s="1"/>
      <c r="K692" s="151"/>
      <c r="L692" s="1"/>
      <c r="M692" s="3"/>
      <c r="N692" s="1"/>
      <c r="P692" s="151"/>
    </row>
    <row r="693" ht="12.0" customHeight="1">
      <c r="B693" s="1"/>
      <c r="K693" s="151"/>
      <c r="L693" s="1"/>
      <c r="M693" s="3"/>
      <c r="N693" s="1"/>
      <c r="P693" s="151"/>
    </row>
    <row r="694" ht="12.0" customHeight="1">
      <c r="B694" s="1"/>
      <c r="K694" s="151"/>
      <c r="L694" s="1"/>
      <c r="M694" s="3"/>
      <c r="N694" s="1"/>
      <c r="P694" s="151"/>
    </row>
    <row r="695" ht="12.0" customHeight="1">
      <c r="B695" s="1"/>
      <c r="K695" s="151"/>
      <c r="L695" s="1"/>
      <c r="M695" s="3"/>
      <c r="N695" s="1"/>
      <c r="P695" s="151"/>
    </row>
    <row r="696" ht="12.0" customHeight="1">
      <c r="B696" s="1"/>
      <c r="K696" s="151"/>
      <c r="L696" s="1"/>
      <c r="M696" s="3"/>
      <c r="N696" s="1"/>
      <c r="P696" s="151"/>
    </row>
    <row r="697" ht="12.0" customHeight="1">
      <c r="B697" s="1"/>
      <c r="K697" s="151"/>
      <c r="L697" s="1"/>
      <c r="M697" s="3"/>
      <c r="N697" s="1"/>
      <c r="P697" s="151"/>
    </row>
    <row r="698" ht="12.0" customHeight="1">
      <c r="B698" s="1"/>
      <c r="K698" s="151"/>
      <c r="L698" s="1"/>
      <c r="M698" s="3"/>
      <c r="N698" s="1"/>
      <c r="P698" s="151"/>
    </row>
    <row r="699" ht="12.0" customHeight="1">
      <c r="B699" s="1"/>
      <c r="K699" s="151"/>
      <c r="L699" s="1"/>
      <c r="M699" s="3"/>
      <c r="N699" s="1"/>
      <c r="P699" s="151"/>
    </row>
    <row r="700" ht="12.0" customHeight="1">
      <c r="B700" s="1"/>
      <c r="K700" s="151"/>
      <c r="L700" s="1"/>
      <c r="M700" s="3"/>
      <c r="N700" s="1"/>
      <c r="P700" s="151"/>
    </row>
    <row r="701" ht="12.0" customHeight="1">
      <c r="B701" s="1"/>
      <c r="K701" s="151"/>
      <c r="L701" s="1"/>
      <c r="M701" s="3"/>
      <c r="N701" s="1"/>
      <c r="P701" s="151"/>
    </row>
    <row r="702" ht="12.0" customHeight="1">
      <c r="B702" s="1"/>
      <c r="K702" s="151"/>
      <c r="L702" s="1"/>
      <c r="M702" s="3"/>
      <c r="N702" s="1"/>
      <c r="P702" s="151"/>
    </row>
    <row r="703" ht="12.0" customHeight="1">
      <c r="B703" s="1"/>
      <c r="K703" s="151"/>
      <c r="L703" s="1"/>
      <c r="M703" s="3"/>
      <c r="N703" s="1"/>
      <c r="P703" s="151"/>
    </row>
    <row r="704" ht="12.0" customHeight="1">
      <c r="B704" s="1"/>
      <c r="K704" s="151"/>
      <c r="L704" s="1"/>
      <c r="M704" s="3"/>
      <c r="N704" s="1"/>
      <c r="P704" s="151"/>
    </row>
    <row r="705" ht="12.0" customHeight="1">
      <c r="B705" s="1"/>
      <c r="K705" s="151"/>
      <c r="L705" s="1"/>
      <c r="M705" s="3"/>
      <c r="N705" s="1"/>
      <c r="P705" s="151"/>
    </row>
    <row r="706" ht="12.0" customHeight="1">
      <c r="B706" s="1"/>
      <c r="K706" s="151"/>
      <c r="L706" s="1"/>
      <c r="M706" s="3"/>
      <c r="N706" s="1"/>
      <c r="P706" s="151"/>
    </row>
    <row r="707" ht="12.0" customHeight="1">
      <c r="B707" s="1"/>
      <c r="K707" s="151"/>
      <c r="L707" s="1"/>
      <c r="M707" s="3"/>
      <c r="N707" s="1"/>
      <c r="P707" s="151"/>
    </row>
    <row r="708" ht="12.0" customHeight="1">
      <c r="B708" s="1"/>
      <c r="K708" s="151"/>
      <c r="L708" s="1"/>
      <c r="M708" s="3"/>
      <c r="N708" s="1"/>
      <c r="P708" s="151"/>
    </row>
    <row r="709" ht="12.0" customHeight="1">
      <c r="B709" s="1"/>
      <c r="K709" s="151"/>
      <c r="L709" s="1"/>
      <c r="M709" s="3"/>
      <c r="N709" s="1"/>
      <c r="P709" s="151"/>
    </row>
    <row r="710" ht="12.0" customHeight="1">
      <c r="B710" s="1"/>
      <c r="K710" s="151"/>
      <c r="L710" s="1"/>
      <c r="M710" s="3"/>
      <c r="N710" s="1"/>
      <c r="P710" s="151"/>
    </row>
    <row r="711" ht="12.0" customHeight="1">
      <c r="B711" s="1"/>
      <c r="K711" s="151"/>
      <c r="L711" s="1"/>
      <c r="M711" s="3"/>
      <c r="N711" s="1"/>
      <c r="P711" s="151"/>
    </row>
    <row r="712" ht="12.0" customHeight="1">
      <c r="B712" s="1"/>
      <c r="K712" s="151"/>
      <c r="L712" s="1"/>
      <c r="M712" s="3"/>
      <c r="N712" s="1"/>
      <c r="P712" s="151"/>
    </row>
    <row r="713" ht="12.0" customHeight="1">
      <c r="B713" s="1"/>
      <c r="K713" s="151"/>
      <c r="L713" s="1"/>
      <c r="M713" s="3"/>
      <c r="N713" s="1"/>
      <c r="P713" s="151"/>
    </row>
    <row r="714" ht="12.0" customHeight="1">
      <c r="B714" s="1"/>
      <c r="K714" s="151"/>
      <c r="L714" s="1"/>
      <c r="M714" s="3"/>
      <c r="N714" s="1"/>
      <c r="P714" s="151"/>
    </row>
    <row r="715" ht="12.0" customHeight="1">
      <c r="B715" s="1"/>
      <c r="K715" s="151"/>
      <c r="L715" s="1"/>
      <c r="M715" s="3"/>
      <c r="N715" s="1"/>
      <c r="P715" s="151"/>
    </row>
    <row r="716" ht="12.0" customHeight="1">
      <c r="B716" s="1"/>
      <c r="K716" s="151"/>
      <c r="L716" s="1"/>
      <c r="M716" s="3"/>
      <c r="N716" s="1"/>
      <c r="P716" s="151"/>
    </row>
    <row r="717" ht="12.0" customHeight="1">
      <c r="B717" s="1"/>
      <c r="K717" s="151"/>
      <c r="L717" s="1"/>
      <c r="M717" s="3"/>
      <c r="N717" s="1"/>
      <c r="P717" s="151"/>
    </row>
    <row r="718" ht="12.0" customHeight="1">
      <c r="B718" s="1"/>
      <c r="K718" s="151"/>
      <c r="L718" s="1"/>
      <c r="M718" s="3"/>
      <c r="N718" s="1"/>
      <c r="P718" s="151"/>
    </row>
    <row r="719" ht="12.0" customHeight="1">
      <c r="B719" s="1"/>
      <c r="K719" s="151"/>
      <c r="L719" s="1"/>
      <c r="M719" s="3"/>
      <c r="N719" s="1"/>
      <c r="P719" s="151"/>
    </row>
    <row r="720" ht="12.0" customHeight="1">
      <c r="B720" s="1"/>
      <c r="K720" s="151"/>
      <c r="L720" s="1"/>
      <c r="M720" s="3"/>
      <c r="N720" s="1"/>
      <c r="P720" s="151"/>
    </row>
    <row r="721" ht="12.0" customHeight="1">
      <c r="B721" s="1"/>
      <c r="K721" s="151"/>
      <c r="L721" s="1"/>
      <c r="M721" s="3"/>
      <c r="N721" s="1"/>
      <c r="P721" s="151"/>
    </row>
    <row r="722" ht="12.0" customHeight="1">
      <c r="B722" s="1"/>
      <c r="K722" s="151"/>
      <c r="L722" s="1"/>
      <c r="M722" s="3"/>
      <c r="N722" s="1"/>
      <c r="P722" s="151"/>
    </row>
    <row r="723" ht="12.0" customHeight="1">
      <c r="B723" s="1"/>
      <c r="K723" s="151"/>
      <c r="L723" s="1"/>
      <c r="M723" s="3"/>
      <c r="N723" s="1"/>
      <c r="P723" s="151"/>
    </row>
    <row r="724" ht="12.0" customHeight="1">
      <c r="B724" s="1"/>
      <c r="K724" s="151"/>
      <c r="L724" s="1"/>
      <c r="M724" s="3"/>
      <c r="N724" s="1"/>
      <c r="P724" s="151"/>
    </row>
    <row r="725" ht="12.0" customHeight="1">
      <c r="B725" s="1"/>
      <c r="K725" s="151"/>
      <c r="L725" s="1"/>
      <c r="M725" s="3"/>
      <c r="N725" s="1"/>
      <c r="P725" s="151"/>
    </row>
    <row r="726" ht="12.0" customHeight="1">
      <c r="B726" s="1"/>
      <c r="K726" s="151"/>
      <c r="L726" s="1"/>
      <c r="M726" s="3"/>
      <c r="N726" s="1"/>
      <c r="P726" s="151"/>
    </row>
    <row r="727" ht="12.0" customHeight="1">
      <c r="B727" s="1"/>
      <c r="K727" s="151"/>
      <c r="L727" s="1"/>
      <c r="M727" s="3"/>
      <c r="N727" s="1"/>
      <c r="P727" s="151"/>
    </row>
    <row r="728" ht="12.0" customHeight="1">
      <c r="B728" s="1"/>
      <c r="K728" s="151"/>
      <c r="L728" s="1"/>
      <c r="M728" s="3"/>
      <c r="N728" s="1"/>
      <c r="P728" s="151"/>
    </row>
    <row r="729" ht="12.0" customHeight="1">
      <c r="B729" s="1"/>
      <c r="K729" s="151"/>
      <c r="L729" s="1"/>
      <c r="M729" s="3"/>
      <c r="N729" s="1"/>
      <c r="P729" s="151"/>
    </row>
    <row r="730" ht="12.0" customHeight="1">
      <c r="B730" s="1"/>
      <c r="K730" s="151"/>
      <c r="L730" s="1"/>
      <c r="M730" s="3"/>
      <c r="N730" s="1"/>
      <c r="P730" s="151"/>
    </row>
    <row r="731" ht="12.0" customHeight="1">
      <c r="B731" s="1"/>
      <c r="K731" s="151"/>
      <c r="L731" s="1"/>
      <c r="M731" s="3"/>
      <c r="N731" s="1"/>
      <c r="P731" s="151"/>
    </row>
    <row r="732" ht="12.0" customHeight="1">
      <c r="B732" s="1"/>
      <c r="K732" s="151"/>
      <c r="L732" s="1"/>
      <c r="M732" s="3"/>
      <c r="N732" s="1"/>
      <c r="P732" s="151"/>
    </row>
    <row r="733" ht="12.0" customHeight="1">
      <c r="B733" s="1"/>
      <c r="K733" s="151"/>
      <c r="L733" s="1"/>
      <c r="M733" s="3"/>
      <c r="N733" s="1"/>
      <c r="P733" s="151"/>
    </row>
    <row r="734" ht="12.0" customHeight="1">
      <c r="B734" s="1"/>
      <c r="K734" s="151"/>
      <c r="L734" s="1"/>
      <c r="M734" s="3"/>
      <c r="N734" s="1"/>
      <c r="P734" s="151"/>
    </row>
    <row r="735" ht="12.0" customHeight="1">
      <c r="B735" s="1"/>
      <c r="K735" s="151"/>
      <c r="L735" s="1"/>
      <c r="M735" s="3"/>
      <c r="N735" s="1"/>
      <c r="P735" s="151"/>
    </row>
    <row r="736" ht="12.0" customHeight="1">
      <c r="B736" s="1"/>
      <c r="K736" s="151"/>
      <c r="L736" s="1"/>
      <c r="M736" s="3"/>
      <c r="N736" s="1"/>
      <c r="P736" s="151"/>
    </row>
    <row r="737" ht="12.0" customHeight="1">
      <c r="B737" s="1"/>
      <c r="K737" s="151"/>
      <c r="L737" s="1"/>
      <c r="M737" s="3"/>
      <c r="N737" s="1"/>
      <c r="P737" s="151"/>
    </row>
    <row r="738" ht="12.0" customHeight="1">
      <c r="B738" s="1"/>
      <c r="K738" s="151"/>
      <c r="L738" s="1"/>
      <c r="M738" s="3"/>
      <c r="N738" s="1"/>
      <c r="P738" s="151"/>
    </row>
    <row r="739" ht="12.0" customHeight="1">
      <c r="B739" s="1"/>
      <c r="K739" s="151"/>
      <c r="L739" s="1"/>
      <c r="M739" s="3"/>
      <c r="N739" s="1"/>
      <c r="P739" s="151"/>
    </row>
    <row r="740" ht="12.0" customHeight="1">
      <c r="B740" s="1"/>
      <c r="K740" s="151"/>
      <c r="L740" s="1"/>
      <c r="M740" s="3"/>
      <c r="N740" s="1"/>
      <c r="P740" s="151"/>
    </row>
    <row r="741" ht="12.0" customHeight="1">
      <c r="B741" s="1"/>
      <c r="K741" s="151"/>
      <c r="L741" s="1"/>
      <c r="M741" s="3"/>
      <c r="N741" s="1"/>
      <c r="P741" s="151"/>
    </row>
    <row r="742" ht="12.0" customHeight="1">
      <c r="B742" s="1"/>
      <c r="K742" s="151"/>
      <c r="L742" s="1"/>
      <c r="M742" s="3"/>
      <c r="N742" s="1"/>
      <c r="P742" s="151"/>
    </row>
    <row r="743" ht="12.0" customHeight="1">
      <c r="B743" s="1"/>
      <c r="K743" s="151"/>
      <c r="L743" s="1"/>
      <c r="M743" s="3"/>
      <c r="N743" s="1"/>
      <c r="P743" s="151"/>
    </row>
    <row r="744" ht="12.0" customHeight="1">
      <c r="B744" s="1"/>
      <c r="K744" s="151"/>
      <c r="L744" s="1"/>
      <c r="M744" s="3"/>
      <c r="N744" s="1"/>
      <c r="P744" s="151"/>
    </row>
    <row r="745" ht="12.0" customHeight="1">
      <c r="B745" s="1"/>
      <c r="K745" s="151"/>
      <c r="L745" s="1"/>
      <c r="M745" s="3"/>
      <c r="N745" s="1"/>
      <c r="P745" s="151"/>
    </row>
    <row r="746" ht="12.0" customHeight="1">
      <c r="B746" s="1"/>
      <c r="K746" s="151"/>
      <c r="L746" s="1"/>
      <c r="M746" s="3"/>
      <c r="N746" s="1"/>
      <c r="P746" s="151"/>
    </row>
    <row r="747" ht="12.0" customHeight="1">
      <c r="B747" s="1"/>
      <c r="K747" s="151"/>
      <c r="L747" s="1"/>
      <c r="M747" s="3"/>
      <c r="N747" s="1"/>
      <c r="P747" s="151"/>
    </row>
    <row r="748" ht="12.0" customHeight="1">
      <c r="B748" s="1"/>
      <c r="K748" s="151"/>
      <c r="L748" s="1"/>
      <c r="M748" s="3"/>
      <c r="N748" s="1"/>
      <c r="P748" s="151"/>
    </row>
    <row r="749" ht="12.0" customHeight="1">
      <c r="B749" s="1"/>
      <c r="K749" s="151"/>
      <c r="L749" s="1"/>
      <c r="M749" s="3"/>
      <c r="N749" s="1"/>
      <c r="P749" s="151"/>
    </row>
    <row r="750" ht="12.0" customHeight="1">
      <c r="B750" s="1"/>
      <c r="K750" s="151"/>
      <c r="L750" s="1"/>
      <c r="M750" s="3"/>
      <c r="N750" s="1"/>
      <c r="P750" s="151"/>
    </row>
    <row r="751" ht="12.0" customHeight="1">
      <c r="B751" s="1"/>
      <c r="K751" s="151"/>
      <c r="L751" s="1"/>
      <c r="M751" s="3"/>
      <c r="N751" s="1"/>
      <c r="P751" s="151"/>
    </row>
    <row r="752" ht="12.0" customHeight="1">
      <c r="B752" s="1"/>
      <c r="K752" s="151"/>
      <c r="L752" s="1"/>
      <c r="M752" s="3"/>
      <c r="N752" s="1"/>
      <c r="P752" s="151"/>
    </row>
    <row r="753" ht="12.0" customHeight="1">
      <c r="B753" s="1"/>
      <c r="K753" s="151"/>
      <c r="L753" s="1"/>
      <c r="M753" s="3"/>
      <c r="N753" s="1"/>
      <c r="P753" s="151"/>
    </row>
    <row r="754" ht="12.0" customHeight="1">
      <c r="B754" s="1"/>
      <c r="K754" s="151"/>
      <c r="L754" s="1"/>
      <c r="M754" s="3"/>
      <c r="N754" s="1"/>
      <c r="P754" s="151"/>
    </row>
    <row r="755" ht="12.0" customHeight="1">
      <c r="B755" s="1"/>
      <c r="K755" s="151"/>
      <c r="L755" s="1"/>
      <c r="M755" s="3"/>
      <c r="N755" s="1"/>
      <c r="P755" s="151"/>
    </row>
    <row r="756" ht="12.0" customHeight="1">
      <c r="B756" s="1"/>
      <c r="K756" s="151"/>
      <c r="L756" s="1"/>
      <c r="M756" s="3"/>
      <c r="N756" s="1"/>
      <c r="P756" s="151"/>
    </row>
    <row r="757" ht="12.0" customHeight="1">
      <c r="B757" s="1"/>
      <c r="K757" s="151"/>
      <c r="L757" s="1"/>
      <c r="M757" s="3"/>
      <c r="N757" s="1"/>
      <c r="P757" s="151"/>
    </row>
    <row r="758" ht="12.0" customHeight="1">
      <c r="B758" s="1"/>
      <c r="K758" s="151"/>
      <c r="L758" s="1"/>
      <c r="M758" s="3"/>
      <c r="N758" s="1"/>
      <c r="P758" s="151"/>
    </row>
    <row r="759" ht="12.0" customHeight="1">
      <c r="B759" s="1"/>
      <c r="K759" s="151"/>
      <c r="L759" s="1"/>
      <c r="M759" s="3"/>
      <c r="N759" s="1"/>
      <c r="P759" s="151"/>
    </row>
    <row r="760" ht="12.0" customHeight="1">
      <c r="B760" s="1"/>
      <c r="K760" s="151"/>
      <c r="L760" s="1"/>
      <c r="M760" s="3"/>
      <c r="N760" s="1"/>
      <c r="P760" s="151"/>
    </row>
    <row r="761" ht="12.0" customHeight="1">
      <c r="B761" s="1"/>
      <c r="K761" s="151"/>
      <c r="L761" s="1"/>
      <c r="M761" s="3"/>
      <c r="N761" s="1"/>
      <c r="P761" s="151"/>
    </row>
    <row r="762" ht="12.0" customHeight="1">
      <c r="B762" s="1"/>
      <c r="K762" s="151"/>
      <c r="L762" s="1"/>
      <c r="M762" s="3"/>
      <c r="N762" s="1"/>
      <c r="P762" s="151"/>
    </row>
    <row r="763" ht="12.0" customHeight="1">
      <c r="B763" s="1"/>
      <c r="K763" s="151"/>
      <c r="L763" s="1"/>
      <c r="M763" s="3"/>
      <c r="N763" s="1"/>
      <c r="P763" s="151"/>
    </row>
    <row r="764" ht="12.0" customHeight="1">
      <c r="B764" s="1"/>
      <c r="K764" s="151"/>
      <c r="L764" s="1"/>
      <c r="M764" s="3"/>
      <c r="N764" s="1"/>
      <c r="P764" s="151"/>
    </row>
    <row r="765" ht="12.0" customHeight="1">
      <c r="B765" s="1"/>
      <c r="K765" s="151"/>
      <c r="L765" s="1"/>
      <c r="M765" s="3"/>
      <c r="N765" s="1"/>
      <c r="P765" s="151"/>
    </row>
    <row r="766" ht="12.0" customHeight="1">
      <c r="B766" s="1"/>
      <c r="K766" s="151"/>
      <c r="L766" s="1"/>
      <c r="M766" s="3"/>
      <c r="N766" s="1"/>
      <c r="P766" s="151"/>
    </row>
    <row r="767" ht="12.0" customHeight="1">
      <c r="B767" s="1"/>
      <c r="K767" s="151"/>
      <c r="L767" s="1"/>
      <c r="M767" s="3"/>
      <c r="N767" s="1"/>
      <c r="P767" s="151"/>
    </row>
    <row r="768" ht="12.0" customHeight="1">
      <c r="B768" s="1"/>
      <c r="K768" s="151"/>
      <c r="L768" s="1"/>
      <c r="M768" s="3"/>
      <c r="N768" s="1"/>
      <c r="P768" s="151"/>
    </row>
    <row r="769" ht="12.0" customHeight="1">
      <c r="B769" s="1"/>
      <c r="K769" s="151"/>
      <c r="L769" s="1"/>
      <c r="M769" s="3"/>
      <c r="N769" s="1"/>
      <c r="P769" s="151"/>
    </row>
    <row r="770" ht="12.0" customHeight="1">
      <c r="B770" s="1"/>
      <c r="K770" s="151"/>
      <c r="L770" s="1"/>
      <c r="M770" s="3"/>
      <c r="N770" s="1"/>
      <c r="P770" s="151"/>
    </row>
    <row r="771" ht="12.0" customHeight="1">
      <c r="B771" s="1"/>
      <c r="K771" s="151"/>
      <c r="L771" s="1"/>
      <c r="M771" s="3"/>
      <c r="N771" s="1"/>
      <c r="P771" s="151"/>
    </row>
    <row r="772" ht="12.0" customHeight="1">
      <c r="B772" s="1"/>
      <c r="K772" s="151"/>
      <c r="L772" s="1"/>
      <c r="M772" s="3"/>
      <c r="N772" s="1"/>
      <c r="P772" s="151"/>
    </row>
    <row r="773" ht="12.0" customHeight="1">
      <c r="B773" s="1"/>
      <c r="K773" s="151"/>
      <c r="L773" s="1"/>
      <c r="M773" s="3"/>
      <c r="N773" s="1"/>
      <c r="P773" s="151"/>
    </row>
    <row r="774" ht="12.0" customHeight="1">
      <c r="B774" s="1"/>
      <c r="K774" s="151"/>
      <c r="L774" s="1"/>
      <c r="M774" s="3"/>
      <c r="N774" s="1"/>
      <c r="P774" s="151"/>
    </row>
    <row r="775" ht="12.0" customHeight="1">
      <c r="B775" s="1"/>
      <c r="K775" s="151"/>
      <c r="L775" s="1"/>
      <c r="M775" s="3"/>
      <c r="N775" s="1"/>
      <c r="P775" s="151"/>
    </row>
    <row r="776" ht="12.0" customHeight="1">
      <c r="B776" s="1"/>
      <c r="K776" s="151"/>
      <c r="L776" s="1"/>
      <c r="M776" s="3"/>
      <c r="N776" s="1"/>
      <c r="P776" s="151"/>
    </row>
    <row r="777" ht="12.0" customHeight="1">
      <c r="B777" s="1"/>
      <c r="K777" s="151"/>
      <c r="L777" s="1"/>
      <c r="M777" s="3"/>
      <c r="N777" s="1"/>
      <c r="P777" s="151"/>
    </row>
    <row r="778" ht="12.0" customHeight="1">
      <c r="B778" s="1"/>
      <c r="K778" s="151"/>
      <c r="L778" s="1"/>
      <c r="M778" s="3"/>
      <c r="N778" s="1"/>
      <c r="P778" s="151"/>
    </row>
    <row r="779" ht="12.0" customHeight="1">
      <c r="B779" s="1"/>
      <c r="K779" s="151"/>
      <c r="L779" s="1"/>
      <c r="M779" s="3"/>
      <c r="N779" s="1"/>
      <c r="P779" s="151"/>
    </row>
    <row r="780" ht="12.0" customHeight="1">
      <c r="B780" s="1"/>
      <c r="K780" s="151"/>
      <c r="L780" s="1"/>
      <c r="M780" s="3"/>
      <c r="N780" s="1"/>
      <c r="P780" s="151"/>
    </row>
    <row r="781" ht="12.0" customHeight="1">
      <c r="B781" s="1"/>
      <c r="K781" s="151"/>
      <c r="L781" s="1"/>
      <c r="M781" s="3"/>
      <c r="N781" s="1"/>
      <c r="P781" s="151"/>
    </row>
    <row r="782" ht="12.0" customHeight="1">
      <c r="B782" s="1"/>
      <c r="K782" s="151"/>
      <c r="L782" s="1"/>
      <c r="M782" s="3"/>
      <c r="N782" s="1"/>
      <c r="P782" s="151"/>
    </row>
    <row r="783" ht="12.0" customHeight="1">
      <c r="B783" s="1"/>
      <c r="K783" s="151"/>
      <c r="L783" s="1"/>
      <c r="M783" s="3"/>
      <c r="N783" s="1"/>
      <c r="P783" s="151"/>
    </row>
    <row r="784" ht="12.0" customHeight="1">
      <c r="B784" s="1"/>
      <c r="K784" s="151"/>
      <c r="L784" s="1"/>
      <c r="M784" s="3"/>
      <c r="N784" s="1"/>
      <c r="P784" s="151"/>
    </row>
    <row r="785" ht="12.0" customHeight="1">
      <c r="B785" s="1"/>
      <c r="K785" s="151"/>
      <c r="L785" s="1"/>
      <c r="M785" s="3"/>
      <c r="N785" s="1"/>
      <c r="P785" s="151"/>
    </row>
    <row r="786" ht="12.0" customHeight="1">
      <c r="B786" s="1"/>
      <c r="K786" s="151"/>
      <c r="L786" s="1"/>
      <c r="M786" s="3"/>
      <c r="N786" s="1"/>
      <c r="P786" s="151"/>
    </row>
    <row r="787" ht="12.0" customHeight="1">
      <c r="B787" s="1"/>
      <c r="K787" s="151"/>
      <c r="L787" s="1"/>
      <c r="M787" s="3"/>
      <c r="N787" s="1"/>
      <c r="P787" s="151"/>
    </row>
    <row r="788" ht="12.0" customHeight="1">
      <c r="B788" s="1"/>
      <c r="K788" s="151"/>
      <c r="L788" s="1"/>
      <c r="M788" s="3"/>
      <c r="N788" s="1"/>
      <c r="P788" s="151"/>
    </row>
    <row r="789" ht="12.0" customHeight="1">
      <c r="B789" s="1"/>
      <c r="K789" s="151"/>
      <c r="L789" s="1"/>
      <c r="M789" s="3"/>
      <c r="N789" s="1"/>
      <c r="P789" s="151"/>
    </row>
    <row r="790" ht="12.0" customHeight="1">
      <c r="B790" s="1"/>
      <c r="K790" s="151"/>
      <c r="L790" s="1"/>
      <c r="M790" s="3"/>
      <c r="N790" s="1"/>
      <c r="P790" s="151"/>
    </row>
    <row r="791" ht="12.0" customHeight="1">
      <c r="B791" s="1"/>
      <c r="K791" s="151"/>
      <c r="L791" s="1"/>
      <c r="M791" s="3"/>
      <c r="N791" s="1"/>
      <c r="P791" s="151"/>
    </row>
    <row r="792" ht="12.0" customHeight="1">
      <c r="B792" s="1"/>
      <c r="K792" s="151"/>
      <c r="L792" s="1"/>
      <c r="M792" s="3"/>
      <c r="N792" s="1"/>
      <c r="P792" s="151"/>
    </row>
    <row r="793" ht="12.0" customHeight="1">
      <c r="B793" s="1"/>
      <c r="K793" s="151"/>
      <c r="L793" s="1"/>
      <c r="M793" s="3"/>
      <c r="N793" s="1"/>
      <c r="P793" s="151"/>
    </row>
    <row r="794" ht="12.0" customHeight="1">
      <c r="B794" s="1"/>
      <c r="K794" s="151"/>
      <c r="L794" s="1"/>
      <c r="M794" s="3"/>
      <c r="N794" s="1"/>
      <c r="P794" s="151"/>
    </row>
    <row r="795" ht="12.0" customHeight="1">
      <c r="B795" s="1"/>
      <c r="K795" s="151"/>
      <c r="L795" s="1"/>
      <c r="M795" s="3"/>
      <c r="N795" s="1"/>
      <c r="P795" s="151"/>
    </row>
    <row r="796" ht="12.0" customHeight="1">
      <c r="B796" s="1"/>
      <c r="K796" s="151"/>
      <c r="L796" s="1"/>
      <c r="M796" s="3"/>
      <c r="N796" s="1"/>
      <c r="P796" s="151"/>
    </row>
    <row r="797" ht="12.0" customHeight="1">
      <c r="B797" s="1"/>
      <c r="K797" s="151"/>
      <c r="L797" s="1"/>
      <c r="M797" s="3"/>
      <c r="N797" s="1"/>
      <c r="P797" s="151"/>
    </row>
    <row r="798" ht="12.0" customHeight="1">
      <c r="B798" s="1"/>
      <c r="K798" s="151"/>
      <c r="L798" s="1"/>
      <c r="M798" s="3"/>
      <c r="N798" s="1"/>
      <c r="P798" s="151"/>
    </row>
    <row r="799" ht="12.0" customHeight="1">
      <c r="B799" s="1"/>
      <c r="K799" s="151"/>
      <c r="L799" s="1"/>
      <c r="M799" s="3"/>
      <c r="N799" s="1"/>
      <c r="P799" s="151"/>
    </row>
    <row r="800" ht="12.0" customHeight="1">
      <c r="B800" s="1"/>
      <c r="K800" s="151"/>
      <c r="L800" s="1"/>
      <c r="M800" s="3"/>
      <c r="N800" s="1"/>
      <c r="P800" s="151"/>
    </row>
    <row r="801" ht="12.0" customHeight="1">
      <c r="B801" s="1"/>
      <c r="K801" s="151"/>
      <c r="L801" s="1"/>
      <c r="M801" s="3"/>
      <c r="N801" s="1"/>
      <c r="P801" s="151"/>
    </row>
    <row r="802" ht="12.0" customHeight="1">
      <c r="B802" s="1"/>
      <c r="K802" s="151"/>
      <c r="L802" s="1"/>
      <c r="M802" s="3"/>
      <c r="N802" s="1"/>
      <c r="P802" s="151"/>
    </row>
    <row r="803" ht="12.0" customHeight="1">
      <c r="B803" s="1"/>
      <c r="K803" s="151"/>
      <c r="L803" s="1"/>
      <c r="M803" s="3"/>
      <c r="N803" s="1"/>
      <c r="P803" s="151"/>
    </row>
    <row r="804" ht="12.0" customHeight="1">
      <c r="B804" s="1"/>
      <c r="K804" s="151"/>
      <c r="L804" s="1"/>
      <c r="M804" s="3"/>
      <c r="N804" s="1"/>
      <c r="P804" s="151"/>
    </row>
    <row r="805" ht="12.0" customHeight="1">
      <c r="B805" s="1"/>
      <c r="K805" s="151"/>
      <c r="L805" s="1"/>
      <c r="M805" s="3"/>
      <c r="N805" s="1"/>
      <c r="P805" s="151"/>
    </row>
    <row r="806" ht="12.0" customHeight="1">
      <c r="B806" s="1"/>
      <c r="K806" s="151"/>
      <c r="L806" s="1"/>
      <c r="M806" s="3"/>
      <c r="N806" s="1"/>
      <c r="P806" s="151"/>
    </row>
    <row r="807" ht="12.0" customHeight="1">
      <c r="B807" s="1"/>
      <c r="K807" s="151"/>
      <c r="L807" s="1"/>
      <c r="M807" s="3"/>
      <c r="N807" s="1"/>
      <c r="P807" s="151"/>
    </row>
    <row r="808" ht="12.0" customHeight="1">
      <c r="B808" s="1"/>
      <c r="K808" s="151"/>
      <c r="L808" s="1"/>
      <c r="M808" s="3"/>
      <c r="N808" s="1"/>
      <c r="P808" s="151"/>
    </row>
    <row r="809" ht="12.0" customHeight="1">
      <c r="B809" s="1"/>
      <c r="K809" s="151"/>
      <c r="L809" s="1"/>
      <c r="M809" s="3"/>
      <c r="N809" s="1"/>
      <c r="P809" s="151"/>
    </row>
    <row r="810" ht="12.0" customHeight="1">
      <c r="B810" s="1"/>
      <c r="K810" s="151"/>
      <c r="L810" s="1"/>
      <c r="M810" s="3"/>
      <c r="N810" s="1"/>
      <c r="P810" s="151"/>
    </row>
    <row r="811" ht="12.0" customHeight="1">
      <c r="B811" s="1"/>
      <c r="K811" s="151"/>
      <c r="L811" s="1"/>
      <c r="M811" s="3"/>
      <c r="N811" s="1"/>
      <c r="P811" s="151"/>
    </row>
    <row r="812" ht="12.0" customHeight="1">
      <c r="B812" s="1"/>
      <c r="K812" s="151"/>
      <c r="L812" s="1"/>
      <c r="M812" s="3"/>
      <c r="N812" s="1"/>
      <c r="P812" s="151"/>
    </row>
    <row r="813" ht="12.0" customHeight="1">
      <c r="B813" s="1"/>
      <c r="K813" s="151"/>
      <c r="L813" s="1"/>
      <c r="M813" s="3"/>
      <c r="N813" s="1"/>
      <c r="P813" s="151"/>
    </row>
    <row r="814" ht="12.0" customHeight="1">
      <c r="B814" s="1"/>
      <c r="K814" s="151"/>
      <c r="L814" s="1"/>
      <c r="M814" s="3"/>
      <c r="N814" s="1"/>
      <c r="P814" s="151"/>
    </row>
    <row r="815" ht="12.0" customHeight="1">
      <c r="B815" s="1"/>
      <c r="K815" s="151"/>
      <c r="L815" s="1"/>
      <c r="M815" s="3"/>
      <c r="N815" s="1"/>
      <c r="P815" s="151"/>
    </row>
    <row r="816" ht="12.0" customHeight="1">
      <c r="B816" s="1"/>
      <c r="K816" s="151"/>
      <c r="L816" s="1"/>
      <c r="M816" s="3"/>
      <c r="N816" s="1"/>
      <c r="P816" s="151"/>
    </row>
    <row r="817" ht="12.0" customHeight="1">
      <c r="B817" s="1"/>
      <c r="K817" s="151"/>
      <c r="L817" s="1"/>
      <c r="M817" s="3"/>
      <c r="N817" s="1"/>
      <c r="P817" s="151"/>
    </row>
    <row r="818" ht="12.0" customHeight="1">
      <c r="B818" s="1"/>
      <c r="K818" s="151"/>
      <c r="L818" s="1"/>
      <c r="M818" s="3"/>
      <c r="N818" s="1"/>
      <c r="P818" s="151"/>
    </row>
    <row r="819" ht="12.0" customHeight="1">
      <c r="B819" s="1"/>
      <c r="K819" s="151"/>
      <c r="L819" s="1"/>
      <c r="M819" s="3"/>
      <c r="N819" s="1"/>
      <c r="P819" s="151"/>
    </row>
    <row r="820" ht="12.0" customHeight="1">
      <c r="B820" s="1"/>
      <c r="K820" s="151"/>
      <c r="L820" s="1"/>
      <c r="M820" s="3"/>
      <c r="N820" s="1"/>
      <c r="P820" s="151"/>
    </row>
    <row r="821" ht="12.0" customHeight="1">
      <c r="B821" s="1"/>
      <c r="K821" s="151"/>
      <c r="L821" s="1"/>
      <c r="M821" s="3"/>
      <c r="N821" s="1"/>
      <c r="P821" s="151"/>
    </row>
    <row r="822" ht="12.0" customHeight="1">
      <c r="B822" s="1"/>
      <c r="K822" s="151"/>
      <c r="L822" s="1"/>
      <c r="M822" s="3"/>
      <c r="N822" s="1"/>
      <c r="P822" s="151"/>
    </row>
    <row r="823" ht="12.0" customHeight="1">
      <c r="B823" s="1"/>
      <c r="K823" s="151"/>
      <c r="L823" s="1"/>
      <c r="M823" s="3"/>
      <c r="N823" s="1"/>
      <c r="P823" s="151"/>
    </row>
    <row r="824" ht="12.0" customHeight="1">
      <c r="B824" s="1"/>
      <c r="K824" s="151"/>
      <c r="L824" s="1"/>
      <c r="M824" s="3"/>
      <c r="N824" s="1"/>
      <c r="P824" s="151"/>
    </row>
    <row r="825" ht="12.0" customHeight="1">
      <c r="B825" s="1"/>
      <c r="K825" s="151"/>
      <c r="L825" s="1"/>
      <c r="M825" s="3"/>
      <c r="N825" s="1"/>
      <c r="P825" s="151"/>
    </row>
    <row r="826" ht="12.0" customHeight="1">
      <c r="B826" s="1"/>
      <c r="K826" s="151"/>
      <c r="L826" s="1"/>
      <c r="M826" s="3"/>
      <c r="N826" s="1"/>
      <c r="P826" s="151"/>
    </row>
    <row r="827" ht="12.0" customHeight="1">
      <c r="B827" s="1"/>
      <c r="K827" s="151"/>
      <c r="L827" s="1"/>
      <c r="M827" s="3"/>
      <c r="N827" s="1"/>
      <c r="P827" s="151"/>
    </row>
    <row r="828" ht="12.0" customHeight="1">
      <c r="B828" s="1"/>
      <c r="K828" s="151"/>
      <c r="L828" s="1"/>
      <c r="M828" s="3"/>
      <c r="N828" s="1"/>
      <c r="P828" s="151"/>
    </row>
    <row r="829" ht="12.0" customHeight="1">
      <c r="B829" s="1"/>
      <c r="K829" s="151"/>
      <c r="L829" s="1"/>
      <c r="M829" s="3"/>
      <c r="N829" s="1"/>
      <c r="P829" s="151"/>
    </row>
    <row r="830" ht="12.0" customHeight="1">
      <c r="B830" s="1"/>
      <c r="K830" s="151"/>
      <c r="L830" s="1"/>
      <c r="M830" s="3"/>
      <c r="N830" s="1"/>
      <c r="P830" s="151"/>
    </row>
    <row r="831" ht="12.0" customHeight="1">
      <c r="B831" s="1"/>
      <c r="K831" s="151"/>
      <c r="L831" s="1"/>
      <c r="M831" s="3"/>
      <c r="N831" s="1"/>
      <c r="P831" s="151"/>
    </row>
    <row r="832" ht="12.0" customHeight="1">
      <c r="B832" s="1"/>
      <c r="K832" s="151"/>
      <c r="L832" s="1"/>
      <c r="M832" s="3"/>
      <c r="N832" s="1"/>
      <c r="P832" s="151"/>
    </row>
    <row r="833" ht="12.0" customHeight="1">
      <c r="B833" s="1"/>
      <c r="K833" s="151"/>
      <c r="L833" s="1"/>
      <c r="M833" s="3"/>
      <c r="N833" s="1"/>
      <c r="P833" s="151"/>
    </row>
    <row r="834" ht="12.0" customHeight="1">
      <c r="B834" s="1"/>
      <c r="K834" s="151"/>
      <c r="L834" s="1"/>
      <c r="M834" s="3"/>
      <c r="N834" s="1"/>
      <c r="P834" s="151"/>
    </row>
    <row r="835" ht="12.0" customHeight="1">
      <c r="B835" s="1"/>
      <c r="K835" s="151"/>
      <c r="L835" s="1"/>
      <c r="M835" s="3"/>
      <c r="N835" s="1"/>
      <c r="P835" s="151"/>
    </row>
    <row r="836" ht="12.0" customHeight="1">
      <c r="B836" s="1"/>
      <c r="K836" s="151"/>
      <c r="L836" s="1"/>
      <c r="M836" s="3"/>
      <c r="N836" s="1"/>
      <c r="P836" s="151"/>
    </row>
    <row r="837" ht="12.0" customHeight="1">
      <c r="B837" s="1"/>
      <c r="K837" s="151"/>
      <c r="L837" s="1"/>
      <c r="M837" s="3"/>
      <c r="N837" s="1"/>
      <c r="P837" s="151"/>
    </row>
    <row r="838" ht="12.0" customHeight="1">
      <c r="B838" s="1"/>
      <c r="K838" s="151"/>
      <c r="L838" s="1"/>
      <c r="M838" s="3"/>
      <c r="N838" s="1"/>
      <c r="P838" s="151"/>
    </row>
    <row r="839" ht="12.0" customHeight="1">
      <c r="B839" s="1"/>
      <c r="K839" s="151"/>
      <c r="L839" s="1"/>
      <c r="M839" s="3"/>
      <c r="N839" s="1"/>
      <c r="P839" s="151"/>
    </row>
    <row r="840" ht="12.0" customHeight="1">
      <c r="B840" s="1"/>
      <c r="K840" s="151"/>
      <c r="L840" s="1"/>
      <c r="M840" s="3"/>
      <c r="N840" s="1"/>
      <c r="P840" s="151"/>
    </row>
    <row r="841" ht="12.0" customHeight="1">
      <c r="B841" s="1"/>
      <c r="K841" s="151"/>
      <c r="L841" s="1"/>
      <c r="M841" s="3"/>
      <c r="N841" s="1"/>
      <c r="P841" s="151"/>
    </row>
    <row r="842" ht="12.0" customHeight="1">
      <c r="B842" s="1"/>
      <c r="K842" s="151"/>
      <c r="L842" s="1"/>
      <c r="M842" s="3"/>
      <c r="N842" s="1"/>
      <c r="P842" s="151"/>
    </row>
    <row r="843" ht="12.0" customHeight="1">
      <c r="B843" s="1"/>
      <c r="K843" s="151"/>
      <c r="L843" s="1"/>
      <c r="M843" s="3"/>
      <c r="N843" s="1"/>
      <c r="P843" s="151"/>
    </row>
    <row r="844" ht="12.0" customHeight="1">
      <c r="B844" s="1"/>
      <c r="K844" s="151"/>
      <c r="L844" s="1"/>
      <c r="M844" s="3"/>
      <c r="N844" s="1"/>
      <c r="P844" s="151"/>
    </row>
    <row r="845" ht="12.0" customHeight="1">
      <c r="B845" s="1"/>
      <c r="K845" s="151"/>
      <c r="L845" s="1"/>
      <c r="M845" s="3"/>
      <c r="N845" s="1"/>
      <c r="P845" s="151"/>
    </row>
    <row r="846" ht="12.0" customHeight="1">
      <c r="B846" s="1"/>
      <c r="K846" s="151"/>
      <c r="L846" s="1"/>
      <c r="M846" s="3"/>
      <c r="N846" s="1"/>
      <c r="P846" s="151"/>
    </row>
    <row r="847" ht="12.0" customHeight="1">
      <c r="B847" s="1"/>
      <c r="K847" s="151"/>
      <c r="L847" s="1"/>
      <c r="M847" s="3"/>
      <c r="N847" s="1"/>
      <c r="P847" s="151"/>
    </row>
    <row r="848" ht="12.0" customHeight="1">
      <c r="B848" s="1"/>
      <c r="K848" s="151"/>
      <c r="L848" s="1"/>
      <c r="M848" s="3"/>
      <c r="N848" s="1"/>
      <c r="P848" s="151"/>
    </row>
    <row r="849" ht="12.0" customHeight="1">
      <c r="B849" s="1"/>
      <c r="K849" s="151"/>
      <c r="L849" s="1"/>
      <c r="M849" s="3"/>
      <c r="N849" s="1"/>
      <c r="P849" s="151"/>
    </row>
    <row r="850" ht="12.0" customHeight="1">
      <c r="B850" s="1"/>
      <c r="K850" s="151"/>
      <c r="L850" s="1"/>
      <c r="M850" s="3"/>
      <c r="N850" s="1"/>
      <c r="P850" s="151"/>
    </row>
    <row r="851" ht="12.0" customHeight="1">
      <c r="B851" s="1"/>
      <c r="K851" s="151"/>
      <c r="L851" s="1"/>
      <c r="M851" s="3"/>
      <c r="N851" s="1"/>
      <c r="P851" s="151"/>
    </row>
    <row r="852" ht="12.0" customHeight="1">
      <c r="B852" s="1"/>
      <c r="K852" s="151"/>
      <c r="L852" s="1"/>
      <c r="M852" s="3"/>
      <c r="N852" s="1"/>
      <c r="P852" s="151"/>
    </row>
    <row r="853" ht="12.0" customHeight="1">
      <c r="B853" s="1"/>
      <c r="K853" s="151"/>
      <c r="L853" s="1"/>
      <c r="M853" s="3"/>
      <c r="N853" s="1"/>
      <c r="P853" s="151"/>
    </row>
    <row r="854" ht="12.0" customHeight="1">
      <c r="B854" s="1"/>
      <c r="K854" s="151"/>
      <c r="L854" s="1"/>
      <c r="M854" s="3"/>
      <c r="N854" s="1"/>
      <c r="P854" s="151"/>
    </row>
    <row r="855" ht="12.0" customHeight="1">
      <c r="B855" s="1"/>
      <c r="K855" s="151"/>
      <c r="L855" s="1"/>
      <c r="M855" s="3"/>
      <c r="N855" s="1"/>
      <c r="P855" s="151"/>
    </row>
    <row r="856" ht="12.0" customHeight="1">
      <c r="B856" s="1"/>
      <c r="K856" s="151"/>
      <c r="L856" s="1"/>
      <c r="M856" s="3"/>
      <c r="N856" s="1"/>
      <c r="P856" s="151"/>
    </row>
    <row r="857" ht="12.0" customHeight="1">
      <c r="B857" s="1"/>
      <c r="K857" s="151"/>
      <c r="L857" s="1"/>
      <c r="M857" s="3"/>
      <c r="N857" s="1"/>
      <c r="P857" s="151"/>
    </row>
    <row r="858" ht="12.0" customHeight="1">
      <c r="B858" s="1"/>
      <c r="K858" s="151"/>
      <c r="L858" s="1"/>
      <c r="M858" s="3"/>
      <c r="N858" s="1"/>
      <c r="P858" s="151"/>
    </row>
    <row r="859" ht="12.0" customHeight="1">
      <c r="B859" s="1"/>
      <c r="K859" s="151"/>
      <c r="L859" s="1"/>
      <c r="M859" s="3"/>
      <c r="N859" s="1"/>
      <c r="P859" s="151"/>
    </row>
    <row r="860" ht="12.0" customHeight="1">
      <c r="B860" s="1"/>
      <c r="K860" s="151"/>
      <c r="L860" s="1"/>
      <c r="M860" s="3"/>
      <c r="N860" s="1"/>
      <c r="P860" s="151"/>
    </row>
    <row r="861" ht="12.0" customHeight="1">
      <c r="B861" s="1"/>
      <c r="K861" s="151"/>
      <c r="L861" s="1"/>
      <c r="M861" s="3"/>
      <c r="N861" s="1"/>
      <c r="P861" s="151"/>
    </row>
    <row r="862" ht="12.0" customHeight="1">
      <c r="B862" s="1"/>
      <c r="K862" s="151"/>
      <c r="L862" s="1"/>
      <c r="M862" s="3"/>
      <c r="N862" s="1"/>
      <c r="P862" s="151"/>
    </row>
    <row r="863" ht="12.0" customHeight="1">
      <c r="B863" s="1"/>
      <c r="K863" s="151"/>
      <c r="L863" s="1"/>
      <c r="M863" s="3"/>
      <c r="N863" s="1"/>
      <c r="P863" s="151"/>
    </row>
    <row r="864" ht="12.0" customHeight="1">
      <c r="B864" s="1"/>
      <c r="K864" s="151"/>
      <c r="L864" s="1"/>
      <c r="M864" s="3"/>
      <c r="N864" s="1"/>
      <c r="P864" s="151"/>
    </row>
    <row r="865" ht="12.0" customHeight="1">
      <c r="B865" s="1"/>
      <c r="K865" s="151"/>
      <c r="L865" s="1"/>
      <c r="M865" s="3"/>
      <c r="N865" s="1"/>
      <c r="P865" s="151"/>
    </row>
    <row r="866" ht="12.0" customHeight="1">
      <c r="B866" s="1"/>
      <c r="K866" s="151"/>
      <c r="L866" s="1"/>
      <c r="M866" s="3"/>
      <c r="N866" s="1"/>
      <c r="P866" s="151"/>
    </row>
    <row r="867" ht="12.0" customHeight="1">
      <c r="B867" s="1"/>
      <c r="K867" s="151"/>
      <c r="L867" s="1"/>
      <c r="M867" s="3"/>
      <c r="N867" s="1"/>
      <c r="P867" s="151"/>
    </row>
    <row r="868" ht="12.0" customHeight="1">
      <c r="B868" s="1"/>
      <c r="K868" s="151"/>
      <c r="L868" s="1"/>
      <c r="M868" s="3"/>
      <c r="N868" s="1"/>
      <c r="P868" s="151"/>
    </row>
    <row r="869" ht="12.0" customHeight="1">
      <c r="B869" s="1"/>
      <c r="K869" s="151"/>
      <c r="L869" s="1"/>
      <c r="M869" s="3"/>
      <c r="N869" s="1"/>
      <c r="P869" s="151"/>
    </row>
    <row r="870" ht="12.0" customHeight="1">
      <c r="B870" s="1"/>
      <c r="K870" s="151"/>
      <c r="L870" s="1"/>
      <c r="M870" s="3"/>
      <c r="N870" s="1"/>
      <c r="P870" s="151"/>
    </row>
    <row r="871" ht="12.0" customHeight="1">
      <c r="B871" s="1"/>
      <c r="K871" s="151"/>
      <c r="L871" s="1"/>
      <c r="M871" s="3"/>
      <c r="N871" s="1"/>
      <c r="P871" s="151"/>
    </row>
    <row r="872" ht="12.0" customHeight="1">
      <c r="B872" s="1"/>
      <c r="K872" s="151"/>
      <c r="L872" s="1"/>
      <c r="M872" s="3"/>
      <c r="N872" s="1"/>
      <c r="P872" s="151"/>
    </row>
    <row r="873" ht="12.0" customHeight="1">
      <c r="B873" s="1"/>
      <c r="K873" s="151"/>
      <c r="L873" s="1"/>
      <c r="M873" s="3"/>
      <c r="N873" s="1"/>
      <c r="P873" s="151"/>
    </row>
    <row r="874" ht="12.0" customHeight="1">
      <c r="B874" s="1"/>
      <c r="K874" s="151"/>
      <c r="L874" s="1"/>
      <c r="M874" s="3"/>
      <c r="N874" s="1"/>
      <c r="P874" s="151"/>
    </row>
    <row r="875" ht="12.0" customHeight="1">
      <c r="B875" s="1"/>
      <c r="K875" s="151"/>
      <c r="L875" s="1"/>
      <c r="M875" s="3"/>
      <c r="N875" s="1"/>
      <c r="P875" s="151"/>
    </row>
    <row r="876" ht="12.0" customHeight="1">
      <c r="B876" s="1"/>
      <c r="K876" s="151"/>
      <c r="L876" s="1"/>
      <c r="M876" s="3"/>
      <c r="N876" s="1"/>
      <c r="P876" s="151"/>
    </row>
    <row r="877" ht="12.0" customHeight="1">
      <c r="B877" s="1"/>
      <c r="K877" s="151"/>
      <c r="L877" s="1"/>
      <c r="M877" s="3"/>
      <c r="N877" s="1"/>
      <c r="P877" s="151"/>
    </row>
    <row r="878" ht="12.0" customHeight="1">
      <c r="B878" s="1"/>
      <c r="K878" s="151"/>
      <c r="L878" s="1"/>
      <c r="M878" s="3"/>
      <c r="N878" s="1"/>
      <c r="P878" s="151"/>
    </row>
    <row r="879" ht="12.0" customHeight="1">
      <c r="B879" s="1"/>
      <c r="K879" s="151"/>
      <c r="L879" s="1"/>
      <c r="M879" s="3"/>
      <c r="N879" s="1"/>
      <c r="P879" s="151"/>
    </row>
    <row r="880" ht="12.0" customHeight="1">
      <c r="B880" s="1"/>
      <c r="K880" s="151"/>
      <c r="L880" s="1"/>
      <c r="M880" s="3"/>
      <c r="N880" s="1"/>
      <c r="P880" s="151"/>
    </row>
    <row r="881" ht="12.0" customHeight="1">
      <c r="B881" s="1"/>
      <c r="K881" s="151"/>
      <c r="L881" s="1"/>
      <c r="M881" s="3"/>
      <c r="N881" s="1"/>
      <c r="P881" s="151"/>
    </row>
    <row r="882" ht="12.0" customHeight="1">
      <c r="B882" s="1"/>
      <c r="K882" s="151"/>
      <c r="L882" s="1"/>
      <c r="M882" s="3"/>
      <c r="N882" s="1"/>
      <c r="P882" s="151"/>
    </row>
    <row r="883" ht="12.0" customHeight="1">
      <c r="B883" s="1"/>
      <c r="K883" s="151"/>
      <c r="L883" s="1"/>
      <c r="M883" s="3"/>
      <c r="N883" s="1"/>
      <c r="P883" s="151"/>
    </row>
    <row r="884" ht="12.0" customHeight="1">
      <c r="B884" s="1"/>
      <c r="K884" s="151"/>
      <c r="L884" s="1"/>
      <c r="M884" s="3"/>
      <c r="N884" s="1"/>
      <c r="P884" s="151"/>
    </row>
    <row r="885" ht="12.0" customHeight="1">
      <c r="B885" s="1"/>
      <c r="K885" s="151"/>
      <c r="L885" s="1"/>
      <c r="M885" s="3"/>
      <c r="N885" s="1"/>
      <c r="P885" s="151"/>
    </row>
    <row r="886" ht="12.0" customHeight="1">
      <c r="B886" s="1"/>
      <c r="K886" s="151"/>
      <c r="L886" s="1"/>
      <c r="M886" s="3"/>
      <c r="N886" s="1"/>
      <c r="P886" s="151"/>
    </row>
    <row r="887" ht="12.0" customHeight="1">
      <c r="B887" s="1"/>
      <c r="K887" s="151"/>
      <c r="L887" s="1"/>
      <c r="M887" s="3"/>
      <c r="N887" s="1"/>
      <c r="P887" s="151"/>
    </row>
    <row r="888" ht="12.0" customHeight="1">
      <c r="B888" s="1"/>
      <c r="K888" s="151"/>
      <c r="L888" s="1"/>
      <c r="M888" s="3"/>
      <c r="N888" s="1"/>
      <c r="P888" s="151"/>
    </row>
    <row r="889" ht="12.0" customHeight="1">
      <c r="B889" s="1"/>
      <c r="K889" s="151"/>
      <c r="L889" s="1"/>
      <c r="M889" s="3"/>
      <c r="N889" s="1"/>
      <c r="P889" s="151"/>
    </row>
    <row r="890" ht="12.0" customHeight="1">
      <c r="B890" s="1"/>
      <c r="K890" s="151"/>
      <c r="L890" s="1"/>
      <c r="M890" s="3"/>
      <c r="N890" s="1"/>
      <c r="P890" s="151"/>
    </row>
    <row r="891" ht="12.0" customHeight="1">
      <c r="B891" s="1"/>
      <c r="K891" s="151"/>
      <c r="L891" s="1"/>
      <c r="M891" s="3"/>
      <c r="N891" s="1"/>
      <c r="P891" s="151"/>
    </row>
    <row r="892" ht="12.0" customHeight="1">
      <c r="B892" s="1"/>
      <c r="K892" s="151"/>
      <c r="L892" s="1"/>
      <c r="M892" s="3"/>
      <c r="N892" s="1"/>
      <c r="P892" s="151"/>
    </row>
    <row r="893" ht="12.0" customHeight="1">
      <c r="B893" s="1"/>
      <c r="K893" s="151"/>
      <c r="L893" s="1"/>
      <c r="M893" s="3"/>
      <c r="N893" s="1"/>
      <c r="P893" s="151"/>
    </row>
    <row r="894" ht="12.0" customHeight="1">
      <c r="B894" s="1"/>
      <c r="K894" s="151"/>
      <c r="L894" s="1"/>
      <c r="M894" s="3"/>
      <c r="N894" s="1"/>
      <c r="P894" s="151"/>
    </row>
    <row r="895" ht="12.0" customHeight="1">
      <c r="B895" s="1"/>
      <c r="K895" s="151"/>
      <c r="L895" s="1"/>
      <c r="M895" s="3"/>
      <c r="N895" s="1"/>
      <c r="P895" s="151"/>
    </row>
    <row r="896" ht="12.0" customHeight="1">
      <c r="B896" s="1"/>
      <c r="K896" s="151"/>
      <c r="L896" s="1"/>
      <c r="M896" s="3"/>
      <c r="N896" s="1"/>
      <c r="P896" s="151"/>
    </row>
    <row r="897" ht="12.0" customHeight="1">
      <c r="B897" s="1"/>
      <c r="K897" s="151"/>
      <c r="L897" s="1"/>
      <c r="M897" s="3"/>
      <c r="N897" s="1"/>
      <c r="P897" s="151"/>
    </row>
    <row r="898" ht="12.0" customHeight="1">
      <c r="B898" s="1"/>
      <c r="K898" s="151"/>
      <c r="L898" s="1"/>
      <c r="M898" s="3"/>
      <c r="N898" s="1"/>
      <c r="P898" s="151"/>
    </row>
    <row r="899" ht="12.0" customHeight="1">
      <c r="B899" s="1"/>
      <c r="K899" s="151"/>
      <c r="L899" s="1"/>
      <c r="M899" s="3"/>
      <c r="N899" s="1"/>
      <c r="P899" s="151"/>
    </row>
    <row r="900" ht="12.0" customHeight="1">
      <c r="B900" s="1"/>
      <c r="K900" s="151"/>
      <c r="L900" s="1"/>
      <c r="M900" s="3"/>
      <c r="N900" s="1"/>
      <c r="P900" s="151"/>
    </row>
    <row r="901" ht="12.0" customHeight="1">
      <c r="B901" s="1"/>
      <c r="K901" s="151"/>
      <c r="L901" s="1"/>
      <c r="M901" s="3"/>
      <c r="N901" s="1"/>
      <c r="P901" s="151"/>
    </row>
    <row r="902" ht="12.0" customHeight="1">
      <c r="B902" s="1"/>
      <c r="K902" s="151"/>
      <c r="L902" s="1"/>
      <c r="M902" s="3"/>
      <c r="N902" s="1"/>
      <c r="P902" s="151"/>
    </row>
    <row r="903" ht="12.0" customHeight="1">
      <c r="B903" s="1"/>
      <c r="K903" s="151"/>
      <c r="L903" s="1"/>
      <c r="M903" s="3"/>
      <c r="N903" s="1"/>
      <c r="P903" s="151"/>
    </row>
    <row r="904" ht="12.0" customHeight="1">
      <c r="B904" s="1"/>
      <c r="K904" s="151"/>
      <c r="L904" s="1"/>
      <c r="M904" s="3"/>
      <c r="N904" s="1"/>
      <c r="P904" s="151"/>
    </row>
    <row r="905" ht="12.0" customHeight="1">
      <c r="B905" s="1"/>
      <c r="K905" s="151"/>
      <c r="L905" s="1"/>
      <c r="M905" s="3"/>
      <c r="N905" s="1"/>
      <c r="P905" s="151"/>
    </row>
    <row r="906" ht="12.0" customHeight="1">
      <c r="B906" s="1"/>
      <c r="K906" s="151"/>
      <c r="L906" s="1"/>
      <c r="M906" s="3"/>
      <c r="N906" s="1"/>
      <c r="P906" s="151"/>
    </row>
    <row r="907" ht="12.0" customHeight="1">
      <c r="B907" s="1"/>
      <c r="K907" s="151"/>
      <c r="L907" s="1"/>
      <c r="M907" s="3"/>
      <c r="N907" s="1"/>
      <c r="P907" s="151"/>
    </row>
    <row r="908" ht="12.0" customHeight="1">
      <c r="B908" s="1"/>
      <c r="K908" s="151"/>
      <c r="L908" s="1"/>
      <c r="M908" s="3"/>
      <c r="N908" s="1"/>
      <c r="P908" s="151"/>
    </row>
    <row r="909" ht="12.0" customHeight="1">
      <c r="B909" s="1"/>
      <c r="K909" s="151"/>
      <c r="L909" s="1"/>
      <c r="M909" s="3"/>
      <c r="N909" s="1"/>
      <c r="P909" s="151"/>
    </row>
    <row r="910" ht="12.0" customHeight="1">
      <c r="B910" s="1"/>
      <c r="K910" s="151"/>
      <c r="L910" s="1"/>
      <c r="M910" s="3"/>
      <c r="N910" s="1"/>
      <c r="P910" s="151"/>
    </row>
    <row r="911" ht="12.0" customHeight="1">
      <c r="B911" s="1"/>
      <c r="K911" s="151"/>
      <c r="L911" s="1"/>
      <c r="M911" s="3"/>
      <c r="N911" s="1"/>
      <c r="P911" s="151"/>
    </row>
    <row r="912" ht="12.0" customHeight="1">
      <c r="B912" s="1"/>
      <c r="K912" s="151"/>
      <c r="L912" s="1"/>
      <c r="M912" s="3"/>
      <c r="N912" s="1"/>
      <c r="P912" s="151"/>
    </row>
    <row r="913" ht="12.0" customHeight="1">
      <c r="B913" s="1"/>
      <c r="K913" s="151"/>
      <c r="L913" s="1"/>
      <c r="M913" s="3"/>
      <c r="N913" s="1"/>
      <c r="P913" s="151"/>
    </row>
    <row r="914" ht="12.0" customHeight="1">
      <c r="B914" s="1"/>
      <c r="K914" s="151"/>
      <c r="L914" s="1"/>
      <c r="M914" s="3"/>
      <c r="N914" s="1"/>
      <c r="P914" s="151"/>
    </row>
    <row r="915" ht="12.0" customHeight="1">
      <c r="B915" s="1"/>
      <c r="K915" s="151"/>
      <c r="L915" s="1"/>
      <c r="M915" s="3"/>
      <c r="N915" s="1"/>
      <c r="P915" s="151"/>
    </row>
    <row r="916" ht="12.0" customHeight="1">
      <c r="B916" s="1"/>
      <c r="K916" s="151"/>
      <c r="L916" s="1"/>
      <c r="M916" s="3"/>
      <c r="N916" s="1"/>
      <c r="P916" s="151"/>
    </row>
    <row r="917" ht="12.0" customHeight="1">
      <c r="B917" s="1"/>
      <c r="K917" s="151"/>
      <c r="L917" s="1"/>
      <c r="M917" s="3"/>
      <c r="N917" s="1"/>
      <c r="P917" s="151"/>
    </row>
    <row r="918" ht="12.0" customHeight="1">
      <c r="B918" s="1"/>
      <c r="K918" s="151"/>
      <c r="L918" s="1"/>
      <c r="M918" s="3"/>
      <c r="N918" s="1"/>
      <c r="P918" s="151"/>
    </row>
    <row r="919" ht="12.0" customHeight="1">
      <c r="B919" s="1"/>
      <c r="K919" s="151"/>
      <c r="L919" s="1"/>
      <c r="M919" s="3"/>
      <c r="N919" s="1"/>
      <c r="P919" s="151"/>
    </row>
    <row r="920" ht="12.0" customHeight="1">
      <c r="B920" s="1"/>
      <c r="K920" s="151"/>
      <c r="L920" s="1"/>
      <c r="M920" s="3"/>
      <c r="N920" s="1"/>
      <c r="P920" s="151"/>
    </row>
    <row r="921" ht="12.0" customHeight="1">
      <c r="B921" s="1"/>
      <c r="K921" s="151"/>
      <c r="L921" s="1"/>
      <c r="M921" s="3"/>
      <c r="N921" s="1"/>
      <c r="P921" s="151"/>
    </row>
    <row r="922" ht="12.0" customHeight="1">
      <c r="B922" s="1"/>
      <c r="K922" s="151"/>
      <c r="L922" s="1"/>
      <c r="M922" s="3"/>
      <c r="N922" s="1"/>
      <c r="P922" s="151"/>
    </row>
    <row r="923" ht="12.0" customHeight="1">
      <c r="B923" s="1"/>
      <c r="K923" s="151"/>
      <c r="L923" s="1"/>
      <c r="M923" s="3"/>
      <c r="N923" s="1"/>
      <c r="P923" s="151"/>
    </row>
    <row r="924" ht="12.0" customHeight="1">
      <c r="B924" s="1"/>
      <c r="K924" s="151"/>
      <c r="L924" s="1"/>
      <c r="M924" s="3"/>
      <c r="N924" s="1"/>
      <c r="P924" s="151"/>
    </row>
    <row r="925" ht="12.0" customHeight="1">
      <c r="B925" s="1"/>
      <c r="K925" s="151"/>
      <c r="L925" s="1"/>
      <c r="M925" s="3"/>
      <c r="N925" s="1"/>
      <c r="P925" s="151"/>
    </row>
    <row r="926" ht="12.0" customHeight="1">
      <c r="B926" s="1"/>
      <c r="K926" s="151"/>
      <c r="L926" s="1"/>
      <c r="M926" s="3"/>
      <c r="N926" s="1"/>
      <c r="P926" s="151"/>
    </row>
    <row r="927" ht="12.0" customHeight="1">
      <c r="B927" s="1"/>
      <c r="K927" s="151"/>
      <c r="L927" s="1"/>
      <c r="M927" s="3"/>
      <c r="N927" s="1"/>
      <c r="P927" s="151"/>
    </row>
    <row r="928" ht="12.0" customHeight="1">
      <c r="B928" s="1"/>
      <c r="K928" s="151"/>
      <c r="L928" s="1"/>
      <c r="M928" s="3"/>
      <c r="N928" s="1"/>
      <c r="P928" s="151"/>
    </row>
    <row r="929" ht="12.0" customHeight="1">
      <c r="B929" s="1"/>
      <c r="K929" s="151"/>
      <c r="L929" s="1"/>
      <c r="M929" s="3"/>
      <c r="N929" s="1"/>
      <c r="P929" s="151"/>
    </row>
    <row r="930" ht="12.0" customHeight="1">
      <c r="B930" s="1"/>
      <c r="K930" s="151"/>
      <c r="L930" s="1"/>
      <c r="M930" s="3"/>
      <c r="N930" s="1"/>
      <c r="P930" s="151"/>
    </row>
    <row r="931" ht="12.0" customHeight="1">
      <c r="B931" s="1"/>
      <c r="K931" s="151"/>
      <c r="L931" s="1"/>
      <c r="M931" s="3"/>
      <c r="N931" s="1"/>
      <c r="P931" s="151"/>
    </row>
    <row r="932" ht="12.0" customHeight="1">
      <c r="B932" s="1"/>
      <c r="K932" s="151"/>
      <c r="L932" s="1"/>
      <c r="M932" s="3"/>
      <c r="N932" s="1"/>
      <c r="P932" s="151"/>
    </row>
    <row r="933" ht="12.0" customHeight="1">
      <c r="B933" s="1"/>
      <c r="K933" s="151"/>
      <c r="L933" s="1"/>
      <c r="M933" s="3"/>
      <c r="N933" s="1"/>
      <c r="P933" s="151"/>
    </row>
    <row r="934" ht="12.0" customHeight="1">
      <c r="B934" s="1"/>
      <c r="K934" s="151"/>
      <c r="L934" s="1"/>
      <c r="M934" s="3"/>
      <c r="N934" s="1"/>
      <c r="P934" s="151"/>
    </row>
    <row r="935" ht="12.0" customHeight="1">
      <c r="B935" s="1"/>
      <c r="K935" s="151"/>
      <c r="L935" s="1"/>
      <c r="M935" s="3"/>
      <c r="N935" s="1"/>
      <c r="P935" s="151"/>
    </row>
    <row r="936" ht="12.0" customHeight="1">
      <c r="B936" s="1"/>
      <c r="K936" s="151"/>
      <c r="L936" s="1"/>
      <c r="M936" s="3"/>
      <c r="N936" s="1"/>
      <c r="P936" s="151"/>
    </row>
    <row r="937" ht="12.0" customHeight="1">
      <c r="B937" s="1"/>
      <c r="K937" s="151"/>
      <c r="L937" s="1"/>
      <c r="M937" s="3"/>
      <c r="N937" s="1"/>
      <c r="P937" s="151"/>
    </row>
    <row r="938" ht="12.0" customHeight="1">
      <c r="B938" s="1"/>
      <c r="K938" s="151"/>
      <c r="L938" s="1"/>
      <c r="M938" s="3"/>
      <c r="N938" s="1"/>
      <c r="P938" s="151"/>
    </row>
    <row r="939" ht="12.0" customHeight="1">
      <c r="B939" s="1"/>
      <c r="K939" s="151"/>
      <c r="L939" s="1"/>
      <c r="M939" s="3"/>
      <c r="N939" s="1"/>
      <c r="P939" s="151"/>
    </row>
    <row r="940" ht="12.0" customHeight="1">
      <c r="B940" s="1"/>
      <c r="K940" s="151"/>
      <c r="L940" s="1"/>
      <c r="M940" s="3"/>
      <c r="N940" s="1"/>
      <c r="P940" s="151"/>
    </row>
    <row r="941" ht="12.0" customHeight="1">
      <c r="B941" s="1"/>
      <c r="K941" s="151"/>
      <c r="L941" s="1"/>
      <c r="M941" s="3"/>
      <c r="N941" s="1"/>
      <c r="P941" s="151"/>
    </row>
    <row r="942" ht="12.0" customHeight="1">
      <c r="B942" s="1"/>
      <c r="K942" s="151"/>
      <c r="L942" s="1"/>
      <c r="M942" s="3"/>
      <c r="N942" s="1"/>
      <c r="P942" s="151"/>
    </row>
    <row r="943" ht="12.0" customHeight="1">
      <c r="B943" s="1"/>
      <c r="K943" s="151"/>
      <c r="L943" s="1"/>
      <c r="M943" s="3"/>
      <c r="N943" s="1"/>
      <c r="P943" s="151"/>
    </row>
    <row r="944" ht="12.0" customHeight="1">
      <c r="B944" s="1"/>
      <c r="K944" s="151"/>
      <c r="L944" s="1"/>
      <c r="M944" s="3"/>
      <c r="N944" s="1"/>
      <c r="P944" s="151"/>
    </row>
    <row r="945" ht="12.0" customHeight="1">
      <c r="B945" s="1"/>
      <c r="K945" s="151"/>
      <c r="L945" s="1"/>
      <c r="M945" s="3"/>
      <c r="N945" s="1"/>
      <c r="P945" s="151"/>
    </row>
    <row r="946" ht="12.0" customHeight="1">
      <c r="B946" s="1"/>
      <c r="K946" s="151"/>
      <c r="L946" s="1"/>
      <c r="M946" s="3"/>
      <c r="N946" s="1"/>
      <c r="P946" s="151"/>
    </row>
    <row r="947" ht="12.0" customHeight="1">
      <c r="B947" s="1"/>
      <c r="K947" s="151"/>
      <c r="L947" s="1"/>
      <c r="M947" s="3"/>
      <c r="N947" s="1"/>
      <c r="P947" s="151"/>
    </row>
    <row r="948" ht="12.0" customHeight="1">
      <c r="B948" s="1"/>
      <c r="K948" s="151"/>
      <c r="L948" s="1"/>
      <c r="M948" s="3"/>
      <c r="N948" s="1"/>
      <c r="P948" s="151"/>
    </row>
    <row r="949" ht="12.0" customHeight="1">
      <c r="B949" s="1"/>
      <c r="K949" s="151"/>
      <c r="L949" s="1"/>
      <c r="M949" s="3"/>
      <c r="N949" s="1"/>
      <c r="P949" s="151"/>
    </row>
    <row r="950" ht="12.0" customHeight="1">
      <c r="B950" s="1"/>
      <c r="K950" s="151"/>
      <c r="L950" s="1"/>
      <c r="M950" s="3"/>
      <c r="N950" s="1"/>
      <c r="P950" s="151"/>
    </row>
    <row r="951" ht="12.0" customHeight="1">
      <c r="B951" s="1"/>
      <c r="K951" s="151"/>
      <c r="L951" s="1"/>
      <c r="M951" s="3"/>
      <c r="N951" s="1"/>
      <c r="P951" s="151"/>
    </row>
    <row r="952" ht="12.0" customHeight="1">
      <c r="B952" s="1"/>
      <c r="K952" s="151"/>
      <c r="L952" s="1"/>
      <c r="M952" s="3"/>
      <c r="N952" s="1"/>
      <c r="P952" s="151"/>
    </row>
    <row r="953" ht="12.0" customHeight="1">
      <c r="B953" s="1"/>
      <c r="K953" s="151"/>
      <c r="L953" s="1"/>
      <c r="M953" s="3"/>
      <c r="N953" s="1"/>
      <c r="P953" s="151"/>
    </row>
    <row r="954" ht="12.0" customHeight="1">
      <c r="B954" s="1"/>
      <c r="K954" s="151"/>
      <c r="L954" s="1"/>
      <c r="M954" s="3"/>
      <c r="N954" s="1"/>
      <c r="P954" s="151"/>
    </row>
    <row r="955" ht="12.0" customHeight="1">
      <c r="B955" s="1"/>
      <c r="K955" s="151"/>
      <c r="L955" s="1"/>
      <c r="M955" s="3"/>
      <c r="N955" s="1"/>
      <c r="P955" s="151"/>
    </row>
    <row r="956" ht="12.0" customHeight="1">
      <c r="B956" s="1"/>
      <c r="K956" s="151"/>
      <c r="L956" s="1"/>
      <c r="M956" s="3"/>
      <c r="N956" s="1"/>
      <c r="P956" s="151"/>
    </row>
    <row r="957" ht="12.0" customHeight="1">
      <c r="B957" s="1"/>
      <c r="K957" s="151"/>
      <c r="L957" s="1"/>
      <c r="M957" s="3"/>
      <c r="N957" s="1"/>
      <c r="P957" s="151"/>
    </row>
    <row r="958" ht="12.0" customHeight="1">
      <c r="B958" s="1"/>
      <c r="K958" s="151"/>
      <c r="L958" s="1"/>
      <c r="M958" s="3"/>
      <c r="N958" s="1"/>
      <c r="P958" s="151"/>
    </row>
    <row r="959" ht="12.0" customHeight="1">
      <c r="B959" s="1"/>
      <c r="K959" s="151"/>
      <c r="L959" s="1"/>
      <c r="M959" s="3"/>
      <c r="N959" s="1"/>
      <c r="P959" s="151"/>
    </row>
    <row r="960" ht="12.0" customHeight="1">
      <c r="B960" s="1"/>
      <c r="K960" s="151"/>
      <c r="L960" s="1"/>
      <c r="M960" s="3"/>
      <c r="N960" s="1"/>
      <c r="P960" s="151"/>
    </row>
    <row r="961" ht="12.0" customHeight="1">
      <c r="B961" s="1"/>
      <c r="K961" s="151"/>
      <c r="L961" s="1"/>
      <c r="M961" s="3"/>
      <c r="N961" s="1"/>
      <c r="P961" s="151"/>
    </row>
    <row r="962" ht="12.0" customHeight="1">
      <c r="B962" s="1"/>
      <c r="K962" s="151"/>
      <c r="L962" s="1"/>
      <c r="M962" s="3"/>
      <c r="N962" s="1"/>
      <c r="P962" s="151"/>
    </row>
    <row r="963" ht="12.0" customHeight="1">
      <c r="B963" s="1"/>
      <c r="K963" s="151"/>
      <c r="L963" s="1"/>
      <c r="M963" s="3"/>
      <c r="N963" s="1"/>
      <c r="P963" s="151"/>
    </row>
    <row r="964" ht="12.0" customHeight="1">
      <c r="B964" s="1"/>
      <c r="K964" s="151"/>
      <c r="L964" s="1"/>
      <c r="M964" s="3"/>
      <c r="N964" s="1"/>
      <c r="P964" s="151"/>
    </row>
    <row r="965" ht="12.0" customHeight="1">
      <c r="B965" s="1"/>
      <c r="K965" s="151"/>
      <c r="L965" s="1"/>
      <c r="M965" s="3"/>
      <c r="N965" s="1"/>
      <c r="P965" s="151"/>
    </row>
    <row r="966" ht="12.0" customHeight="1">
      <c r="B966" s="1"/>
      <c r="K966" s="151"/>
      <c r="L966" s="1"/>
      <c r="M966" s="3"/>
      <c r="N966" s="1"/>
      <c r="P966" s="151"/>
    </row>
    <row r="967" ht="12.0" customHeight="1">
      <c r="B967" s="1"/>
      <c r="K967" s="151"/>
      <c r="L967" s="1"/>
      <c r="M967" s="3"/>
      <c r="N967" s="1"/>
      <c r="P967" s="151"/>
    </row>
    <row r="968" ht="12.0" customHeight="1">
      <c r="B968" s="1"/>
      <c r="K968" s="151"/>
      <c r="L968" s="1"/>
      <c r="M968" s="3"/>
      <c r="N968" s="1"/>
      <c r="P968" s="151"/>
    </row>
    <row r="969" ht="12.0" customHeight="1">
      <c r="B969" s="1"/>
      <c r="K969" s="151"/>
      <c r="L969" s="1"/>
      <c r="M969" s="3"/>
      <c r="N969" s="1"/>
      <c r="P969" s="151"/>
    </row>
    <row r="970" ht="12.0" customHeight="1">
      <c r="B970" s="1"/>
      <c r="K970" s="151"/>
      <c r="L970" s="1"/>
      <c r="M970" s="3"/>
      <c r="N970" s="1"/>
      <c r="P970" s="151"/>
    </row>
    <row r="971" ht="12.0" customHeight="1">
      <c r="B971" s="1"/>
      <c r="K971" s="151"/>
      <c r="L971" s="1"/>
      <c r="M971" s="3"/>
      <c r="N971" s="1"/>
      <c r="P971" s="151"/>
    </row>
    <row r="972" ht="12.0" customHeight="1">
      <c r="B972" s="1"/>
      <c r="K972" s="151"/>
      <c r="L972" s="1"/>
      <c r="M972" s="3"/>
      <c r="N972" s="1"/>
      <c r="P972" s="151"/>
    </row>
    <row r="973" ht="12.0" customHeight="1">
      <c r="B973" s="1"/>
      <c r="K973" s="151"/>
      <c r="L973" s="1"/>
      <c r="M973" s="3"/>
      <c r="N973" s="1"/>
      <c r="P973" s="151"/>
    </row>
    <row r="974" ht="12.0" customHeight="1">
      <c r="B974" s="1"/>
      <c r="K974" s="151"/>
      <c r="L974" s="1"/>
      <c r="M974" s="3"/>
      <c r="N974" s="1"/>
      <c r="P974" s="151"/>
    </row>
    <row r="975" ht="12.0" customHeight="1">
      <c r="B975" s="1"/>
      <c r="K975" s="151"/>
      <c r="L975" s="1"/>
      <c r="M975" s="3"/>
      <c r="N975" s="1"/>
      <c r="P975" s="151"/>
    </row>
    <row r="976" ht="12.0" customHeight="1">
      <c r="B976" s="1"/>
      <c r="K976" s="151"/>
      <c r="L976" s="1"/>
      <c r="M976" s="3"/>
      <c r="N976" s="1"/>
      <c r="P976" s="151"/>
    </row>
    <row r="977" ht="12.0" customHeight="1">
      <c r="B977" s="1"/>
      <c r="K977" s="151"/>
      <c r="L977" s="1"/>
      <c r="M977" s="3"/>
      <c r="N977" s="1"/>
      <c r="P977" s="151"/>
    </row>
    <row r="978" ht="12.0" customHeight="1">
      <c r="B978" s="1"/>
      <c r="K978" s="151"/>
      <c r="L978" s="1"/>
      <c r="M978" s="3"/>
      <c r="N978" s="1"/>
      <c r="P978" s="151"/>
    </row>
    <row r="979" ht="12.0" customHeight="1">
      <c r="B979" s="1"/>
      <c r="K979" s="151"/>
      <c r="L979" s="1"/>
      <c r="M979" s="3"/>
      <c r="N979" s="1"/>
      <c r="P979" s="151"/>
    </row>
    <row r="980" ht="12.0" customHeight="1">
      <c r="B980" s="1"/>
      <c r="K980" s="151"/>
      <c r="L980" s="1"/>
      <c r="M980" s="3"/>
      <c r="N980" s="1"/>
      <c r="P980" s="151"/>
    </row>
    <row r="981" ht="12.0" customHeight="1">
      <c r="B981" s="1"/>
      <c r="K981" s="151"/>
      <c r="L981" s="1"/>
      <c r="M981" s="3"/>
      <c r="N981" s="1"/>
      <c r="P981" s="151"/>
    </row>
    <row r="982" ht="12.0" customHeight="1">
      <c r="B982" s="1"/>
      <c r="K982" s="151"/>
      <c r="L982" s="1"/>
      <c r="M982" s="3"/>
      <c r="N982" s="1"/>
      <c r="P982" s="151"/>
    </row>
    <row r="983" ht="12.0" customHeight="1">
      <c r="B983" s="1"/>
      <c r="K983" s="151"/>
      <c r="L983" s="1"/>
      <c r="M983" s="3"/>
      <c r="N983" s="1"/>
      <c r="P983" s="151"/>
    </row>
    <row r="984" ht="12.0" customHeight="1">
      <c r="B984" s="1"/>
      <c r="K984" s="151"/>
      <c r="L984" s="1"/>
      <c r="M984" s="3"/>
      <c r="N984" s="1"/>
      <c r="P984" s="151"/>
    </row>
    <row r="985" ht="12.0" customHeight="1">
      <c r="B985" s="1"/>
      <c r="K985" s="151"/>
      <c r="L985" s="1"/>
      <c r="M985" s="3"/>
      <c r="N985" s="1"/>
      <c r="P985" s="151"/>
    </row>
    <row r="986" ht="12.0" customHeight="1">
      <c r="B986" s="1"/>
      <c r="K986" s="151"/>
      <c r="L986" s="1"/>
      <c r="M986" s="3"/>
      <c r="N986" s="1"/>
      <c r="P986" s="151"/>
    </row>
    <row r="987" ht="12.0" customHeight="1">
      <c r="B987" s="1"/>
      <c r="K987" s="151"/>
      <c r="L987" s="1"/>
      <c r="M987" s="3"/>
      <c r="N987" s="1"/>
      <c r="P987" s="151"/>
    </row>
    <row r="988" ht="12.0" customHeight="1">
      <c r="B988" s="1"/>
      <c r="K988" s="151"/>
      <c r="L988" s="1"/>
      <c r="M988" s="3"/>
      <c r="N988" s="1"/>
      <c r="P988" s="151"/>
    </row>
    <row r="989" ht="12.0" customHeight="1">
      <c r="B989" s="1"/>
      <c r="K989" s="151"/>
      <c r="L989" s="1"/>
      <c r="M989" s="3"/>
      <c r="N989" s="1"/>
      <c r="P989" s="151"/>
    </row>
    <row r="990" ht="12.0" customHeight="1">
      <c r="B990" s="1"/>
      <c r="K990" s="151"/>
      <c r="L990" s="1"/>
      <c r="M990" s="3"/>
      <c r="N990" s="1"/>
      <c r="P990" s="151"/>
    </row>
    <row r="991" ht="12.0" customHeight="1">
      <c r="B991" s="1"/>
      <c r="K991" s="151"/>
      <c r="L991" s="1"/>
      <c r="M991" s="3"/>
      <c r="N991" s="1"/>
      <c r="P991" s="151"/>
    </row>
    <row r="992" ht="12.0" customHeight="1">
      <c r="B992" s="1"/>
      <c r="K992" s="151"/>
      <c r="L992" s="1"/>
      <c r="M992" s="3"/>
      <c r="N992" s="1"/>
      <c r="P992" s="151"/>
    </row>
    <row r="993" ht="12.0" customHeight="1">
      <c r="B993" s="1"/>
      <c r="K993" s="151"/>
      <c r="L993" s="1"/>
      <c r="M993" s="3"/>
      <c r="N993" s="1"/>
      <c r="P993" s="151"/>
    </row>
    <row r="994" ht="12.0" customHeight="1">
      <c r="B994" s="1"/>
      <c r="K994" s="151"/>
      <c r="L994" s="1"/>
      <c r="M994" s="3"/>
      <c r="N994" s="1"/>
      <c r="P994" s="151"/>
    </row>
    <row r="995" ht="12.0" customHeight="1">
      <c r="B995" s="1"/>
      <c r="K995" s="151"/>
      <c r="L995" s="1"/>
      <c r="M995" s="3"/>
      <c r="N995" s="1"/>
      <c r="P995" s="151"/>
    </row>
    <row r="996" ht="12.0" customHeight="1">
      <c r="B996" s="1"/>
      <c r="K996" s="151"/>
      <c r="L996" s="1"/>
      <c r="M996" s="3"/>
      <c r="N996" s="1"/>
      <c r="P996" s="151"/>
    </row>
    <row r="997" ht="12.0" customHeight="1">
      <c r="B997" s="1"/>
      <c r="K997" s="151"/>
      <c r="L997" s="1"/>
      <c r="M997" s="3"/>
      <c r="N997" s="1"/>
      <c r="P997" s="151"/>
    </row>
    <row r="998" ht="12.0" customHeight="1">
      <c r="B998" s="1"/>
      <c r="K998" s="151"/>
      <c r="L998" s="1"/>
      <c r="M998" s="3"/>
      <c r="N998" s="1"/>
      <c r="P998" s="151"/>
    </row>
    <row r="999" ht="12.0" customHeight="1">
      <c r="B999" s="1"/>
      <c r="K999" s="151"/>
      <c r="L999" s="1"/>
      <c r="M999" s="3"/>
      <c r="N999" s="1"/>
      <c r="P999" s="151"/>
    </row>
    <row r="1000" ht="12.0" customHeight="1">
      <c r="B1000" s="1"/>
      <c r="K1000" s="151"/>
      <c r="L1000" s="1"/>
      <c r="M1000" s="3"/>
      <c r="N1000" s="1"/>
      <c r="P1000" s="151"/>
    </row>
    <row r="1001" ht="12.0" customHeight="1">
      <c r="B1001" s="1"/>
      <c r="K1001" s="151"/>
      <c r="L1001" s="1"/>
      <c r="M1001" s="3"/>
      <c r="N1001" s="1"/>
      <c r="P1001" s="151"/>
    </row>
    <row r="1002" ht="12.0" customHeight="1">
      <c r="B1002" s="1"/>
      <c r="K1002" s="151"/>
      <c r="L1002" s="1"/>
      <c r="M1002" s="3"/>
      <c r="N1002" s="1"/>
      <c r="P1002" s="151"/>
    </row>
    <row r="1003" ht="12.0" customHeight="1">
      <c r="B1003" s="1"/>
      <c r="K1003" s="151"/>
      <c r="L1003" s="1"/>
      <c r="M1003" s="3"/>
      <c r="N1003" s="1"/>
      <c r="P1003" s="151"/>
    </row>
  </sheetData>
  <mergeCells count="20">
    <mergeCell ref="F7:H7"/>
    <mergeCell ref="I7:K7"/>
    <mergeCell ref="J8:K8"/>
    <mergeCell ref="O8:P8"/>
    <mergeCell ref="B18:B20"/>
    <mergeCell ref="B21:B25"/>
    <mergeCell ref="B26:B30"/>
    <mergeCell ref="B60:B62"/>
    <mergeCell ref="B65:B66"/>
    <mergeCell ref="B67:B69"/>
    <mergeCell ref="B70:B72"/>
    <mergeCell ref="B74:B76"/>
    <mergeCell ref="B77:B78"/>
    <mergeCell ref="B34:B36"/>
    <mergeCell ref="B37:B39"/>
    <mergeCell ref="B41:B43"/>
    <mergeCell ref="B44:B46"/>
    <mergeCell ref="B47:B52"/>
    <mergeCell ref="B53:B56"/>
    <mergeCell ref="B57:B59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31">
      <formula1>"TIMBER ROOF TRUSSES,NO ROOF TRUSSES"</formula1>
    </dataValidation>
    <dataValidation type="list" allowBlank="1" showErrorMessage="1" sqref="J18 J34 J37 J41 J44 J57 J60 J64 J67 J70 J74 J81">
      <formula1>"YES,NO"</formula1>
    </dataValidation>
    <dataValidation type="list" allowBlank="1" showErrorMessage="1" sqref="O17:O18 O21 O26 O31 O34 O37 O41 O44 O47 O53 O57 O60 O64 O67 O70 O74 O81">
      <formula1>"DELAPIDATED,POOR,FAIR,GOOD,VERY GOOD,EXCELLENT,NOT APPLICABLE"</formula1>
    </dataValidation>
    <dataValidation type="list" allowBlank="1" showErrorMessage="1" sqref="J53">
      <formula1>"STEEL WINDOW FRAMES,ALUMINIUM WINDOW FRAMES,NO WINDOWS FITTED"</formula1>
    </dataValidation>
    <dataValidation type="list" allowBlank="1" showErrorMessage="1" sqref="J12">
      <formula1>"2010-2013,2014-2021,2021-2023"</formula1>
    </dataValidation>
    <dataValidation type="list" allowBlank="1" showErrorMessage="1" sqref="J47">
      <formula1>"VINYL FLOORING,TILING FLOORING,TIMBER FLOORING,CARPETS FLOORING,NO FLOORING"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52.63"/>
    <col customWidth="1" hidden="1" min="4" max="5" width="28.25"/>
    <col customWidth="1" min="6" max="8" width="24.88"/>
    <col customWidth="1" min="9" max="9" width="17.63"/>
    <col customWidth="1" min="10" max="10" width="50.75"/>
    <col customWidth="1" min="11" max="11" width="30.75"/>
    <col customWidth="1" min="12" max="12" width="10.88"/>
    <col customWidth="1" min="13" max="13" width="8.63"/>
    <col customWidth="1" min="14" max="14" width="17.25"/>
    <col customWidth="1" min="15" max="15" width="50.75"/>
    <col customWidth="1" min="16" max="16" width="30.75"/>
    <col customWidth="1" min="17" max="26" width="9.13"/>
  </cols>
  <sheetData>
    <row r="1" ht="12.0" customHeight="1">
      <c r="B1" s="1"/>
      <c r="K1" s="151"/>
      <c r="N1" s="3"/>
      <c r="P1" s="151"/>
    </row>
    <row r="2" ht="12.0" customHeight="1">
      <c r="B2" s="1"/>
      <c r="K2" s="151"/>
      <c r="N2" s="3"/>
      <c r="P2" s="151"/>
    </row>
    <row r="3" ht="12.0" customHeight="1">
      <c r="B3" s="1"/>
      <c r="C3" s="4" t="s">
        <v>0</v>
      </c>
      <c r="K3" s="151"/>
      <c r="N3" s="3"/>
      <c r="P3" s="151"/>
    </row>
    <row r="4" ht="42.0" customHeight="1">
      <c r="B4" s="1"/>
      <c r="C4" s="4" t="s">
        <v>90</v>
      </c>
      <c r="K4" s="151"/>
      <c r="N4" s="3"/>
      <c r="P4" s="151"/>
    </row>
    <row r="5" ht="7.5" customHeight="1">
      <c r="B5" s="1"/>
      <c r="C5" s="4"/>
      <c r="K5" s="151"/>
      <c r="N5" s="3"/>
      <c r="P5" s="151"/>
    </row>
    <row r="6" ht="44.25" customHeight="1">
      <c r="B6" s="1"/>
      <c r="C6" s="4"/>
      <c r="K6" s="151"/>
      <c r="N6" s="3"/>
      <c r="P6" s="151"/>
    </row>
    <row r="7" ht="30.0" customHeight="1">
      <c r="B7" s="1"/>
      <c r="C7" s="152"/>
      <c r="J7" s="6" t="s">
        <v>2</v>
      </c>
      <c r="K7" s="7"/>
      <c r="N7" s="3"/>
      <c r="O7" s="8" t="s">
        <v>3</v>
      </c>
      <c r="P7" s="7"/>
    </row>
    <row r="8" ht="49.5" customHeight="1">
      <c r="B8" s="269"/>
      <c r="C8" s="270"/>
      <c r="D8" s="271"/>
      <c r="E8" s="271"/>
      <c r="F8" s="271"/>
      <c r="G8" s="271"/>
      <c r="H8" s="271"/>
      <c r="I8" s="270"/>
      <c r="J8" s="270"/>
      <c r="K8" s="272"/>
      <c r="L8" s="273" t="s">
        <v>91</v>
      </c>
      <c r="M8" s="274"/>
      <c r="N8" s="7"/>
      <c r="O8" s="275" t="s">
        <v>5</v>
      </c>
      <c r="P8" s="7"/>
    </row>
    <row r="9" ht="66.75" customHeight="1">
      <c r="A9" s="276"/>
      <c r="B9" s="167" t="s">
        <v>6</v>
      </c>
      <c r="C9" s="167" t="s">
        <v>7</v>
      </c>
      <c r="D9" s="168"/>
      <c r="E9" s="168" t="s">
        <v>8</v>
      </c>
      <c r="F9" s="169" t="s">
        <v>9</v>
      </c>
      <c r="G9" s="169" t="s">
        <v>10</v>
      </c>
      <c r="H9" s="169" t="s">
        <v>11</v>
      </c>
      <c r="I9" s="170" t="s">
        <v>12</v>
      </c>
      <c r="J9" s="26" t="s">
        <v>13</v>
      </c>
      <c r="K9" s="24" t="s">
        <v>14</v>
      </c>
      <c r="L9" s="171" t="s">
        <v>15</v>
      </c>
      <c r="M9" s="172" t="s">
        <v>16</v>
      </c>
      <c r="N9" s="173" t="s">
        <v>17</v>
      </c>
      <c r="O9" s="31" t="s">
        <v>18</v>
      </c>
      <c r="P9" s="24" t="s">
        <v>14</v>
      </c>
      <c r="Q9" s="276"/>
      <c r="R9" s="276"/>
      <c r="S9" s="276"/>
      <c r="T9" s="276"/>
      <c r="U9" s="276"/>
      <c r="V9" s="276"/>
      <c r="W9" s="276"/>
      <c r="X9" s="276"/>
      <c r="Y9" s="276"/>
      <c r="Z9" s="276"/>
    </row>
    <row r="10" ht="54.75" customHeight="1">
      <c r="A10" s="276"/>
      <c r="B10" s="174"/>
      <c r="C10" s="174"/>
      <c r="D10" s="175"/>
      <c r="E10" s="37"/>
      <c r="F10" s="176">
        <v>3.0</v>
      </c>
      <c r="G10" s="176">
        <v>2.0</v>
      </c>
      <c r="H10" s="176">
        <v>1.0</v>
      </c>
      <c r="I10" s="277"/>
      <c r="J10" s="278"/>
      <c r="K10" s="279"/>
      <c r="L10" s="280"/>
      <c r="M10" s="281"/>
      <c r="N10" s="282"/>
      <c r="O10" s="20"/>
      <c r="P10" s="183"/>
      <c r="Q10" s="276"/>
      <c r="R10" s="276"/>
      <c r="S10" s="276"/>
      <c r="T10" s="276"/>
      <c r="U10" s="276"/>
      <c r="V10" s="276"/>
      <c r="W10" s="276"/>
      <c r="X10" s="276"/>
      <c r="Y10" s="276"/>
      <c r="Z10" s="276"/>
    </row>
    <row r="11" ht="30.0" customHeight="1">
      <c r="A11" s="17"/>
      <c r="B11" s="52"/>
      <c r="C11" s="184" t="s">
        <v>19</v>
      </c>
      <c r="D11" s="185"/>
      <c r="E11" s="48"/>
      <c r="F11" s="186"/>
      <c r="G11" s="186"/>
      <c r="H11" s="186"/>
      <c r="I11" s="283"/>
      <c r="J11" s="188">
        <v>150.0</v>
      </c>
      <c r="K11" s="189"/>
      <c r="L11" s="190" t="str">
        <f>AVERAGE(#REF!)</f>
        <v>#REF!</v>
      </c>
      <c r="M11" s="191">
        <v>179.444444444444</v>
      </c>
      <c r="N11" s="191"/>
      <c r="O11" s="192"/>
      <c r="P11" s="191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7.75" customHeight="1">
      <c r="A12" s="17"/>
      <c r="B12" s="52"/>
      <c r="C12" s="194" t="s">
        <v>20</v>
      </c>
      <c r="D12" s="185" t="s">
        <v>81</v>
      </c>
      <c r="E12" s="54"/>
      <c r="F12" s="186"/>
      <c r="G12" s="186"/>
      <c r="H12" s="186"/>
      <c r="I12" s="56"/>
      <c r="J12" s="196" t="s">
        <v>9</v>
      </c>
      <c r="K12" s="197"/>
      <c r="L12" s="190"/>
      <c r="M12" s="191"/>
      <c r="N12" s="191"/>
      <c r="O12" s="192"/>
      <c r="P12" s="191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9.5" customHeight="1">
      <c r="A13" s="17"/>
      <c r="B13" s="52"/>
      <c r="C13" s="53"/>
      <c r="D13" s="185" t="s">
        <v>11</v>
      </c>
      <c r="E13" s="54"/>
      <c r="F13" s="186"/>
      <c r="G13" s="186"/>
      <c r="H13" s="186"/>
      <c r="I13" s="56">
        <v>1.0</v>
      </c>
      <c r="J13" s="284"/>
      <c r="K13" s="285"/>
      <c r="L13" s="286"/>
      <c r="M13" s="287"/>
      <c r="N13" s="288"/>
      <c r="O13" s="119"/>
      <c r="P13" s="201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9.5" customHeight="1">
      <c r="A14" s="17"/>
      <c r="B14" s="52"/>
      <c r="C14" s="53"/>
      <c r="D14" s="185" t="s">
        <v>10</v>
      </c>
      <c r="E14" s="54"/>
      <c r="F14" s="186"/>
      <c r="G14" s="186"/>
      <c r="H14" s="186"/>
      <c r="I14" s="56">
        <v>2.0</v>
      </c>
      <c r="J14" s="284"/>
      <c r="K14" s="58"/>
      <c r="L14" s="286"/>
      <c r="M14" s="287"/>
      <c r="N14" s="288"/>
      <c r="O14" s="119"/>
      <c r="P14" s="202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9.5" customHeight="1">
      <c r="A15" s="17"/>
      <c r="B15" s="52"/>
      <c r="C15" s="53"/>
      <c r="D15" s="185" t="s">
        <v>9</v>
      </c>
      <c r="E15" s="119"/>
      <c r="F15" s="186"/>
      <c r="G15" s="186"/>
      <c r="H15" s="186"/>
      <c r="I15" s="56">
        <v>3.0</v>
      </c>
      <c r="J15" s="284"/>
      <c r="K15" s="58"/>
      <c r="L15" s="286"/>
      <c r="M15" s="287"/>
      <c r="N15" s="288"/>
      <c r="O15" s="119"/>
      <c r="P15" s="202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9.5" customHeight="1">
      <c r="A16" s="17"/>
      <c r="B16" s="52"/>
      <c r="C16" s="53"/>
      <c r="D16" s="185" t="s">
        <v>21</v>
      </c>
      <c r="E16" s="63">
        <v>1.19</v>
      </c>
      <c r="F16" s="186"/>
      <c r="G16" s="64">
        <v>1.25</v>
      </c>
      <c r="H16" s="64">
        <v>1.32</v>
      </c>
      <c r="I16" s="56"/>
      <c r="J16" s="56"/>
      <c r="K16" s="58"/>
      <c r="L16" s="286"/>
      <c r="M16" s="287"/>
      <c r="N16" s="288"/>
      <c r="O16" s="119"/>
      <c r="P16" s="20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67">
        <f>757.02786377709*E16</f>
        <v>900.8631579</v>
      </c>
      <c r="G17" s="67">
        <f>F17/$G$16</f>
        <v>720.6905263</v>
      </c>
      <c r="H17" s="67">
        <f>F17/$H$16</f>
        <v>682.4720893</v>
      </c>
      <c r="I17" s="68"/>
      <c r="J17" s="68"/>
      <c r="K17" s="70">
        <f>IF(J12="2010-2013",J11*H17,IF(J12="2014-2021",J11*G17,IF(J12="2021-2023",J11*F17,-2)))</f>
        <v>135129.4737</v>
      </c>
      <c r="L17" s="289" t="str">
        <f t="shared" ref="L17:L18" si="1">AVERAGE(#REF!)</f>
        <v>#REF!</v>
      </c>
      <c r="M17" s="290">
        <v>135844.444444444</v>
      </c>
      <c r="N17" s="291">
        <f t="shared" ref="N17:N18" si="2">M17/$M$11</f>
        <v>757.0278638</v>
      </c>
      <c r="O17" s="207" t="s">
        <v>23</v>
      </c>
      <c r="P17" s="73">
        <f>IF(O17="Delapidated",K17*0.6,IF(O17="Poor",K17*0.7,IF(O17="Fair",K17*0.8,IF(O17="Good",K17*0.85,IF(O17="Very Good",K17*0.9,IF(O17="Excellent",K17*1,IF(O17="Not Applicable",K17*1,0)))))))</f>
        <v>135129.4737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74" t="s">
        <v>24</v>
      </c>
      <c r="D18" s="66"/>
      <c r="E18" s="66"/>
      <c r="F18" s="75"/>
      <c r="G18" s="75"/>
      <c r="H18" s="67"/>
      <c r="I18" s="68"/>
      <c r="J18" s="72" t="s">
        <v>25</v>
      </c>
      <c r="K18" s="70">
        <f>IF(J18="YES",IF(J12="2010-2013",H19*$J$11,IF(J12="2014-2021",G19*$J$11,IF(J12="2021-2023",F19*$J$11,0))),0)</f>
        <v>29466.31579</v>
      </c>
      <c r="L18" s="292" t="str">
        <f t="shared" si="1"/>
        <v>#REF!</v>
      </c>
      <c r="M18" s="293">
        <v>29622.2222222222</v>
      </c>
      <c r="N18" s="294">
        <f t="shared" si="2"/>
        <v>165.0773994</v>
      </c>
      <c r="O18" s="207" t="s">
        <v>87</v>
      </c>
      <c r="P18" s="73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4"/>
      <c r="B19" s="84"/>
      <c r="C19" s="76" t="s">
        <v>25</v>
      </c>
      <c r="D19" s="66"/>
      <c r="E19" s="66"/>
      <c r="F19" s="67">
        <f>165.077399380805*E16</f>
        <v>196.4421053</v>
      </c>
      <c r="G19" s="67">
        <f t="shared" ref="G19:G20" si="3">F19/$G$16</f>
        <v>157.1536842</v>
      </c>
      <c r="H19" s="67">
        <f>F19/$H$16</f>
        <v>148.8197767</v>
      </c>
      <c r="I19" s="77">
        <v>1.0</v>
      </c>
      <c r="J19" s="68"/>
      <c r="K19" s="70"/>
      <c r="L19" s="295"/>
      <c r="M19" s="296"/>
      <c r="N19" s="297"/>
      <c r="O19" s="142"/>
      <c r="P19" s="73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4"/>
      <c r="B20" s="85"/>
      <c r="C20" s="76" t="s">
        <v>26</v>
      </c>
      <c r="D20" s="66"/>
      <c r="E20" s="66"/>
      <c r="F20" s="67">
        <v>0.0</v>
      </c>
      <c r="G20" s="67">
        <f t="shared" si="3"/>
        <v>0</v>
      </c>
      <c r="H20" s="67"/>
      <c r="I20" s="77">
        <v>2.0</v>
      </c>
      <c r="J20" s="68"/>
      <c r="K20" s="70"/>
      <c r="L20" s="298"/>
      <c r="M20" s="299"/>
      <c r="N20" s="300"/>
      <c r="O20" s="142"/>
      <c r="P20" s="73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74" t="s">
        <v>27</v>
      </c>
      <c r="D21" s="66"/>
      <c r="E21" s="66"/>
      <c r="F21" s="75"/>
      <c r="G21" s="75"/>
      <c r="H21" s="67"/>
      <c r="I21" s="68"/>
      <c r="J21" s="72" t="s">
        <v>28</v>
      </c>
      <c r="K21" s="70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107608.5316</v>
      </c>
      <c r="L21" s="292" t="str">
        <f>AVERAGE(#REF!)</f>
        <v>#REF!</v>
      </c>
      <c r="M21" s="293">
        <f>101588.888888889+6589</f>
        <v>108177.8889</v>
      </c>
      <c r="N21" s="294">
        <f>M21/$M$11</f>
        <v>602.8489164</v>
      </c>
      <c r="O21" s="207" t="s">
        <v>87</v>
      </c>
      <c r="P21" s="73">
        <f>IF(O21="Delapidated",K21*0.6,IF(O21="Poor",K21*0.7,IF(O21="Fair",K21*0.8,IF(O21="Good",K21*0.85,IF(O21="Very Good",K21*0.9,IF(O21="Excellent",K21*1,IF(O21="Not Applicable",K21*1,0)))))))</f>
        <v>64565.11895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4"/>
      <c r="B22" s="84"/>
      <c r="C22" s="76" t="s">
        <v>28</v>
      </c>
      <c r="D22" s="66"/>
      <c r="E22" s="66"/>
      <c r="F22" s="67">
        <f>602.848916408669*E16</f>
        <v>717.3902105</v>
      </c>
      <c r="G22" s="67">
        <f t="shared" ref="G22:G25" si="4">F22/$G$16</f>
        <v>573.9121684</v>
      </c>
      <c r="H22" s="67">
        <f t="shared" ref="H22:H24" si="5">F22/$H$16</f>
        <v>543.4774322</v>
      </c>
      <c r="I22" s="77">
        <v>1.0</v>
      </c>
      <c r="J22" s="68"/>
      <c r="K22" s="70"/>
      <c r="L22" s="295"/>
      <c r="M22" s="296"/>
      <c r="N22" s="297"/>
      <c r="O22" s="142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4"/>
      <c r="B23" s="84"/>
      <c r="C23" s="76" t="s">
        <v>29</v>
      </c>
      <c r="D23" s="66"/>
      <c r="E23" s="66"/>
      <c r="F23" s="67">
        <f>F22*0.8</f>
        <v>573.9121684</v>
      </c>
      <c r="G23" s="67">
        <f t="shared" si="4"/>
        <v>459.1297347</v>
      </c>
      <c r="H23" s="67">
        <f t="shared" si="5"/>
        <v>434.7819458</v>
      </c>
      <c r="I23" s="77">
        <v>2.0</v>
      </c>
      <c r="J23" s="68"/>
      <c r="K23" s="70"/>
      <c r="L23" s="295"/>
      <c r="M23" s="296"/>
      <c r="N23" s="297"/>
      <c r="O23" s="142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4"/>
      <c r="B24" s="84"/>
      <c r="C24" s="76" t="s">
        <v>30</v>
      </c>
      <c r="D24" s="66"/>
      <c r="E24" s="66"/>
      <c r="F24" s="67">
        <f>F22*1.3</f>
        <v>932.6072737</v>
      </c>
      <c r="G24" s="67">
        <f t="shared" si="4"/>
        <v>746.0858189</v>
      </c>
      <c r="H24" s="67">
        <f t="shared" si="5"/>
        <v>706.5206619</v>
      </c>
      <c r="I24" s="77">
        <v>3.0</v>
      </c>
      <c r="J24" s="68"/>
      <c r="K24" s="70"/>
      <c r="L24" s="295"/>
      <c r="M24" s="296"/>
      <c r="N24" s="297"/>
      <c r="O24" s="142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4"/>
      <c r="B25" s="85"/>
      <c r="C25" s="76" t="s">
        <v>31</v>
      </c>
      <c r="D25" s="66"/>
      <c r="E25" s="66"/>
      <c r="F25" s="67">
        <v>0.0</v>
      </c>
      <c r="G25" s="67">
        <f t="shared" si="4"/>
        <v>0</v>
      </c>
      <c r="H25" s="67"/>
      <c r="I25" s="77">
        <v>4.0</v>
      </c>
      <c r="J25" s="68"/>
      <c r="K25" s="70"/>
      <c r="L25" s="298"/>
      <c r="M25" s="299"/>
      <c r="N25" s="300"/>
      <c r="O25" s="142"/>
      <c r="P25" s="73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74" t="s">
        <v>32</v>
      </c>
      <c r="D26" s="66"/>
      <c r="E26" s="66"/>
      <c r="F26" s="75"/>
      <c r="G26" s="75"/>
      <c r="H26" s="67"/>
      <c r="I26" s="68"/>
      <c r="J26" s="72" t="s">
        <v>33</v>
      </c>
      <c r="K26" s="70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23205</v>
      </c>
      <c r="L26" s="292" t="str">
        <f>AVERAGE(#REF!)</f>
        <v>#REF!</v>
      </c>
      <c r="M26" s="293">
        <f>104188.888888889+4778</f>
        <v>108966.8889</v>
      </c>
      <c r="N26" s="294">
        <f>M26/$M$11</f>
        <v>607.2458204</v>
      </c>
      <c r="O26" s="207" t="s">
        <v>87</v>
      </c>
      <c r="P26" s="73">
        <f>IF(O26="Delapidated",K26*0.6,IF(O26="Poor",K26*0.7,IF(O26="Fair",K26*0.8,IF(O26="Good",K26*0.85,IF(O26="Very Good",K26*0.9,IF(O26="Excellent",K26*1,IF(O26="Not Applicable",K26*1,0)))))))</f>
        <v>13923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4"/>
      <c r="B27" s="84"/>
      <c r="C27" s="79" t="s">
        <v>33</v>
      </c>
      <c r="D27" s="66"/>
      <c r="E27" s="66"/>
      <c r="F27" s="67">
        <f>130*E16</f>
        <v>154.7</v>
      </c>
      <c r="G27" s="67">
        <f t="shared" ref="G27:G30" si="6">F27/$G$16</f>
        <v>123.76</v>
      </c>
      <c r="H27" s="67">
        <f t="shared" ref="H27:H29" si="7">F27/$H$16</f>
        <v>117.1969697</v>
      </c>
      <c r="I27" s="77">
        <v>1.0</v>
      </c>
      <c r="J27" s="68"/>
      <c r="K27" s="70"/>
      <c r="L27" s="295"/>
      <c r="M27" s="296"/>
      <c r="N27" s="297"/>
      <c r="O27" s="142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4"/>
      <c r="B28" s="84"/>
      <c r="C28" s="79" t="s">
        <v>34</v>
      </c>
      <c r="D28" s="66"/>
      <c r="E28" s="66"/>
      <c r="F28" s="67">
        <f>F27*1.6</f>
        <v>247.52</v>
      </c>
      <c r="G28" s="67">
        <f t="shared" si="6"/>
        <v>198.016</v>
      </c>
      <c r="H28" s="67">
        <f t="shared" si="7"/>
        <v>187.5151515</v>
      </c>
      <c r="I28" s="77">
        <v>2.0</v>
      </c>
      <c r="J28" s="68"/>
      <c r="K28" s="70"/>
      <c r="L28" s="295"/>
      <c r="M28" s="296"/>
      <c r="N28" s="297"/>
      <c r="O28" s="142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4"/>
      <c r="B29" s="84"/>
      <c r="C29" s="79" t="s">
        <v>35</v>
      </c>
      <c r="D29" s="66"/>
      <c r="E29" s="66"/>
      <c r="F29" s="67">
        <f>F27*0.6</f>
        <v>92.82</v>
      </c>
      <c r="G29" s="67">
        <f t="shared" si="6"/>
        <v>74.256</v>
      </c>
      <c r="H29" s="67">
        <f t="shared" si="7"/>
        <v>70.31818182</v>
      </c>
      <c r="I29" s="77">
        <v>3.0</v>
      </c>
      <c r="J29" s="68"/>
      <c r="K29" s="70"/>
      <c r="L29" s="295"/>
      <c r="M29" s="296"/>
      <c r="N29" s="297"/>
      <c r="O29" s="142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4"/>
      <c r="B30" s="85"/>
      <c r="C30" s="79" t="s">
        <v>36</v>
      </c>
      <c r="D30" s="66"/>
      <c r="E30" s="66"/>
      <c r="F30" s="67">
        <v>0.0</v>
      </c>
      <c r="G30" s="67">
        <f t="shared" si="6"/>
        <v>0</v>
      </c>
      <c r="H30" s="67"/>
      <c r="I30" s="77">
        <v>4.0</v>
      </c>
      <c r="J30" s="68"/>
      <c r="K30" s="70"/>
      <c r="L30" s="298"/>
      <c r="M30" s="299"/>
      <c r="N30" s="300"/>
      <c r="O30" s="142"/>
      <c r="P30" s="73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75" customHeight="1">
      <c r="A31" s="34"/>
      <c r="B31" s="44">
        <f>B26+1</f>
        <v>5</v>
      </c>
      <c r="C31" s="74" t="s">
        <v>37</v>
      </c>
      <c r="D31" s="66"/>
      <c r="E31" s="66"/>
      <c r="F31" s="75"/>
      <c r="G31" s="67"/>
      <c r="H31" s="67"/>
      <c r="I31" s="68"/>
      <c r="J31" s="72" t="s">
        <v>38</v>
      </c>
      <c r="K31" s="70">
        <f>IF(J31="TIMBER ROOF TRUSSES",IF(J12="2010-2013",H32*$J$11,IF(J12="2014-2021",G32*$J$11,IF(J12="2021-2023",F32*$J$11,0))),IF(J31="STRUCTURAL STEEL TRUSSES",IF(J12="2010-2013",#REF!*$J$11,IF(J12="2014-2021",#REF!*$J$11,IF(J12="2021-2023",#REF!*$J$11,0))),0))</f>
        <v>74970</v>
      </c>
      <c r="L31" s="59" t="str">
        <f>AVERAGE(#REF!)</f>
        <v>#REF!</v>
      </c>
      <c r="M31" s="43">
        <f>51922.2222222222+844</f>
        <v>52766.22222</v>
      </c>
      <c r="N31" s="71" t="str">
        <f>M31/$M$9</f>
        <v>#VALUE!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44982</v>
      </c>
      <c r="Q31" s="20"/>
      <c r="R31" s="20"/>
      <c r="S31" s="20"/>
      <c r="T31" s="20"/>
      <c r="U31" s="34"/>
      <c r="V31" s="34"/>
      <c r="W31" s="34"/>
      <c r="X31" s="34"/>
      <c r="Y31" s="34"/>
      <c r="Z31" s="34"/>
    </row>
    <row r="32" ht="30.0" customHeight="1">
      <c r="A32" s="34"/>
      <c r="B32" s="44"/>
      <c r="C32" s="79" t="s">
        <v>38</v>
      </c>
      <c r="D32" s="66"/>
      <c r="E32" s="66"/>
      <c r="F32" s="67">
        <f>420*$E$16</f>
        <v>499.8</v>
      </c>
      <c r="G32" s="67">
        <f>F32/$G$16</f>
        <v>399.84</v>
      </c>
      <c r="H32" s="67">
        <f t="shared" ref="H32:H33" si="8">F32/$H$16</f>
        <v>378.6363636</v>
      </c>
      <c r="I32" s="77">
        <v>1.0</v>
      </c>
      <c r="J32" s="78"/>
      <c r="K32" s="70"/>
      <c r="L32" s="59"/>
      <c r="M32" s="43"/>
      <c r="N32" s="71"/>
      <c r="O32" s="44"/>
      <c r="P32" s="212"/>
      <c r="Q32" s="20"/>
      <c r="R32" s="20"/>
      <c r="S32" s="20"/>
      <c r="T32" s="20"/>
      <c r="U32" s="142"/>
      <c r="V32" s="213"/>
      <c r="W32" s="34"/>
      <c r="X32" s="34"/>
      <c r="Y32" s="34"/>
      <c r="Z32" s="34"/>
    </row>
    <row r="33" ht="30.0" customHeight="1">
      <c r="A33" s="34"/>
      <c r="B33" s="44"/>
      <c r="C33" s="79" t="s">
        <v>41</v>
      </c>
      <c r="D33" s="66"/>
      <c r="E33" s="66"/>
      <c r="F33" s="67">
        <v>0.0</v>
      </c>
      <c r="G33" s="67">
        <v>0.0</v>
      </c>
      <c r="H33" s="67">
        <f t="shared" si="8"/>
        <v>0</v>
      </c>
      <c r="I33" s="77"/>
      <c r="J33" s="78"/>
      <c r="K33" s="70"/>
      <c r="L33" s="59"/>
      <c r="M33" s="43"/>
      <c r="N33" s="71"/>
      <c r="O33" s="44"/>
      <c r="P33" s="212"/>
      <c r="Q33" s="20"/>
      <c r="R33" s="20"/>
      <c r="S33" s="20"/>
      <c r="T33" s="20"/>
      <c r="U33" s="142"/>
      <c r="V33" s="213"/>
      <c r="W33" s="34"/>
      <c r="X33" s="34"/>
      <c r="Y33" s="34"/>
      <c r="Z33" s="34"/>
    </row>
    <row r="34" ht="30.0" customHeight="1">
      <c r="A34" s="34"/>
      <c r="B34" s="83">
        <v>6.0</v>
      </c>
      <c r="C34" s="74" t="s">
        <v>88</v>
      </c>
      <c r="D34" s="66"/>
      <c r="E34" s="66"/>
      <c r="F34" s="75"/>
      <c r="G34" s="75"/>
      <c r="H34" s="67"/>
      <c r="I34" s="68"/>
      <c r="J34" s="72" t="s">
        <v>25</v>
      </c>
      <c r="K34" s="70">
        <f>IF(J34="YES",IF(J12="2010-2013",H35*$J$11,IF(J12="2014-2021",G35*$J$11,IF(J12="2021-2023",F35*$J$11,0))),0)</f>
        <v>8925</v>
      </c>
      <c r="L34" s="292" t="str">
        <f>AVERAGE(#REF!)</f>
        <v>#REF!</v>
      </c>
      <c r="M34" s="293">
        <f>50511.1111111111+5556</f>
        <v>56067.11111</v>
      </c>
      <c r="N34" s="294">
        <f>M34/$M$11</f>
        <v>312.4482972</v>
      </c>
      <c r="O34" s="207" t="s">
        <v>87</v>
      </c>
      <c r="P34" s="73">
        <f>IF(O34="Delapidated",K34*0.6,IF(O34="Poor",K34*0.7,IF(O34="Fair",K34*0.8,IF(O34="Good",K34*0.85,IF(O34="Very Good",K34*0.9,IF(O34="Excellent",K34*1,IF(O34="Not Applicable",K34*1,0)))))))</f>
        <v>5355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2.0" customHeight="1">
      <c r="A35" s="34"/>
      <c r="B35" s="84"/>
      <c r="C35" s="76" t="s">
        <v>25</v>
      </c>
      <c r="D35" s="66"/>
      <c r="E35" s="66"/>
      <c r="F35" s="67">
        <f>50*E16</f>
        <v>59.5</v>
      </c>
      <c r="G35" s="67">
        <f t="shared" ref="G35:G36" si="9">F35/$G$16</f>
        <v>47.6</v>
      </c>
      <c r="H35" s="67">
        <f t="shared" ref="H35:H36" si="10">F35/$H$16</f>
        <v>45.07575758</v>
      </c>
      <c r="I35" s="77">
        <v>1.0</v>
      </c>
      <c r="J35" s="68"/>
      <c r="K35" s="70"/>
      <c r="L35" s="295"/>
      <c r="M35" s="296"/>
      <c r="N35" s="297"/>
      <c r="O35" s="142"/>
      <c r="P35" s="73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2.0" customHeight="1">
      <c r="A36" s="34"/>
      <c r="B36" s="85"/>
      <c r="C36" s="76" t="s">
        <v>26</v>
      </c>
      <c r="D36" s="66"/>
      <c r="E36" s="66"/>
      <c r="F36" s="67">
        <v>0.0</v>
      </c>
      <c r="G36" s="67">
        <f t="shared" si="9"/>
        <v>0</v>
      </c>
      <c r="H36" s="67">
        <f t="shared" si="10"/>
        <v>0</v>
      </c>
      <c r="I36" s="77">
        <v>2.0</v>
      </c>
      <c r="J36" s="68"/>
      <c r="K36" s="70"/>
      <c r="L36" s="298"/>
      <c r="M36" s="299"/>
      <c r="N36" s="300"/>
      <c r="O36" s="142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customHeight="1">
      <c r="A37" s="34"/>
      <c r="B37" s="83">
        <f>B34+1</f>
        <v>7</v>
      </c>
      <c r="C37" s="74" t="s">
        <v>45</v>
      </c>
      <c r="D37" s="66"/>
      <c r="E37" s="66"/>
      <c r="F37" s="67"/>
      <c r="G37" s="67"/>
      <c r="H37" s="67"/>
      <c r="I37" s="68"/>
      <c r="J37" s="72" t="s">
        <v>25</v>
      </c>
      <c r="K37" s="70">
        <f>IF(J37="YES",IF(J12="2010-2013",H38*$J$11,IF(J12="2014-2021",G38*$J$11,IF(J12="2021-2023",F38*$J$11,0))),0)</f>
        <v>31237.5</v>
      </c>
      <c r="L37" s="292"/>
      <c r="M37" s="293"/>
      <c r="N37" s="294">
        <f>M37/$M$11</f>
        <v>0</v>
      </c>
      <c r="O37" s="207" t="s">
        <v>87</v>
      </c>
      <c r="P37" s="73">
        <f>IF(O37="Delapidated",K37*0.6,IF(O37="Poor",K37*0.7,IF(O37="Fair",K37*0.8,IF(O37="Good",K37*0.85,IF(O37="Very Good",K37*0.9,IF(O37="Excellent",K37*1,IF(O37="Not Applicable",K37*1,0)))))))</f>
        <v>18742.5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2.0" customHeight="1">
      <c r="A38" s="34"/>
      <c r="B38" s="84"/>
      <c r="C38" s="76" t="s">
        <v>25</v>
      </c>
      <c r="D38" s="66"/>
      <c r="E38" s="66"/>
      <c r="F38" s="67">
        <v>208.25</v>
      </c>
      <c r="G38" s="67">
        <f t="shared" ref="G38:G39" si="11">F38/$G$16</f>
        <v>166.6</v>
      </c>
      <c r="H38" s="67">
        <f t="shared" ref="H38:H39" si="12">F38/$H$16</f>
        <v>157.7651515</v>
      </c>
      <c r="I38" s="77">
        <v>1.0</v>
      </c>
      <c r="J38" s="68"/>
      <c r="K38" s="70"/>
      <c r="L38" s="295"/>
      <c r="M38" s="296"/>
      <c r="N38" s="297"/>
      <c r="O38" s="142"/>
      <c r="P38" s="73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2.0" customHeight="1">
      <c r="A39" s="34"/>
      <c r="B39" s="84"/>
      <c r="C39" s="76" t="s">
        <v>26</v>
      </c>
      <c r="D39" s="66"/>
      <c r="E39" s="66"/>
      <c r="F39" s="67">
        <v>0.0</v>
      </c>
      <c r="G39" s="67">
        <f t="shared" si="11"/>
        <v>0</v>
      </c>
      <c r="H39" s="67">
        <f t="shared" si="12"/>
        <v>0</v>
      </c>
      <c r="I39" s="77">
        <v>2.0</v>
      </c>
      <c r="J39" s="68"/>
      <c r="K39" s="70"/>
      <c r="L39" s="298"/>
      <c r="M39" s="299"/>
      <c r="N39" s="300"/>
      <c r="O39" s="142"/>
      <c r="P39" s="73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2.0" customHeight="1">
      <c r="A40" s="34"/>
      <c r="B40" s="44"/>
      <c r="C40" s="214" t="s">
        <v>48</v>
      </c>
      <c r="D40" s="66"/>
      <c r="E40" s="66"/>
      <c r="F40" s="67"/>
      <c r="G40" s="67"/>
      <c r="H40" s="67"/>
      <c r="I40" s="77"/>
      <c r="J40" s="40">
        <v>4.0</v>
      </c>
      <c r="K40" s="51"/>
      <c r="L40" s="286"/>
      <c r="M40" s="301"/>
      <c r="N40" s="302"/>
      <c r="O40" s="142"/>
      <c r="P40" s="142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83">
        <f>B37+1</f>
        <v>8</v>
      </c>
      <c r="C41" s="74" t="s">
        <v>49</v>
      </c>
      <c r="D41" s="66"/>
      <c r="E41" s="66"/>
      <c r="F41" s="67"/>
      <c r="G41" s="67"/>
      <c r="H41" s="67"/>
      <c r="I41" s="68"/>
      <c r="J41" s="72" t="s">
        <v>25</v>
      </c>
      <c r="K41" s="70">
        <f>IF(J41="YES",IF(J12="2010-2013",H42*$J$40,IF(J12="2014-2021",G42*$J$40,IF(J12="2021-2023",F42*$J$40,0))),0)</f>
        <v>16000</v>
      </c>
      <c r="L41" s="292"/>
      <c r="M41" s="293"/>
      <c r="N41" s="294">
        <f>M41/$M$11</f>
        <v>0</v>
      </c>
      <c r="O41" s="207" t="s">
        <v>87</v>
      </c>
      <c r="P41" s="73">
        <f>IF(O41="Delapidated",K41*0.6,IF(O41="Poor",K41*0.7,IF(O41="Fair",K41*0.8,IF(O41="Good",K41*0.85,IF(O41="Very Good",K41*0.9,IF(O41="Excellent",K41*1,IF(O41="Not Applicable",K41*1,0)))))))</f>
        <v>9600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0" customHeight="1">
      <c r="A42" s="34"/>
      <c r="B42" s="84"/>
      <c r="C42" s="76" t="s">
        <v>25</v>
      </c>
      <c r="D42" s="66"/>
      <c r="E42" s="66"/>
      <c r="F42" s="67">
        <v>4000.0</v>
      </c>
      <c r="G42" s="67">
        <f t="shared" ref="G42:G43" si="13">F42/$G$16</f>
        <v>3200</v>
      </c>
      <c r="H42" s="67">
        <f t="shared" ref="H42:H43" si="14">F42/$H$16</f>
        <v>3030.30303</v>
      </c>
      <c r="I42" s="77">
        <v>1.0</v>
      </c>
      <c r="J42" s="68"/>
      <c r="K42" s="70"/>
      <c r="L42" s="295"/>
      <c r="M42" s="296"/>
      <c r="N42" s="297"/>
      <c r="O42" s="142"/>
      <c r="P42" s="73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0" customHeight="1">
      <c r="A43" s="34"/>
      <c r="B43" s="85"/>
      <c r="C43" s="76" t="s">
        <v>26</v>
      </c>
      <c r="D43" s="66"/>
      <c r="E43" s="66"/>
      <c r="F43" s="67">
        <v>0.0</v>
      </c>
      <c r="G43" s="67">
        <f t="shared" si="13"/>
        <v>0</v>
      </c>
      <c r="H43" s="67">
        <f t="shared" si="14"/>
        <v>0</v>
      </c>
      <c r="I43" s="77">
        <v>2.0</v>
      </c>
      <c r="J43" s="68"/>
      <c r="K43" s="70"/>
      <c r="L43" s="298"/>
      <c r="M43" s="299"/>
      <c r="N43" s="300"/>
      <c r="O43" s="142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3">
        <f>B41+1</f>
        <v>9</v>
      </c>
      <c r="C44" s="74" t="s">
        <v>50</v>
      </c>
      <c r="D44" s="66"/>
      <c r="E44" s="66"/>
      <c r="F44" s="75"/>
      <c r="G44" s="75"/>
      <c r="H44" s="67"/>
      <c r="I44" s="68"/>
      <c r="J44" s="72" t="s">
        <v>25</v>
      </c>
      <c r="K44" s="70">
        <f>IF(J44="YES",IF(J12="2010-2013",H45*$J$11,IF(J12="2014-2021",G45*$J$11,IF(J12="2021-2023",F45*$J$11,0))),0)</f>
        <v>28151.05263</v>
      </c>
      <c r="L44" s="292" t="str">
        <f>AVERAGE(#REF!)</f>
        <v>#REF!</v>
      </c>
      <c r="M44" s="293">
        <v>28300.0</v>
      </c>
      <c r="N44" s="294">
        <f>M44/$M$11</f>
        <v>157.7089783</v>
      </c>
      <c r="O44" s="207" t="s">
        <v>87</v>
      </c>
      <c r="P44" s="73">
        <f>IF(O44="Delapidated",K44*0.6,IF(O44="Poor",K44*0.7,IF(O44="Fair",K44*0.8,IF(O44="Good",K44*0.85,IF(O44="Very Good",K44*0.9,IF(O44="Excellent",K44*1,IF(O44="Not Applicable",K44*1,0)))))))</f>
        <v>16890.63158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4"/>
      <c r="B45" s="84"/>
      <c r="C45" s="76" t="s">
        <v>25</v>
      </c>
      <c r="D45" s="66"/>
      <c r="E45" s="66"/>
      <c r="F45" s="67">
        <f>157.708978328173*E16</f>
        <v>187.6736842</v>
      </c>
      <c r="G45" s="67">
        <f t="shared" ref="G45:G46" si="15">F45/$G$16</f>
        <v>150.1389474</v>
      </c>
      <c r="H45" s="67">
        <f t="shared" ref="H45:H46" si="16">F45/$H$16</f>
        <v>142.1770335</v>
      </c>
      <c r="I45" s="77">
        <v>1.0</v>
      </c>
      <c r="J45" s="68"/>
      <c r="K45" s="70"/>
      <c r="L45" s="295"/>
      <c r="M45" s="296"/>
      <c r="N45" s="297"/>
      <c r="O45" s="142"/>
      <c r="P45" s="73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4"/>
      <c r="B46" s="85"/>
      <c r="C46" s="76" t="s">
        <v>26</v>
      </c>
      <c r="D46" s="66"/>
      <c r="E46" s="66"/>
      <c r="F46" s="67">
        <v>0.0</v>
      </c>
      <c r="G46" s="67">
        <f t="shared" si="15"/>
        <v>0</v>
      </c>
      <c r="H46" s="67">
        <f t="shared" si="16"/>
        <v>0</v>
      </c>
      <c r="I46" s="77">
        <v>2.0</v>
      </c>
      <c r="J46" s="68"/>
      <c r="K46" s="70"/>
      <c r="L46" s="298"/>
      <c r="M46" s="299"/>
      <c r="N46" s="300"/>
      <c r="O46" s="142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44">
        <v>10.0</v>
      </c>
      <c r="C47" s="92" t="s">
        <v>51</v>
      </c>
      <c r="D47" s="66"/>
      <c r="E47" s="66"/>
      <c r="F47" s="67"/>
      <c r="G47" s="67"/>
      <c r="H47" s="67"/>
      <c r="I47" s="77"/>
      <c r="J47" s="72" t="s">
        <v>52</v>
      </c>
      <c r="K47" s="70">
        <f>IF(J47="VINYL FLOORING",IF(J12="2010-2013",H48*$J$11,IF(J12="2014-2021",G48*$J$11,IF(J12="2021-2023",F48*$J$11,0))),IF(J47="TILING FLOORING",IF(J12="2010-2013",H49*$J$11,IF(J12="2014-2021",G49*$J$11,IF(J12="2021-2023",F49*$J$11,0))),IF(J47="TIMBER FLOORING",IF(J12="2010-2013",H50*$J$11,IF(J12="2014-2021",G50*$J$11,IF(J12="2021-2023",F50*$J$11,0))),IF(J47="CARPETS FLOORING",IF(J12="2010-2013",H51*$J$11,IF(J12="2014-2021",G51*$J$11,IF(J12="2021-2023",F51*$J$11,0))),0))))</f>
        <v>35700</v>
      </c>
      <c r="L47" s="286"/>
      <c r="M47" s="301"/>
      <c r="N47" s="302"/>
      <c r="O47" s="207" t="s">
        <v>87</v>
      </c>
      <c r="P47" s="73">
        <f>IF(O47="Delapidated",K47*0.6,IF(O47="Poor",K47*0.7,IF(O47="Fair",K47*0.8,IF(O47="Good",K47*0.85,IF(O47="Very Good",K47*0.9,IF(O47="Excellent",K47*1,IF(O47="Not Applicable",K47*1,0)))))))</f>
        <v>21420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4"/>
      <c r="B48" s="44"/>
      <c r="C48" s="79" t="s">
        <v>53</v>
      </c>
      <c r="D48" s="66"/>
      <c r="E48" s="66"/>
      <c r="F48" s="67">
        <f>F49*0.7</f>
        <v>166.6</v>
      </c>
      <c r="G48" s="67">
        <f t="shared" ref="G48:G52" si="17">F48/$G$16</f>
        <v>133.28</v>
      </c>
      <c r="H48" s="67">
        <f t="shared" ref="H48:H52" si="18">F48/$H$16</f>
        <v>126.2121212</v>
      </c>
      <c r="I48" s="77"/>
      <c r="J48" s="68"/>
      <c r="K48" s="70"/>
      <c r="L48" s="286"/>
      <c r="M48" s="301"/>
      <c r="N48" s="302"/>
      <c r="O48" s="142"/>
      <c r="P48" s="73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4"/>
      <c r="B49" s="44"/>
      <c r="C49" s="79" t="s">
        <v>52</v>
      </c>
      <c r="D49" s="66"/>
      <c r="E49" s="66"/>
      <c r="F49" s="67">
        <f>200*E16</f>
        <v>238</v>
      </c>
      <c r="G49" s="67">
        <f t="shared" si="17"/>
        <v>190.4</v>
      </c>
      <c r="H49" s="67">
        <f t="shared" si="18"/>
        <v>180.3030303</v>
      </c>
      <c r="I49" s="77"/>
      <c r="J49" s="68"/>
      <c r="K49" s="70"/>
      <c r="L49" s="286"/>
      <c r="M49" s="301"/>
      <c r="N49" s="302"/>
      <c r="O49" s="142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4"/>
      <c r="B50" s="44"/>
      <c r="C50" s="79" t="s">
        <v>54</v>
      </c>
      <c r="D50" s="66"/>
      <c r="E50" s="66"/>
      <c r="F50" s="67">
        <f>F49*1.2</f>
        <v>285.6</v>
      </c>
      <c r="G50" s="67">
        <f t="shared" si="17"/>
        <v>228.48</v>
      </c>
      <c r="H50" s="67">
        <f t="shared" si="18"/>
        <v>216.3636364</v>
      </c>
      <c r="I50" s="77"/>
      <c r="J50" s="68"/>
      <c r="K50" s="70"/>
      <c r="L50" s="286"/>
      <c r="M50" s="301"/>
      <c r="N50" s="302"/>
      <c r="O50" s="142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4"/>
      <c r="B51" s="44"/>
      <c r="C51" s="79" t="s">
        <v>55</v>
      </c>
      <c r="D51" s="66"/>
      <c r="E51" s="66"/>
      <c r="F51" s="67">
        <f>F49*1.3</f>
        <v>309.4</v>
      </c>
      <c r="G51" s="67">
        <f t="shared" si="17"/>
        <v>247.52</v>
      </c>
      <c r="H51" s="67">
        <f t="shared" si="18"/>
        <v>234.3939394</v>
      </c>
      <c r="I51" s="77"/>
      <c r="J51" s="68"/>
      <c r="K51" s="70"/>
      <c r="L51" s="286"/>
      <c r="M51" s="301"/>
      <c r="N51" s="302"/>
      <c r="O51" s="142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4"/>
      <c r="B52" s="44"/>
      <c r="C52" s="79" t="s">
        <v>56</v>
      </c>
      <c r="D52" s="66"/>
      <c r="E52" s="66"/>
      <c r="F52" s="67">
        <v>0.0</v>
      </c>
      <c r="G52" s="67">
        <f t="shared" si="17"/>
        <v>0</v>
      </c>
      <c r="H52" s="67">
        <f t="shared" si="18"/>
        <v>0</v>
      </c>
      <c r="I52" s="77"/>
      <c r="J52" s="68"/>
      <c r="K52" s="70"/>
      <c r="L52" s="286"/>
      <c r="M52" s="301"/>
      <c r="N52" s="302"/>
      <c r="O52" s="142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21.75" customHeight="1">
      <c r="A53" s="34"/>
      <c r="B53" s="83">
        <f>B47+1</f>
        <v>11</v>
      </c>
      <c r="C53" s="74" t="s">
        <v>57</v>
      </c>
      <c r="D53" s="66"/>
      <c r="E53" s="66"/>
      <c r="F53" s="75"/>
      <c r="G53" s="75"/>
      <c r="H53" s="67"/>
      <c r="I53" s="68"/>
      <c r="J53" s="72" t="s">
        <v>58</v>
      </c>
      <c r="K53" s="70">
        <f>IF(J53="STEEL WINDOW FRAMES",IF(J12="2010-2013",H54*$J$11,IF(J12="2014-2021",G54*$J$11,IF(J12="2021-2023",F54*$J$11,0))),IF(J53="ALUMINIUM WINDOW FRAMES",IF(J12="2010-2013",H55*$J$11,IF(J12="2014-2021",G55*$J$11,IF(J12="2021-2023",F55*$J$11,0))),0))</f>
        <v>37485</v>
      </c>
      <c r="L53" s="292" t="str">
        <f>AVERAGE(#REF!)</f>
        <v>#REF!</v>
      </c>
      <c r="M53" s="293">
        <v>37744.4444444444</v>
      </c>
      <c r="N53" s="294">
        <f>M53/$M$11</f>
        <v>210.3405573</v>
      </c>
      <c r="O53" s="207" t="s">
        <v>87</v>
      </c>
      <c r="P53" s="73">
        <f>IF(O53="Delapidated",K53*0.6,IF(O53="Poor",K53*0.7,IF(O53="Fair",K53*0.8,IF(O53="Good",K53*0.85,IF(O53="Very Good",K53*0.9,IF(O53="Excellent",K53*1,IF(O53="Not Applicable",K53*1,0)))))))</f>
        <v>22491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4"/>
      <c r="B54" s="84"/>
      <c r="C54" s="79" t="s">
        <v>59</v>
      </c>
      <c r="D54" s="66"/>
      <c r="E54" s="66"/>
      <c r="F54" s="303">
        <f>F55*0.3</f>
        <v>74.97</v>
      </c>
      <c r="G54" s="303">
        <f t="shared" ref="G54:G56" si="19">F54/$G$16</f>
        <v>59.976</v>
      </c>
      <c r="H54" s="67">
        <f t="shared" ref="H54:H56" si="20">F54/$H$16</f>
        <v>56.79545455</v>
      </c>
      <c r="I54" s="77">
        <v>1.0</v>
      </c>
      <c r="J54" s="68"/>
      <c r="K54" s="70"/>
      <c r="L54" s="295"/>
      <c r="M54" s="296"/>
      <c r="N54" s="297"/>
      <c r="O54" s="142"/>
      <c r="P54" s="73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4"/>
      <c r="B55" s="84"/>
      <c r="C55" s="79" t="s">
        <v>58</v>
      </c>
      <c r="D55" s="66"/>
      <c r="E55" s="66"/>
      <c r="F55" s="67">
        <f>210*E16</f>
        <v>249.9</v>
      </c>
      <c r="G55" s="67">
        <f t="shared" si="19"/>
        <v>199.92</v>
      </c>
      <c r="H55" s="67">
        <f t="shared" si="20"/>
        <v>189.3181818</v>
      </c>
      <c r="I55" s="77">
        <v>2.0</v>
      </c>
      <c r="J55" s="68"/>
      <c r="K55" s="70"/>
      <c r="L55" s="295"/>
      <c r="M55" s="296"/>
      <c r="N55" s="297"/>
      <c r="O55" s="142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4"/>
      <c r="B56" s="85"/>
      <c r="C56" s="79" t="s">
        <v>60</v>
      </c>
      <c r="D56" s="66"/>
      <c r="E56" s="66"/>
      <c r="F56" s="67">
        <v>0.0</v>
      </c>
      <c r="G56" s="67">
        <f t="shared" si="19"/>
        <v>0</v>
      </c>
      <c r="H56" s="67">
        <f t="shared" si="20"/>
        <v>0</v>
      </c>
      <c r="I56" s="77">
        <v>3.0</v>
      </c>
      <c r="J56" s="68"/>
      <c r="K56" s="70"/>
      <c r="L56" s="298"/>
      <c r="M56" s="299"/>
      <c r="N56" s="300"/>
      <c r="O56" s="142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customHeight="1">
      <c r="A57" s="34"/>
      <c r="B57" s="83">
        <f>B53+1</f>
        <v>12</v>
      </c>
      <c r="C57" s="74" t="s">
        <v>61</v>
      </c>
      <c r="D57" s="66"/>
      <c r="E57" s="66"/>
      <c r="F57" s="75"/>
      <c r="G57" s="75"/>
      <c r="H57" s="67"/>
      <c r="I57" s="68"/>
      <c r="J57" s="72" t="s">
        <v>25</v>
      </c>
      <c r="K57" s="70">
        <f>IF(J57="YES",IF(J12="2010-2013",H58*$J$11,IF(J12="2014-2021",G58*$J$11,IF(J12="2021-2023",F58*$J$11,0))),0)</f>
        <v>50212.10526</v>
      </c>
      <c r="L57" s="292" t="str">
        <f>AVERAGE(#REF!)</f>
        <v>#REF!</v>
      </c>
      <c r="M57" s="293">
        <v>50477.7777777778</v>
      </c>
      <c r="N57" s="294">
        <f>M57/$M$11</f>
        <v>281.3003096</v>
      </c>
      <c r="O57" s="207" t="s">
        <v>87</v>
      </c>
      <c r="P57" s="73">
        <f>IF(O57="Delapidated",K57*0.6,IF(O57="Poor",K57*0.7,IF(O57="Fair",K57*0.8,IF(O57="Good",K57*0.85,IF(O57="Very Good",K57*0.9,IF(O57="Excellent",K57*1,IF(O57="Not Applicable",K57*1,0)))))))</f>
        <v>30127.26316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4"/>
      <c r="B58" s="84"/>
      <c r="C58" s="76" t="s">
        <v>25</v>
      </c>
      <c r="D58" s="66"/>
      <c r="E58" s="66"/>
      <c r="F58" s="67">
        <f>281.300309597523*E16</f>
        <v>334.7473684</v>
      </c>
      <c r="G58" s="67">
        <f t="shared" ref="G58:G59" si="21">F58/$G$16</f>
        <v>267.7978947</v>
      </c>
      <c r="H58" s="67">
        <f t="shared" ref="H58:H59" si="22">F58/$H$16</f>
        <v>253.5964912</v>
      </c>
      <c r="I58" s="77">
        <v>1.0</v>
      </c>
      <c r="J58" s="68"/>
      <c r="K58" s="70"/>
      <c r="L58" s="295"/>
      <c r="M58" s="296"/>
      <c r="N58" s="297"/>
      <c r="O58" s="142"/>
      <c r="P58" s="73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4"/>
      <c r="B59" s="85"/>
      <c r="C59" s="76" t="s">
        <v>26</v>
      </c>
      <c r="D59" s="66"/>
      <c r="E59" s="66"/>
      <c r="F59" s="67">
        <v>0.0</v>
      </c>
      <c r="G59" s="67">
        <f t="shared" si="21"/>
        <v>0</v>
      </c>
      <c r="H59" s="67">
        <f t="shared" si="22"/>
        <v>0</v>
      </c>
      <c r="I59" s="77">
        <v>2.0</v>
      </c>
      <c r="J59" s="68"/>
      <c r="K59" s="70"/>
      <c r="L59" s="298"/>
      <c r="M59" s="299"/>
      <c r="N59" s="300"/>
      <c r="O59" s="142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3">
        <f>B57+1</f>
        <v>13</v>
      </c>
      <c r="C60" s="74" t="s">
        <v>92</v>
      </c>
      <c r="D60" s="66"/>
      <c r="E60" s="66"/>
      <c r="F60" s="75"/>
      <c r="G60" s="75"/>
      <c r="H60" s="67"/>
      <c r="I60" s="68"/>
      <c r="J60" s="72" t="s">
        <v>25</v>
      </c>
      <c r="K60" s="70">
        <f>IF(J60="YES",IF(J12="2010-2013",H61*$J$11,IF(J12="2014-2021",G61*$J$11,IF(J12="2021-2023",F61*$J$11,0))),0)</f>
        <v>10610.52632</v>
      </c>
      <c r="L60" s="292" t="str">
        <f>AVERAGE(#REF!)</f>
        <v>#REF!</v>
      </c>
      <c r="M60" s="293">
        <v>53333.3333333333</v>
      </c>
      <c r="N60" s="294">
        <f>M60/$M$11</f>
        <v>297.2136223</v>
      </c>
      <c r="O60" s="207" t="s">
        <v>87</v>
      </c>
      <c r="P60" s="73">
        <f>IF(O60="Delapidated",K60*0.6,IF(O60="Poor",K60*0.7,IF(O60="Fair",K60*0.8,IF(O60="Good",K60*0.85,IF(O60="Very Good",K60*0.9,IF(O60="Excellent",K60*1,IF(O60="Not Applicable",K60*1,0)))))))</f>
        <v>6366.315789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4"/>
      <c r="B61" s="84"/>
      <c r="C61" s="76" t="s">
        <v>25</v>
      </c>
      <c r="D61" s="66"/>
      <c r="E61" s="66"/>
      <c r="F61" s="67">
        <f>297.213622291022*0.2*E16</f>
        <v>70.73684211</v>
      </c>
      <c r="G61" s="67">
        <f t="shared" ref="G61:G62" si="23">F61/$G$16</f>
        <v>56.58947368</v>
      </c>
      <c r="H61" s="67">
        <f t="shared" ref="H61:H62" si="24">F61/$H$16</f>
        <v>53.58851675</v>
      </c>
      <c r="I61" s="77">
        <v>1.0</v>
      </c>
      <c r="J61" s="68"/>
      <c r="K61" s="70"/>
      <c r="L61" s="295"/>
      <c r="M61" s="296"/>
      <c r="N61" s="297"/>
      <c r="O61" s="142"/>
      <c r="P61" s="73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4"/>
      <c r="B62" s="85"/>
      <c r="C62" s="76" t="s">
        <v>26</v>
      </c>
      <c r="D62" s="66"/>
      <c r="E62" s="66"/>
      <c r="F62" s="67">
        <v>0.0</v>
      </c>
      <c r="G62" s="67">
        <f t="shared" si="23"/>
        <v>0</v>
      </c>
      <c r="H62" s="67">
        <f t="shared" si="24"/>
        <v>0</v>
      </c>
      <c r="I62" s="77">
        <v>2.0</v>
      </c>
      <c r="J62" s="68"/>
      <c r="K62" s="70"/>
      <c r="L62" s="298"/>
      <c r="M62" s="299"/>
      <c r="N62" s="300"/>
      <c r="O62" s="142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4"/>
      <c r="B63" s="44"/>
      <c r="C63" s="214" t="s">
        <v>63</v>
      </c>
      <c r="D63" s="66"/>
      <c r="E63" s="66"/>
      <c r="F63" s="67"/>
      <c r="G63" s="67"/>
      <c r="H63" s="67"/>
      <c r="I63" s="77"/>
      <c r="J63" s="40">
        <v>3.0</v>
      </c>
      <c r="K63" s="142"/>
      <c r="L63" s="304"/>
      <c r="M63" s="305"/>
      <c r="N63" s="306"/>
      <c r="O63" s="142"/>
      <c r="P63" s="142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83">
        <f>B60+1</f>
        <v>14</v>
      </c>
      <c r="C64" s="74" t="s">
        <v>93</v>
      </c>
      <c r="D64" s="66"/>
      <c r="E64" s="66"/>
      <c r="F64" s="75"/>
      <c r="G64" s="75"/>
      <c r="H64" s="67"/>
      <c r="I64" s="68"/>
      <c r="J64" s="72" t="s">
        <v>25</v>
      </c>
      <c r="K64" s="70">
        <f>IF(J64="YES",IF(J12="2010-2013",H65*$J$63,IF(J12="2014-2021",G65*$J$63,IF(J12="2021-2023",F65*$J$63,0))),0)</f>
        <v>66000</v>
      </c>
      <c r="L64" s="292" t="str">
        <f>AVERAGE(#REF!)</f>
        <v>#REF!</v>
      </c>
      <c r="M64" s="293">
        <f>65311.1111111111+2156</f>
        <v>67467.11111</v>
      </c>
      <c r="N64" s="294">
        <f>M64/$M$11</f>
        <v>375.977709</v>
      </c>
      <c r="O64" s="207" t="s">
        <v>87</v>
      </c>
      <c r="P64" s="73">
        <f>IF(O64="Delapidated",K64*0.6,IF(O64="Poor",K64*0.7,IF(O64="Fair",K64*0.8,IF(O64="Good",K64*0.85,IF(O64="Very Good",K64*0.9,IF(O64="Excellent",K64*1,IF(O64="Not Applicable",K64*1,0)))))))</f>
        <v>39600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4"/>
      <c r="B65" s="84"/>
      <c r="C65" s="76" t="s">
        <v>25</v>
      </c>
      <c r="D65" s="66"/>
      <c r="E65" s="66"/>
      <c r="F65" s="67">
        <v>22000.0</v>
      </c>
      <c r="G65" s="67">
        <f t="shared" ref="G65:G66" si="25">F65/$G$16</f>
        <v>17600</v>
      </c>
      <c r="H65" s="67">
        <f t="shared" ref="H65:H66" si="26">F65/$H$16</f>
        <v>16666.66667</v>
      </c>
      <c r="I65" s="77">
        <v>1.0</v>
      </c>
      <c r="J65" s="68"/>
      <c r="K65" s="70"/>
      <c r="L65" s="295"/>
      <c r="M65" s="296"/>
      <c r="N65" s="297"/>
      <c r="O65" s="142"/>
      <c r="P65" s="73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4"/>
      <c r="B66" s="85"/>
      <c r="C66" s="76" t="s">
        <v>26</v>
      </c>
      <c r="D66" s="66"/>
      <c r="E66" s="66"/>
      <c r="F66" s="67">
        <v>0.0</v>
      </c>
      <c r="G66" s="67">
        <f t="shared" si="25"/>
        <v>0</v>
      </c>
      <c r="H66" s="67">
        <f t="shared" si="26"/>
        <v>0</v>
      </c>
      <c r="I66" s="77">
        <v>2.0</v>
      </c>
      <c r="J66" s="68"/>
      <c r="K66" s="70"/>
      <c r="L66" s="298"/>
      <c r="M66" s="299"/>
      <c r="N66" s="300"/>
      <c r="O66" s="142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83">
        <f>B64+1</f>
        <v>15</v>
      </c>
      <c r="C67" s="74" t="s">
        <v>65</v>
      </c>
      <c r="D67" s="66"/>
      <c r="E67" s="66"/>
      <c r="F67" s="75"/>
      <c r="G67" s="75"/>
      <c r="H67" s="67"/>
      <c r="I67" s="68"/>
      <c r="J67" s="72" t="s">
        <v>25</v>
      </c>
      <c r="K67" s="70">
        <f>IF(J67="YES",IF(J12="2010-2013",H68*$J$11,IF(J12="2014-2021",G68*$J$11,IF(J12="2021-2023",F68*$J$11,0))),0)</f>
        <v>29665.26316</v>
      </c>
      <c r="L67" s="295" t="str">
        <f>AVERAGE(#REF!)</f>
        <v>#REF!</v>
      </c>
      <c r="M67" s="296">
        <v>29822.2222222222</v>
      </c>
      <c r="N67" s="296">
        <f>M67/$M$11</f>
        <v>166.1919505</v>
      </c>
      <c r="O67" s="207" t="s">
        <v>87</v>
      </c>
      <c r="P67" s="73">
        <f>IF(O67="Delapidated",K67*0.6,IF(O67="Poor",K67*0.7,IF(O67="Fair",K67*0.8,IF(O67="Good",K67*0.85,IF(O67="Very Good",K67*0.9,IF(O67="Excellent",K67*1,IF(O67="Not Applicable",K67*1,0)))))))</f>
        <v>17799.15789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4"/>
      <c r="B68" s="84"/>
      <c r="C68" s="76" t="s">
        <v>25</v>
      </c>
      <c r="D68" s="66"/>
      <c r="E68" s="66"/>
      <c r="F68" s="67">
        <f>166.191950464396*E16</f>
        <v>197.7684211</v>
      </c>
      <c r="G68" s="67">
        <f t="shared" ref="G68:G69" si="27">F68/$G$16</f>
        <v>158.2147368</v>
      </c>
      <c r="H68" s="67">
        <f t="shared" ref="H68:H69" si="28">F68/$H$16</f>
        <v>149.8245614</v>
      </c>
      <c r="I68" s="77">
        <v>1.0</v>
      </c>
      <c r="J68" s="68"/>
      <c r="K68" s="70"/>
      <c r="L68" s="295"/>
      <c r="M68" s="296"/>
      <c r="N68" s="296"/>
      <c r="O68" s="142"/>
      <c r="P68" s="73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4"/>
      <c r="B69" s="85"/>
      <c r="C69" s="76" t="s">
        <v>26</v>
      </c>
      <c r="D69" s="66"/>
      <c r="E69" s="66"/>
      <c r="F69" s="67">
        <v>0.0</v>
      </c>
      <c r="G69" s="67">
        <f t="shared" si="27"/>
        <v>0</v>
      </c>
      <c r="H69" s="67">
        <f t="shared" si="28"/>
        <v>0</v>
      </c>
      <c r="I69" s="77">
        <v>2.0</v>
      </c>
      <c r="J69" s="68"/>
      <c r="K69" s="70"/>
      <c r="L69" s="304"/>
      <c r="M69" s="305"/>
      <c r="N69" s="305"/>
      <c r="O69" s="142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83">
        <f>B67+1</f>
        <v>16</v>
      </c>
      <c r="C70" s="74" t="s">
        <v>94</v>
      </c>
      <c r="D70" s="66"/>
      <c r="E70" s="66"/>
      <c r="F70" s="75"/>
      <c r="G70" s="75"/>
      <c r="H70" s="67"/>
      <c r="I70" s="68"/>
      <c r="J70" s="72" t="s">
        <v>25</v>
      </c>
      <c r="K70" s="70">
        <f>IF(J70="YES",IF(J12="2010-2013",H71*$J$11,IF(J12="2014-2021",G71*$J$11,IF(J12="2021-2023",F71*$J$11,0))),0)</f>
        <v>28736.84211</v>
      </c>
      <c r="L70" s="292" t="str">
        <f>AVERAGE(#REF!)</f>
        <v>#REF!</v>
      </c>
      <c r="M70" s="293">
        <v>28888.8888888889</v>
      </c>
      <c r="N70" s="294">
        <f>M70/$M$11</f>
        <v>160.9907121</v>
      </c>
      <c r="O70" s="207" t="s">
        <v>87</v>
      </c>
      <c r="P70" s="73">
        <f>IF(O70="Delapidated",K70*0.6,IF(O70="Poor",K70*0.7,IF(O70="Fair",K70*0.8,IF(O70="Good",K70*0.85,IF(O70="Very Good",K70*0.9,IF(O70="Excellent",K70*1,IF(O70="Not Applicable",K70*1,0)))))))</f>
        <v>17242.10526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4"/>
      <c r="B71" s="84"/>
      <c r="C71" s="76" t="s">
        <v>25</v>
      </c>
      <c r="D71" s="66"/>
      <c r="E71" s="66"/>
      <c r="F71" s="67">
        <f>160.990712074303*E16</f>
        <v>191.5789474</v>
      </c>
      <c r="G71" s="67">
        <f t="shared" ref="G71:G72" si="29">F71/$G$16</f>
        <v>153.2631579</v>
      </c>
      <c r="H71" s="67">
        <f t="shared" ref="H71:H72" si="30">F71/$H$16</f>
        <v>145.1355662</v>
      </c>
      <c r="I71" s="77">
        <v>1.0</v>
      </c>
      <c r="J71" s="68"/>
      <c r="K71" s="70"/>
      <c r="L71" s="295"/>
      <c r="M71" s="296"/>
      <c r="N71" s="297"/>
      <c r="O71" s="142"/>
      <c r="P71" s="73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4"/>
      <c r="B72" s="85"/>
      <c r="C72" s="76" t="s">
        <v>26</v>
      </c>
      <c r="D72" s="66"/>
      <c r="E72" s="66"/>
      <c r="F72" s="67">
        <v>0.0</v>
      </c>
      <c r="G72" s="67">
        <f t="shared" si="29"/>
        <v>0</v>
      </c>
      <c r="H72" s="67">
        <f t="shared" si="30"/>
        <v>0</v>
      </c>
      <c r="I72" s="77">
        <v>2.0</v>
      </c>
      <c r="J72" s="307"/>
      <c r="K72" s="70"/>
      <c r="L72" s="298"/>
      <c r="M72" s="299"/>
      <c r="N72" s="300"/>
      <c r="O72" s="142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75" customHeight="1">
      <c r="A73" s="17"/>
      <c r="B73" s="44">
        <f>B70+1</f>
        <v>17</v>
      </c>
      <c r="C73" s="214" t="s">
        <v>89</v>
      </c>
      <c r="D73" s="97"/>
      <c r="E73" s="97"/>
      <c r="F73" s="98"/>
      <c r="G73" s="67"/>
      <c r="H73" s="67"/>
      <c r="I73" s="68"/>
      <c r="J73" s="40">
        <v>2.0</v>
      </c>
      <c r="K73" s="142"/>
      <c r="L73" s="104"/>
      <c r="M73" s="60"/>
      <c r="N73" s="71"/>
      <c r="O73" s="308"/>
      <c r="P73" s="51"/>
      <c r="Q73" s="61"/>
      <c r="R73" s="61"/>
      <c r="S73" s="61"/>
      <c r="T73" s="61"/>
      <c r="U73" s="72" t="s">
        <v>23</v>
      </c>
      <c r="V73" s="99">
        <f>IF(U73="Delapidated",K73*0.6,IF(U73="Poor",K73*0.7,IF(U73="Fair",K73*0.8,IF(U73="Good",K73*0.85,IF(U73="Very Good",K73*0.9,IF(U73="Excellent",K73*1,IF(U73="Not Applicable",K73*1,0)))))))</f>
        <v>0</v>
      </c>
      <c r="W73" s="17"/>
      <c r="X73" s="17"/>
      <c r="Y73" s="17"/>
      <c r="Z73" s="17"/>
    </row>
    <row r="74" ht="30.0" customHeight="1">
      <c r="A74" s="34"/>
      <c r="B74" s="83">
        <f>B70+1</f>
        <v>17</v>
      </c>
      <c r="C74" s="74" t="s">
        <v>68</v>
      </c>
      <c r="D74" s="66"/>
      <c r="E74" s="66"/>
      <c r="F74" s="67"/>
      <c r="G74" s="67"/>
      <c r="H74" s="67"/>
      <c r="I74" s="68"/>
      <c r="J74" s="309" t="s">
        <v>26</v>
      </c>
      <c r="K74" s="70">
        <f>IF(J74="YES",IF(J12="2010-2013",H75*$J$73,IF(J12="2014-2021",G75*$J$73,IF(J12="2021-2023",F75*$J$73,0))),0)</f>
        <v>0</v>
      </c>
      <c r="L74" s="295"/>
      <c r="M74" s="296"/>
      <c r="N74" s="297"/>
      <c r="O74" s="207" t="s">
        <v>87</v>
      </c>
      <c r="P74" s="73">
        <f>IF(O74="Delapidated",K74*0.6,IF(O74="Poor",K74*0.7,IF(O74="Fair",K74*0.8,IF(O74="Good",K74*0.85,IF(O74="Very Good",K74*0.9,IF(O74="Excellent",K74*1,IF(O74="Not Applicable",K74*1,0)))))))</f>
        <v>0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4"/>
      <c r="B75" s="84"/>
      <c r="C75" s="76" t="s">
        <v>25</v>
      </c>
      <c r="D75" s="66"/>
      <c r="E75" s="66"/>
      <c r="F75" s="67">
        <v>6500.0</v>
      </c>
      <c r="G75" s="67">
        <f t="shared" ref="G75:G76" si="31">F75/$G$16</f>
        <v>5200</v>
      </c>
      <c r="H75" s="67">
        <f t="shared" ref="H75:H76" si="32">F75/$H$16</f>
        <v>4924.242424</v>
      </c>
      <c r="I75" s="77">
        <v>1.0</v>
      </c>
      <c r="J75" s="310"/>
      <c r="K75" s="70"/>
      <c r="L75" s="295"/>
      <c r="M75" s="296"/>
      <c r="N75" s="297"/>
      <c r="O75" s="142"/>
      <c r="P75" s="73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21.0" customHeight="1">
      <c r="A76" s="17"/>
      <c r="B76" s="85"/>
      <c r="C76" s="76" t="s">
        <v>26</v>
      </c>
      <c r="D76" s="97"/>
      <c r="E76" s="97"/>
      <c r="F76" s="98">
        <v>0.0</v>
      </c>
      <c r="G76" s="98">
        <f t="shared" si="31"/>
        <v>0</v>
      </c>
      <c r="H76" s="67">
        <f t="shared" si="32"/>
        <v>0</v>
      </c>
      <c r="I76" s="77">
        <v>2.0</v>
      </c>
      <c r="J76" s="310"/>
      <c r="K76" s="123"/>
      <c r="L76" s="304"/>
      <c r="M76" s="311"/>
      <c r="N76" s="312">
        <f>M76/$M$11</f>
        <v>0</v>
      </c>
      <c r="O76" s="267"/>
      <c r="P76" s="125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30.0" customHeight="1">
      <c r="A77" s="250"/>
      <c r="B77" s="219"/>
      <c r="C77" s="313"/>
      <c r="D77" s="314"/>
      <c r="E77" s="314"/>
      <c r="F77" s="314"/>
      <c r="G77" s="98"/>
      <c r="H77" s="67"/>
      <c r="I77" s="222"/>
      <c r="J77" s="315"/>
      <c r="K77" s="197"/>
      <c r="L77" s="190"/>
      <c r="M77" s="191"/>
      <c r="N77" s="224"/>
      <c r="O77" s="53"/>
      <c r="P77" s="197"/>
      <c r="Q77" s="250"/>
      <c r="R77" s="250"/>
      <c r="S77" s="250"/>
      <c r="T77" s="250"/>
      <c r="U77" s="250"/>
      <c r="V77" s="250"/>
      <c r="W77" s="250"/>
      <c r="X77" s="250"/>
      <c r="Y77" s="250"/>
      <c r="Z77" s="250"/>
    </row>
    <row r="78" ht="30.0" customHeight="1">
      <c r="A78" s="17"/>
      <c r="B78" s="316"/>
      <c r="C78" s="214" t="s">
        <v>69</v>
      </c>
      <c r="D78" s="97"/>
      <c r="E78" s="97"/>
      <c r="F78" s="98"/>
      <c r="G78" s="98"/>
      <c r="H78" s="67"/>
      <c r="I78" s="317"/>
      <c r="J78" s="318">
        <v>20.0</v>
      </c>
      <c r="K78" s="197"/>
      <c r="L78" s="190"/>
      <c r="M78" s="191"/>
      <c r="N78" s="224"/>
      <c r="O78" s="53"/>
      <c r="P78" s="19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30.0" customHeight="1">
      <c r="A79" s="17"/>
      <c r="B79" s="108">
        <v>18.0</v>
      </c>
      <c r="C79" s="74" t="s">
        <v>70</v>
      </c>
      <c r="D79" s="97"/>
      <c r="E79" s="97"/>
      <c r="F79" s="98"/>
      <c r="G79" s="98"/>
      <c r="H79" s="67"/>
      <c r="I79" s="77"/>
      <c r="J79" s="95" t="s">
        <v>25</v>
      </c>
      <c r="K79" s="58">
        <f>IF(J79="YES",IF(J12="2010-2013",H80*J78,IF(J12="2014-2021",G80*J78,IF(J12="2021-2023",F80*J78,0))),0)</f>
        <v>59500</v>
      </c>
      <c r="L79" s="295"/>
      <c r="M79" s="319"/>
      <c r="N79" s="296"/>
      <c r="O79" s="207" t="s">
        <v>87</v>
      </c>
      <c r="P79" s="99">
        <f>IF(O79="Delapidated",K79*0.6,IF(O79="Poor",K79*0.7,IF(O79="Fair",K79*0.8,IF(O79="Good",K79*0.85,IF(O79="Very Good",K79*0.9,IF(O79="Excellent",K79*1,IF(O79="Not Applicable",K79*1,0)))))))</f>
        <v>35700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9.5" customHeight="1">
      <c r="A80" s="17"/>
      <c r="B80" s="320"/>
      <c r="C80" s="76" t="s">
        <v>25</v>
      </c>
      <c r="D80" s="97"/>
      <c r="E80" s="97"/>
      <c r="F80" s="321">
        <f>2500*E16</f>
        <v>2975</v>
      </c>
      <c r="G80" s="98">
        <f>F80/$G$16</f>
        <v>2380</v>
      </c>
      <c r="H80" s="67">
        <f>F80/$H$16</f>
        <v>2253.787879</v>
      </c>
      <c r="I80" s="77">
        <v>1.0</v>
      </c>
      <c r="J80" s="322"/>
      <c r="K80" s="58"/>
      <c r="L80" s="295"/>
      <c r="M80" s="319"/>
      <c r="N80" s="296"/>
      <c r="O80" s="119"/>
      <c r="P80" s="234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9.5" customHeight="1">
      <c r="A81" s="17"/>
      <c r="B81" s="320"/>
      <c r="C81" s="323" t="s">
        <v>26</v>
      </c>
      <c r="D81" s="97"/>
      <c r="E81" s="97"/>
      <c r="F81" s="98"/>
      <c r="G81" s="98"/>
      <c r="H81" s="98"/>
      <c r="I81" s="77">
        <v>2.0</v>
      </c>
      <c r="J81" s="122"/>
      <c r="K81" s="123"/>
      <c r="L81" s="304"/>
      <c r="M81" s="311"/>
      <c r="N81" s="305"/>
      <c r="O81" s="119"/>
      <c r="P81" s="324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customHeight="1">
      <c r="A82" s="17"/>
      <c r="B82" s="20"/>
      <c r="C82" s="325"/>
      <c r="D82" s="97"/>
      <c r="E82" s="97"/>
      <c r="F82" s="98"/>
      <c r="G82" s="98"/>
      <c r="H82" s="98"/>
      <c r="I82" s="90"/>
      <c r="J82" s="245"/>
      <c r="K82" s="130"/>
      <c r="L82" s="199"/>
      <c r="M82" s="14"/>
      <c r="N82" s="205"/>
      <c r="O82" s="119"/>
      <c r="P82" s="326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9.5" customHeight="1">
      <c r="A83" s="88"/>
      <c r="B83" s="327"/>
      <c r="C83" s="328" t="s">
        <v>71</v>
      </c>
      <c r="D83" s="329"/>
      <c r="E83" s="329"/>
      <c r="F83" s="329">
        <v>0.0</v>
      </c>
      <c r="G83" s="329"/>
      <c r="H83" s="329"/>
      <c r="I83" s="330"/>
      <c r="J83" s="20"/>
      <c r="K83" s="331"/>
      <c r="L83" s="199" t="str">
        <f t="shared" ref="L83:M83" si="33">SUM(L17:L70)</f>
        <v>#REF!</v>
      </c>
      <c r="M83" s="205">
        <f t="shared" si="33"/>
        <v>787478.5556</v>
      </c>
      <c r="N83" s="205">
        <f t="shared" ref="N83:N88" si="34">M83/$M$11</f>
        <v>4388.425387</v>
      </c>
      <c r="O83" s="20"/>
      <c r="P83" s="332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17"/>
      <c r="B84" s="20" t="str">
        <f>#REF!+1</f>
        <v>#REF!</v>
      </c>
      <c r="C84" s="138" t="s">
        <v>72</v>
      </c>
      <c r="D84" s="71"/>
      <c r="E84" s="71"/>
      <c r="F84" s="71">
        <v>4094.37213622291</v>
      </c>
      <c r="G84" s="71"/>
      <c r="H84" s="71"/>
      <c r="I84" s="333"/>
      <c r="J84" s="118"/>
      <c r="K84" s="136"/>
      <c r="L84" s="199"/>
      <c r="M84" s="14"/>
      <c r="N84" s="205">
        <f t="shared" si="34"/>
        <v>0</v>
      </c>
      <c r="O84" s="119"/>
      <c r="P84" s="334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9.5" customHeight="1">
      <c r="A85" s="17"/>
      <c r="B85" s="119"/>
      <c r="C85" s="119"/>
      <c r="D85" s="97"/>
      <c r="E85" s="97"/>
      <c r="F85" s="97">
        <v>0.0</v>
      </c>
      <c r="G85" s="97"/>
      <c r="H85" s="97"/>
      <c r="I85" s="335"/>
      <c r="J85" s="127"/>
      <c r="K85" s="115"/>
      <c r="L85" s="199"/>
      <c r="M85" s="14"/>
      <c r="N85" s="205">
        <f t="shared" si="34"/>
        <v>0</v>
      </c>
      <c r="O85" s="119"/>
      <c r="P85" s="334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9.5" customHeight="1">
      <c r="A86" s="17"/>
      <c r="B86" s="327"/>
      <c r="C86" s="328" t="s">
        <v>71</v>
      </c>
      <c r="D86" s="329"/>
      <c r="E86" s="329"/>
      <c r="F86" s="329">
        <v>0.0</v>
      </c>
      <c r="G86" s="329"/>
      <c r="H86" s="329"/>
      <c r="I86" s="336"/>
      <c r="J86" s="337"/>
      <c r="K86" s="331"/>
      <c r="L86" s="199" t="str">
        <f>AVERAGE(#REF!)</f>
        <v>#REF!</v>
      </c>
      <c r="M86" s="14">
        <f>M83</f>
        <v>787478.5556</v>
      </c>
      <c r="N86" s="205">
        <f t="shared" si="34"/>
        <v>4388.425387</v>
      </c>
      <c r="O86" s="119"/>
      <c r="P86" s="334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9.5" customHeight="1">
      <c r="A87" s="17"/>
      <c r="B87" s="139"/>
      <c r="C87" s="139" t="s">
        <v>73</v>
      </c>
      <c r="D87" s="338"/>
      <c r="E87" s="338"/>
      <c r="F87" s="338">
        <v>4094.37213622291</v>
      </c>
      <c r="G87" s="338"/>
      <c r="H87" s="338"/>
      <c r="I87" s="339"/>
      <c r="J87" s="140"/>
      <c r="K87" s="141"/>
      <c r="L87" s="199">
        <v>0.0</v>
      </c>
      <c r="M87" s="14">
        <v>0.0</v>
      </c>
      <c r="N87" s="205">
        <f t="shared" si="34"/>
        <v>0</v>
      </c>
      <c r="O87" s="119"/>
      <c r="P87" s="334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9.5" customHeight="1">
      <c r="A88" s="17"/>
      <c r="B88" s="340"/>
      <c r="C88" s="119"/>
      <c r="D88" s="341"/>
      <c r="E88" s="341"/>
      <c r="F88" s="341">
        <v>0.0</v>
      </c>
      <c r="G88" s="341"/>
      <c r="H88" s="341"/>
      <c r="I88" s="339"/>
      <c r="J88" s="342"/>
      <c r="K88" s="117"/>
      <c r="L88" s="199" t="str">
        <f>AVERAGE(#REF!)</f>
        <v>#REF!</v>
      </c>
      <c r="M88" s="14">
        <f>SUM(M86:M87)</f>
        <v>787478.5556</v>
      </c>
      <c r="N88" s="205">
        <f t="shared" si="34"/>
        <v>4388.425387</v>
      </c>
      <c r="O88" s="119"/>
      <c r="P88" s="334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42.0" customHeight="1">
      <c r="A89" s="147"/>
      <c r="B89" s="343"/>
      <c r="C89" s="119"/>
      <c r="D89" s="344"/>
      <c r="E89" s="344"/>
      <c r="F89" s="344">
        <v>4094.37213622291</v>
      </c>
      <c r="G89" s="344"/>
      <c r="H89" s="344"/>
      <c r="I89" s="345"/>
      <c r="J89" s="144" t="s">
        <v>74</v>
      </c>
      <c r="K89" s="265">
        <f>SUM(K17:K79)</f>
        <v>772602.6105</v>
      </c>
      <c r="L89" s="199" t="str">
        <f t="shared" ref="L89:M89" si="35">L88/L11</f>
        <v>#REF!</v>
      </c>
      <c r="M89" s="14">
        <f t="shared" si="35"/>
        <v>4388.425387</v>
      </c>
      <c r="N89" s="14"/>
      <c r="O89" s="119"/>
      <c r="P89" s="266">
        <f>SUM(P17:P79)</f>
        <v>499933.5663</v>
      </c>
      <c r="Q89" s="147"/>
      <c r="R89" s="147"/>
      <c r="S89" s="147"/>
      <c r="T89" s="147"/>
      <c r="U89" s="147"/>
      <c r="V89" s="147"/>
      <c r="W89" s="147"/>
      <c r="X89" s="147"/>
      <c r="Y89" s="147"/>
      <c r="Z89" s="147"/>
    </row>
    <row r="90" ht="45.75" customHeight="1">
      <c r="B90" s="119"/>
      <c r="C90" s="267"/>
      <c r="D90" s="119"/>
      <c r="E90" s="119"/>
      <c r="F90" s="61"/>
      <c r="G90" s="61"/>
      <c r="H90" s="61"/>
      <c r="I90" s="346"/>
      <c r="J90" s="144" t="s">
        <v>75</v>
      </c>
      <c r="K90" s="265">
        <f>K89/J11</f>
        <v>5150.68407</v>
      </c>
      <c r="L90" s="119" t="str">
        <f>L88/L11</f>
        <v>#REF!</v>
      </c>
      <c r="M90" s="119"/>
      <c r="N90" s="117"/>
      <c r="O90" s="119"/>
      <c r="P90" s="266">
        <f>P89/J11</f>
        <v>3332.890442</v>
      </c>
    </row>
    <row r="91" ht="12.0" customHeight="1">
      <c r="B91" s="1"/>
      <c r="K91" s="151"/>
      <c r="N91" s="3"/>
      <c r="P91" s="151"/>
    </row>
    <row r="92" ht="12.0" customHeight="1">
      <c r="B92" s="1"/>
      <c r="J92" s="144" t="s">
        <v>76</v>
      </c>
      <c r="K92" s="150">
        <f>K89/1.14</f>
        <v>677721.5882</v>
      </c>
      <c r="N92" s="3"/>
      <c r="P92" s="150">
        <f>P89/1.14</f>
        <v>438538.2161</v>
      </c>
    </row>
    <row r="93" ht="12.0" customHeight="1">
      <c r="B93" s="1"/>
      <c r="J93" s="144" t="s">
        <v>77</v>
      </c>
      <c r="K93" s="150">
        <f>K92/J11</f>
        <v>4518.143921</v>
      </c>
      <c r="N93" s="3"/>
      <c r="P93" s="150">
        <f>P92/J11</f>
        <v>2923.588107</v>
      </c>
    </row>
    <row r="94" ht="12.0" customHeight="1">
      <c r="B94" s="1"/>
      <c r="K94" s="151"/>
      <c r="N94" s="3"/>
      <c r="P94" s="151"/>
    </row>
    <row r="95" ht="12.0" customHeight="1">
      <c r="B95" s="1"/>
      <c r="K95" s="151"/>
      <c r="N95" s="3"/>
      <c r="P95" s="151"/>
    </row>
    <row r="96" ht="12.0" customHeight="1">
      <c r="B96" s="1"/>
      <c r="K96" s="151"/>
      <c r="N96" s="3"/>
      <c r="P96" s="151"/>
    </row>
    <row r="97" ht="12.0" customHeight="1">
      <c r="B97" s="1"/>
      <c r="K97" s="151"/>
      <c r="N97" s="3"/>
      <c r="P97" s="151"/>
    </row>
    <row r="98" ht="12.0" customHeight="1">
      <c r="B98" s="1"/>
      <c r="K98" s="151"/>
      <c r="N98" s="3"/>
      <c r="P98" s="151"/>
    </row>
    <row r="99" ht="12.0" customHeight="1">
      <c r="B99" s="1"/>
      <c r="K99" s="151"/>
      <c r="N99" s="3"/>
      <c r="P99" s="151"/>
    </row>
    <row r="100" ht="12.0" customHeight="1">
      <c r="B100" s="1"/>
      <c r="K100" s="151"/>
      <c r="N100" s="3"/>
      <c r="P100" s="151"/>
    </row>
    <row r="101" ht="12.0" customHeight="1">
      <c r="B101" s="1"/>
      <c r="K101" s="151"/>
      <c r="N101" s="3"/>
      <c r="P101" s="151"/>
    </row>
    <row r="102" ht="12.0" customHeight="1">
      <c r="B102" s="1"/>
      <c r="K102" s="151"/>
      <c r="N102" s="3"/>
      <c r="P102" s="151"/>
    </row>
    <row r="103" ht="12.0" customHeight="1">
      <c r="B103" s="1"/>
      <c r="K103" s="151"/>
      <c r="N103" s="3"/>
      <c r="P103" s="151"/>
    </row>
    <row r="104" ht="12.0" customHeight="1">
      <c r="B104" s="1"/>
      <c r="K104" s="151"/>
      <c r="N104" s="3"/>
      <c r="P104" s="151"/>
    </row>
    <row r="105" ht="12.0" customHeight="1">
      <c r="B105" s="1"/>
      <c r="K105" s="151"/>
      <c r="N105" s="3"/>
      <c r="P105" s="151"/>
    </row>
    <row r="106" ht="12.0" customHeight="1">
      <c r="B106" s="1"/>
      <c r="K106" s="151"/>
      <c r="N106" s="3"/>
      <c r="P106" s="151"/>
    </row>
    <row r="107" ht="12.0" customHeight="1">
      <c r="B107" s="1"/>
      <c r="K107" s="151"/>
      <c r="N107" s="3"/>
      <c r="P107" s="151"/>
    </row>
    <row r="108" ht="12.0" customHeight="1">
      <c r="B108" s="1"/>
      <c r="K108" s="151"/>
      <c r="N108" s="3"/>
      <c r="P108" s="151"/>
    </row>
    <row r="109" ht="12.0" customHeight="1">
      <c r="B109" s="1"/>
      <c r="K109" s="151"/>
      <c r="N109" s="3"/>
      <c r="P109" s="151"/>
    </row>
    <row r="110" ht="12.0" customHeight="1">
      <c r="B110" s="1"/>
      <c r="K110" s="151"/>
      <c r="N110" s="3"/>
      <c r="P110" s="151"/>
    </row>
    <row r="111" ht="12.0" customHeight="1">
      <c r="B111" s="1"/>
      <c r="K111" s="151"/>
      <c r="N111" s="3"/>
      <c r="P111" s="151"/>
    </row>
    <row r="112" ht="12.0" customHeight="1">
      <c r="B112" s="1"/>
      <c r="K112" s="151"/>
      <c r="N112" s="3"/>
      <c r="P112" s="151"/>
    </row>
    <row r="113" ht="12.0" customHeight="1">
      <c r="B113" s="1"/>
      <c r="K113" s="151"/>
      <c r="N113" s="3"/>
      <c r="P113" s="151"/>
    </row>
    <row r="114" ht="12.0" customHeight="1">
      <c r="B114" s="1"/>
      <c r="K114" s="151"/>
      <c r="N114" s="3"/>
      <c r="P114" s="151"/>
    </row>
    <row r="115" ht="12.0" customHeight="1">
      <c r="B115" s="1"/>
      <c r="K115" s="151"/>
      <c r="N115" s="3"/>
      <c r="P115" s="151"/>
    </row>
    <row r="116" ht="12.0" customHeight="1">
      <c r="B116" s="1"/>
      <c r="K116" s="151"/>
      <c r="N116" s="3"/>
      <c r="P116" s="151"/>
    </row>
    <row r="117" ht="12.0" customHeight="1">
      <c r="B117" s="1"/>
      <c r="K117" s="151"/>
      <c r="N117" s="3"/>
      <c r="P117" s="151"/>
    </row>
    <row r="118" ht="12.0" customHeight="1">
      <c r="B118" s="1"/>
      <c r="K118" s="151"/>
      <c r="N118" s="3"/>
      <c r="P118" s="151"/>
    </row>
    <row r="119" ht="12.0" customHeight="1">
      <c r="B119" s="1"/>
      <c r="K119" s="151"/>
      <c r="N119" s="3"/>
      <c r="P119" s="151"/>
    </row>
    <row r="120" ht="12.0" customHeight="1">
      <c r="B120" s="1"/>
      <c r="K120" s="151"/>
      <c r="N120" s="3"/>
      <c r="P120" s="151"/>
    </row>
    <row r="121" ht="12.0" customHeight="1">
      <c r="B121" s="1"/>
      <c r="K121" s="151"/>
      <c r="N121" s="3"/>
      <c r="P121" s="151"/>
    </row>
    <row r="122" ht="12.0" customHeight="1">
      <c r="B122" s="1"/>
      <c r="K122" s="151"/>
      <c r="N122" s="3"/>
      <c r="P122" s="151"/>
    </row>
    <row r="123" ht="12.0" customHeight="1">
      <c r="B123" s="1"/>
      <c r="K123" s="151"/>
      <c r="N123" s="3"/>
      <c r="P123" s="151"/>
    </row>
    <row r="124" ht="12.0" customHeight="1">
      <c r="B124" s="1"/>
      <c r="K124" s="151"/>
      <c r="N124" s="3"/>
      <c r="P124" s="151"/>
    </row>
    <row r="125" ht="12.0" customHeight="1">
      <c r="B125" s="1"/>
      <c r="K125" s="151"/>
      <c r="N125" s="3"/>
      <c r="P125" s="151"/>
    </row>
    <row r="126" ht="12.0" customHeight="1">
      <c r="B126" s="1"/>
      <c r="K126" s="151"/>
      <c r="N126" s="3"/>
      <c r="P126" s="151"/>
    </row>
    <row r="127" ht="12.0" customHeight="1">
      <c r="B127" s="1"/>
      <c r="K127" s="151"/>
      <c r="N127" s="3"/>
      <c r="P127" s="151"/>
    </row>
    <row r="128" ht="12.0" customHeight="1">
      <c r="B128" s="1"/>
      <c r="K128" s="151"/>
      <c r="N128" s="3"/>
      <c r="P128" s="151"/>
    </row>
    <row r="129" ht="12.0" customHeight="1">
      <c r="B129" s="1"/>
      <c r="K129" s="151"/>
      <c r="N129" s="3"/>
      <c r="P129" s="151"/>
    </row>
    <row r="130" ht="12.0" customHeight="1">
      <c r="B130" s="1"/>
      <c r="K130" s="151"/>
      <c r="N130" s="3"/>
      <c r="P130" s="151"/>
    </row>
    <row r="131" ht="12.0" customHeight="1">
      <c r="B131" s="1"/>
      <c r="K131" s="151"/>
      <c r="N131" s="3"/>
      <c r="P131" s="151"/>
    </row>
    <row r="132" ht="12.0" customHeight="1">
      <c r="B132" s="1"/>
      <c r="K132" s="151"/>
      <c r="N132" s="3"/>
      <c r="P132" s="151"/>
    </row>
    <row r="133" ht="12.0" customHeight="1">
      <c r="B133" s="1"/>
      <c r="K133" s="151"/>
      <c r="N133" s="3"/>
      <c r="P133" s="151"/>
    </row>
    <row r="134" ht="12.0" customHeight="1">
      <c r="B134" s="1"/>
      <c r="K134" s="151"/>
      <c r="N134" s="3"/>
      <c r="P134" s="151"/>
    </row>
    <row r="135" ht="12.0" customHeight="1">
      <c r="B135" s="1"/>
      <c r="K135" s="151"/>
      <c r="N135" s="3"/>
      <c r="P135" s="151"/>
    </row>
    <row r="136" ht="12.0" customHeight="1">
      <c r="B136" s="1"/>
      <c r="K136" s="151"/>
      <c r="N136" s="3"/>
      <c r="P136" s="151"/>
    </row>
    <row r="137" ht="12.0" customHeight="1">
      <c r="B137" s="1"/>
      <c r="K137" s="151"/>
      <c r="N137" s="3"/>
      <c r="P137" s="151"/>
    </row>
    <row r="138" ht="12.0" customHeight="1">
      <c r="B138" s="1"/>
      <c r="K138" s="151"/>
      <c r="N138" s="3"/>
      <c r="P138" s="151"/>
    </row>
    <row r="139" ht="12.0" customHeight="1">
      <c r="B139" s="1"/>
      <c r="K139" s="151"/>
      <c r="N139" s="3"/>
      <c r="P139" s="151"/>
    </row>
    <row r="140" ht="12.0" customHeight="1">
      <c r="B140" s="1"/>
      <c r="K140" s="151"/>
      <c r="N140" s="3"/>
      <c r="P140" s="151"/>
    </row>
    <row r="141" ht="12.0" customHeight="1">
      <c r="B141" s="1"/>
      <c r="K141" s="151"/>
      <c r="N141" s="3"/>
      <c r="P141" s="151"/>
    </row>
    <row r="142" ht="12.0" customHeight="1">
      <c r="B142" s="1"/>
      <c r="K142" s="151"/>
      <c r="N142" s="3"/>
      <c r="P142" s="151"/>
    </row>
    <row r="143" ht="12.0" customHeight="1">
      <c r="B143" s="1"/>
      <c r="K143" s="151"/>
      <c r="N143" s="3"/>
      <c r="P143" s="151"/>
    </row>
    <row r="144" ht="12.0" customHeight="1">
      <c r="B144" s="1"/>
      <c r="K144" s="151"/>
      <c r="N144" s="3"/>
      <c r="P144" s="151"/>
    </row>
    <row r="145" ht="12.0" customHeight="1">
      <c r="B145" s="1"/>
      <c r="K145" s="151"/>
      <c r="N145" s="3"/>
      <c r="P145" s="151"/>
    </row>
    <row r="146" ht="12.0" customHeight="1">
      <c r="B146" s="1"/>
      <c r="K146" s="151"/>
      <c r="N146" s="3"/>
      <c r="P146" s="151"/>
    </row>
    <row r="147" ht="12.0" customHeight="1">
      <c r="B147" s="1"/>
      <c r="K147" s="151"/>
      <c r="N147" s="3"/>
      <c r="P147" s="151"/>
    </row>
    <row r="148" ht="12.0" customHeight="1">
      <c r="B148" s="1"/>
      <c r="K148" s="151"/>
      <c r="N148" s="3"/>
      <c r="P148" s="151"/>
    </row>
    <row r="149" ht="12.0" customHeight="1">
      <c r="B149" s="1"/>
      <c r="K149" s="151"/>
      <c r="N149" s="3"/>
      <c r="P149" s="151"/>
    </row>
    <row r="150" ht="12.0" customHeight="1">
      <c r="B150" s="1"/>
      <c r="K150" s="151"/>
      <c r="N150" s="3"/>
      <c r="P150" s="151"/>
    </row>
    <row r="151" ht="12.0" customHeight="1">
      <c r="B151" s="1"/>
      <c r="K151" s="151"/>
      <c r="N151" s="3"/>
      <c r="P151" s="151"/>
    </row>
    <row r="152" ht="12.0" customHeight="1">
      <c r="B152" s="1"/>
      <c r="K152" s="151"/>
      <c r="N152" s="3"/>
      <c r="P152" s="151"/>
    </row>
    <row r="153" ht="12.0" customHeight="1">
      <c r="B153" s="1"/>
      <c r="K153" s="151"/>
      <c r="N153" s="3"/>
      <c r="P153" s="151"/>
    </row>
    <row r="154" ht="12.0" customHeight="1">
      <c r="B154" s="1"/>
      <c r="K154" s="151"/>
      <c r="N154" s="3"/>
      <c r="P154" s="151"/>
    </row>
    <row r="155" ht="12.0" customHeight="1">
      <c r="B155" s="1"/>
      <c r="K155" s="151"/>
      <c r="N155" s="3"/>
      <c r="P155" s="151"/>
    </row>
    <row r="156" ht="12.0" customHeight="1">
      <c r="B156" s="1"/>
      <c r="K156" s="151"/>
      <c r="N156" s="3"/>
      <c r="P156" s="151"/>
    </row>
    <row r="157" ht="12.0" customHeight="1">
      <c r="B157" s="1"/>
      <c r="K157" s="151"/>
      <c r="N157" s="3"/>
      <c r="P157" s="151"/>
    </row>
    <row r="158" ht="12.0" customHeight="1">
      <c r="B158" s="1"/>
      <c r="K158" s="151"/>
      <c r="N158" s="3"/>
      <c r="P158" s="151"/>
    </row>
    <row r="159" ht="12.0" customHeight="1">
      <c r="B159" s="1"/>
      <c r="K159" s="151"/>
      <c r="N159" s="3"/>
      <c r="P159" s="151"/>
    </row>
    <row r="160" ht="12.0" customHeight="1">
      <c r="B160" s="1"/>
      <c r="K160" s="151"/>
      <c r="N160" s="3"/>
      <c r="P160" s="151"/>
    </row>
    <row r="161" ht="12.0" customHeight="1">
      <c r="B161" s="1"/>
      <c r="K161" s="151"/>
      <c r="N161" s="3"/>
      <c r="P161" s="151"/>
    </row>
    <row r="162" ht="12.0" customHeight="1">
      <c r="B162" s="1"/>
      <c r="K162" s="151"/>
      <c r="N162" s="3"/>
      <c r="P162" s="151"/>
    </row>
    <row r="163" ht="12.0" customHeight="1">
      <c r="B163" s="1"/>
      <c r="K163" s="151"/>
      <c r="N163" s="3"/>
      <c r="P163" s="151"/>
    </row>
    <row r="164" ht="12.0" customHeight="1">
      <c r="B164" s="1"/>
      <c r="K164" s="151"/>
      <c r="N164" s="3"/>
      <c r="P164" s="151"/>
    </row>
    <row r="165" ht="12.0" customHeight="1">
      <c r="B165" s="1"/>
      <c r="K165" s="151"/>
      <c r="N165" s="3"/>
      <c r="P165" s="151"/>
    </row>
    <row r="166" ht="12.0" customHeight="1">
      <c r="B166" s="1"/>
      <c r="K166" s="151"/>
      <c r="N166" s="3"/>
      <c r="P166" s="151"/>
    </row>
    <row r="167" ht="12.0" customHeight="1">
      <c r="B167" s="1"/>
      <c r="K167" s="151"/>
      <c r="N167" s="3"/>
      <c r="P167" s="151"/>
    </row>
    <row r="168" ht="12.0" customHeight="1">
      <c r="B168" s="1"/>
      <c r="K168" s="151"/>
      <c r="N168" s="3"/>
      <c r="P168" s="151"/>
    </row>
    <row r="169" ht="12.0" customHeight="1">
      <c r="B169" s="1"/>
      <c r="K169" s="151"/>
      <c r="N169" s="3"/>
      <c r="P169" s="151"/>
    </row>
    <row r="170" ht="12.0" customHeight="1">
      <c r="B170" s="1"/>
      <c r="K170" s="151"/>
      <c r="N170" s="3"/>
      <c r="P170" s="151"/>
    </row>
    <row r="171" ht="12.0" customHeight="1">
      <c r="B171" s="1"/>
      <c r="K171" s="151"/>
      <c r="N171" s="3"/>
      <c r="P171" s="151"/>
    </row>
    <row r="172" ht="12.0" customHeight="1">
      <c r="B172" s="1"/>
      <c r="K172" s="151"/>
      <c r="N172" s="3"/>
      <c r="P172" s="151"/>
    </row>
    <row r="173" ht="12.0" customHeight="1">
      <c r="B173" s="1"/>
      <c r="K173" s="151"/>
      <c r="N173" s="3"/>
      <c r="P173" s="151"/>
    </row>
    <row r="174" ht="12.0" customHeight="1">
      <c r="B174" s="1"/>
      <c r="K174" s="151"/>
      <c r="N174" s="3"/>
      <c r="P174" s="151"/>
    </row>
    <row r="175" ht="12.0" customHeight="1">
      <c r="B175" s="1"/>
      <c r="K175" s="151"/>
      <c r="N175" s="3"/>
      <c r="P175" s="151"/>
    </row>
    <row r="176" ht="12.0" customHeight="1">
      <c r="B176" s="1"/>
      <c r="K176" s="151"/>
      <c r="N176" s="3"/>
      <c r="P176" s="151"/>
    </row>
    <row r="177" ht="12.0" customHeight="1">
      <c r="B177" s="1"/>
      <c r="K177" s="151"/>
      <c r="N177" s="3"/>
      <c r="P177" s="151"/>
    </row>
    <row r="178" ht="12.0" customHeight="1">
      <c r="B178" s="1"/>
      <c r="K178" s="151"/>
      <c r="N178" s="3"/>
      <c r="P178" s="151"/>
    </row>
    <row r="179" ht="12.0" customHeight="1">
      <c r="B179" s="1"/>
      <c r="K179" s="151"/>
      <c r="N179" s="3"/>
      <c r="P179" s="151"/>
    </row>
    <row r="180" ht="12.0" customHeight="1">
      <c r="B180" s="1"/>
      <c r="K180" s="151"/>
      <c r="N180" s="3"/>
      <c r="P180" s="151"/>
    </row>
    <row r="181" ht="12.0" customHeight="1">
      <c r="B181" s="1"/>
      <c r="K181" s="151"/>
      <c r="N181" s="3"/>
      <c r="P181" s="151"/>
    </row>
    <row r="182" ht="12.0" customHeight="1">
      <c r="B182" s="1"/>
      <c r="K182" s="151"/>
      <c r="N182" s="3"/>
      <c r="P182" s="151"/>
    </row>
    <row r="183" ht="12.0" customHeight="1">
      <c r="B183" s="1"/>
      <c r="K183" s="151"/>
      <c r="N183" s="3"/>
      <c r="P183" s="151"/>
    </row>
    <row r="184" ht="12.0" customHeight="1">
      <c r="B184" s="1"/>
      <c r="K184" s="151"/>
      <c r="N184" s="3"/>
      <c r="P184" s="151"/>
    </row>
    <row r="185" ht="12.0" customHeight="1">
      <c r="B185" s="1"/>
      <c r="K185" s="151"/>
      <c r="N185" s="3"/>
      <c r="P185" s="151"/>
    </row>
    <row r="186" ht="12.0" customHeight="1">
      <c r="B186" s="1"/>
      <c r="K186" s="151"/>
      <c r="N186" s="3"/>
      <c r="P186" s="151"/>
    </row>
    <row r="187" ht="12.0" customHeight="1">
      <c r="B187" s="1"/>
      <c r="K187" s="151"/>
      <c r="N187" s="3"/>
      <c r="P187" s="151"/>
    </row>
    <row r="188" ht="12.0" customHeight="1">
      <c r="B188" s="1"/>
      <c r="K188" s="151"/>
      <c r="N188" s="3"/>
      <c r="P188" s="151"/>
    </row>
    <row r="189" ht="12.0" customHeight="1">
      <c r="B189" s="1"/>
      <c r="K189" s="151"/>
      <c r="N189" s="3"/>
      <c r="P189" s="151"/>
    </row>
    <row r="190" ht="12.0" customHeight="1">
      <c r="B190" s="1"/>
      <c r="K190" s="151"/>
      <c r="N190" s="3"/>
      <c r="P190" s="151"/>
    </row>
    <row r="191" ht="12.0" customHeight="1">
      <c r="B191" s="1"/>
      <c r="K191" s="151"/>
      <c r="N191" s="3"/>
      <c r="P191" s="151"/>
    </row>
    <row r="192" ht="12.0" customHeight="1">
      <c r="B192" s="1"/>
      <c r="K192" s="151"/>
      <c r="N192" s="3"/>
      <c r="P192" s="151"/>
    </row>
    <row r="193" ht="12.0" customHeight="1">
      <c r="B193" s="1"/>
      <c r="K193" s="151"/>
      <c r="N193" s="3"/>
      <c r="P193" s="151"/>
    </row>
    <row r="194" ht="12.0" customHeight="1">
      <c r="B194" s="1"/>
      <c r="K194" s="151"/>
      <c r="N194" s="3"/>
      <c r="P194" s="151"/>
    </row>
    <row r="195" ht="12.0" customHeight="1">
      <c r="B195" s="1"/>
      <c r="K195" s="151"/>
      <c r="N195" s="3"/>
      <c r="P195" s="151"/>
    </row>
    <row r="196" ht="12.0" customHeight="1">
      <c r="B196" s="1"/>
      <c r="K196" s="151"/>
      <c r="N196" s="3"/>
      <c r="P196" s="151"/>
    </row>
    <row r="197" ht="12.0" customHeight="1">
      <c r="B197" s="1"/>
      <c r="K197" s="151"/>
      <c r="N197" s="3"/>
      <c r="P197" s="151"/>
    </row>
    <row r="198" ht="12.0" customHeight="1">
      <c r="B198" s="1"/>
      <c r="K198" s="151"/>
      <c r="N198" s="3"/>
      <c r="P198" s="151"/>
    </row>
    <row r="199" ht="12.0" customHeight="1">
      <c r="B199" s="1"/>
      <c r="K199" s="151"/>
      <c r="N199" s="3"/>
      <c r="P199" s="151"/>
    </row>
    <row r="200" ht="12.0" customHeight="1">
      <c r="B200" s="1"/>
      <c r="K200" s="151"/>
      <c r="N200" s="3"/>
      <c r="P200" s="151"/>
    </row>
    <row r="201" ht="12.0" customHeight="1">
      <c r="B201" s="1"/>
      <c r="K201" s="151"/>
      <c r="N201" s="3"/>
      <c r="P201" s="151"/>
    </row>
    <row r="202" ht="12.0" customHeight="1">
      <c r="B202" s="1"/>
      <c r="K202" s="151"/>
      <c r="N202" s="3"/>
      <c r="P202" s="151"/>
    </row>
    <row r="203" ht="12.0" customHeight="1">
      <c r="B203" s="1"/>
      <c r="K203" s="151"/>
      <c r="N203" s="3"/>
      <c r="P203" s="151"/>
    </row>
    <row r="204" ht="12.0" customHeight="1">
      <c r="B204" s="1"/>
      <c r="K204" s="151"/>
      <c r="N204" s="3"/>
      <c r="P204" s="151"/>
    </row>
    <row r="205" ht="12.0" customHeight="1">
      <c r="B205" s="1"/>
      <c r="K205" s="151"/>
      <c r="N205" s="3"/>
      <c r="P205" s="151"/>
    </row>
    <row r="206" ht="12.0" customHeight="1">
      <c r="B206" s="1"/>
      <c r="K206" s="151"/>
      <c r="N206" s="3"/>
      <c r="P206" s="151"/>
    </row>
    <row r="207" ht="12.0" customHeight="1">
      <c r="B207" s="1"/>
      <c r="K207" s="151"/>
      <c r="N207" s="3"/>
      <c r="P207" s="151"/>
    </row>
    <row r="208" ht="12.0" customHeight="1">
      <c r="B208" s="1"/>
      <c r="K208" s="151"/>
      <c r="N208" s="3"/>
      <c r="P208" s="151"/>
    </row>
    <row r="209" ht="12.0" customHeight="1">
      <c r="B209" s="1"/>
      <c r="K209" s="151"/>
      <c r="N209" s="3"/>
      <c r="P209" s="151"/>
    </row>
    <row r="210" ht="12.0" customHeight="1">
      <c r="B210" s="1"/>
      <c r="K210" s="151"/>
      <c r="N210" s="3"/>
      <c r="P210" s="151"/>
    </row>
    <row r="211" ht="12.0" customHeight="1">
      <c r="B211" s="1"/>
      <c r="K211" s="151"/>
      <c r="N211" s="3"/>
      <c r="P211" s="151"/>
    </row>
    <row r="212" ht="12.0" customHeight="1">
      <c r="B212" s="1"/>
      <c r="K212" s="151"/>
      <c r="N212" s="3"/>
      <c r="P212" s="151"/>
    </row>
    <row r="213" ht="12.0" customHeight="1">
      <c r="B213" s="1"/>
      <c r="K213" s="151"/>
      <c r="N213" s="3"/>
      <c r="P213" s="151"/>
    </row>
    <row r="214" ht="12.0" customHeight="1">
      <c r="B214" s="1"/>
      <c r="K214" s="151"/>
      <c r="N214" s="3"/>
      <c r="P214" s="151"/>
    </row>
    <row r="215" ht="12.0" customHeight="1">
      <c r="B215" s="1"/>
      <c r="K215" s="151"/>
      <c r="N215" s="3"/>
      <c r="P215" s="151"/>
    </row>
    <row r="216" ht="12.0" customHeight="1">
      <c r="B216" s="1"/>
      <c r="K216" s="151"/>
      <c r="N216" s="3"/>
      <c r="P216" s="151"/>
    </row>
    <row r="217" ht="12.0" customHeight="1">
      <c r="B217" s="1"/>
      <c r="K217" s="151"/>
      <c r="N217" s="3"/>
      <c r="P217" s="151"/>
    </row>
    <row r="218" ht="12.0" customHeight="1">
      <c r="B218" s="1"/>
      <c r="K218" s="151"/>
      <c r="N218" s="3"/>
      <c r="P218" s="151"/>
    </row>
    <row r="219" ht="12.0" customHeight="1">
      <c r="B219" s="1"/>
      <c r="K219" s="151"/>
      <c r="N219" s="3"/>
      <c r="P219" s="151"/>
    </row>
    <row r="220" ht="12.0" customHeight="1">
      <c r="B220" s="1"/>
      <c r="K220" s="151"/>
      <c r="N220" s="3"/>
      <c r="P220" s="151"/>
    </row>
    <row r="221" ht="12.0" customHeight="1">
      <c r="B221" s="1"/>
      <c r="K221" s="151"/>
      <c r="N221" s="3"/>
      <c r="P221" s="151"/>
    </row>
    <row r="222" ht="12.0" customHeight="1">
      <c r="B222" s="1"/>
      <c r="K222" s="151"/>
      <c r="N222" s="3"/>
      <c r="P222" s="151"/>
    </row>
    <row r="223" ht="12.0" customHeight="1">
      <c r="B223" s="1"/>
      <c r="K223" s="151"/>
      <c r="N223" s="3"/>
      <c r="P223" s="151"/>
    </row>
    <row r="224" ht="12.0" customHeight="1">
      <c r="B224" s="1"/>
      <c r="K224" s="151"/>
      <c r="N224" s="3"/>
      <c r="P224" s="151"/>
    </row>
    <row r="225" ht="12.0" customHeight="1">
      <c r="B225" s="1"/>
      <c r="K225" s="151"/>
      <c r="N225" s="3"/>
      <c r="P225" s="151"/>
    </row>
    <row r="226" ht="12.0" customHeight="1">
      <c r="B226" s="1"/>
      <c r="K226" s="151"/>
      <c r="N226" s="3"/>
      <c r="P226" s="151"/>
    </row>
    <row r="227" ht="12.0" customHeight="1">
      <c r="B227" s="1"/>
      <c r="K227" s="151"/>
      <c r="N227" s="3"/>
      <c r="P227" s="151"/>
    </row>
    <row r="228" ht="12.0" customHeight="1">
      <c r="B228" s="1"/>
      <c r="K228" s="151"/>
      <c r="N228" s="3"/>
      <c r="P228" s="151"/>
    </row>
    <row r="229" ht="12.0" customHeight="1">
      <c r="B229" s="1"/>
      <c r="K229" s="151"/>
      <c r="N229" s="3"/>
      <c r="P229" s="151"/>
    </row>
    <row r="230" ht="12.0" customHeight="1">
      <c r="B230" s="1"/>
      <c r="K230" s="151"/>
      <c r="N230" s="3"/>
      <c r="P230" s="151"/>
    </row>
    <row r="231" ht="12.0" customHeight="1">
      <c r="B231" s="1"/>
      <c r="K231" s="151"/>
      <c r="N231" s="3"/>
      <c r="P231" s="151"/>
    </row>
    <row r="232" ht="12.0" customHeight="1">
      <c r="B232" s="1"/>
      <c r="K232" s="151"/>
      <c r="N232" s="3"/>
      <c r="P232" s="151"/>
    </row>
    <row r="233" ht="12.0" customHeight="1">
      <c r="B233" s="1"/>
      <c r="K233" s="151"/>
      <c r="N233" s="3"/>
      <c r="P233" s="151"/>
    </row>
    <row r="234" ht="12.0" customHeight="1">
      <c r="B234" s="1"/>
      <c r="K234" s="151"/>
      <c r="N234" s="3"/>
      <c r="P234" s="151"/>
    </row>
    <row r="235" ht="12.0" customHeight="1">
      <c r="B235" s="1"/>
      <c r="K235" s="151"/>
      <c r="N235" s="3"/>
      <c r="P235" s="151"/>
    </row>
    <row r="236" ht="12.0" customHeight="1">
      <c r="B236" s="1"/>
      <c r="K236" s="151"/>
      <c r="N236" s="3"/>
      <c r="P236" s="151"/>
    </row>
    <row r="237" ht="12.0" customHeight="1">
      <c r="B237" s="1"/>
      <c r="K237" s="151"/>
      <c r="N237" s="3"/>
      <c r="P237" s="151"/>
    </row>
    <row r="238" ht="12.0" customHeight="1">
      <c r="B238" s="1"/>
      <c r="K238" s="151"/>
      <c r="N238" s="3"/>
      <c r="P238" s="151"/>
    </row>
    <row r="239" ht="12.0" customHeight="1">
      <c r="B239" s="1"/>
      <c r="K239" s="151"/>
      <c r="N239" s="3"/>
      <c r="P239" s="151"/>
    </row>
    <row r="240" ht="12.0" customHeight="1">
      <c r="B240" s="1"/>
      <c r="K240" s="151"/>
      <c r="N240" s="3"/>
      <c r="P240" s="151"/>
    </row>
    <row r="241" ht="12.0" customHeight="1">
      <c r="B241" s="1"/>
      <c r="K241" s="151"/>
      <c r="N241" s="3"/>
      <c r="P241" s="151"/>
    </row>
    <row r="242" ht="12.0" customHeight="1">
      <c r="B242" s="1"/>
      <c r="K242" s="151"/>
      <c r="N242" s="3"/>
      <c r="P242" s="151"/>
    </row>
    <row r="243" ht="12.0" customHeight="1">
      <c r="B243" s="1"/>
      <c r="K243" s="151"/>
      <c r="N243" s="3"/>
      <c r="P243" s="151"/>
    </row>
    <row r="244" ht="12.0" customHeight="1">
      <c r="B244" s="1"/>
      <c r="K244" s="151"/>
      <c r="N244" s="3"/>
      <c r="P244" s="151"/>
    </row>
    <row r="245" ht="12.0" customHeight="1">
      <c r="B245" s="1"/>
      <c r="K245" s="151"/>
      <c r="N245" s="3"/>
      <c r="P245" s="151"/>
    </row>
    <row r="246" ht="12.0" customHeight="1">
      <c r="B246" s="1"/>
      <c r="K246" s="151"/>
      <c r="N246" s="3"/>
      <c r="P246" s="151"/>
    </row>
    <row r="247" ht="12.0" customHeight="1">
      <c r="B247" s="1"/>
      <c r="K247" s="151"/>
      <c r="N247" s="3"/>
      <c r="P247" s="151"/>
    </row>
    <row r="248" ht="12.0" customHeight="1">
      <c r="B248" s="1"/>
      <c r="K248" s="151"/>
      <c r="N248" s="3"/>
      <c r="P248" s="151"/>
    </row>
    <row r="249" ht="12.0" customHeight="1">
      <c r="B249" s="1"/>
      <c r="K249" s="151"/>
      <c r="N249" s="3"/>
      <c r="P249" s="151"/>
    </row>
    <row r="250" ht="12.0" customHeight="1">
      <c r="B250" s="1"/>
      <c r="K250" s="151"/>
      <c r="N250" s="3"/>
      <c r="P250" s="151"/>
    </row>
    <row r="251" ht="12.0" customHeight="1">
      <c r="B251" s="1"/>
      <c r="K251" s="151"/>
      <c r="N251" s="3"/>
      <c r="P251" s="151"/>
    </row>
    <row r="252" ht="12.0" customHeight="1">
      <c r="B252" s="1"/>
      <c r="K252" s="151"/>
      <c r="N252" s="3"/>
      <c r="P252" s="151"/>
    </row>
    <row r="253" ht="12.0" customHeight="1">
      <c r="B253" s="1"/>
      <c r="K253" s="151"/>
      <c r="N253" s="3"/>
      <c r="P253" s="151"/>
    </row>
    <row r="254" ht="12.0" customHeight="1">
      <c r="B254" s="1"/>
      <c r="K254" s="151"/>
      <c r="N254" s="3"/>
      <c r="P254" s="151"/>
    </row>
    <row r="255" ht="12.0" customHeight="1">
      <c r="B255" s="1"/>
      <c r="K255" s="151"/>
      <c r="N255" s="3"/>
      <c r="P255" s="151"/>
    </row>
    <row r="256" ht="12.0" customHeight="1">
      <c r="B256" s="1"/>
      <c r="K256" s="151"/>
      <c r="N256" s="3"/>
      <c r="P256" s="151"/>
    </row>
    <row r="257" ht="12.0" customHeight="1">
      <c r="B257" s="1"/>
      <c r="K257" s="151"/>
      <c r="N257" s="3"/>
      <c r="P257" s="151"/>
    </row>
    <row r="258" ht="12.0" customHeight="1">
      <c r="B258" s="1"/>
      <c r="K258" s="151"/>
      <c r="N258" s="3"/>
      <c r="P258" s="151"/>
    </row>
    <row r="259" ht="12.0" customHeight="1">
      <c r="B259" s="1"/>
      <c r="K259" s="151"/>
      <c r="N259" s="3"/>
      <c r="P259" s="151"/>
    </row>
    <row r="260" ht="12.0" customHeight="1">
      <c r="B260" s="1"/>
      <c r="K260" s="151"/>
      <c r="N260" s="3"/>
      <c r="P260" s="151"/>
    </row>
    <row r="261" ht="12.0" customHeight="1">
      <c r="B261" s="1"/>
      <c r="K261" s="151"/>
      <c r="N261" s="3"/>
      <c r="P261" s="151"/>
    </row>
    <row r="262" ht="12.0" customHeight="1">
      <c r="B262" s="1"/>
      <c r="K262" s="151"/>
      <c r="N262" s="3"/>
      <c r="P262" s="151"/>
    </row>
    <row r="263" ht="12.0" customHeight="1">
      <c r="B263" s="1"/>
      <c r="K263" s="151"/>
      <c r="N263" s="3"/>
      <c r="P263" s="151"/>
    </row>
    <row r="264" ht="12.0" customHeight="1">
      <c r="B264" s="1"/>
      <c r="K264" s="151"/>
      <c r="N264" s="3"/>
      <c r="P264" s="151"/>
    </row>
    <row r="265" ht="12.0" customHeight="1">
      <c r="B265" s="1"/>
      <c r="K265" s="151"/>
      <c r="N265" s="3"/>
      <c r="P265" s="151"/>
    </row>
    <row r="266" ht="12.0" customHeight="1">
      <c r="B266" s="1"/>
      <c r="K266" s="151"/>
      <c r="N266" s="3"/>
      <c r="P266" s="151"/>
    </row>
    <row r="267" ht="12.0" customHeight="1">
      <c r="B267" s="1"/>
      <c r="K267" s="151"/>
      <c r="N267" s="3"/>
      <c r="P267" s="151"/>
    </row>
    <row r="268" ht="12.0" customHeight="1">
      <c r="B268" s="1"/>
      <c r="K268" s="151"/>
      <c r="N268" s="3"/>
      <c r="P268" s="151"/>
    </row>
    <row r="269" ht="12.0" customHeight="1">
      <c r="B269" s="1"/>
      <c r="K269" s="151"/>
      <c r="N269" s="3"/>
      <c r="P269" s="151"/>
    </row>
    <row r="270" ht="12.0" customHeight="1">
      <c r="B270" s="1"/>
      <c r="K270" s="151"/>
      <c r="N270" s="3"/>
      <c r="P270" s="151"/>
    </row>
    <row r="271" ht="12.0" customHeight="1">
      <c r="B271" s="1"/>
      <c r="K271" s="151"/>
      <c r="N271" s="3"/>
      <c r="P271" s="151"/>
    </row>
    <row r="272" ht="12.0" customHeight="1">
      <c r="B272" s="1"/>
      <c r="K272" s="151"/>
      <c r="N272" s="3"/>
      <c r="P272" s="151"/>
    </row>
    <row r="273" ht="12.0" customHeight="1">
      <c r="B273" s="1"/>
      <c r="K273" s="151"/>
      <c r="N273" s="3"/>
      <c r="P273" s="151"/>
    </row>
    <row r="274" ht="12.0" customHeight="1">
      <c r="B274" s="1"/>
      <c r="K274" s="151"/>
      <c r="N274" s="3"/>
      <c r="P274" s="151"/>
    </row>
    <row r="275" ht="12.0" customHeight="1">
      <c r="B275" s="1"/>
      <c r="K275" s="151"/>
      <c r="N275" s="3"/>
      <c r="P275" s="151"/>
    </row>
    <row r="276" ht="12.0" customHeight="1">
      <c r="B276" s="1"/>
      <c r="K276" s="151"/>
      <c r="N276" s="3"/>
      <c r="P276" s="151"/>
    </row>
    <row r="277" ht="12.0" customHeight="1">
      <c r="B277" s="1"/>
      <c r="K277" s="151"/>
      <c r="N277" s="3"/>
      <c r="P277" s="151"/>
    </row>
    <row r="278" ht="12.0" customHeight="1">
      <c r="B278" s="1"/>
      <c r="K278" s="151"/>
      <c r="N278" s="3"/>
      <c r="P278" s="151"/>
    </row>
    <row r="279" ht="12.0" customHeight="1">
      <c r="B279" s="1"/>
      <c r="K279" s="151"/>
      <c r="N279" s="3"/>
      <c r="P279" s="151"/>
    </row>
    <row r="280" ht="12.0" customHeight="1">
      <c r="B280" s="1"/>
      <c r="K280" s="151"/>
      <c r="N280" s="3"/>
      <c r="P280" s="151"/>
    </row>
    <row r="281" ht="12.0" customHeight="1">
      <c r="B281" s="1"/>
      <c r="K281" s="151"/>
      <c r="N281" s="3"/>
      <c r="P281" s="151"/>
    </row>
    <row r="282" ht="12.0" customHeight="1">
      <c r="B282" s="1"/>
      <c r="K282" s="151"/>
      <c r="N282" s="3"/>
      <c r="P282" s="151"/>
    </row>
    <row r="283" ht="12.0" customHeight="1">
      <c r="B283" s="1"/>
      <c r="K283" s="151"/>
      <c r="N283" s="3"/>
      <c r="P283" s="151"/>
    </row>
    <row r="284" ht="12.0" customHeight="1">
      <c r="B284" s="1"/>
      <c r="K284" s="151"/>
      <c r="N284" s="3"/>
      <c r="P284" s="151"/>
    </row>
    <row r="285" ht="12.0" customHeight="1">
      <c r="B285" s="1"/>
      <c r="K285" s="151"/>
      <c r="N285" s="3"/>
      <c r="P285" s="151"/>
    </row>
    <row r="286" ht="12.0" customHeight="1">
      <c r="B286" s="1"/>
      <c r="K286" s="151"/>
      <c r="N286" s="3"/>
      <c r="P286" s="151"/>
    </row>
    <row r="287" ht="12.0" customHeight="1">
      <c r="B287" s="1"/>
      <c r="K287" s="151"/>
      <c r="N287" s="3"/>
      <c r="P287" s="151"/>
    </row>
    <row r="288" ht="12.0" customHeight="1">
      <c r="B288" s="1"/>
      <c r="K288" s="151"/>
      <c r="N288" s="3"/>
      <c r="P288" s="151"/>
    </row>
    <row r="289" ht="12.0" customHeight="1">
      <c r="B289" s="1"/>
      <c r="K289" s="151"/>
      <c r="N289" s="3"/>
      <c r="P289" s="151"/>
    </row>
    <row r="290" ht="12.0" customHeight="1">
      <c r="B290" s="1"/>
      <c r="K290" s="151"/>
      <c r="N290" s="3"/>
      <c r="P290" s="151"/>
    </row>
    <row r="291" ht="12.0" customHeight="1">
      <c r="B291" s="1"/>
      <c r="K291" s="151"/>
      <c r="N291" s="3"/>
      <c r="P291" s="151"/>
    </row>
    <row r="292" ht="12.0" customHeight="1">
      <c r="B292" s="1"/>
      <c r="K292" s="151"/>
      <c r="N292" s="3"/>
      <c r="P292" s="151"/>
    </row>
    <row r="293" ht="12.0" customHeight="1">
      <c r="B293" s="1"/>
      <c r="K293" s="151"/>
      <c r="N293" s="3"/>
      <c r="P293" s="151"/>
    </row>
    <row r="294" ht="12.0" customHeight="1">
      <c r="B294" s="1"/>
      <c r="K294" s="151"/>
      <c r="N294" s="3"/>
      <c r="P294" s="151"/>
    </row>
    <row r="295" ht="12.0" customHeight="1">
      <c r="B295" s="1"/>
      <c r="K295" s="151"/>
      <c r="N295" s="3"/>
      <c r="P295" s="151"/>
    </row>
    <row r="296" ht="12.0" customHeight="1">
      <c r="B296" s="1"/>
      <c r="K296" s="151"/>
      <c r="N296" s="3"/>
      <c r="P296" s="151"/>
    </row>
    <row r="297" ht="12.0" customHeight="1">
      <c r="B297" s="1"/>
      <c r="K297" s="151"/>
      <c r="N297" s="3"/>
      <c r="P297" s="151"/>
    </row>
    <row r="298" ht="12.0" customHeight="1">
      <c r="B298" s="1"/>
      <c r="K298" s="151"/>
      <c r="N298" s="3"/>
      <c r="P298" s="151"/>
    </row>
    <row r="299" ht="12.0" customHeight="1">
      <c r="B299" s="1"/>
      <c r="K299" s="151"/>
      <c r="N299" s="3"/>
      <c r="P299" s="151"/>
    </row>
    <row r="300" ht="12.0" customHeight="1">
      <c r="B300" s="1"/>
      <c r="K300" s="151"/>
      <c r="N300" s="3"/>
      <c r="P300" s="151"/>
    </row>
    <row r="301" ht="12.0" customHeight="1">
      <c r="B301" s="1"/>
      <c r="K301" s="151"/>
      <c r="N301" s="3"/>
      <c r="P301" s="151"/>
    </row>
    <row r="302" ht="12.0" customHeight="1">
      <c r="B302" s="1"/>
      <c r="K302" s="151"/>
      <c r="N302" s="3"/>
      <c r="P302" s="151"/>
    </row>
    <row r="303" ht="12.0" customHeight="1">
      <c r="B303" s="1"/>
      <c r="K303" s="151"/>
      <c r="N303" s="3"/>
      <c r="P303" s="151"/>
    </row>
    <row r="304" ht="12.0" customHeight="1">
      <c r="B304" s="1"/>
      <c r="K304" s="151"/>
      <c r="N304" s="3"/>
      <c r="P304" s="151"/>
    </row>
    <row r="305" ht="12.0" customHeight="1">
      <c r="B305" s="1"/>
      <c r="K305" s="151"/>
      <c r="N305" s="3"/>
      <c r="P305" s="151"/>
    </row>
    <row r="306" ht="12.0" customHeight="1">
      <c r="B306" s="1"/>
      <c r="K306" s="151"/>
      <c r="N306" s="3"/>
      <c r="P306" s="151"/>
    </row>
    <row r="307" ht="12.0" customHeight="1">
      <c r="B307" s="1"/>
      <c r="K307" s="151"/>
      <c r="N307" s="3"/>
      <c r="P307" s="151"/>
    </row>
    <row r="308" ht="12.0" customHeight="1">
      <c r="B308" s="1"/>
      <c r="K308" s="151"/>
      <c r="N308" s="3"/>
      <c r="P308" s="151"/>
    </row>
    <row r="309" ht="12.0" customHeight="1">
      <c r="B309" s="1"/>
      <c r="K309" s="151"/>
      <c r="N309" s="3"/>
      <c r="P309" s="151"/>
    </row>
    <row r="310" ht="12.0" customHeight="1">
      <c r="B310" s="1"/>
      <c r="K310" s="151"/>
      <c r="N310" s="3"/>
      <c r="P310" s="151"/>
    </row>
    <row r="311" ht="12.0" customHeight="1">
      <c r="B311" s="1"/>
      <c r="K311" s="151"/>
      <c r="N311" s="3"/>
      <c r="P311" s="151"/>
    </row>
    <row r="312" ht="12.0" customHeight="1">
      <c r="B312" s="1"/>
      <c r="K312" s="151"/>
      <c r="N312" s="3"/>
      <c r="P312" s="151"/>
    </row>
    <row r="313" ht="12.0" customHeight="1">
      <c r="B313" s="1"/>
      <c r="K313" s="151"/>
      <c r="N313" s="3"/>
      <c r="P313" s="151"/>
    </row>
    <row r="314" ht="12.0" customHeight="1">
      <c r="B314" s="1"/>
      <c r="K314" s="151"/>
      <c r="N314" s="3"/>
      <c r="P314" s="151"/>
    </row>
    <row r="315" ht="12.0" customHeight="1">
      <c r="B315" s="1"/>
      <c r="K315" s="151"/>
      <c r="N315" s="3"/>
      <c r="P315" s="151"/>
    </row>
    <row r="316" ht="12.0" customHeight="1">
      <c r="B316" s="1"/>
      <c r="K316" s="151"/>
      <c r="N316" s="3"/>
      <c r="P316" s="151"/>
    </row>
    <row r="317" ht="12.0" customHeight="1">
      <c r="B317" s="1"/>
      <c r="K317" s="151"/>
      <c r="N317" s="3"/>
      <c r="P317" s="151"/>
    </row>
    <row r="318" ht="12.0" customHeight="1">
      <c r="B318" s="1"/>
      <c r="K318" s="151"/>
      <c r="N318" s="3"/>
      <c r="P318" s="151"/>
    </row>
    <row r="319" ht="12.0" customHeight="1">
      <c r="B319" s="1"/>
      <c r="K319" s="151"/>
      <c r="N319" s="3"/>
      <c r="P319" s="151"/>
    </row>
    <row r="320" ht="12.0" customHeight="1">
      <c r="B320" s="1"/>
      <c r="K320" s="151"/>
      <c r="N320" s="3"/>
      <c r="P320" s="151"/>
    </row>
    <row r="321" ht="12.0" customHeight="1">
      <c r="B321" s="1"/>
      <c r="K321" s="151"/>
      <c r="N321" s="3"/>
      <c r="P321" s="151"/>
    </row>
    <row r="322" ht="12.0" customHeight="1">
      <c r="B322" s="1"/>
      <c r="K322" s="151"/>
      <c r="N322" s="3"/>
      <c r="P322" s="151"/>
    </row>
    <row r="323" ht="12.0" customHeight="1">
      <c r="B323" s="1"/>
      <c r="K323" s="151"/>
      <c r="N323" s="3"/>
      <c r="P323" s="151"/>
    </row>
    <row r="324" ht="12.0" customHeight="1">
      <c r="B324" s="1"/>
      <c r="K324" s="151"/>
      <c r="N324" s="3"/>
      <c r="P324" s="151"/>
    </row>
    <row r="325" ht="12.0" customHeight="1">
      <c r="B325" s="1"/>
      <c r="K325" s="151"/>
      <c r="N325" s="3"/>
      <c r="P325" s="151"/>
    </row>
    <row r="326" ht="12.0" customHeight="1">
      <c r="B326" s="1"/>
      <c r="K326" s="151"/>
      <c r="N326" s="3"/>
      <c r="P326" s="151"/>
    </row>
    <row r="327" ht="12.0" customHeight="1">
      <c r="B327" s="1"/>
      <c r="K327" s="151"/>
      <c r="N327" s="3"/>
      <c r="P327" s="151"/>
    </row>
    <row r="328" ht="12.0" customHeight="1">
      <c r="B328" s="1"/>
      <c r="K328" s="151"/>
      <c r="N328" s="3"/>
      <c r="P328" s="151"/>
    </row>
    <row r="329" ht="12.0" customHeight="1">
      <c r="B329" s="1"/>
      <c r="K329" s="151"/>
      <c r="N329" s="3"/>
      <c r="P329" s="151"/>
    </row>
    <row r="330" ht="12.0" customHeight="1">
      <c r="B330" s="1"/>
      <c r="K330" s="151"/>
      <c r="N330" s="3"/>
      <c r="P330" s="151"/>
    </row>
    <row r="331" ht="12.0" customHeight="1">
      <c r="B331" s="1"/>
      <c r="K331" s="151"/>
      <c r="N331" s="3"/>
      <c r="P331" s="151"/>
    </row>
    <row r="332" ht="12.0" customHeight="1">
      <c r="B332" s="1"/>
      <c r="K332" s="151"/>
      <c r="N332" s="3"/>
      <c r="P332" s="151"/>
    </row>
    <row r="333" ht="12.0" customHeight="1">
      <c r="B333" s="1"/>
      <c r="K333" s="151"/>
      <c r="N333" s="3"/>
      <c r="P333" s="151"/>
    </row>
    <row r="334" ht="12.0" customHeight="1">
      <c r="B334" s="1"/>
      <c r="K334" s="151"/>
      <c r="N334" s="3"/>
      <c r="P334" s="151"/>
    </row>
    <row r="335" ht="12.0" customHeight="1">
      <c r="B335" s="1"/>
      <c r="K335" s="151"/>
      <c r="N335" s="3"/>
      <c r="P335" s="151"/>
    </row>
    <row r="336" ht="12.0" customHeight="1">
      <c r="B336" s="1"/>
      <c r="K336" s="151"/>
      <c r="N336" s="3"/>
      <c r="P336" s="151"/>
    </row>
    <row r="337" ht="12.0" customHeight="1">
      <c r="B337" s="1"/>
      <c r="K337" s="151"/>
      <c r="N337" s="3"/>
      <c r="P337" s="151"/>
    </row>
    <row r="338" ht="12.0" customHeight="1">
      <c r="B338" s="1"/>
      <c r="K338" s="151"/>
      <c r="N338" s="3"/>
      <c r="P338" s="151"/>
    </row>
    <row r="339" ht="12.0" customHeight="1">
      <c r="B339" s="1"/>
      <c r="K339" s="151"/>
      <c r="N339" s="3"/>
      <c r="P339" s="151"/>
    </row>
    <row r="340" ht="12.0" customHeight="1">
      <c r="B340" s="1"/>
      <c r="K340" s="151"/>
      <c r="N340" s="3"/>
      <c r="P340" s="151"/>
    </row>
    <row r="341" ht="12.0" customHeight="1">
      <c r="B341" s="1"/>
      <c r="K341" s="151"/>
      <c r="N341" s="3"/>
      <c r="P341" s="151"/>
    </row>
    <row r="342" ht="12.0" customHeight="1">
      <c r="B342" s="1"/>
      <c r="K342" s="151"/>
      <c r="N342" s="3"/>
      <c r="P342" s="151"/>
    </row>
    <row r="343" ht="12.0" customHeight="1">
      <c r="B343" s="1"/>
      <c r="K343" s="151"/>
      <c r="N343" s="3"/>
      <c r="P343" s="151"/>
    </row>
    <row r="344" ht="12.0" customHeight="1">
      <c r="B344" s="1"/>
      <c r="K344" s="151"/>
      <c r="N344" s="3"/>
      <c r="P344" s="151"/>
    </row>
    <row r="345" ht="12.0" customHeight="1">
      <c r="B345" s="1"/>
      <c r="K345" s="151"/>
      <c r="N345" s="3"/>
      <c r="P345" s="151"/>
    </row>
    <row r="346" ht="12.0" customHeight="1">
      <c r="B346" s="1"/>
      <c r="K346" s="151"/>
      <c r="N346" s="3"/>
      <c r="P346" s="151"/>
    </row>
    <row r="347" ht="12.0" customHeight="1">
      <c r="B347" s="1"/>
      <c r="K347" s="151"/>
      <c r="N347" s="3"/>
      <c r="P347" s="151"/>
    </row>
    <row r="348" ht="12.0" customHeight="1">
      <c r="B348" s="1"/>
      <c r="K348" s="151"/>
      <c r="N348" s="3"/>
      <c r="P348" s="151"/>
    </row>
    <row r="349" ht="12.0" customHeight="1">
      <c r="B349" s="1"/>
      <c r="K349" s="151"/>
      <c r="N349" s="3"/>
      <c r="P349" s="151"/>
    </row>
    <row r="350" ht="12.0" customHeight="1">
      <c r="B350" s="1"/>
      <c r="K350" s="151"/>
      <c r="N350" s="3"/>
      <c r="P350" s="151"/>
    </row>
    <row r="351" ht="12.0" customHeight="1">
      <c r="B351" s="1"/>
      <c r="K351" s="151"/>
      <c r="N351" s="3"/>
      <c r="P351" s="151"/>
    </row>
    <row r="352" ht="12.0" customHeight="1">
      <c r="B352" s="1"/>
      <c r="K352" s="151"/>
      <c r="N352" s="3"/>
      <c r="P352" s="151"/>
    </row>
    <row r="353" ht="12.0" customHeight="1">
      <c r="B353" s="1"/>
      <c r="K353" s="151"/>
      <c r="N353" s="3"/>
      <c r="P353" s="151"/>
    </row>
    <row r="354" ht="12.0" customHeight="1">
      <c r="B354" s="1"/>
      <c r="K354" s="151"/>
      <c r="N354" s="3"/>
      <c r="P354" s="151"/>
    </row>
    <row r="355" ht="12.0" customHeight="1">
      <c r="B355" s="1"/>
      <c r="K355" s="151"/>
      <c r="N355" s="3"/>
      <c r="P355" s="151"/>
    </row>
    <row r="356" ht="12.0" customHeight="1">
      <c r="B356" s="1"/>
      <c r="K356" s="151"/>
      <c r="N356" s="3"/>
      <c r="P356" s="151"/>
    </row>
    <row r="357" ht="12.0" customHeight="1">
      <c r="B357" s="1"/>
      <c r="K357" s="151"/>
      <c r="N357" s="3"/>
      <c r="P357" s="151"/>
    </row>
    <row r="358" ht="12.0" customHeight="1">
      <c r="B358" s="1"/>
      <c r="K358" s="151"/>
      <c r="N358" s="3"/>
      <c r="P358" s="151"/>
    </row>
    <row r="359" ht="12.0" customHeight="1">
      <c r="B359" s="1"/>
      <c r="K359" s="151"/>
      <c r="N359" s="3"/>
      <c r="P359" s="151"/>
    </row>
    <row r="360" ht="12.0" customHeight="1">
      <c r="B360" s="1"/>
      <c r="K360" s="151"/>
      <c r="N360" s="3"/>
      <c r="P360" s="151"/>
    </row>
    <row r="361" ht="12.0" customHeight="1">
      <c r="B361" s="1"/>
      <c r="K361" s="151"/>
      <c r="N361" s="3"/>
      <c r="P361" s="151"/>
    </row>
    <row r="362" ht="12.0" customHeight="1">
      <c r="B362" s="1"/>
      <c r="K362" s="151"/>
      <c r="N362" s="3"/>
      <c r="P362" s="151"/>
    </row>
    <row r="363" ht="12.0" customHeight="1">
      <c r="B363" s="1"/>
      <c r="K363" s="151"/>
      <c r="N363" s="3"/>
      <c r="P363" s="151"/>
    </row>
    <row r="364" ht="12.0" customHeight="1">
      <c r="B364" s="1"/>
      <c r="K364" s="151"/>
      <c r="N364" s="3"/>
      <c r="P364" s="151"/>
    </row>
    <row r="365" ht="12.0" customHeight="1">
      <c r="B365" s="1"/>
      <c r="K365" s="151"/>
      <c r="N365" s="3"/>
      <c r="P365" s="151"/>
    </row>
    <row r="366" ht="12.0" customHeight="1">
      <c r="B366" s="1"/>
      <c r="K366" s="151"/>
      <c r="N366" s="3"/>
      <c r="P366" s="151"/>
    </row>
    <row r="367" ht="12.0" customHeight="1">
      <c r="B367" s="1"/>
      <c r="K367" s="151"/>
      <c r="N367" s="3"/>
      <c r="P367" s="151"/>
    </row>
    <row r="368" ht="12.0" customHeight="1">
      <c r="B368" s="1"/>
      <c r="K368" s="151"/>
      <c r="N368" s="3"/>
      <c r="P368" s="151"/>
    </row>
    <row r="369" ht="12.0" customHeight="1">
      <c r="B369" s="1"/>
      <c r="K369" s="151"/>
      <c r="N369" s="3"/>
      <c r="P369" s="151"/>
    </row>
    <row r="370" ht="12.0" customHeight="1">
      <c r="B370" s="1"/>
      <c r="K370" s="151"/>
      <c r="N370" s="3"/>
      <c r="P370" s="151"/>
    </row>
    <row r="371" ht="12.0" customHeight="1">
      <c r="B371" s="1"/>
      <c r="K371" s="151"/>
      <c r="N371" s="3"/>
      <c r="P371" s="151"/>
    </row>
    <row r="372" ht="12.0" customHeight="1">
      <c r="B372" s="1"/>
      <c r="K372" s="151"/>
      <c r="N372" s="3"/>
      <c r="P372" s="151"/>
    </row>
    <row r="373" ht="12.0" customHeight="1">
      <c r="B373" s="1"/>
      <c r="K373" s="151"/>
      <c r="N373" s="3"/>
      <c r="P373" s="151"/>
    </row>
    <row r="374" ht="12.0" customHeight="1">
      <c r="B374" s="1"/>
      <c r="K374" s="151"/>
      <c r="N374" s="3"/>
      <c r="P374" s="151"/>
    </row>
    <row r="375" ht="12.0" customHeight="1">
      <c r="B375" s="1"/>
      <c r="K375" s="151"/>
      <c r="N375" s="3"/>
      <c r="P375" s="151"/>
    </row>
    <row r="376" ht="12.0" customHeight="1">
      <c r="B376" s="1"/>
      <c r="K376" s="151"/>
      <c r="N376" s="3"/>
      <c r="P376" s="151"/>
    </row>
    <row r="377" ht="12.0" customHeight="1">
      <c r="B377" s="1"/>
      <c r="K377" s="151"/>
      <c r="N377" s="3"/>
      <c r="P377" s="151"/>
    </row>
    <row r="378" ht="12.0" customHeight="1">
      <c r="B378" s="1"/>
      <c r="K378" s="151"/>
      <c r="N378" s="3"/>
      <c r="P378" s="151"/>
    </row>
    <row r="379" ht="12.0" customHeight="1">
      <c r="B379" s="1"/>
      <c r="K379" s="151"/>
      <c r="N379" s="3"/>
      <c r="P379" s="151"/>
    </row>
    <row r="380" ht="12.0" customHeight="1">
      <c r="B380" s="1"/>
      <c r="K380" s="151"/>
      <c r="N380" s="3"/>
      <c r="P380" s="151"/>
    </row>
    <row r="381" ht="12.0" customHeight="1">
      <c r="B381" s="1"/>
      <c r="K381" s="151"/>
      <c r="N381" s="3"/>
      <c r="P381" s="151"/>
    </row>
    <row r="382" ht="12.0" customHeight="1">
      <c r="B382" s="1"/>
      <c r="K382" s="151"/>
      <c r="N382" s="3"/>
      <c r="P382" s="151"/>
    </row>
    <row r="383" ht="12.0" customHeight="1">
      <c r="B383" s="1"/>
      <c r="K383" s="151"/>
      <c r="N383" s="3"/>
      <c r="P383" s="151"/>
    </row>
    <row r="384" ht="12.0" customHeight="1">
      <c r="B384" s="1"/>
      <c r="K384" s="151"/>
      <c r="N384" s="3"/>
      <c r="P384" s="151"/>
    </row>
    <row r="385" ht="12.0" customHeight="1">
      <c r="B385" s="1"/>
      <c r="K385" s="151"/>
      <c r="N385" s="3"/>
      <c r="P385" s="151"/>
    </row>
    <row r="386" ht="12.0" customHeight="1">
      <c r="B386" s="1"/>
      <c r="K386" s="151"/>
      <c r="N386" s="3"/>
      <c r="P386" s="151"/>
    </row>
    <row r="387" ht="12.0" customHeight="1">
      <c r="B387" s="1"/>
      <c r="K387" s="151"/>
      <c r="N387" s="3"/>
      <c r="P387" s="151"/>
    </row>
    <row r="388" ht="12.0" customHeight="1">
      <c r="B388" s="1"/>
      <c r="K388" s="151"/>
      <c r="N388" s="3"/>
      <c r="P388" s="151"/>
    </row>
    <row r="389" ht="12.0" customHeight="1">
      <c r="B389" s="1"/>
      <c r="K389" s="151"/>
      <c r="N389" s="3"/>
      <c r="P389" s="151"/>
    </row>
    <row r="390" ht="12.0" customHeight="1">
      <c r="B390" s="1"/>
      <c r="K390" s="151"/>
      <c r="N390" s="3"/>
      <c r="P390" s="151"/>
    </row>
    <row r="391" ht="12.0" customHeight="1">
      <c r="B391" s="1"/>
      <c r="K391" s="151"/>
      <c r="N391" s="3"/>
      <c r="P391" s="151"/>
    </row>
    <row r="392" ht="12.0" customHeight="1">
      <c r="B392" s="1"/>
      <c r="K392" s="151"/>
      <c r="N392" s="3"/>
      <c r="P392" s="151"/>
    </row>
    <row r="393" ht="12.0" customHeight="1">
      <c r="B393" s="1"/>
      <c r="K393" s="151"/>
      <c r="N393" s="3"/>
      <c r="P393" s="151"/>
    </row>
    <row r="394" ht="12.0" customHeight="1">
      <c r="B394" s="1"/>
      <c r="K394" s="151"/>
      <c r="N394" s="3"/>
      <c r="P394" s="151"/>
    </row>
    <row r="395" ht="12.0" customHeight="1">
      <c r="B395" s="1"/>
      <c r="K395" s="151"/>
      <c r="N395" s="3"/>
      <c r="P395" s="151"/>
    </row>
    <row r="396" ht="12.0" customHeight="1">
      <c r="B396" s="1"/>
      <c r="K396" s="151"/>
      <c r="N396" s="3"/>
      <c r="P396" s="151"/>
    </row>
    <row r="397" ht="12.0" customHeight="1">
      <c r="B397" s="1"/>
      <c r="K397" s="151"/>
      <c r="N397" s="3"/>
      <c r="P397" s="151"/>
    </row>
    <row r="398" ht="12.0" customHeight="1">
      <c r="B398" s="1"/>
      <c r="K398" s="151"/>
      <c r="N398" s="3"/>
      <c r="P398" s="151"/>
    </row>
    <row r="399" ht="12.0" customHeight="1">
      <c r="B399" s="1"/>
      <c r="K399" s="151"/>
      <c r="N399" s="3"/>
      <c r="P399" s="151"/>
    </row>
    <row r="400" ht="12.0" customHeight="1">
      <c r="B400" s="1"/>
      <c r="K400" s="151"/>
      <c r="N400" s="3"/>
      <c r="P400" s="151"/>
    </row>
    <row r="401" ht="12.0" customHeight="1">
      <c r="B401" s="1"/>
      <c r="K401" s="151"/>
      <c r="N401" s="3"/>
      <c r="P401" s="151"/>
    </row>
    <row r="402" ht="12.0" customHeight="1">
      <c r="B402" s="1"/>
      <c r="K402" s="151"/>
      <c r="N402" s="3"/>
      <c r="P402" s="151"/>
    </row>
    <row r="403" ht="12.0" customHeight="1">
      <c r="B403" s="1"/>
      <c r="K403" s="151"/>
      <c r="N403" s="3"/>
      <c r="P403" s="151"/>
    </row>
    <row r="404" ht="12.0" customHeight="1">
      <c r="B404" s="1"/>
      <c r="K404" s="151"/>
      <c r="N404" s="3"/>
      <c r="P404" s="151"/>
    </row>
    <row r="405" ht="12.0" customHeight="1">
      <c r="B405" s="1"/>
      <c r="K405" s="151"/>
      <c r="N405" s="3"/>
      <c r="P405" s="151"/>
    </row>
    <row r="406" ht="12.0" customHeight="1">
      <c r="B406" s="1"/>
      <c r="K406" s="151"/>
      <c r="N406" s="3"/>
      <c r="P406" s="151"/>
    </row>
    <row r="407" ht="12.0" customHeight="1">
      <c r="B407" s="1"/>
      <c r="K407" s="151"/>
      <c r="N407" s="3"/>
      <c r="P407" s="151"/>
    </row>
    <row r="408" ht="12.0" customHeight="1">
      <c r="B408" s="1"/>
      <c r="K408" s="151"/>
      <c r="N408" s="3"/>
      <c r="P408" s="151"/>
    </row>
    <row r="409" ht="12.0" customHeight="1">
      <c r="B409" s="1"/>
      <c r="K409" s="151"/>
      <c r="N409" s="3"/>
      <c r="P409" s="151"/>
    </row>
    <row r="410" ht="12.0" customHeight="1">
      <c r="B410" s="1"/>
      <c r="K410" s="151"/>
      <c r="N410" s="3"/>
      <c r="P410" s="151"/>
    </row>
    <row r="411" ht="12.0" customHeight="1">
      <c r="B411" s="1"/>
      <c r="K411" s="151"/>
      <c r="N411" s="3"/>
      <c r="P411" s="151"/>
    </row>
    <row r="412" ht="12.0" customHeight="1">
      <c r="B412" s="1"/>
      <c r="K412" s="151"/>
      <c r="N412" s="3"/>
      <c r="P412" s="151"/>
    </row>
    <row r="413" ht="12.0" customHeight="1">
      <c r="B413" s="1"/>
      <c r="K413" s="151"/>
      <c r="N413" s="3"/>
      <c r="P413" s="151"/>
    </row>
    <row r="414" ht="12.0" customHeight="1">
      <c r="B414" s="1"/>
      <c r="K414" s="151"/>
      <c r="N414" s="3"/>
      <c r="P414" s="151"/>
    </row>
    <row r="415" ht="12.0" customHeight="1">
      <c r="B415" s="1"/>
      <c r="K415" s="151"/>
      <c r="N415" s="3"/>
      <c r="P415" s="151"/>
    </row>
    <row r="416" ht="12.0" customHeight="1">
      <c r="B416" s="1"/>
      <c r="K416" s="151"/>
      <c r="N416" s="3"/>
      <c r="P416" s="151"/>
    </row>
    <row r="417" ht="12.0" customHeight="1">
      <c r="B417" s="1"/>
      <c r="K417" s="151"/>
      <c r="N417" s="3"/>
      <c r="P417" s="151"/>
    </row>
    <row r="418" ht="12.0" customHeight="1">
      <c r="B418" s="1"/>
      <c r="K418" s="151"/>
      <c r="N418" s="3"/>
      <c r="P418" s="151"/>
    </row>
    <row r="419" ht="12.0" customHeight="1">
      <c r="B419" s="1"/>
      <c r="K419" s="151"/>
      <c r="N419" s="3"/>
      <c r="P419" s="151"/>
    </row>
    <row r="420" ht="12.0" customHeight="1">
      <c r="B420" s="1"/>
      <c r="K420" s="151"/>
      <c r="N420" s="3"/>
      <c r="P420" s="151"/>
    </row>
    <row r="421" ht="12.0" customHeight="1">
      <c r="B421" s="1"/>
      <c r="K421" s="151"/>
      <c r="N421" s="3"/>
      <c r="P421" s="151"/>
    </row>
    <row r="422" ht="12.0" customHeight="1">
      <c r="B422" s="1"/>
      <c r="K422" s="151"/>
      <c r="N422" s="3"/>
      <c r="P422" s="151"/>
    </row>
    <row r="423" ht="12.0" customHeight="1">
      <c r="B423" s="1"/>
      <c r="K423" s="151"/>
      <c r="N423" s="3"/>
      <c r="P423" s="151"/>
    </row>
    <row r="424" ht="12.0" customHeight="1">
      <c r="B424" s="1"/>
      <c r="K424" s="151"/>
      <c r="N424" s="3"/>
      <c r="P424" s="151"/>
    </row>
    <row r="425" ht="12.0" customHeight="1">
      <c r="B425" s="1"/>
      <c r="K425" s="151"/>
      <c r="N425" s="3"/>
      <c r="P425" s="151"/>
    </row>
    <row r="426" ht="12.0" customHeight="1">
      <c r="B426" s="1"/>
      <c r="K426" s="151"/>
      <c r="N426" s="3"/>
      <c r="P426" s="151"/>
    </row>
    <row r="427" ht="12.0" customHeight="1">
      <c r="B427" s="1"/>
      <c r="K427" s="151"/>
      <c r="N427" s="3"/>
      <c r="P427" s="151"/>
    </row>
    <row r="428" ht="12.0" customHeight="1">
      <c r="B428" s="1"/>
      <c r="K428" s="151"/>
      <c r="N428" s="3"/>
      <c r="P428" s="151"/>
    </row>
    <row r="429" ht="12.0" customHeight="1">
      <c r="B429" s="1"/>
      <c r="K429" s="151"/>
      <c r="N429" s="3"/>
      <c r="P429" s="151"/>
    </row>
    <row r="430" ht="12.0" customHeight="1">
      <c r="B430" s="1"/>
      <c r="K430" s="151"/>
      <c r="N430" s="3"/>
      <c r="P430" s="151"/>
    </row>
    <row r="431" ht="12.0" customHeight="1">
      <c r="B431" s="1"/>
      <c r="K431" s="151"/>
      <c r="N431" s="3"/>
      <c r="P431" s="151"/>
    </row>
    <row r="432" ht="12.0" customHeight="1">
      <c r="B432" s="1"/>
      <c r="K432" s="151"/>
      <c r="N432" s="3"/>
      <c r="P432" s="151"/>
    </row>
    <row r="433" ht="12.0" customHeight="1">
      <c r="B433" s="1"/>
      <c r="K433" s="151"/>
      <c r="N433" s="3"/>
      <c r="P433" s="151"/>
    </row>
    <row r="434" ht="12.0" customHeight="1">
      <c r="B434" s="1"/>
      <c r="K434" s="151"/>
      <c r="N434" s="3"/>
      <c r="P434" s="151"/>
    </row>
    <row r="435" ht="12.0" customHeight="1">
      <c r="B435" s="1"/>
      <c r="K435" s="151"/>
      <c r="N435" s="3"/>
      <c r="P435" s="151"/>
    </row>
    <row r="436" ht="12.0" customHeight="1">
      <c r="B436" s="1"/>
      <c r="K436" s="151"/>
      <c r="N436" s="3"/>
      <c r="P436" s="151"/>
    </row>
    <row r="437" ht="12.0" customHeight="1">
      <c r="B437" s="1"/>
      <c r="K437" s="151"/>
      <c r="N437" s="3"/>
      <c r="P437" s="151"/>
    </row>
    <row r="438" ht="12.0" customHeight="1">
      <c r="B438" s="1"/>
      <c r="K438" s="151"/>
      <c r="N438" s="3"/>
      <c r="P438" s="151"/>
    </row>
    <row r="439" ht="12.0" customHeight="1">
      <c r="B439" s="1"/>
      <c r="K439" s="151"/>
      <c r="N439" s="3"/>
      <c r="P439" s="151"/>
    </row>
    <row r="440" ht="12.0" customHeight="1">
      <c r="B440" s="1"/>
      <c r="K440" s="151"/>
      <c r="N440" s="3"/>
      <c r="P440" s="151"/>
    </row>
    <row r="441" ht="12.0" customHeight="1">
      <c r="B441" s="1"/>
      <c r="K441" s="151"/>
      <c r="N441" s="3"/>
      <c r="P441" s="151"/>
    </row>
    <row r="442" ht="12.0" customHeight="1">
      <c r="B442" s="1"/>
      <c r="K442" s="151"/>
      <c r="N442" s="3"/>
      <c r="P442" s="151"/>
    </row>
    <row r="443" ht="12.0" customHeight="1">
      <c r="B443" s="1"/>
      <c r="K443" s="151"/>
      <c r="N443" s="3"/>
      <c r="P443" s="151"/>
    </row>
    <row r="444" ht="12.0" customHeight="1">
      <c r="B444" s="1"/>
      <c r="K444" s="151"/>
      <c r="N444" s="3"/>
      <c r="P444" s="151"/>
    </row>
    <row r="445" ht="12.0" customHeight="1">
      <c r="B445" s="1"/>
      <c r="K445" s="151"/>
      <c r="N445" s="3"/>
      <c r="P445" s="151"/>
    </row>
    <row r="446" ht="12.0" customHeight="1">
      <c r="B446" s="1"/>
      <c r="K446" s="151"/>
      <c r="N446" s="3"/>
      <c r="P446" s="151"/>
    </row>
    <row r="447" ht="12.0" customHeight="1">
      <c r="B447" s="1"/>
      <c r="K447" s="151"/>
      <c r="N447" s="3"/>
      <c r="P447" s="151"/>
    </row>
    <row r="448" ht="12.0" customHeight="1">
      <c r="B448" s="1"/>
      <c r="K448" s="151"/>
      <c r="N448" s="3"/>
      <c r="P448" s="151"/>
    </row>
    <row r="449" ht="12.0" customHeight="1">
      <c r="B449" s="1"/>
      <c r="K449" s="151"/>
      <c r="N449" s="3"/>
      <c r="P449" s="151"/>
    </row>
    <row r="450" ht="12.0" customHeight="1">
      <c r="B450" s="1"/>
      <c r="K450" s="151"/>
      <c r="N450" s="3"/>
      <c r="P450" s="151"/>
    </row>
    <row r="451" ht="12.0" customHeight="1">
      <c r="B451" s="1"/>
      <c r="K451" s="151"/>
      <c r="N451" s="3"/>
      <c r="P451" s="151"/>
    </row>
    <row r="452" ht="12.0" customHeight="1">
      <c r="B452" s="1"/>
      <c r="K452" s="151"/>
      <c r="N452" s="3"/>
      <c r="P452" s="151"/>
    </row>
    <row r="453" ht="12.0" customHeight="1">
      <c r="B453" s="1"/>
      <c r="K453" s="151"/>
      <c r="N453" s="3"/>
      <c r="P453" s="151"/>
    </row>
    <row r="454" ht="12.0" customHeight="1">
      <c r="B454" s="1"/>
      <c r="K454" s="151"/>
      <c r="N454" s="3"/>
      <c r="P454" s="151"/>
    </row>
    <row r="455" ht="12.0" customHeight="1">
      <c r="B455" s="1"/>
      <c r="K455" s="151"/>
      <c r="N455" s="3"/>
      <c r="P455" s="151"/>
    </row>
    <row r="456" ht="12.0" customHeight="1">
      <c r="B456" s="1"/>
      <c r="K456" s="151"/>
      <c r="N456" s="3"/>
      <c r="P456" s="151"/>
    </row>
    <row r="457" ht="12.0" customHeight="1">
      <c r="B457" s="1"/>
      <c r="K457" s="151"/>
      <c r="N457" s="3"/>
      <c r="P457" s="151"/>
    </row>
    <row r="458" ht="12.0" customHeight="1">
      <c r="B458" s="1"/>
      <c r="K458" s="151"/>
      <c r="N458" s="3"/>
      <c r="P458" s="151"/>
    </row>
    <row r="459" ht="12.0" customHeight="1">
      <c r="B459" s="1"/>
      <c r="K459" s="151"/>
      <c r="N459" s="3"/>
      <c r="P459" s="151"/>
    </row>
    <row r="460" ht="12.0" customHeight="1">
      <c r="B460" s="1"/>
      <c r="K460" s="151"/>
      <c r="N460" s="3"/>
      <c r="P460" s="151"/>
    </row>
    <row r="461" ht="12.0" customHeight="1">
      <c r="B461" s="1"/>
      <c r="K461" s="151"/>
      <c r="N461" s="3"/>
      <c r="P461" s="151"/>
    </row>
    <row r="462" ht="12.0" customHeight="1">
      <c r="B462" s="1"/>
      <c r="K462" s="151"/>
      <c r="N462" s="3"/>
      <c r="P462" s="151"/>
    </row>
    <row r="463" ht="12.0" customHeight="1">
      <c r="B463" s="1"/>
      <c r="K463" s="151"/>
      <c r="N463" s="3"/>
      <c r="P463" s="151"/>
    </row>
    <row r="464" ht="12.0" customHeight="1">
      <c r="B464" s="1"/>
      <c r="K464" s="151"/>
      <c r="N464" s="3"/>
      <c r="P464" s="151"/>
    </row>
    <row r="465" ht="12.0" customHeight="1">
      <c r="B465" s="1"/>
      <c r="K465" s="151"/>
      <c r="N465" s="3"/>
      <c r="P465" s="151"/>
    </row>
    <row r="466" ht="12.0" customHeight="1">
      <c r="B466" s="1"/>
      <c r="K466" s="151"/>
      <c r="N466" s="3"/>
      <c r="P466" s="151"/>
    </row>
    <row r="467" ht="12.0" customHeight="1">
      <c r="B467" s="1"/>
      <c r="K467" s="151"/>
      <c r="N467" s="3"/>
      <c r="P467" s="151"/>
    </row>
    <row r="468" ht="12.0" customHeight="1">
      <c r="B468" s="1"/>
      <c r="K468" s="151"/>
      <c r="N468" s="3"/>
      <c r="P468" s="151"/>
    </row>
    <row r="469" ht="12.0" customHeight="1">
      <c r="B469" s="1"/>
      <c r="K469" s="151"/>
      <c r="N469" s="3"/>
      <c r="P469" s="151"/>
    </row>
    <row r="470" ht="12.0" customHeight="1">
      <c r="B470" s="1"/>
      <c r="K470" s="151"/>
      <c r="N470" s="3"/>
      <c r="P470" s="151"/>
    </row>
    <row r="471" ht="12.0" customHeight="1">
      <c r="B471" s="1"/>
      <c r="K471" s="151"/>
      <c r="N471" s="3"/>
      <c r="P471" s="151"/>
    </row>
    <row r="472" ht="12.0" customHeight="1">
      <c r="B472" s="1"/>
      <c r="K472" s="151"/>
      <c r="N472" s="3"/>
      <c r="P472" s="151"/>
    </row>
    <row r="473" ht="12.0" customHeight="1">
      <c r="B473" s="1"/>
      <c r="K473" s="151"/>
      <c r="N473" s="3"/>
      <c r="P473" s="151"/>
    </row>
    <row r="474" ht="12.0" customHeight="1">
      <c r="B474" s="1"/>
      <c r="K474" s="151"/>
      <c r="N474" s="3"/>
      <c r="P474" s="151"/>
    </row>
    <row r="475" ht="12.0" customHeight="1">
      <c r="B475" s="1"/>
      <c r="K475" s="151"/>
      <c r="N475" s="3"/>
      <c r="P475" s="151"/>
    </row>
    <row r="476" ht="12.0" customHeight="1">
      <c r="B476" s="1"/>
      <c r="K476" s="151"/>
      <c r="N476" s="3"/>
      <c r="P476" s="151"/>
    </row>
    <row r="477" ht="12.0" customHeight="1">
      <c r="B477" s="1"/>
      <c r="K477" s="151"/>
      <c r="N477" s="3"/>
      <c r="P477" s="151"/>
    </row>
    <row r="478" ht="12.0" customHeight="1">
      <c r="B478" s="1"/>
      <c r="K478" s="151"/>
      <c r="N478" s="3"/>
      <c r="P478" s="151"/>
    </row>
    <row r="479" ht="12.0" customHeight="1">
      <c r="B479" s="1"/>
      <c r="K479" s="151"/>
      <c r="N479" s="3"/>
      <c r="P479" s="151"/>
    </row>
    <row r="480" ht="12.0" customHeight="1">
      <c r="B480" s="1"/>
      <c r="K480" s="151"/>
      <c r="N480" s="3"/>
      <c r="P480" s="151"/>
    </row>
    <row r="481" ht="12.0" customHeight="1">
      <c r="B481" s="1"/>
      <c r="K481" s="151"/>
      <c r="N481" s="3"/>
      <c r="P481" s="151"/>
    </row>
    <row r="482" ht="12.0" customHeight="1">
      <c r="B482" s="1"/>
      <c r="K482" s="151"/>
      <c r="N482" s="3"/>
      <c r="P482" s="151"/>
    </row>
    <row r="483" ht="12.0" customHeight="1">
      <c r="B483" s="1"/>
      <c r="K483" s="151"/>
      <c r="N483" s="3"/>
      <c r="P483" s="151"/>
    </row>
    <row r="484" ht="12.0" customHeight="1">
      <c r="B484" s="1"/>
      <c r="K484" s="151"/>
      <c r="N484" s="3"/>
      <c r="P484" s="151"/>
    </row>
    <row r="485" ht="12.0" customHeight="1">
      <c r="B485" s="1"/>
      <c r="K485" s="151"/>
      <c r="N485" s="3"/>
      <c r="P485" s="151"/>
    </row>
    <row r="486" ht="12.0" customHeight="1">
      <c r="B486" s="1"/>
      <c r="K486" s="151"/>
      <c r="N486" s="3"/>
      <c r="P486" s="151"/>
    </row>
    <row r="487" ht="12.0" customHeight="1">
      <c r="B487" s="1"/>
      <c r="K487" s="151"/>
      <c r="N487" s="3"/>
      <c r="P487" s="151"/>
    </row>
    <row r="488" ht="12.0" customHeight="1">
      <c r="B488" s="1"/>
      <c r="K488" s="151"/>
      <c r="N488" s="3"/>
      <c r="P488" s="151"/>
    </row>
    <row r="489" ht="12.0" customHeight="1">
      <c r="B489" s="1"/>
      <c r="K489" s="151"/>
      <c r="N489" s="3"/>
      <c r="P489" s="151"/>
    </row>
    <row r="490" ht="12.0" customHeight="1">
      <c r="B490" s="1"/>
      <c r="K490" s="151"/>
      <c r="N490" s="3"/>
      <c r="P490" s="151"/>
    </row>
    <row r="491" ht="12.0" customHeight="1">
      <c r="B491" s="1"/>
      <c r="K491" s="151"/>
      <c r="N491" s="3"/>
      <c r="P491" s="151"/>
    </row>
    <row r="492" ht="12.0" customHeight="1">
      <c r="B492" s="1"/>
      <c r="K492" s="151"/>
      <c r="N492" s="3"/>
      <c r="P492" s="151"/>
    </row>
    <row r="493" ht="12.0" customHeight="1">
      <c r="B493" s="1"/>
      <c r="K493" s="151"/>
      <c r="N493" s="3"/>
      <c r="P493" s="151"/>
    </row>
    <row r="494" ht="12.0" customHeight="1">
      <c r="B494" s="1"/>
      <c r="K494" s="151"/>
      <c r="N494" s="3"/>
      <c r="P494" s="151"/>
    </row>
    <row r="495" ht="12.0" customHeight="1">
      <c r="B495" s="1"/>
      <c r="K495" s="151"/>
      <c r="N495" s="3"/>
      <c r="P495" s="151"/>
    </row>
    <row r="496" ht="12.0" customHeight="1">
      <c r="B496" s="1"/>
      <c r="K496" s="151"/>
      <c r="N496" s="3"/>
      <c r="P496" s="151"/>
    </row>
    <row r="497" ht="12.0" customHeight="1">
      <c r="B497" s="1"/>
      <c r="K497" s="151"/>
      <c r="N497" s="3"/>
      <c r="P497" s="151"/>
    </row>
    <row r="498" ht="12.0" customHeight="1">
      <c r="B498" s="1"/>
      <c r="K498" s="151"/>
      <c r="N498" s="3"/>
      <c r="P498" s="151"/>
    </row>
    <row r="499" ht="12.0" customHeight="1">
      <c r="B499" s="1"/>
      <c r="K499" s="151"/>
      <c r="N499" s="3"/>
      <c r="P499" s="151"/>
    </row>
    <row r="500" ht="12.0" customHeight="1">
      <c r="B500" s="1"/>
      <c r="K500" s="151"/>
      <c r="N500" s="3"/>
      <c r="P500" s="151"/>
    </row>
    <row r="501" ht="12.0" customHeight="1">
      <c r="B501" s="1"/>
      <c r="K501" s="151"/>
      <c r="N501" s="3"/>
      <c r="P501" s="151"/>
    </row>
    <row r="502" ht="12.0" customHeight="1">
      <c r="B502" s="1"/>
      <c r="K502" s="151"/>
      <c r="N502" s="3"/>
      <c r="P502" s="151"/>
    </row>
    <row r="503" ht="12.0" customHeight="1">
      <c r="B503" s="1"/>
      <c r="K503" s="151"/>
      <c r="N503" s="3"/>
      <c r="P503" s="151"/>
    </row>
    <row r="504" ht="12.0" customHeight="1">
      <c r="B504" s="1"/>
      <c r="K504" s="151"/>
      <c r="N504" s="3"/>
      <c r="P504" s="151"/>
    </row>
    <row r="505" ht="12.0" customHeight="1">
      <c r="B505" s="1"/>
      <c r="K505" s="151"/>
      <c r="N505" s="3"/>
      <c r="P505" s="151"/>
    </row>
    <row r="506" ht="12.0" customHeight="1">
      <c r="B506" s="1"/>
      <c r="K506" s="151"/>
      <c r="N506" s="3"/>
      <c r="P506" s="151"/>
    </row>
    <row r="507" ht="12.0" customHeight="1">
      <c r="B507" s="1"/>
      <c r="K507" s="151"/>
      <c r="N507" s="3"/>
      <c r="P507" s="151"/>
    </row>
    <row r="508" ht="12.0" customHeight="1">
      <c r="B508" s="1"/>
      <c r="K508" s="151"/>
      <c r="N508" s="3"/>
      <c r="P508" s="151"/>
    </row>
    <row r="509" ht="12.0" customHeight="1">
      <c r="B509" s="1"/>
      <c r="K509" s="151"/>
      <c r="N509" s="3"/>
      <c r="P509" s="151"/>
    </row>
    <row r="510" ht="12.0" customHeight="1">
      <c r="B510" s="1"/>
      <c r="K510" s="151"/>
      <c r="N510" s="3"/>
      <c r="P510" s="151"/>
    </row>
    <row r="511" ht="12.0" customHeight="1">
      <c r="B511" s="1"/>
      <c r="K511" s="151"/>
      <c r="N511" s="3"/>
      <c r="P511" s="151"/>
    </row>
    <row r="512" ht="12.0" customHeight="1">
      <c r="B512" s="1"/>
      <c r="K512" s="151"/>
      <c r="N512" s="3"/>
      <c r="P512" s="151"/>
    </row>
    <row r="513" ht="12.0" customHeight="1">
      <c r="B513" s="1"/>
      <c r="K513" s="151"/>
      <c r="N513" s="3"/>
      <c r="P513" s="151"/>
    </row>
    <row r="514" ht="12.0" customHeight="1">
      <c r="B514" s="1"/>
      <c r="K514" s="151"/>
      <c r="N514" s="3"/>
      <c r="P514" s="151"/>
    </row>
    <row r="515" ht="12.0" customHeight="1">
      <c r="B515" s="1"/>
      <c r="K515" s="151"/>
      <c r="N515" s="3"/>
      <c r="P515" s="151"/>
    </row>
    <row r="516" ht="12.0" customHeight="1">
      <c r="B516" s="1"/>
      <c r="K516" s="151"/>
      <c r="N516" s="3"/>
      <c r="P516" s="151"/>
    </row>
    <row r="517" ht="12.0" customHeight="1">
      <c r="B517" s="1"/>
      <c r="K517" s="151"/>
      <c r="N517" s="3"/>
      <c r="P517" s="151"/>
    </row>
    <row r="518" ht="12.0" customHeight="1">
      <c r="B518" s="1"/>
      <c r="K518" s="151"/>
      <c r="N518" s="3"/>
      <c r="P518" s="151"/>
    </row>
    <row r="519" ht="12.0" customHeight="1">
      <c r="B519" s="1"/>
      <c r="K519" s="151"/>
      <c r="N519" s="3"/>
      <c r="P519" s="151"/>
    </row>
    <row r="520" ht="12.0" customHeight="1">
      <c r="B520" s="1"/>
      <c r="K520" s="151"/>
      <c r="N520" s="3"/>
      <c r="P520" s="151"/>
    </row>
    <row r="521" ht="12.0" customHeight="1">
      <c r="B521" s="1"/>
      <c r="K521" s="151"/>
      <c r="N521" s="3"/>
      <c r="P521" s="151"/>
    </row>
    <row r="522" ht="12.0" customHeight="1">
      <c r="B522" s="1"/>
      <c r="K522" s="151"/>
      <c r="N522" s="3"/>
      <c r="P522" s="151"/>
    </row>
    <row r="523" ht="12.0" customHeight="1">
      <c r="B523" s="1"/>
      <c r="K523" s="151"/>
      <c r="N523" s="3"/>
      <c r="P523" s="151"/>
    </row>
    <row r="524" ht="12.0" customHeight="1">
      <c r="B524" s="1"/>
      <c r="K524" s="151"/>
      <c r="N524" s="3"/>
      <c r="P524" s="151"/>
    </row>
    <row r="525" ht="12.0" customHeight="1">
      <c r="B525" s="1"/>
      <c r="K525" s="151"/>
      <c r="N525" s="3"/>
      <c r="P525" s="151"/>
    </row>
    <row r="526" ht="12.0" customHeight="1">
      <c r="B526" s="1"/>
      <c r="K526" s="151"/>
      <c r="N526" s="3"/>
      <c r="P526" s="151"/>
    </row>
    <row r="527" ht="12.0" customHeight="1">
      <c r="B527" s="1"/>
      <c r="K527" s="151"/>
      <c r="N527" s="3"/>
      <c r="P527" s="151"/>
    </row>
    <row r="528" ht="12.0" customHeight="1">
      <c r="B528" s="1"/>
      <c r="K528" s="151"/>
      <c r="N528" s="3"/>
      <c r="P528" s="151"/>
    </row>
    <row r="529" ht="12.0" customHeight="1">
      <c r="B529" s="1"/>
      <c r="K529" s="151"/>
      <c r="N529" s="3"/>
      <c r="P529" s="151"/>
    </row>
    <row r="530" ht="12.0" customHeight="1">
      <c r="B530" s="1"/>
      <c r="K530" s="151"/>
      <c r="N530" s="3"/>
      <c r="P530" s="151"/>
    </row>
    <row r="531" ht="12.0" customHeight="1">
      <c r="B531" s="1"/>
      <c r="K531" s="151"/>
      <c r="N531" s="3"/>
      <c r="P531" s="151"/>
    </row>
    <row r="532" ht="12.0" customHeight="1">
      <c r="B532" s="1"/>
      <c r="K532" s="151"/>
      <c r="N532" s="3"/>
      <c r="P532" s="151"/>
    </row>
    <row r="533" ht="12.0" customHeight="1">
      <c r="B533" s="1"/>
      <c r="K533" s="151"/>
      <c r="N533" s="3"/>
      <c r="P533" s="151"/>
    </row>
    <row r="534" ht="12.0" customHeight="1">
      <c r="B534" s="1"/>
      <c r="K534" s="151"/>
      <c r="N534" s="3"/>
      <c r="P534" s="151"/>
    </row>
    <row r="535" ht="12.0" customHeight="1">
      <c r="B535" s="1"/>
      <c r="K535" s="151"/>
      <c r="N535" s="3"/>
      <c r="P535" s="151"/>
    </row>
    <row r="536" ht="12.0" customHeight="1">
      <c r="B536" s="1"/>
      <c r="K536" s="151"/>
      <c r="N536" s="3"/>
      <c r="P536" s="151"/>
    </row>
    <row r="537" ht="12.0" customHeight="1">
      <c r="B537" s="1"/>
      <c r="K537" s="151"/>
      <c r="N537" s="3"/>
      <c r="P537" s="151"/>
    </row>
    <row r="538" ht="12.0" customHeight="1">
      <c r="B538" s="1"/>
      <c r="K538" s="151"/>
      <c r="N538" s="3"/>
      <c r="P538" s="151"/>
    </row>
    <row r="539" ht="12.0" customHeight="1">
      <c r="B539" s="1"/>
      <c r="K539" s="151"/>
      <c r="N539" s="3"/>
      <c r="P539" s="151"/>
    </row>
    <row r="540" ht="12.0" customHeight="1">
      <c r="B540" s="1"/>
      <c r="K540" s="151"/>
      <c r="N540" s="3"/>
      <c r="P540" s="151"/>
    </row>
    <row r="541" ht="12.0" customHeight="1">
      <c r="B541" s="1"/>
      <c r="K541" s="151"/>
      <c r="N541" s="3"/>
      <c r="P541" s="151"/>
    </row>
    <row r="542" ht="12.0" customHeight="1">
      <c r="B542" s="1"/>
      <c r="K542" s="151"/>
      <c r="N542" s="3"/>
      <c r="P542" s="151"/>
    </row>
    <row r="543" ht="12.0" customHeight="1">
      <c r="B543" s="1"/>
      <c r="K543" s="151"/>
      <c r="N543" s="3"/>
      <c r="P543" s="151"/>
    </row>
    <row r="544" ht="12.0" customHeight="1">
      <c r="B544" s="1"/>
      <c r="K544" s="151"/>
      <c r="N544" s="3"/>
      <c r="P544" s="151"/>
    </row>
    <row r="545" ht="12.0" customHeight="1">
      <c r="B545" s="1"/>
      <c r="K545" s="151"/>
      <c r="N545" s="3"/>
      <c r="P545" s="151"/>
    </row>
    <row r="546" ht="12.0" customHeight="1">
      <c r="B546" s="1"/>
      <c r="K546" s="151"/>
      <c r="N546" s="3"/>
      <c r="P546" s="151"/>
    </row>
    <row r="547" ht="12.0" customHeight="1">
      <c r="B547" s="1"/>
      <c r="K547" s="151"/>
      <c r="N547" s="3"/>
      <c r="P547" s="151"/>
    </row>
    <row r="548" ht="12.0" customHeight="1">
      <c r="B548" s="1"/>
      <c r="K548" s="151"/>
      <c r="N548" s="3"/>
      <c r="P548" s="151"/>
    </row>
    <row r="549" ht="12.0" customHeight="1">
      <c r="B549" s="1"/>
      <c r="K549" s="151"/>
      <c r="N549" s="3"/>
      <c r="P549" s="151"/>
    </row>
    <row r="550" ht="12.0" customHeight="1">
      <c r="B550" s="1"/>
      <c r="K550" s="151"/>
      <c r="N550" s="3"/>
      <c r="P550" s="151"/>
    </row>
    <row r="551" ht="12.0" customHeight="1">
      <c r="B551" s="1"/>
      <c r="K551" s="151"/>
      <c r="N551" s="3"/>
      <c r="P551" s="151"/>
    </row>
    <row r="552" ht="12.0" customHeight="1">
      <c r="B552" s="1"/>
      <c r="K552" s="151"/>
      <c r="N552" s="3"/>
      <c r="P552" s="151"/>
    </row>
    <row r="553" ht="12.0" customHeight="1">
      <c r="B553" s="1"/>
      <c r="K553" s="151"/>
      <c r="N553" s="3"/>
      <c r="P553" s="151"/>
    </row>
    <row r="554" ht="12.0" customHeight="1">
      <c r="B554" s="1"/>
      <c r="K554" s="151"/>
      <c r="N554" s="3"/>
      <c r="P554" s="151"/>
    </row>
    <row r="555" ht="12.0" customHeight="1">
      <c r="B555" s="1"/>
      <c r="K555" s="151"/>
      <c r="N555" s="3"/>
      <c r="P555" s="151"/>
    </row>
    <row r="556" ht="12.0" customHeight="1">
      <c r="B556" s="1"/>
      <c r="K556" s="151"/>
      <c r="N556" s="3"/>
      <c r="P556" s="151"/>
    </row>
    <row r="557" ht="12.0" customHeight="1">
      <c r="B557" s="1"/>
      <c r="K557" s="151"/>
      <c r="N557" s="3"/>
      <c r="P557" s="151"/>
    </row>
    <row r="558" ht="12.0" customHeight="1">
      <c r="B558" s="1"/>
      <c r="K558" s="151"/>
      <c r="N558" s="3"/>
      <c r="P558" s="151"/>
    </row>
    <row r="559" ht="12.0" customHeight="1">
      <c r="B559" s="1"/>
      <c r="K559" s="151"/>
      <c r="N559" s="3"/>
      <c r="P559" s="151"/>
    </row>
    <row r="560" ht="12.0" customHeight="1">
      <c r="B560" s="1"/>
      <c r="K560" s="151"/>
      <c r="N560" s="3"/>
      <c r="P560" s="151"/>
    </row>
    <row r="561" ht="12.0" customHeight="1">
      <c r="B561" s="1"/>
      <c r="K561" s="151"/>
      <c r="N561" s="3"/>
      <c r="P561" s="151"/>
    </row>
    <row r="562" ht="12.0" customHeight="1">
      <c r="B562" s="1"/>
      <c r="K562" s="151"/>
      <c r="N562" s="3"/>
      <c r="P562" s="151"/>
    </row>
    <row r="563" ht="12.0" customHeight="1">
      <c r="B563" s="1"/>
      <c r="K563" s="151"/>
      <c r="N563" s="3"/>
      <c r="P563" s="151"/>
    </row>
    <row r="564" ht="12.0" customHeight="1">
      <c r="B564" s="1"/>
      <c r="K564" s="151"/>
      <c r="N564" s="3"/>
      <c r="P564" s="151"/>
    </row>
    <row r="565" ht="12.0" customHeight="1">
      <c r="B565" s="1"/>
      <c r="K565" s="151"/>
      <c r="N565" s="3"/>
      <c r="P565" s="151"/>
    </row>
    <row r="566" ht="12.0" customHeight="1">
      <c r="B566" s="1"/>
      <c r="K566" s="151"/>
      <c r="N566" s="3"/>
      <c r="P566" s="151"/>
    </row>
    <row r="567" ht="12.0" customHeight="1">
      <c r="B567" s="1"/>
      <c r="K567" s="151"/>
      <c r="N567" s="3"/>
      <c r="P567" s="151"/>
    </row>
    <row r="568" ht="12.0" customHeight="1">
      <c r="B568" s="1"/>
      <c r="K568" s="151"/>
      <c r="N568" s="3"/>
      <c r="P568" s="151"/>
    </row>
    <row r="569" ht="12.0" customHeight="1">
      <c r="B569" s="1"/>
      <c r="K569" s="151"/>
      <c r="N569" s="3"/>
      <c r="P569" s="151"/>
    </row>
    <row r="570" ht="12.0" customHeight="1">
      <c r="B570" s="1"/>
      <c r="K570" s="151"/>
      <c r="N570" s="3"/>
      <c r="P570" s="151"/>
    </row>
    <row r="571" ht="12.0" customHeight="1">
      <c r="B571" s="1"/>
      <c r="K571" s="151"/>
      <c r="N571" s="3"/>
      <c r="P571" s="151"/>
    </row>
    <row r="572" ht="12.0" customHeight="1">
      <c r="B572" s="1"/>
      <c r="K572" s="151"/>
      <c r="N572" s="3"/>
      <c r="P572" s="151"/>
    </row>
    <row r="573" ht="12.0" customHeight="1">
      <c r="B573" s="1"/>
      <c r="K573" s="151"/>
      <c r="N573" s="3"/>
      <c r="P573" s="151"/>
    </row>
    <row r="574" ht="12.0" customHeight="1">
      <c r="B574" s="1"/>
      <c r="K574" s="151"/>
      <c r="N574" s="3"/>
      <c r="P574" s="151"/>
    </row>
    <row r="575" ht="12.0" customHeight="1">
      <c r="B575" s="1"/>
      <c r="K575" s="151"/>
      <c r="N575" s="3"/>
      <c r="P575" s="151"/>
    </row>
    <row r="576" ht="12.0" customHeight="1">
      <c r="B576" s="1"/>
      <c r="K576" s="151"/>
      <c r="N576" s="3"/>
      <c r="P576" s="151"/>
    </row>
    <row r="577" ht="12.0" customHeight="1">
      <c r="B577" s="1"/>
      <c r="K577" s="151"/>
      <c r="N577" s="3"/>
      <c r="P577" s="151"/>
    </row>
    <row r="578" ht="12.0" customHeight="1">
      <c r="B578" s="1"/>
      <c r="K578" s="151"/>
      <c r="N578" s="3"/>
      <c r="P578" s="151"/>
    </row>
    <row r="579" ht="12.0" customHeight="1">
      <c r="B579" s="1"/>
      <c r="K579" s="151"/>
      <c r="N579" s="3"/>
      <c r="P579" s="151"/>
    </row>
    <row r="580" ht="12.0" customHeight="1">
      <c r="B580" s="1"/>
      <c r="K580" s="151"/>
      <c r="N580" s="3"/>
      <c r="P580" s="151"/>
    </row>
    <row r="581" ht="12.0" customHeight="1">
      <c r="B581" s="1"/>
      <c r="K581" s="151"/>
      <c r="N581" s="3"/>
      <c r="P581" s="151"/>
    </row>
    <row r="582" ht="12.0" customHeight="1">
      <c r="B582" s="1"/>
      <c r="K582" s="151"/>
      <c r="N582" s="3"/>
      <c r="P582" s="151"/>
    </row>
    <row r="583" ht="12.0" customHeight="1">
      <c r="B583" s="1"/>
      <c r="K583" s="151"/>
      <c r="N583" s="3"/>
      <c r="P583" s="151"/>
    </row>
    <row r="584" ht="12.0" customHeight="1">
      <c r="B584" s="1"/>
      <c r="K584" s="151"/>
      <c r="N584" s="3"/>
      <c r="P584" s="151"/>
    </row>
    <row r="585" ht="12.0" customHeight="1">
      <c r="B585" s="1"/>
      <c r="K585" s="151"/>
      <c r="N585" s="3"/>
      <c r="P585" s="151"/>
    </row>
    <row r="586" ht="12.0" customHeight="1">
      <c r="B586" s="1"/>
      <c r="K586" s="151"/>
      <c r="N586" s="3"/>
      <c r="P586" s="151"/>
    </row>
    <row r="587" ht="12.0" customHeight="1">
      <c r="B587" s="1"/>
      <c r="K587" s="151"/>
      <c r="N587" s="3"/>
      <c r="P587" s="151"/>
    </row>
    <row r="588" ht="12.0" customHeight="1">
      <c r="B588" s="1"/>
      <c r="K588" s="151"/>
      <c r="N588" s="3"/>
      <c r="P588" s="151"/>
    </row>
    <row r="589" ht="12.0" customHeight="1">
      <c r="B589" s="1"/>
      <c r="K589" s="151"/>
      <c r="N589" s="3"/>
      <c r="P589" s="151"/>
    </row>
    <row r="590" ht="12.0" customHeight="1">
      <c r="B590" s="1"/>
      <c r="K590" s="151"/>
      <c r="N590" s="3"/>
      <c r="P590" s="151"/>
    </row>
    <row r="591" ht="12.0" customHeight="1">
      <c r="B591" s="1"/>
      <c r="K591" s="151"/>
      <c r="N591" s="3"/>
      <c r="P591" s="151"/>
    </row>
    <row r="592" ht="12.0" customHeight="1">
      <c r="B592" s="1"/>
      <c r="K592" s="151"/>
      <c r="N592" s="3"/>
      <c r="P592" s="151"/>
    </row>
    <row r="593" ht="12.0" customHeight="1">
      <c r="B593" s="1"/>
      <c r="K593" s="151"/>
      <c r="N593" s="3"/>
      <c r="P593" s="151"/>
    </row>
    <row r="594" ht="12.0" customHeight="1">
      <c r="B594" s="1"/>
      <c r="K594" s="151"/>
      <c r="N594" s="3"/>
      <c r="P594" s="151"/>
    </row>
    <row r="595" ht="12.0" customHeight="1">
      <c r="B595" s="1"/>
      <c r="K595" s="151"/>
      <c r="N595" s="3"/>
      <c r="P595" s="151"/>
    </row>
    <row r="596" ht="12.0" customHeight="1">
      <c r="B596" s="1"/>
      <c r="K596" s="151"/>
      <c r="N596" s="3"/>
      <c r="P596" s="151"/>
    </row>
    <row r="597" ht="12.0" customHeight="1">
      <c r="B597" s="1"/>
      <c r="K597" s="151"/>
      <c r="N597" s="3"/>
      <c r="P597" s="151"/>
    </row>
    <row r="598" ht="12.0" customHeight="1">
      <c r="B598" s="1"/>
      <c r="K598" s="151"/>
      <c r="N598" s="3"/>
      <c r="P598" s="151"/>
    </row>
    <row r="599" ht="12.0" customHeight="1">
      <c r="B599" s="1"/>
      <c r="K599" s="151"/>
      <c r="N599" s="3"/>
      <c r="P599" s="151"/>
    </row>
    <row r="600" ht="12.0" customHeight="1">
      <c r="B600" s="1"/>
      <c r="K600" s="151"/>
      <c r="N600" s="3"/>
      <c r="P600" s="151"/>
    </row>
    <row r="601" ht="12.0" customHeight="1">
      <c r="B601" s="1"/>
      <c r="K601" s="151"/>
      <c r="N601" s="3"/>
      <c r="P601" s="151"/>
    </row>
    <row r="602" ht="12.0" customHeight="1">
      <c r="B602" s="1"/>
      <c r="K602" s="151"/>
      <c r="N602" s="3"/>
      <c r="P602" s="151"/>
    </row>
    <row r="603" ht="12.0" customHeight="1">
      <c r="B603" s="1"/>
      <c r="K603" s="151"/>
      <c r="N603" s="3"/>
      <c r="P603" s="151"/>
    </row>
    <row r="604" ht="12.0" customHeight="1">
      <c r="B604" s="1"/>
      <c r="K604" s="151"/>
      <c r="N604" s="3"/>
      <c r="P604" s="151"/>
    </row>
    <row r="605" ht="12.0" customHeight="1">
      <c r="B605" s="1"/>
      <c r="K605" s="151"/>
      <c r="N605" s="3"/>
      <c r="P605" s="151"/>
    </row>
    <row r="606" ht="12.0" customHeight="1">
      <c r="B606" s="1"/>
      <c r="K606" s="151"/>
      <c r="N606" s="3"/>
      <c r="P606" s="151"/>
    </row>
    <row r="607" ht="12.0" customHeight="1">
      <c r="B607" s="1"/>
      <c r="K607" s="151"/>
      <c r="N607" s="3"/>
      <c r="P607" s="151"/>
    </row>
    <row r="608" ht="12.0" customHeight="1">
      <c r="B608" s="1"/>
      <c r="K608" s="151"/>
      <c r="N608" s="3"/>
      <c r="P608" s="151"/>
    </row>
    <row r="609" ht="12.0" customHeight="1">
      <c r="B609" s="1"/>
      <c r="K609" s="151"/>
      <c r="N609" s="3"/>
      <c r="P609" s="151"/>
    </row>
    <row r="610" ht="12.0" customHeight="1">
      <c r="B610" s="1"/>
      <c r="K610" s="151"/>
      <c r="N610" s="3"/>
      <c r="P610" s="151"/>
    </row>
    <row r="611" ht="12.0" customHeight="1">
      <c r="B611" s="1"/>
      <c r="K611" s="151"/>
      <c r="N611" s="3"/>
      <c r="P611" s="151"/>
    </row>
    <row r="612" ht="12.0" customHeight="1">
      <c r="B612" s="1"/>
      <c r="K612" s="151"/>
      <c r="N612" s="3"/>
      <c r="P612" s="151"/>
    </row>
    <row r="613" ht="12.0" customHeight="1">
      <c r="B613" s="1"/>
      <c r="K613" s="151"/>
      <c r="N613" s="3"/>
      <c r="P613" s="151"/>
    </row>
    <row r="614" ht="12.0" customHeight="1">
      <c r="B614" s="1"/>
      <c r="K614" s="151"/>
      <c r="N614" s="3"/>
      <c r="P614" s="151"/>
    </row>
    <row r="615" ht="12.0" customHeight="1">
      <c r="B615" s="1"/>
      <c r="K615" s="151"/>
      <c r="N615" s="3"/>
      <c r="P615" s="151"/>
    </row>
    <row r="616" ht="12.0" customHeight="1">
      <c r="B616" s="1"/>
      <c r="K616" s="151"/>
      <c r="N616" s="3"/>
      <c r="P616" s="151"/>
    </row>
    <row r="617" ht="12.0" customHeight="1">
      <c r="B617" s="1"/>
      <c r="K617" s="151"/>
      <c r="N617" s="3"/>
      <c r="P617" s="151"/>
    </row>
    <row r="618" ht="12.0" customHeight="1">
      <c r="B618" s="1"/>
      <c r="K618" s="151"/>
      <c r="N618" s="3"/>
      <c r="P618" s="151"/>
    </row>
    <row r="619" ht="12.0" customHeight="1">
      <c r="B619" s="1"/>
      <c r="K619" s="151"/>
      <c r="N619" s="3"/>
      <c r="P619" s="151"/>
    </row>
    <row r="620" ht="12.0" customHeight="1">
      <c r="B620" s="1"/>
      <c r="K620" s="151"/>
      <c r="N620" s="3"/>
      <c r="P620" s="151"/>
    </row>
    <row r="621" ht="12.0" customHeight="1">
      <c r="B621" s="1"/>
      <c r="K621" s="151"/>
      <c r="N621" s="3"/>
      <c r="P621" s="151"/>
    </row>
    <row r="622" ht="12.0" customHeight="1">
      <c r="B622" s="1"/>
      <c r="K622" s="151"/>
      <c r="N622" s="3"/>
      <c r="P622" s="151"/>
    </row>
    <row r="623" ht="12.0" customHeight="1">
      <c r="B623" s="1"/>
      <c r="K623" s="151"/>
      <c r="N623" s="3"/>
      <c r="P623" s="151"/>
    </row>
    <row r="624" ht="12.0" customHeight="1">
      <c r="B624" s="1"/>
      <c r="K624" s="151"/>
      <c r="N624" s="3"/>
      <c r="P624" s="151"/>
    </row>
    <row r="625" ht="12.0" customHeight="1">
      <c r="B625" s="1"/>
      <c r="K625" s="151"/>
      <c r="N625" s="3"/>
      <c r="P625" s="151"/>
    </row>
    <row r="626" ht="12.0" customHeight="1">
      <c r="B626" s="1"/>
      <c r="K626" s="151"/>
      <c r="N626" s="3"/>
      <c r="P626" s="151"/>
    </row>
    <row r="627" ht="12.0" customHeight="1">
      <c r="B627" s="1"/>
      <c r="K627" s="151"/>
      <c r="N627" s="3"/>
      <c r="P627" s="151"/>
    </row>
    <row r="628" ht="12.0" customHeight="1">
      <c r="B628" s="1"/>
      <c r="K628" s="151"/>
      <c r="N628" s="3"/>
      <c r="P628" s="151"/>
    </row>
    <row r="629" ht="12.0" customHeight="1">
      <c r="B629" s="1"/>
      <c r="K629" s="151"/>
      <c r="N629" s="3"/>
      <c r="P629" s="151"/>
    </row>
    <row r="630" ht="12.0" customHeight="1">
      <c r="B630" s="1"/>
      <c r="K630" s="151"/>
      <c r="N630" s="3"/>
      <c r="P630" s="151"/>
    </row>
    <row r="631" ht="12.0" customHeight="1">
      <c r="B631" s="1"/>
      <c r="K631" s="151"/>
      <c r="N631" s="3"/>
      <c r="P631" s="151"/>
    </row>
    <row r="632" ht="12.0" customHeight="1">
      <c r="B632" s="1"/>
      <c r="K632" s="151"/>
      <c r="N632" s="3"/>
      <c r="P632" s="151"/>
    </row>
    <row r="633" ht="12.0" customHeight="1">
      <c r="B633" s="1"/>
      <c r="K633" s="151"/>
      <c r="N633" s="3"/>
      <c r="P633" s="151"/>
    </row>
    <row r="634" ht="12.0" customHeight="1">
      <c r="B634" s="1"/>
      <c r="K634" s="151"/>
      <c r="N634" s="3"/>
      <c r="P634" s="151"/>
    </row>
    <row r="635" ht="12.0" customHeight="1">
      <c r="B635" s="1"/>
      <c r="K635" s="151"/>
      <c r="N635" s="3"/>
      <c r="P635" s="151"/>
    </row>
    <row r="636" ht="12.0" customHeight="1">
      <c r="B636" s="1"/>
      <c r="K636" s="151"/>
      <c r="N636" s="3"/>
      <c r="P636" s="151"/>
    </row>
    <row r="637" ht="12.0" customHeight="1">
      <c r="B637" s="1"/>
      <c r="K637" s="151"/>
      <c r="N637" s="3"/>
      <c r="P637" s="151"/>
    </row>
    <row r="638" ht="12.0" customHeight="1">
      <c r="B638" s="1"/>
      <c r="K638" s="151"/>
      <c r="N638" s="3"/>
      <c r="P638" s="151"/>
    </row>
    <row r="639" ht="12.0" customHeight="1">
      <c r="B639" s="1"/>
      <c r="K639" s="151"/>
      <c r="N639" s="3"/>
      <c r="P639" s="151"/>
    </row>
    <row r="640" ht="12.0" customHeight="1">
      <c r="B640" s="1"/>
      <c r="K640" s="151"/>
      <c r="N640" s="3"/>
      <c r="P640" s="151"/>
    </row>
    <row r="641" ht="12.0" customHeight="1">
      <c r="B641" s="1"/>
      <c r="K641" s="151"/>
      <c r="N641" s="3"/>
      <c r="P641" s="151"/>
    </row>
    <row r="642" ht="12.0" customHeight="1">
      <c r="B642" s="1"/>
      <c r="K642" s="151"/>
      <c r="N642" s="3"/>
      <c r="P642" s="151"/>
    </row>
    <row r="643" ht="12.0" customHeight="1">
      <c r="B643" s="1"/>
      <c r="K643" s="151"/>
      <c r="N643" s="3"/>
      <c r="P643" s="151"/>
    </row>
    <row r="644" ht="12.0" customHeight="1">
      <c r="B644" s="1"/>
      <c r="K644" s="151"/>
      <c r="N644" s="3"/>
      <c r="P644" s="151"/>
    </row>
    <row r="645" ht="12.0" customHeight="1">
      <c r="B645" s="1"/>
      <c r="K645" s="151"/>
      <c r="N645" s="3"/>
      <c r="P645" s="151"/>
    </row>
    <row r="646" ht="12.0" customHeight="1">
      <c r="B646" s="1"/>
      <c r="K646" s="151"/>
      <c r="N646" s="3"/>
      <c r="P646" s="151"/>
    </row>
    <row r="647" ht="12.0" customHeight="1">
      <c r="B647" s="1"/>
      <c r="K647" s="151"/>
      <c r="N647" s="3"/>
      <c r="P647" s="151"/>
    </row>
    <row r="648" ht="12.0" customHeight="1">
      <c r="B648" s="1"/>
      <c r="K648" s="151"/>
      <c r="N648" s="3"/>
      <c r="P648" s="151"/>
    </row>
    <row r="649" ht="12.0" customHeight="1">
      <c r="B649" s="1"/>
      <c r="K649" s="151"/>
      <c r="N649" s="3"/>
      <c r="P649" s="151"/>
    </row>
    <row r="650" ht="12.0" customHeight="1">
      <c r="B650" s="1"/>
      <c r="K650" s="151"/>
      <c r="N650" s="3"/>
      <c r="P650" s="151"/>
    </row>
    <row r="651" ht="12.0" customHeight="1">
      <c r="B651" s="1"/>
      <c r="K651" s="151"/>
      <c r="N651" s="3"/>
      <c r="P651" s="151"/>
    </row>
    <row r="652" ht="12.0" customHeight="1">
      <c r="B652" s="1"/>
      <c r="K652" s="151"/>
      <c r="N652" s="3"/>
      <c r="P652" s="151"/>
    </row>
    <row r="653" ht="12.0" customHeight="1">
      <c r="B653" s="1"/>
      <c r="K653" s="151"/>
      <c r="N653" s="3"/>
      <c r="P653" s="151"/>
    </row>
    <row r="654" ht="12.0" customHeight="1">
      <c r="B654" s="1"/>
      <c r="K654" s="151"/>
      <c r="N654" s="3"/>
      <c r="P654" s="151"/>
    </row>
    <row r="655" ht="12.0" customHeight="1">
      <c r="B655" s="1"/>
      <c r="K655" s="151"/>
      <c r="N655" s="3"/>
      <c r="P655" s="151"/>
    </row>
    <row r="656" ht="12.0" customHeight="1">
      <c r="B656" s="1"/>
      <c r="K656" s="151"/>
      <c r="N656" s="3"/>
      <c r="P656" s="151"/>
    </row>
    <row r="657" ht="12.0" customHeight="1">
      <c r="B657" s="1"/>
      <c r="K657" s="151"/>
      <c r="N657" s="3"/>
      <c r="P657" s="151"/>
    </row>
    <row r="658" ht="12.0" customHeight="1">
      <c r="B658" s="1"/>
      <c r="K658" s="151"/>
      <c r="N658" s="3"/>
      <c r="P658" s="151"/>
    </row>
    <row r="659" ht="12.0" customHeight="1">
      <c r="B659" s="1"/>
      <c r="K659" s="151"/>
      <c r="N659" s="3"/>
      <c r="P659" s="151"/>
    </row>
    <row r="660" ht="12.0" customHeight="1">
      <c r="B660" s="1"/>
      <c r="K660" s="151"/>
      <c r="N660" s="3"/>
      <c r="P660" s="151"/>
    </row>
    <row r="661" ht="12.0" customHeight="1">
      <c r="B661" s="1"/>
      <c r="K661" s="151"/>
      <c r="N661" s="3"/>
      <c r="P661" s="151"/>
    </row>
    <row r="662" ht="12.0" customHeight="1">
      <c r="B662" s="1"/>
      <c r="K662" s="151"/>
      <c r="N662" s="3"/>
      <c r="P662" s="151"/>
    </row>
    <row r="663" ht="12.0" customHeight="1">
      <c r="B663" s="1"/>
      <c r="K663" s="151"/>
      <c r="N663" s="3"/>
      <c r="P663" s="151"/>
    </row>
    <row r="664" ht="12.0" customHeight="1">
      <c r="B664" s="1"/>
      <c r="K664" s="151"/>
      <c r="N664" s="3"/>
      <c r="P664" s="151"/>
    </row>
    <row r="665" ht="12.0" customHeight="1">
      <c r="B665" s="1"/>
      <c r="K665" s="151"/>
      <c r="N665" s="3"/>
      <c r="P665" s="151"/>
    </row>
    <row r="666" ht="12.0" customHeight="1">
      <c r="B666" s="1"/>
      <c r="K666" s="151"/>
      <c r="N666" s="3"/>
      <c r="P666" s="151"/>
    </row>
    <row r="667" ht="12.0" customHeight="1">
      <c r="B667" s="1"/>
      <c r="K667" s="151"/>
      <c r="N667" s="3"/>
      <c r="P667" s="151"/>
    </row>
    <row r="668" ht="12.0" customHeight="1">
      <c r="B668" s="1"/>
      <c r="K668" s="151"/>
      <c r="N668" s="3"/>
      <c r="P668" s="151"/>
    </row>
    <row r="669" ht="12.0" customHeight="1">
      <c r="B669" s="1"/>
      <c r="K669" s="151"/>
      <c r="N669" s="3"/>
      <c r="P669" s="151"/>
    </row>
    <row r="670" ht="12.0" customHeight="1">
      <c r="B670" s="1"/>
      <c r="K670" s="151"/>
      <c r="N670" s="3"/>
      <c r="P670" s="151"/>
    </row>
    <row r="671" ht="12.0" customHeight="1">
      <c r="B671" s="1"/>
      <c r="K671" s="151"/>
      <c r="N671" s="3"/>
      <c r="P671" s="151"/>
    </row>
    <row r="672" ht="12.0" customHeight="1">
      <c r="B672" s="1"/>
      <c r="K672" s="151"/>
      <c r="N672" s="3"/>
      <c r="P672" s="151"/>
    </row>
    <row r="673" ht="12.0" customHeight="1">
      <c r="B673" s="1"/>
      <c r="K673" s="151"/>
      <c r="N673" s="3"/>
      <c r="P673" s="151"/>
    </row>
    <row r="674" ht="12.0" customHeight="1">
      <c r="B674" s="1"/>
      <c r="K674" s="151"/>
      <c r="N674" s="3"/>
      <c r="P674" s="151"/>
    </row>
    <row r="675" ht="12.0" customHeight="1">
      <c r="B675" s="1"/>
      <c r="K675" s="151"/>
      <c r="N675" s="3"/>
      <c r="P675" s="151"/>
    </row>
    <row r="676" ht="12.0" customHeight="1">
      <c r="B676" s="1"/>
      <c r="K676" s="151"/>
      <c r="N676" s="3"/>
      <c r="P676" s="151"/>
    </row>
    <row r="677" ht="12.0" customHeight="1">
      <c r="B677" s="1"/>
      <c r="K677" s="151"/>
      <c r="N677" s="3"/>
      <c r="P677" s="151"/>
    </row>
    <row r="678" ht="12.0" customHeight="1">
      <c r="B678" s="1"/>
      <c r="K678" s="151"/>
      <c r="N678" s="3"/>
      <c r="P678" s="151"/>
    </row>
    <row r="679" ht="12.0" customHeight="1">
      <c r="B679" s="1"/>
      <c r="K679" s="151"/>
      <c r="N679" s="3"/>
      <c r="P679" s="151"/>
    </row>
    <row r="680" ht="12.0" customHeight="1">
      <c r="B680" s="1"/>
      <c r="K680" s="151"/>
      <c r="N680" s="3"/>
      <c r="P680" s="151"/>
    </row>
    <row r="681" ht="12.0" customHeight="1">
      <c r="B681" s="1"/>
      <c r="K681" s="151"/>
      <c r="N681" s="3"/>
      <c r="P681" s="151"/>
    </row>
    <row r="682" ht="12.0" customHeight="1">
      <c r="B682" s="1"/>
      <c r="K682" s="151"/>
      <c r="N682" s="3"/>
      <c r="P682" s="151"/>
    </row>
    <row r="683" ht="12.0" customHeight="1">
      <c r="B683" s="1"/>
      <c r="K683" s="151"/>
      <c r="N683" s="3"/>
      <c r="P683" s="151"/>
    </row>
    <row r="684" ht="12.0" customHeight="1">
      <c r="B684" s="1"/>
      <c r="K684" s="151"/>
      <c r="N684" s="3"/>
      <c r="P684" s="151"/>
    </row>
    <row r="685" ht="12.0" customHeight="1">
      <c r="B685" s="1"/>
      <c r="K685" s="151"/>
      <c r="N685" s="3"/>
      <c r="P685" s="151"/>
    </row>
    <row r="686" ht="12.0" customHeight="1">
      <c r="B686" s="1"/>
      <c r="K686" s="151"/>
      <c r="N686" s="3"/>
      <c r="P686" s="151"/>
    </row>
    <row r="687" ht="12.0" customHeight="1">
      <c r="B687" s="1"/>
      <c r="K687" s="151"/>
      <c r="N687" s="3"/>
      <c r="P687" s="151"/>
    </row>
    <row r="688" ht="12.0" customHeight="1">
      <c r="B688" s="1"/>
      <c r="K688" s="151"/>
      <c r="N688" s="3"/>
      <c r="P688" s="151"/>
    </row>
    <row r="689" ht="12.0" customHeight="1">
      <c r="B689" s="1"/>
      <c r="K689" s="151"/>
      <c r="N689" s="3"/>
      <c r="P689" s="151"/>
    </row>
    <row r="690" ht="12.0" customHeight="1">
      <c r="B690" s="1"/>
      <c r="K690" s="151"/>
      <c r="N690" s="3"/>
      <c r="P690" s="151"/>
    </row>
    <row r="691" ht="12.0" customHeight="1">
      <c r="B691" s="1"/>
      <c r="K691" s="151"/>
      <c r="N691" s="3"/>
      <c r="P691" s="151"/>
    </row>
    <row r="692" ht="12.0" customHeight="1">
      <c r="B692" s="1"/>
      <c r="K692" s="151"/>
      <c r="N692" s="3"/>
      <c r="P692" s="151"/>
    </row>
    <row r="693" ht="12.0" customHeight="1">
      <c r="B693" s="1"/>
      <c r="K693" s="151"/>
      <c r="N693" s="3"/>
      <c r="P693" s="151"/>
    </row>
    <row r="694" ht="12.0" customHeight="1">
      <c r="B694" s="1"/>
      <c r="K694" s="151"/>
      <c r="N694" s="3"/>
      <c r="P694" s="151"/>
    </row>
    <row r="695" ht="12.0" customHeight="1">
      <c r="B695" s="1"/>
      <c r="K695" s="151"/>
      <c r="N695" s="3"/>
      <c r="P695" s="151"/>
    </row>
    <row r="696" ht="12.0" customHeight="1">
      <c r="B696" s="1"/>
      <c r="K696" s="151"/>
      <c r="N696" s="3"/>
      <c r="P696" s="151"/>
    </row>
    <row r="697" ht="12.0" customHeight="1">
      <c r="B697" s="1"/>
      <c r="K697" s="151"/>
      <c r="N697" s="3"/>
      <c r="P697" s="151"/>
    </row>
    <row r="698" ht="12.0" customHeight="1">
      <c r="B698" s="1"/>
      <c r="K698" s="151"/>
      <c r="N698" s="3"/>
      <c r="P698" s="151"/>
    </row>
    <row r="699" ht="12.0" customHeight="1">
      <c r="B699" s="1"/>
      <c r="K699" s="151"/>
      <c r="N699" s="3"/>
      <c r="P699" s="151"/>
    </row>
    <row r="700" ht="12.0" customHeight="1">
      <c r="B700" s="1"/>
      <c r="K700" s="151"/>
      <c r="N700" s="3"/>
      <c r="P700" s="151"/>
    </row>
    <row r="701" ht="12.0" customHeight="1">
      <c r="B701" s="1"/>
      <c r="K701" s="151"/>
      <c r="N701" s="3"/>
      <c r="P701" s="151"/>
    </row>
    <row r="702" ht="12.0" customHeight="1">
      <c r="B702" s="1"/>
      <c r="K702" s="151"/>
      <c r="N702" s="3"/>
      <c r="P702" s="151"/>
    </row>
    <row r="703" ht="12.0" customHeight="1">
      <c r="B703" s="1"/>
      <c r="K703" s="151"/>
      <c r="N703" s="3"/>
      <c r="P703" s="151"/>
    </row>
    <row r="704" ht="12.0" customHeight="1">
      <c r="B704" s="1"/>
      <c r="K704" s="151"/>
      <c r="N704" s="3"/>
      <c r="P704" s="151"/>
    </row>
    <row r="705" ht="12.0" customHeight="1">
      <c r="B705" s="1"/>
      <c r="K705" s="151"/>
      <c r="N705" s="3"/>
      <c r="P705" s="151"/>
    </row>
    <row r="706" ht="12.0" customHeight="1">
      <c r="B706" s="1"/>
      <c r="K706" s="151"/>
      <c r="N706" s="3"/>
      <c r="P706" s="151"/>
    </row>
    <row r="707" ht="12.0" customHeight="1">
      <c r="B707" s="1"/>
      <c r="K707" s="151"/>
      <c r="N707" s="3"/>
      <c r="P707" s="151"/>
    </row>
    <row r="708" ht="12.0" customHeight="1">
      <c r="B708" s="1"/>
      <c r="K708" s="151"/>
      <c r="N708" s="3"/>
      <c r="P708" s="151"/>
    </row>
    <row r="709" ht="12.0" customHeight="1">
      <c r="B709" s="1"/>
      <c r="K709" s="151"/>
      <c r="N709" s="3"/>
      <c r="P709" s="151"/>
    </row>
    <row r="710" ht="12.0" customHeight="1">
      <c r="B710" s="1"/>
      <c r="K710" s="151"/>
      <c r="N710" s="3"/>
      <c r="P710" s="151"/>
    </row>
    <row r="711" ht="12.0" customHeight="1">
      <c r="B711" s="1"/>
      <c r="K711" s="151"/>
      <c r="N711" s="3"/>
      <c r="P711" s="151"/>
    </row>
    <row r="712" ht="12.0" customHeight="1">
      <c r="B712" s="1"/>
      <c r="K712" s="151"/>
      <c r="N712" s="3"/>
      <c r="P712" s="151"/>
    </row>
    <row r="713" ht="12.0" customHeight="1">
      <c r="B713" s="1"/>
      <c r="K713" s="151"/>
      <c r="N713" s="3"/>
      <c r="P713" s="151"/>
    </row>
    <row r="714" ht="12.0" customHeight="1">
      <c r="B714" s="1"/>
      <c r="K714" s="151"/>
      <c r="N714" s="3"/>
      <c r="P714" s="151"/>
    </row>
    <row r="715" ht="12.0" customHeight="1">
      <c r="B715" s="1"/>
      <c r="K715" s="151"/>
      <c r="N715" s="3"/>
      <c r="P715" s="151"/>
    </row>
    <row r="716" ht="12.0" customHeight="1">
      <c r="B716" s="1"/>
      <c r="K716" s="151"/>
      <c r="N716" s="3"/>
      <c r="P716" s="151"/>
    </row>
    <row r="717" ht="12.0" customHeight="1">
      <c r="B717" s="1"/>
      <c r="K717" s="151"/>
      <c r="N717" s="3"/>
      <c r="P717" s="151"/>
    </row>
    <row r="718" ht="12.0" customHeight="1">
      <c r="B718" s="1"/>
      <c r="K718" s="151"/>
      <c r="N718" s="3"/>
      <c r="P718" s="151"/>
    </row>
    <row r="719" ht="12.0" customHeight="1">
      <c r="B719" s="1"/>
      <c r="K719" s="151"/>
      <c r="N719" s="3"/>
      <c r="P719" s="151"/>
    </row>
    <row r="720" ht="12.0" customHeight="1">
      <c r="B720" s="1"/>
      <c r="K720" s="151"/>
      <c r="N720" s="3"/>
      <c r="P720" s="151"/>
    </row>
    <row r="721" ht="12.0" customHeight="1">
      <c r="B721" s="1"/>
      <c r="K721" s="151"/>
      <c r="N721" s="3"/>
      <c r="P721" s="151"/>
    </row>
    <row r="722" ht="12.0" customHeight="1">
      <c r="B722" s="1"/>
      <c r="K722" s="151"/>
      <c r="N722" s="3"/>
      <c r="P722" s="151"/>
    </row>
    <row r="723" ht="12.0" customHeight="1">
      <c r="B723" s="1"/>
      <c r="K723" s="151"/>
      <c r="N723" s="3"/>
      <c r="P723" s="151"/>
    </row>
    <row r="724" ht="12.0" customHeight="1">
      <c r="B724" s="1"/>
      <c r="K724" s="151"/>
      <c r="N724" s="3"/>
      <c r="P724" s="151"/>
    </row>
    <row r="725" ht="12.0" customHeight="1">
      <c r="B725" s="1"/>
      <c r="K725" s="151"/>
      <c r="N725" s="3"/>
      <c r="P725" s="151"/>
    </row>
    <row r="726" ht="12.0" customHeight="1">
      <c r="B726" s="1"/>
      <c r="K726" s="151"/>
      <c r="N726" s="3"/>
      <c r="P726" s="151"/>
    </row>
    <row r="727" ht="12.0" customHeight="1">
      <c r="B727" s="1"/>
      <c r="K727" s="151"/>
      <c r="N727" s="3"/>
      <c r="P727" s="151"/>
    </row>
    <row r="728" ht="12.0" customHeight="1">
      <c r="B728" s="1"/>
      <c r="K728" s="151"/>
      <c r="N728" s="3"/>
      <c r="P728" s="151"/>
    </row>
    <row r="729" ht="12.0" customHeight="1">
      <c r="B729" s="1"/>
      <c r="K729" s="151"/>
      <c r="N729" s="3"/>
      <c r="P729" s="151"/>
    </row>
    <row r="730" ht="12.0" customHeight="1">
      <c r="B730" s="1"/>
      <c r="K730" s="151"/>
      <c r="N730" s="3"/>
      <c r="P730" s="151"/>
    </row>
    <row r="731" ht="12.0" customHeight="1">
      <c r="B731" s="1"/>
      <c r="K731" s="151"/>
      <c r="N731" s="3"/>
      <c r="P731" s="151"/>
    </row>
    <row r="732" ht="12.0" customHeight="1">
      <c r="B732" s="1"/>
      <c r="K732" s="151"/>
      <c r="N732" s="3"/>
      <c r="P732" s="151"/>
    </row>
    <row r="733" ht="12.0" customHeight="1">
      <c r="B733" s="1"/>
      <c r="K733" s="151"/>
      <c r="N733" s="3"/>
      <c r="P733" s="151"/>
    </row>
    <row r="734" ht="12.0" customHeight="1">
      <c r="B734" s="1"/>
      <c r="K734" s="151"/>
      <c r="N734" s="3"/>
      <c r="P734" s="151"/>
    </row>
    <row r="735" ht="12.0" customHeight="1">
      <c r="B735" s="1"/>
      <c r="K735" s="151"/>
      <c r="N735" s="3"/>
      <c r="P735" s="151"/>
    </row>
    <row r="736" ht="12.0" customHeight="1">
      <c r="B736" s="1"/>
      <c r="K736" s="151"/>
      <c r="N736" s="3"/>
      <c r="P736" s="151"/>
    </row>
    <row r="737" ht="12.0" customHeight="1">
      <c r="B737" s="1"/>
      <c r="K737" s="151"/>
      <c r="N737" s="3"/>
      <c r="P737" s="151"/>
    </row>
    <row r="738" ht="12.0" customHeight="1">
      <c r="B738" s="1"/>
      <c r="K738" s="151"/>
      <c r="N738" s="3"/>
      <c r="P738" s="151"/>
    </row>
    <row r="739" ht="12.0" customHeight="1">
      <c r="B739" s="1"/>
      <c r="K739" s="151"/>
      <c r="N739" s="3"/>
      <c r="P739" s="151"/>
    </row>
    <row r="740" ht="12.0" customHeight="1">
      <c r="B740" s="1"/>
      <c r="K740" s="151"/>
      <c r="N740" s="3"/>
      <c r="P740" s="151"/>
    </row>
    <row r="741" ht="12.0" customHeight="1">
      <c r="B741" s="1"/>
      <c r="K741" s="151"/>
      <c r="N741" s="3"/>
      <c r="P741" s="151"/>
    </row>
    <row r="742" ht="12.0" customHeight="1">
      <c r="B742" s="1"/>
      <c r="K742" s="151"/>
      <c r="N742" s="3"/>
      <c r="P742" s="151"/>
    </row>
    <row r="743" ht="12.0" customHeight="1">
      <c r="B743" s="1"/>
      <c r="K743" s="151"/>
      <c r="N743" s="3"/>
      <c r="P743" s="151"/>
    </row>
    <row r="744" ht="12.0" customHeight="1">
      <c r="B744" s="1"/>
      <c r="K744" s="151"/>
      <c r="N744" s="3"/>
      <c r="P744" s="151"/>
    </row>
    <row r="745" ht="12.0" customHeight="1">
      <c r="B745" s="1"/>
      <c r="K745" s="151"/>
      <c r="N745" s="3"/>
      <c r="P745" s="151"/>
    </row>
    <row r="746" ht="12.0" customHeight="1">
      <c r="B746" s="1"/>
      <c r="K746" s="151"/>
      <c r="N746" s="3"/>
      <c r="P746" s="151"/>
    </row>
    <row r="747" ht="12.0" customHeight="1">
      <c r="B747" s="1"/>
      <c r="K747" s="151"/>
      <c r="N747" s="3"/>
      <c r="P747" s="151"/>
    </row>
    <row r="748" ht="12.0" customHeight="1">
      <c r="B748" s="1"/>
      <c r="K748" s="151"/>
      <c r="N748" s="3"/>
      <c r="P748" s="151"/>
    </row>
    <row r="749" ht="12.0" customHeight="1">
      <c r="B749" s="1"/>
      <c r="K749" s="151"/>
      <c r="N749" s="3"/>
      <c r="P749" s="151"/>
    </row>
    <row r="750" ht="12.0" customHeight="1">
      <c r="B750" s="1"/>
      <c r="K750" s="151"/>
      <c r="N750" s="3"/>
      <c r="P750" s="151"/>
    </row>
    <row r="751" ht="12.0" customHeight="1">
      <c r="B751" s="1"/>
      <c r="K751" s="151"/>
      <c r="N751" s="3"/>
      <c r="P751" s="151"/>
    </row>
    <row r="752" ht="12.0" customHeight="1">
      <c r="B752" s="1"/>
      <c r="K752" s="151"/>
      <c r="N752" s="3"/>
      <c r="P752" s="151"/>
    </row>
    <row r="753" ht="12.0" customHeight="1">
      <c r="B753" s="1"/>
      <c r="K753" s="151"/>
      <c r="N753" s="3"/>
      <c r="P753" s="151"/>
    </row>
    <row r="754" ht="12.0" customHeight="1">
      <c r="B754" s="1"/>
      <c r="K754" s="151"/>
      <c r="N754" s="3"/>
      <c r="P754" s="151"/>
    </row>
    <row r="755" ht="12.0" customHeight="1">
      <c r="B755" s="1"/>
      <c r="K755" s="151"/>
      <c r="N755" s="3"/>
      <c r="P755" s="151"/>
    </row>
    <row r="756" ht="12.0" customHeight="1">
      <c r="B756" s="1"/>
      <c r="K756" s="151"/>
      <c r="N756" s="3"/>
      <c r="P756" s="151"/>
    </row>
    <row r="757" ht="12.0" customHeight="1">
      <c r="B757" s="1"/>
      <c r="K757" s="151"/>
      <c r="N757" s="3"/>
      <c r="P757" s="151"/>
    </row>
    <row r="758" ht="12.0" customHeight="1">
      <c r="B758" s="1"/>
      <c r="K758" s="151"/>
      <c r="N758" s="3"/>
      <c r="P758" s="151"/>
    </row>
    <row r="759" ht="12.0" customHeight="1">
      <c r="B759" s="1"/>
      <c r="K759" s="151"/>
      <c r="N759" s="3"/>
      <c r="P759" s="151"/>
    </row>
    <row r="760" ht="12.0" customHeight="1">
      <c r="B760" s="1"/>
      <c r="K760" s="151"/>
      <c r="N760" s="3"/>
      <c r="P760" s="151"/>
    </row>
    <row r="761" ht="12.0" customHeight="1">
      <c r="B761" s="1"/>
      <c r="K761" s="151"/>
      <c r="N761" s="3"/>
      <c r="P761" s="151"/>
    </row>
    <row r="762" ht="12.0" customHeight="1">
      <c r="B762" s="1"/>
      <c r="K762" s="151"/>
      <c r="N762" s="3"/>
      <c r="P762" s="151"/>
    </row>
    <row r="763" ht="12.0" customHeight="1">
      <c r="B763" s="1"/>
      <c r="K763" s="151"/>
      <c r="N763" s="3"/>
      <c r="P763" s="151"/>
    </row>
    <row r="764" ht="12.0" customHeight="1">
      <c r="B764" s="1"/>
      <c r="K764" s="151"/>
      <c r="N764" s="3"/>
      <c r="P764" s="151"/>
    </row>
    <row r="765" ht="12.0" customHeight="1">
      <c r="B765" s="1"/>
      <c r="K765" s="151"/>
      <c r="N765" s="3"/>
      <c r="P765" s="151"/>
    </row>
    <row r="766" ht="12.0" customHeight="1">
      <c r="B766" s="1"/>
      <c r="K766" s="151"/>
      <c r="N766" s="3"/>
      <c r="P766" s="151"/>
    </row>
    <row r="767" ht="12.0" customHeight="1">
      <c r="B767" s="1"/>
      <c r="K767" s="151"/>
      <c r="N767" s="3"/>
      <c r="P767" s="151"/>
    </row>
    <row r="768" ht="12.0" customHeight="1">
      <c r="B768" s="1"/>
      <c r="K768" s="151"/>
      <c r="N768" s="3"/>
      <c r="P768" s="151"/>
    </row>
    <row r="769" ht="12.0" customHeight="1">
      <c r="B769" s="1"/>
      <c r="K769" s="151"/>
      <c r="N769" s="3"/>
      <c r="P769" s="151"/>
    </row>
    <row r="770" ht="12.0" customHeight="1">
      <c r="B770" s="1"/>
      <c r="K770" s="151"/>
      <c r="N770" s="3"/>
      <c r="P770" s="151"/>
    </row>
    <row r="771" ht="12.0" customHeight="1">
      <c r="B771" s="1"/>
      <c r="K771" s="151"/>
      <c r="N771" s="3"/>
      <c r="P771" s="151"/>
    </row>
    <row r="772" ht="12.0" customHeight="1">
      <c r="B772" s="1"/>
      <c r="K772" s="151"/>
      <c r="N772" s="3"/>
      <c r="P772" s="151"/>
    </row>
    <row r="773" ht="12.0" customHeight="1">
      <c r="B773" s="1"/>
      <c r="K773" s="151"/>
      <c r="N773" s="3"/>
      <c r="P773" s="151"/>
    </row>
    <row r="774" ht="12.0" customHeight="1">
      <c r="B774" s="1"/>
      <c r="K774" s="151"/>
      <c r="N774" s="3"/>
      <c r="P774" s="151"/>
    </row>
    <row r="775" ht="12.0" customHeight="1">
      <c r="B775" s="1"/>
      <c r="K775" s="151"/>
      <c r="N775" s="3"/>
      <c r="P775" s="151"/>
    </row>
    <row r="776" ht="12.0" customHeight="1">
      <c r="B776" s="1"/>
      <c r="K776" s="151"/>
      <c r="N776" s="3"/>
      <c r="P776" s="151"/>
    </row>
    <row r="777" ht="12.0" customHeight="1">
      <c r="B777" s="1"/>
      <c r="K777" s="151"/>
      <c r="N777" s="3"/>
      <c r="P777" s="151"/>
    </row>
    <row r="778" ht="12.0" customHeight="1">
      <c r="B778" s="1"/>
      <c r="K778" s="151"/>
      <c r="N778" s="3"/>
      <c r="P778" s="151"/>
    </row>
    <row r="779" ht="12.0" customHeight="1">
      <c r="B779" s="1"/>
      <c r="K779" s="151"/>
      <c r="N779" s="3"/>
      <c r="P779" s="151"/>
    </row>
    <row r="780" ht="12.0" customHeight="1">
      <c r="B780" s="1"/>
      <c r="K780" s="151"/>
      <c r="N780" s="3"/>
      <c r="P780" s="151"/>
    </row>
    <row r="781" ht="12.0" customHeight="1">
      <c r="B781" s="1"/>
      <c r="K781" s="151"/>
      <c r="N781" s="3"/>
      <c r="P781" s="151"/>
    </row>
    <row r="782" ht="12.0" customHeight="1">
      <c r="B782" s="1"/>
      <c r="K782" s="151"/>
      <c r="N782" s="3"/>
      <c r="P782" s="151"/>
    </row>
    <row r="783" ht="12.0" customHeight="1">
      <c r="B783" s="1"/>
      <c r="K783" s="151"/>
      <c r="N783" s="3"/>
      <c r="P783" s="151"/>
    </row>
    <row r="784" ht="12.0" customHeight="1">
      <c r="B784" s="1"/>
      <c r="K784" s="151"/>
      <c r="N784" s="3"/>
      <c r="P784" s="151"/>
    </row>
    <row r="785" ht="12.0" customHeight="1">
      <c r="B785" s="1"/>
      <c r="K785" s="151"/>
      <c r="N785" s="3"/>
      <c r="P785" s="151"/>
    </row>
    <row r="786" ht="12.0" customHeight="1">
      <c r="B786" s="1"/>
      <c r="K786" s="151"/>
      <c r="N786" s="3"/>
      <c r="P786" s="151"/>
    </row>
    <row r="787" ht="12.0" customHeight="1">
      <c r="B787" s="1"/>
      <c r="K787" s="151"/>
      <c r="N787" s="3"/>
      <c r="P787" s="151"/>
    </row>
    <row r="788" ht="12.0" customHeight="1">
      <c r="B788" s="1"/>
      <c r="K788" s="151"/>
      <c r="N788" s="3"/>
      <c r="P788" s="151"/>
    </row>
    <row r="789" ht="12.0" customHeight="1">
      <c r="B789" s="1"/>
      <c r="K789" s="151"/>
      <c r="N789" s="3"/>
      <c r="P789" s="151"/>
    </row>
    <row r="790" ht="12.0" customHeight="1">
      <c r="B790" s="1"/>
      <c r="K790" s="151"/>
      <c r="N790" s="3"/>
      <c r="P790" s="151"/>
    </row>
    <row r="791" ht="12.0" customHeight="1">
      <c r="B791" s="1"/>
      <c r="K791" s="151"/>
      <c r="N791" s="3"/>
      <c r="P791" s="151"/>
    </row>
    <row r="792" ht="12.0" customHeight="1">
      <c r="B792" s="1"/>
      <c r="K792" s="151"/>
      <c r="N792" s="3"/>
      <c r="P792" s="151"/>
    </row>
    <row r="793" ht="12.0" customHeight="1">
      <c r="B793" s="1"/>
      <c r="K793" s="151"/>
      <c r="N793" s="3"/>
      <c r="P793" s="151"/>
    </row>
    <row r="794" ht="12.0" customHeight="1">
      <c r="B794" s="1"/>
      <c r="K794" s="151"/>
      <c r="N794" s="3"/>
      <c r="P794" s="151"/>
    </row>
    <row r="795" ht="12.0" customHeight="1">
      <c r="B795" s="1"/>
      <c r="K795" s="151"/>
      <c r="N795" s="3"/>
      <c r="P795" s="151"/>
    </row>
    <row r="796" ht="12.0" customHeight="1">
      <c r="B796" s="1"/>
      <c r="K796" s="151"/>
      <c r="N796" s="3"/>
      <c r="P796" s="151"/>
    </row>
    <row r="797" ht="12.0" customHeight="1">
      <c r="B797" s="1"/>
      <c r="K797" s="151"/>
      <c r="N797" s="3"/>
      <c r="P797" s="151"/>
    </row>
    <row r="798" ht="12.0" customHeight="1">
      <c r="B798" s="1"/>
      <c r="K798" s="151"/>
      <c r="N798" s="3"/>
      <c r="P798" s="151"/>
    </row>
    <row r="799" ht="12.0" customHeight="1">
      <c r="B799" s="1"/>
      <c r="K799" s="151"/>
      <c r="N799" s="3"/>
      <c r="P799" s="151"/>
    </row>
    <row r="800" ht="12.0" customHeight="1">
      <c r="B800" s="1"/>
      <c r="K800" s="151"/>
      <c r="N800" s="3"/>
      <c r="P800" s="151"/>
    </row>
    <row r="801" ht="12.0" customHeight="1">
      <c r="B801" s="1"/>
      <c r="K801" s="151"/>
      <c r="N801" s="3"/>
      <c r="P801" s="151"/>
    </row>
    <row r="802" ht="12.0" customHeight="1">
      <c r="B802" s="1"/>
      <c r="K802" s="151"/>
      <c r="N802" s="3"/>
      <c r="P802" s="151"/>
    </row>
    <row r="803" ht="12.0" customHeight="1">
      <c r="B803" s="1"/>
      <c r="K803" s="151"/>
      <c r="N803" s="3"/>
      <c r="P803" s="151"/>
    </row>
    <row r="804" ht="12.0" customHeight="1">
      <c r="B804" s="1"/>
      <c r="K804" s="151"/>
      <c r="N804" s="3"/>
      <c r="P804" s="151"/>
    </row>
    <row r="805" ht="12.0" customHeight="1">
      <c r="B805" s="1"/>
      <c r="K805" s="151"/>
      <c r="N805" s="3"/>
      <c r="P805" s="151"/>
    </row>
    <row r="806" ht="12.0" customHeight="1">
      <c r="B806" s="1"/>
      <c r="K806" s="151"/>
      <c r="N806" s="3"/>
      <c r="P806" s="151"/>
    </row>
    <row r="807" ht="12.0" customHeight="1">
      <c r="B807" s="1"/>
      <c r="K807" s="151"/>
      <c r="N807" s="3"/>
      <c r="P807" s="151"/>
    </row>
    <row r="808" ht="12.0" customHeight="1">
      <c r="B808" s="1"/>
      <c r="K808" s="151"/>
      <c r="N808" s="3"/>
      <c r="P808" s="151"/>
    </row>
    <row r="809" ht="12.0" customHeight="1">
      <c r="B809" s="1"/>
      <c r="K809" s="151"/>
      <c r="N809" s="3"/>
      <c r="P809" s="151"/>
    </row>
    <row r="810" ht="12.0" customHeight="1">
      <c r="B810" s="1"/>
      <c r="K810" s="151"/>
      <c r="N810" s="3"/>
      <c r="P810" s="151"/>
    </row>
    <row r="811" ht="12.0" customHeight="1">
      <c r="B811" s="1"/>
      <c r="K811" s="151"/>
      <c r="N811" s="3"/>
      <c r="P811" s="151"/>
    </row>
    <row r="812" ht="12.0" customHeight="1">
      <c r="B812" s="1"/>
      <c r="K812" s="151"/>
      <c r="N812" s="3"/>
      <c r="P812" s="151"/>
    </row>
    <row r="813" ht="12.0" customHeight="1">
      <c r="B813" s="1"/>
      <c r="K813" s="151"/>
      <c r="N813" s="3"/>
      <c r="P813" s="151"/>
    </row>
    <row r="814" ht="12.0" customHeight="1">
      <c r="B814" s="1"/>
      <c r="K814" s="151"/>
      <c r="N814" s="3"/>
      <c r="P814" s="151"/>
    </row>
    <row r="815" ht="12.0" customHeight="1">
      <c r="B815" s="1"/>
      <c r="K815" s="151"/>
      <c r="N815" s="3"/>
      <c r="P815" s="151"/>
    </row>
    <row r="816" ht="12.0" customHeight="1">
      <c r="B816" s="1"/>
      <c r="K816" s="151"/>
      <c r="N816" s="3"/>
      <c r="P816" s="151"/>
    </row>
    <row r="817" ht="12.0" customHeight="1">
      <c r="B817" s="1"/>
      <c r="K817" s="151"/>
      <c r="N817" s="3"/>
      <c r="P817" s="151"/>
    </row>
    <row r="818" ht="12.0" customHeight="1">
      <c r="B818" s="1"/>
      <c r="K818" s="151"/>
      <c r="N818" s="3"/>
      <c r="P818" s="151"/>
    </row>
    <row r="819" ht="12.0" customHeight="1">
      <c r="B819" s="1"/>
      <c r="K819" s="151"/>
      <c r="N819" s="3"/>
      <c r="P819" s="151"/>
    </row>
    <row r="820" ht="12.0" customHeight="1">
      <c r="B820" s="1"/>
      <c r="K820" s="151"/>
      <c r="N820" s="3"/>
      <c r="P820" s="151"/>
    </row>
    <row r="821" ht="12.0" customHeight="1">
      <c r="B821" s="1"/>
      <c r="K821" s="151"/>
      <c r="N821" s="3"/>
      <c r="P821" s="151"/>
    </row>
    <row r="822" ht="12.0" customHeight="1">
      <c r="B822" s="1"/>
      <c r="K822" s="151"/>
      <c r="N822" s="3"/>
      <c r="P822" s="151"/>
    </row>
    <row r="823" ht="12.0" customHeight="1">
      <c r="B823" s="1"/>
      <c r="K823" s="151"/>
      <c r="N823" s="3"/>
      <c r="P823" s="151"/>
    </row>
    <row r="824" ht="12.0" customHeight="1">
      <c r="B824" s="1"/>
      <c r="K824" s="151"/>
      <c r="N824" s="3"/>
      <c r="P824" s="151"/>
    </row>
    <row r="825" ht="12.0" customHeight="1">
      <c r="B825" s="1"/>
      <c r="K825" s="151"/>
      <c r="N825" s="3"/>
      <c r="P825" s="151"/>
    </row>
    <row r="826" ht="12.0" customHeight="1">
      <c r="B826" s="1"/>
      <c r="K826" s="151"/>
      <c r="N826" s="3"/>
      <c r="P826" s="151"/>
    </row>
    <row r="827" ht="12.0" customHeight="1">
      <c r="B827" s="1"/>
      <c r="K827" s="151"/>
      <c r="N827" s="3"/>
      <c r="P827" s="151"/>
    </row>
    <row r="828" ht="12.0" customHeight="1">
      <c r="B828" s="1"/>
      <c r="K828" s="151"/>
      <c r="N828" s="3"/>
      <c r="P828" s="151"/>
    </row>
    <row r="829" ht="12.0" customHeight="1">
      <c r="B829" s="1"/>
      <c r="K829" s="151"/>
      <c r="N829" s="3"/>
      <c r="P829" s="151"/>
    </row>
    <row r="830" ht="12.0" customHeight="1">
      <c r="B830" s="1"/>
      <c r="K830" s="151"/>
      <c r="N830" s="3"/>
      <c r="P830" s="151"/>
    </row>
    <row r="831" ht="12.0" customHeight="1">
      <c r="B831" s="1"/>
      <c r="K831" s="151"/>
      <c r="N831" s="3"/>
      <c r="P831" s="151"/>
    </row>
    <row r="832" ht="12.0" customHeight="1">
      <c r="B832" s="1"/>
      <c r="K832" s="151"/>
      <c r="N832" s="3"/>
      <c r="P832" s="151"/>
    </row>
    <row r="833" ht="12.0" customHeight="1">
      <c r="B833" s="1"/>
      <c r="K833" s="151"/>
      <c r="N833" s="3"/>
      <c r="P833" s="151"/>
    </row>
    <row r="834" ht="12.0" customHeight="1">
      <c r="B834" s="1"/>
      <c r="K834" s="151"/>
      <c r="N834" s="3"/>
      <c r="P834" s="151"/>
    </row>
    <row r="835" ht="12.0" customHeight="1">
      <c r="B835" s="1"/>
      <c r="K835" s="151"/>
      <c r="N835" s="3"/>
      <c r="P835" s="151"/>
    </row>
    <row r="836" ht="12.0" customHeight="1">
      <c r="B836" s="1"/>
      <c r="K836" s="151"/>
      <c r="N836" s="3"/>
      <c r="P836" s="151"/>
    </row>
    <row r="837" ht="12.0" customHeight="1">
      <c r="B837" s="1"/>
      <c r="K837" s="151"/>
      <c r="N837" s="3"/>
      <c r="P837" s="151"/>
    </row>
    <row r="838" ht="12.0" customHeight="1">
      <c r="B838" s="1"/>
      <c r="K838" s="151"/>
      <c r="N838" s="3"/>
      <c r="P838" s="151"/>
    </row>
    <row r="839" ht="12.0" customHeight="1">
      <c r="B839" s="1"/>
      <c r="K839" s="151"/>
      <c r="N839" s="3"/>
      <c r="P839" s="151"/>
    </row>
    <row r="840" ht="12.0" customHeight="1">
      <c r="B840" s="1"/>
      <c r="K840" s="151"/>
      <c r="N840" s="3"/>
      <c r="P840" s="151"/>
    </row>
    <row r="841" ht="12.0" customHeight="1">
      <c r="B841" s="1"/>
      <c r="K841" s="151"/>
      <c r="N841" s="3"/>
      <c r="P841" s="151"/>
    </row>
    <row r="842" ht="12.0" customHeight="1">
      <c r="B842" s="1"/>
      <c r="K842" s="151"/>
      <c r="N842" s="3"/>
      <c r="P842" s="151"/>
    </row>
    <row r="843" ht="12.0" customHeight="1">
      <c r="B843" s="1"/>
      <c r="K843" s="151"/>
      <c r="N843" s="3"/>
      <c r="P843" s="151"/>
    </row>
    <row r="844" ht="12.0" customHeight="1">
      <c r="B844" s="1"/>
      <c r="K844" s="151"/>
      <c r="N844" s="3"/>
      <c r="P844" s="151"/>
    </row>
    <row r="845" ht="12.0" customHeight="1">
      <c r="B845" s="1"/>
      <c r="K845" s="151"/>
      <c r="N845" s="3"/>
      <c r="P845" s="151"/>
    </row>
    <row r="846" ht="12.0" customHeight="1">
      <c r="B846" s="1"/>
      <c r="K846" s="151"/>
      <c r="N846" s="3"/>
      <c r="P846" s="151"/>
    </row>
    <row r="847" ht="12.0" customHeight="1">
      <c r="B847" s="1"/>
      <c r="K847" s="151"/>
      <c r="N847" s="3"/>
      <c r="P847" s="151"/>
    </row>
    <row r="848" ht="12.0" customHeight="1">
      <c r="B848" s="1"/>
      <c r="K848" s="151"/>
      <c r="N848" s="3"/>
      <c r="P848" s="151"/>
    </row>
    <row r="849" ht="12.0" customHeight="1">
      <c r="B849" s="1"/>
      <c r="K849" s="151"/>
      <c r="N849" s="3"/>
      <c r="P849" s="151"/>
    </row>
    <row r="850" ht="12.0" customHeight="1">
      <c r="B850" s="1"/>
      <c r="K850" s="151"/>
      <c r="N850" s="3"/>
      <c r="P850" s="151"/>
    </row>
    <row r="851" ht="12.0" customHeight="1">
      <c r="B851" s="1"/>
      <c r="K851" s="151"/>
      <c r="N851" s="3"/>
      <c r="P851" s="151"/>
    </row>
    <row r="852" ht="12.0" customHeight="1">
      <c r="B852" s="1"/>
      <c r="K852" s="151"/>
      <c r="N852" s="3"/>
      <c r="P852" s="151"/>
    </row>
    <row r="853" ht="12.0" customHeight="1">
      <c r="B853" s="1"/>
      <c r="K853" s="151"/>
      <c r="N853" s="3"/>
      <c r="P853" s="151"/>
    </row>
    <row r="854" ht="12.0" customHeight="1">
      <c r="B854" s="1"/>
      <c r="K854" s="151"/>
      <c r="N854" s="3"/>
      <c r="P854" s="151"/>
    </row>
    <row r="855" ht="12.0" customHeight="1">
      <c r="B855" s="1"/>
      <c r="K855" s="151"/>
      <c r="N855" s="3"/>
      <c r="P855" s="151"/>
    </row>
    <row r="856" ht="12.0" customHeight="1">
      <c r="B856" s="1"/>
      <c r="K856" s="151"/>
      <c r="N856" s="3"/>
      <c r="P856" s="151"/>
    </row>
    <row r="857" ht="12.0" customHeight="1">
      <c r="B857" s="1"/>
      <c r="K857" s="151"/>
      <c r="N857" s="3"/>
      <c r="P857" s="151"/>
    </row>
    <row r="858" ht="12.0" customHeight="1">
      <c r="B858" s="1"/>
      <c r="K858" s="151"/>
      <c r="N858" s="3"/>
      <c r="P858" s="151"/>
    </row>
    <row r="859" ht="12.0" customHeight="1">
      <c r="B859" s="1"/>
      <c r="K859" s="151"/>
      <c r="N859" s="3"/>
      <c r="P859" s="151"/>
    </row>
    <row r="860" ht="12.0" customHeight="1">
      <c r="B860" s="1"/>
      <c r="K860" s="151"/>
      <c r="N860" s="3"/>
      <c r="P860" s="151"/>
    </row>
    <row r="861" ht="12.0" customHeight="1">
      <c r="B861" s="1"/>
      <c r="K861" s="151"/>
      <c r="N861" s="3"/>
      <c r="P861" s="151"/>
    </row>
    <row r="862" ht="12.0" customHeight="1">
      <c r="B862" s="1"/>
      <c r="K862" s="151"/>
      <c r="N862" s="3"/>
      <c r="P862" s="151"/>
    </row>
    <row r="863" ht="12.0" customHeight="1">
      <c r="B863" s="1"/>
      <c r="K863" s="151"/>
      <c r="N863" s="3"/>
      <c r="P863" s="151"/>
    </row>
    <row r="864" ht="12.0" customHeight="1">
      <c r="B864" s="1"/>
      <c r="K864" s="151"/>
      <c r="N864" s="3"/>
      <c r="P864" s="151"/>
    </row>
    <row r="865" ht="12.0" customHeight="1">
      <c r="B865" s="1"/>
      <c r="K865" s="151"/>
      <c r="N865" s="3"/>
      <c r="P865" s="151"/>
    </row>
    <row r="866" ht="12.0" customHeight="1">
      <c r="B866" s="1"/>
      <c r="K866" s="151"/>
      <c r="N866" s="3"/>
      <c r="P866" s="151"/>
    </row>
    <row r="867" ht="12.0" customHeight="1">
      <c r="B867" s="1"/>
      <c r="K867" s="151"/>
      <c r="N867" s="3"/>
      <c r="P867" s="151"/>
    </row>
    <row r="868" ht="12.0" customHeight="1">
      <c r="B868" s="1"/>
      <c r="K868" s="151"/>
      <c r="N868" s="3"/>
      <c r="P868" s="151"/>
    </row>
    <row r="869" ht="12.0" customHeight="1">
      <c r="B869" s="1"/>
      <c r="K869" s="151"/>
      <c r="N869" s="3"/>
      <c r="P869" s="151"/>
    </row>
    <row r="870" ht="12.0" customHeight="1">
      <c r="B870" s="1"/>
      <c r="K870" s="151"/>
      <c r="N870" s="3"/>
      <c r="P870" s="151"/>
    </row>
    <row r="871" ht="12.0" customHeight="1">
      <c r="B871" s="1"/>
      <c r="K871" s="151"/>
      <c r="N871" s="3"/>
      <c r="P871" s="151"/>
    </row>
    <row r="872" ht="12.0" customHeight="1">
      <c r="B872" s="1"/>
      <c r="K872" s="151"/>
      <c r="N872" s="3"/>
      <c r="P872" s="151"/>
    </row>
    <row r="873" ht="12.0" customHeight="1">
      <c r="B873" s="1"/>
      <c r="K873" s="151"/>
      <c r="N873" s="3"/>
      <c r="P873" s="151"/>
    </row>
    <row r="874" ht="12.0" customHeight="1">
      <c r="B874" s="1"/>
      <c r="K874" s="151"/>
      <c r="N874" s="3"/>
      <c r="P874" s="151"/>
    </row>
    <row r="875" ht="12.0" customHeight="1">
      <c r="B875" s="1"/>
      <c r="K875" s="151"/>
      <c r="N875" s="3"/>
      <c r="P875" s="151"/>
    </row>
    <row r="876" ht="12.0" customHeight="1">
      <c r="B876" s="1"/>
      <c r="K876" s="151"/>
      <c r="N876" s="3"/>
      <c r="P876" s="151"/>
    </row>
    <row r="877" ht="12.0" customHeight="1">
      <c r="B877" s="1"/>
      <c r="K877" s="151"/>
      <c r="N877" s="3"/>
      <c r="P877" s="151"/>
    </row>
    <row r="878" ht="12.0" customHeight="1">
      <c r="B878" s="1"/>
      <c r="K878" s="151"/>
      <c r="N878" s="3"/>
      <c r="P878" s="151"/>
    </row>
    <row r="879" ht="12.0" customHeight="1">
      <c r="B879" s="1"/>
      <c r="K879" s="151"/>
      <c r="N879" s="3"/>
      <c r="P879" s="151"/>
    </row>
    <row r="880" ht="12.0" customHeight="1">
      <c r="B880" s="1"/>
      <c r="K880" s="151"/>
      <c r="N880" s="3"/>
      <c r="P880" s="151"/>
    </row>
    <row r="881" ht="12.0" customHeight="1">
      <c r="B881" s="1"/>
      <c r="K881" s="151"/>
      <c r="N881" s="3"/>
      <c r="P881" s="151"/>
    </row>
    <row r="882" ht="12.0" customHeight="1">
      <c r="B882" s="1"/>
      <c r="K882" s="151"/>
      <c r="N882" s="3"/>
      <c r="P882" s="151"/>
    </row>
    <row r="883" ht="12.0" customHeight="1">
      <c r="B883" s="1"/>
      <c r="K883" s="151"/>
      <c r="N883" s="3"/>
      <c r="P883" s="151"/>
    </row>
    <row r="884" ht="12.0" customHeight="1">
      <c r="B884" s="1"/>
      <c r="K884" s="151"/>
      <c r="N884" s="3"/>
      <c r="P884" s="151"/>
    </row>
    <row r="885" ht="12.0" customHeight="1">
      <c r="B885" s="1"/>
      <c r="K885" s="151"/>
      <c r="N885" s="3"/>
      <c r="P885" s="151"/>
    </row>
    <row r="886" ht="12.0" customHeight="1">
      <c r="B886" s="1"/>
      <c r="K886" s="151"/>
      <c r="N886" s="3"/>
      <c r="P886" s="151"/>
    </row>
    <row r="887" ht="12.0" customHeight="1">
      <c r="B887" s="1"/>
      <c r="K887" s="151"/>
      <c r="N887" s="3"/>
      <c r="P887" s="151"/>
    </row>
    <row r="888" ht="12.0" customHeight="1">
      <c r="B888" s="1"/>
      <c r="K888" s="151"/>
      <c r="N888" s="3"/>
      <c r="P888" s="151"/>
    </row>
    <row r="889" ht="12.0" customHeight="1">
      <c r="B889" s="1"/>
      <c r="K889" s="151"/>
      <c r="N889" s="3"/>
      <c r="P889" s="151"/>
    </row>
    <row r="890" ht="12.0" customHeight="1">
      <c r="B890" s="1"/>
      <c r="K890" s="151"/>
      <c r="N890" s="3"/>
      <c r="P890" s="151"/>
    </row>
    <row r="891" ht="12.0" customHeight="1">
      <c r="B891" s="1"/>
      <c r="K891" s="151"/>
      <c r="N891" s="3"/>
      <c r="P891" s="151"/>
    </row>
    <row r="892" ht="12.0" customHeight="1">
      <c r="B892" s="1"/>
      <c r="K892" s="151"/>
      <c r="N892" s="3"/>
      <c r="P892" s="151"/>
    </row>
    <row r="893" ht="12.0" customHeight="1">
      <c r="B893" s="1"/>
      <c r="K893" s="151"/>
      <c r="N893" s="3"/>
      <c r="P893" s="151"/>
    </row>
    <row r="894" ht="12.0" customHeight="1">
      <c r="B894" s="1"/>
      <c r="K894" s="151"/>
      <c r="N894" s="3"/>
      <c r="P894" s="151"/>
    </row>
    <row r="895" ht="12.0" customHeight="1">
      <c r="B895" s="1"/>
      <c r="K895" s="151"/>
      <c r="N895" s="3"/>
      <c r="P895" s="151"/>
    </row>
    <row r="896" ht="12.0" customHeight="1">
      <c r="B896" s="1"/>
      <c r="K896" s="151"/>
      <c r="N896" s="3"/>
      <c r="P896" s="151"/>
    </row>
    <row r="897" ht="12.0" customHeight="1">
      <c r="B897" s="1"/>
      <c r="K897" s="151"/>
      <c r="N897" s="3"/>
      <c r="P897" s="151"/>
    </row>
    <row r="898" ht="12.0" customHeight="1">
      <c r="B898" s="1"/>
      <c r="K898" s="151"/>
      <c r="N898" s="3"/>
      <c r="P898" s="151"/>
    </row>
    <row r="899" ht="12.0" customHeight="1">
      <c r="B899" s="1"/>
      <c r="K899" s="151"/>
      <c r="N899" s="3"/>
      <c r="P899" s="151"/>
    </row>
    <row r="900" ht="12.0" customHeight="1">
      <c r="B900" s="1"/>
      <c r="K900" s="151"/>
      <c r="N900" s="3"/>
      <c r="P900" s="151"/>
    </row>
    <row r="901" ht="12.0" customHeight="1">
      <c r="B901" s="1"/>
      <c r="K901" s="151"/>
      <c r="N901" s="3"/>
      <c r="P901" s="151"/>
    </row>
    <row r="902" ht="12.0" customHeight="1">
      <c r="B902" s="1"/>
      <c r="K902" s="151"/>
      <c r="N902" s="3"/>
      <c r="P902" s="151"/>
    </row>
    <row r="903" ht="12.0" customHeight="1">
      <c r="B903" s="1"/>
      <c r="K903" s="151"/>
      <c r="N903" s="3"/>
      <c r="P903" s="151"/>
    </row>
    <row r="904" ht="12.0" customHeight="1">
      <c r="B904" s="1"/>
      <c r="K904" s="151"/>
      <c r="N904" s="3"/>
      <c r="P904" s="151"/>
    </row>
    <row r="905" ht="12.0" customHeight="1">
      <c r="B905" s="1"/>
      <c r="K905" s="151"/>
      <c r="N905" s="3"/>
      <c r="P905" s="151"/>
    </row>
    <row r="906" ht="12.0" customHeight="1">
      <c r="B906" s="1"/>
      <c r="K906" s="151"/>
      <c r="N906" s="3"/>
      <c r="P906" s="151"/>
    </row>
    <row r="907" ht="12.0" customHeight="1">
      <c r="B907" s="1"/>
      <c r="K907" s="151"/>
      <c r="N907" s="3"/>
      <c r="P907" s="151"/>
    </row>
    <row r="908" ht="12.0" customHeight="1">
      <c r="B908" s="1"/>
      <c r="K908" s="151"/>
      <c r="N908" s="3"/>
      <c r="P908" s="151"/>
    </row>
    <row r="909" ht="12.0" customHeight="1">
      <c r="B909" s="1"/>
      <c r="K909" s="151"/>
      <c r="N909" s="3"/>
      <c r="P909" s="151"/>
    </row>
    <row r="910" ht="12.0" customHeight="1">
      <c r="B910" s="1"/>
      <c r="K910" s="151"/>
      <c r="N910" s="3"/>
      <c r="P910" s="151"/>
    </row>
    <row r="911" ht="12.0" customHeight="1">
      <c r="B911" s="1"/>
      <c r="K911" s="151"/>
      <c r="N911" s="3"/>
      <c r="P911" s="151"/>
    </row>
    <row r="912" ht="12.0" customHeight="1">
      <c r="B912" s="1"/>
      <c r="K912" s="151"/>
      <c r="N912" s="3"/>
      <c r="P912" s="151"/>
    </row>
    <row r="913" ht="12.0" customHeight="1">
      <c r="B913" s="1"/>
      <c r="K913" s="151"/>
      <c r="N913" s="3"/>
      <c r="P913" s="151"/>
    </row>
    <row r="914" ht="12.0" customHeight="1">
      <c r="B914" s="1"/>
      <c r="K914" s="151"/>
      <c r="N914" s="3"/>
      <c r="P914" s="151"/>
    </row>
    <row r="915" ht="12.0" customHeight="1">
      <c r="B915" s="1"/>
      <c r="K915" s="151"/>
      <c r="N915" s="3"/>
      <c r="P915" s="151"/>
    </row>
    <row r="916" ht="12.0" customHeight="1">
      <c r="B916" s="1"/>
      <c r="K916" s="151"/>
      <c r="N916" s="3"/>
      <c r="P916" s="151"/>
    </row>
    <row r="917" ht="12.0" customHeight="1">
      <c r="B917" s="1"/>
      <c r="K917" s="151"/>
      <c r="N917" s="3"/>
      <c r="P917" s="151"/>
    </row>
    <row r="918" ht="12.0" customHeight="1">
      <c r="B918" s="1"/>
      <c r="K918" s="151"/>
      <c r="N918" s="3"/>
      <c r="P918" s="151"/>
    </row>
    <row r="919" ht="12.0" customHeight="1">
      <c r="B919" s="1"/>
      <c r="K919" s="151"/>
      <c r="N919" s="3"/>
      <c r="P919" s="151"/>
    </row>
    <row r="920" ht="12.0" customHeight="1">
      <c r="B920" s="1"/>
      <c r="K920" s="151"/>
      <c r="N920" s="3"/>
      <c r="P920" s="151"/>
    </row>
    <row r="921" ht="12.0" customHeight="1">
      <c r="B921" s="1"/>
      <c r="K921" s="151"/>
      <c r="N921" s="3"/>
      <c r="P921" s="151"/>
    </row>
    <row r="922" ht="12.0" customHeight="1">
      <c r="B922" s="1"/>
      <c r="K922" s="151"/>
      <c r="N922" s="3"/>
      <c r="P922" s="151"/>
    </row>
    <row r="923" ht="12.0" customHeight="1">
      <c r="B923" s="1"/>
      <c r="K923" s="151"/>
      <c r="N923" s="3"/>
      <c r="P923" s="151"/>
    </row>
    <row r="924" ht="12.0" customHeight="1">
      <c r="B924" s="1"/>
      <c r="K924" s="151"/>
      <c r="N924" s="3"/>
      <c r="P924" s="151"/>
    </row>
    <row r="925" ht="12.0" customHeight="1">
      <c r="B925" s="1"/>
      <c r="K925" s="151"/>
      <c r="N925" s="3"/>
      <c r="P925" s="151"/>
    </row>
    <row r="926" ht="12.0" customHeight="1">
      <c r="B926" s="1"/>
      <c r="K926" s="151"/>
      <c r="N926" s="3"/>
      <c r="P926" s="151"/>
    </row>
    <row r="927" ht="12.0" customHeight="1">
      <c r="B927" s="1"/>
      <c r="K927" s="151"/>
      <c r="N927" s="3"/>
      <c r="P927" s="151"/>
    </row>
    <row r="928" ht="12.0" customHeight="1">
      <c r="B928" s="1"/>
      <c r="K928" s="151"/>
      <c r="N928" s="3"/>
      <c r="P928" s="151"/>
    </row>
    <row r="929" ht="12.0" customHeight="1">
      <c r="B929" s="1"/>
      <c r="K929" s="151"/>
      <c r="N929" s="3"/>
      <c r="P929" s="151"/>
    </row>
    <row r="930" ht="12.0" customHeight="1">
      <c r="B930" s="1"/>
      <c r="K930" s="151"/>
      <c r="N930" s="3"/>
      <c r="P930" s="151"/>
    </row>
    <row r="931" ht="12.0" customHeight="1">
      <c r="B931" s="1"/>
      <c r="K931" s="151"/>
      <c r="N931" s="3"/>
      <c r="P931" s="151"/>
    </row>
    <row r="932" ht="12.0" customHeight="1">
      <c r="B932" s="1"/>
      <c r="K932" s="151"/>
      <c r="N932" s="3"/>
      <c r="P932" s="151"/>
    </row>
    <row r="933" ht="12.0" customHeight="1">
      <c r="B933" s="1"/>
      <c r="K933" s="151"/>
      <c r="N933" s="3"/>
      <c r="P933" s="151"/>
    </row>
    <row r="934" ht="12.0" customHeight="1">
      <c r="B934" s="1"/>
      <c r="K934" s="151"/>
      <c r="N934" s="3"/>
      <c r="P934" s="151"/>
    </row>
    <row r="935" ht="12.0" customHeight="1">
      <c r="B935" s="1"/>
      <c r="K935" s="151"/>
      <c r="N935" s="3"/>
      <c r="P935" s="151"/>
    </row>
    <row r="936" ht="12.0" customHeight="1">
      <c r="B936" s="1"/>
      <c r="K936" s="151"/>
      <c r="N936" s="3"/>
      <c r="P936" s="151"/>
    </row>
    <row r="937" ht="12.0" customHeight="1">
      <c r="B937" s="1"/>
      <c r="K937" s="151"/>
      <c r="N937" s="3"/>
      <c r="P937" s="151"/>
    </row>
    <row r="938" ht="12.0" customHeight="1">
      <c r="B938" s="1"/>
      <c r="K938" s="151"/>
      <c r="N938" s="3"/>
      <c r="P938" s="151"/>
    </row>
    <row r="939" ht="12.0" customHeight="1">
      <c r="B939" s="1"/>
      <c r="K939" s="151"/>
      <c r="N939" s="3"/>
      <c r="P939" s="151"/>
    </row>
    <row r="940" ht="12.0" customHeight="1">
      <c r="B940" s="1"/>
      <c r="K940" s="151"/>
      <c r="N940" s="3"/>
      <c r="P940" s="151"/>
    </row>
    <row r="941" ht="12.0" customHeight="1">
      <c r="B941" s="1"/>
      <c r="K941" s="151"/>
      <c r="N941" s="3"/>
      <c r="P941" s="151"/>
    </row>
    <row r="942" ht="12.0" customHeight="1">
      <c r="B942" s="1"/>
      <c r="K942" s="151"/>
      <c r="N942" s="3"/>
      <c r="P942" s="151"/>
    </row>
    <row r="943" ht="12.0" customHeight="1">
      <c r="B943" s="1"/>
      <c r="K943" s="151"/>
      <c r="N943" s="3"/>
      <c r="P943" s="151"/>
    </row>
    <row r="944" ht="12.0" customHeight="1">
      <c r="B944" s="1"/>
      <c r="K944" s="151"/>
      <c r="N944" s="3"/>
      <c r="P944" s="151"/>
    </row>
    <row r="945" ht="12.0" customHeight="1">
      <c r="B945" s="1"/>
      <c r="K945" s="151"/>
      <c r="N945" s="3"/>
      <c r="P945" s="151"/>
    </row>
    <row r="946" ht="12.0" customHeight="1">
      <c r="B946" s="1"/>
      <c r="K946" s="151"/>
      <c r="N946" s="3"/>
      <c r="P946" s="151"/>
    </row>
    <row r="947" ht="12.0" customHeight="1">
      <c r="B947" s="1"/>
      <c r="K947" s="151"/>
      <c r="N947" s="3"/>
      <c r="P947" s="151"/>
    </row>
    <row r="948" ht="12.0" customHeight="1">
      <c r="B948" s="1"/>
      <c r="K948" s="151"/>
      <c r="N948" s="3"/>
      <c r="P948" s="151"/>
    </row>
    <row r="949" ht="12.0" customHeight="1">
      <c r="B949" s="1"/>
      <c r="K949" s="151"/>
      <c r="N949" s="3"/>
      <c r="P949" s="151"/>
    </row>
    <row r="950" ht="12.0" customHeight="1">
      <c r="B950" s="1"/>
      <c r="K950" s="151"/>
      <c r="N950" s="3"/>
      <c r="P950" s="151"/>
    </row>
    <row r="951" ht="12.0" customHeight="1">
      <c r="B951" s="1"/>
      <c r="K951" s="151"/>
      <c r="N951" s="3"/>
      <c r="P951" s="151"/>
    </row>
    <row r="952" ht="12.0" customHeight="1">
      <c r="B952" s="1"/>
      <c r="K952" s="151"/>
      <c r="N952" s="3"/>
      <c r="P952" s="151"/>
    </row>
    <row r="953" ht="12.0" customHeight="1">
      <c r="B953" s="1"/>
      <c r="K953" s="151"/>
      <c r="N953" s="3"/>
      <c r="P953" s="151"/>
    </row>
    <row r="954" ht="12.0" customHeight="1">
      <c r="B954" s="1"/>
      <c r="K954" s="151"/>
      <c r="N954" s="3"/>
      <c r="P954" s="151"/>
    </row>
    <row r="955" ht="12.0" customHeight="1">
      <c r="B955" s="1"/>
      <c r="K955" s="151"/>
      <c r="N955" s="3"/>
      <c r="P955" s="151"/>
    </row>
    <row r="956" ht="12.0" customHeight="1">
      <c r="B956" s="1"/>
      <c r="K956" s="151"/>
      <c r="N956" s="3"/>
      <c r="P956" s="151"/>
    </row>
    <row r="957" ht="12.0" customHeight="1">
      <c r="B957" s="1"/>
      <c r="K957" s="151"/>
      <c r="N957" s="3"/>
      <c r="P957" s="151"/>
    </row>
    <row r="958" ht="12.0" customHeight="1">
      <c r="B958" s="1"/>
      <c r="K958" s="151"/>
      <c r="N958" s="3"/>
      <c r="P958" s="151"/>
    </row>
    <row r="959" ht="12.0" customHeight="1">
      <c r="B959" s="1"/>
      <c r="K959" s="151"/>
      <c r="N959" s="3"/>
      <c r="P959" s="151"/>
    </row>
    <row r="960" ht="12.0" customHeight="1">
      <c r="B960" s="1"/>
      <c r="K960" s="151"/>
      <c r="N960" s="3"/>
      <c r="P960" s="151"/>
    </row>
    <row r="961" ht="12.0" customHeight="1">
      <c r="B961" s="1"/>
      <c r="K961" s="151"/>
      <c r="N961" s="3"/>
      <c r="P961" s="151"/>
    </row>
    <row r="962" ht="12.0" customHeight="1">
      <c r="B962" s="1"/>
      <c r="K962" s="151"/>
      <c r="N962" s="3"/>
      <c r="P962" s="151"/>
    </row>
    <row r="963" ht="12.0" customHeight="1">
      <c r="B963" s="1"/>
      <c r="K963" s="151"/>
      <c r="N963" s="3"/>
      <c r="P963" s="151"/>
    </row>
    <row r="964" ht="12.0" customHeight="1">
      <c r="B964" s="1"/>
      <c r="K964" s="151"/>
      <c r="N964" s="3"/>
      <c r="P964" s="151"/>
    </row>
    <row r="965" ht="12.0" customHeight="1">
      <c r="B965" s="1"/>
      <c r="K965" s="151"/>
      <c r="N965" s="3"/>
      <c r="P965" s="151"/>
    </row>
    <row r="966" ht="12.0" customHeight="1">
      <c r="B966" s="1"/>
      <c r="K966" s="151"/>
      <c r="N966" s="3"/>
      <c r="P966" s="151"/>
    </row>
    <row r="967" ht="12.0" customHeight="1">
      <c r="B967" s="1"/>
      <c r="K967" s="151"/>
      <c r="N967" s="3"/>
      <c r="P967" s="151"/>
    </row>
    <row r="968" ht="12.0" customHeight="1">
      <c r="B968" s="1"/>
      <c r="K968" s="151"/>
      <c r="N968" s="3"/>
      <c r="P968" s="151"/>
    </row>
    <row r="969" ht="12.0" customHeight="1">
      <c r="B969" s="1"/>
      <c r="K969" s="151"/>
      <c r="N969" s="3"/>
      <c r="P969" s="151"/>
    </row>
    <row r="970" ht="12.0" customHeight="1">
      <c r="B970" s="1"/>
      <c r="K970" s="151"/>
      <c r="N970" s="3"/>
      <c r="P970" s="151"/>
    </row>
    <row r="971" ht="12.0" customHeight="1">
      <c r="B971" s="1"/>
      <c r="K971" s="151"/>
      <c r="N971" s="3"/>
      <c r="P971" s="151"/>
    </row>
    <row r="972" ht="12.0" customHeight="1">
      <c r="B972" s="1"/>
      <c r="K972" s="151"/>
      <c r="N972" s="3"/>
      <c r="P972" s="151"/>
    </row>
    <row r="973" ht="12.0" customHeight="1">
      <c r="B973" s="1"/>
      <c r="K973" s="151"/>
      <c r="N973" s="3"/>
      <c r="P973" s="151"/>
    </row>
    <row r="974" ht="12.0" customHeight="1">
      <c r="B974" s="1"/>
      <c r="K974" s="151"/>
      <c r="N974" s="3"/>
      <c r="P974" s="151"/>
    </row>
    <row r="975" ht="12.0" customHeight="1">
      <c r="B975" s="1"/>
      <c r="K975" s="151"/>
      <c r="N975" s="3"/>
      <c r="P975" s="151"/>
    </row>
    <row r="976" ht="12.0" customHeight="1">
      <c r="B976" s="1"/>
      <c r="K976" s="151"/>
      <c r="N976" s="3"/>
      <c r="P976" s="151"/>
    </row>
    <row r="977" ht="12.0" customHeight="1">
      <c r="B977" s="1"/>
      <c r="K977" s="151"/>
      <c r="N977" s="3"/>
      <c r="P977" s="151"/>
    </row>
    <row r="978" ht="12.0" customHeight="1">
      <c r="B978" s="1"/>
      <c r="K978" s="151"/>
      <c r="N978" s="3"/>
      <c r="P978" s="151"/>
    </row>
    <row r="979" ht="12.0" customHeight="1">
      <c r="B979" s="1"/>
      <c r="K979" s="151"/>
      <c r="N979" s="3"/>
      <c r="P979" s="151"/>
    </row>
    <row r="980" ht="12.0" customHeight="1">
      <c r="B980" s="1"/>
      <c r="K980" s="151"/>
      <c r="N980" s="3"/>
      <c r="P980" s="151"/>
    </row>
    <row r="981" ht="12.0" customHeight="1">
      <c r="B981" s="1"/>
      <c r="K981" s="151"/>
      <c r="N981" s="3"/>
      <c r="P981" s="151"/>
    </row>
    <row r="982" ht="12.0" customHeight="1">
      <c r="B982" s="1"/>
      <c r="K982" s="151"/>
      <c r="N982" s="3"/>
      <c r="P982" s="151"/>
    </row>
    <row r="983" ht="12.0" customHeight="1">
      <c r="B983" s="1"/>
      <c r="K983" s="151"/>
      <c r="N983" s="3"/>
      <c r="P983" s="151"/>
    </row>
    <row r="984" ht="12.0" customHeight="1">
      <c r="B984" s="1"/>
      <c r="K984" s="151"/>
      <c r="N984" s="3"/>
      <c r="P984" s="151"/>
    </row>
    <row r="985" ht="12.0" customHeight="1">
      <c r="B985" s="1"/>
      <c r="K985" s="151"/>
      <c r="N985" s="3"/>
      <c r="P985" s="151"/>
    </row>
    <row r="986" ht="12.0" customHeight="1">
      <c r="B986" s="1"/>
      <c r="K986" s="151"/>
      <c r="N986" s="3"/>
      <c r="P986" s="151"/>
    </row>
    <row r="987" ht="12.0" customHeight="1">
      <c r="B987" s="1"/>
      <c r="K987" s="151"/>
      <c r="N987" s="3"/>
      <c r="P987" s="151"/>
    </row>
    <row r="988" ht="12.0" customHeight="1">
      <c r="B988" s="1"/>
      <c r="K988" s="151"/>
      <c r="N988" s="3"/>
      <c r="P988" s="151"/>
    </row>
    <row r="989" ht="12.0" customHeight="1">
      <c r="B989" s="1"/>
      <c r="K989" s="151"/>
      <c r="N989" s="3"/>
      <c r="P989" s="151"/>
    </row>
    <row r="990" ht="12.0" customHeight="1">
      <c r="B990" s="1"/>
      <c r="K990" s="151"/>
      <c r="N990" s="3"/>
      <c r="P990" s="151"/>
    </row>
    <row r="991" ht="12.0" customHeight="1">
      <c r="B991" s="1"/>
      <c r="K991" s="151"/>
      <c r="N991" s="3"/>
      <c r="P991" s="151"/>
    </row>
    <row r="992" ht="12.0" customHeight="1">
      <c r="B992" s="1"/>
      <c r="K992" s="151"/>
      <c r="N992" s="3"/>
      <c r="P992" s="151"/>
    </row>
    <row r="993" ht="12.0" customHeight="1">
      <c r="B993" s="1"/>
      <c r="K993" s="151"/>
      <c r="N993" s="3"/>
      <c r="P993" s="151"/>
    </row>
    <row r="994" ht="12.0" customHeight="1">
      <c r="B994" s="1"/>
      <c r="K994" s="151"/>
      <c r="N994" s="3"/>
      <c r="P994" s="151"/>
    </row>
    <row r="995" ht="12.0" customHeight="1">
      <c r="B995" s="1"/>
      <c r="K995" s="151"/>
      <c r="N995" s="3"/>
      <c r="P995" s="151"/>
    </row>
    <row r="996" ht="12.0" customHeight="1">
      <c r="B996" s="1"/>
      <c r="K996" s="151"/>
      <c r="N996" s="3"/>
      <c r="P996" s="151"/>
    </row>
    <row r="997" ht="12.0" customHeight="1">
      <c r="B997" s="1"/>
      <c r="K997" s="151"/>
      <c r="N997" s="3"/>
      <c r="P997" s="151"/>
    </row>
    <row r="998" ht="12.0" customHeight="1">
      <c r="B998" s="1"/>
      <c r="K998" s="151"/>
      <c r="N998" s="3"/>
      <c r="P998" s="151"/>
    </row>
    <row r="999" ht="12.0" customHeight="1">
      <c r="B999" s="1"/>
      <c r="K999" s="151"/>
      <c r="N999" s="3"/>
      <c r="P999" s="151"/>
    </row>
    <row r="1000" ht="12.0" customHeight="1">
      <c r="B1000" s="1"/>
      <c r="K1000" s="151"/>
      <c r="N1000" s="3"/>
      <c r="P1000" s="151"/>
    </row>
  </sheetData>
  <mergeCells count="18">
    <mergeCell ref="J7:K7"/>
    <mergeCell ref="O7:P7"/>
    <mergeCell ref="L8:N8"/>
    <mergeCell ref="O8:P8"/>
    <mergeCell ref="B18:B20"/>
    <mergeCell ref="B21:B25"/>
    <mergeCell ref="B26:B30"/>
    <mergeCell ref="B64:B66"/>
    <mergeCell ref="B67:B69"/>
    <mergeCell ref="B70:B72"/>
    <mergeCell ref="B74:B76"/>
    <mergeCell ref="B34:B36"/>
    <mergeCell ref="B37:B39"/>
    <mergeCell ref="B41:B43"/>
    <mergeCell ref="B44:B46"/>
    <mergeCell ref="B53:B56"/>
    <mergeCell ref="B57:B59"/>
    <mergeCell ref="B60:B62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31">
      <formula1>"TIMBER ROOF TRUSSES,NO ROOF TRUSSES"</formula1>
    </dataValidation>
    <dataValidation type="list" allowBlank="1" showErrorMessage="1" sqref="J18 J34 J37 J41 J44 J57 J60 J64 J67 J70 J74 J79">
      <formula1>"YES,NO"</formula1>
    </dataValidation>
    <dataValidation type="list" allowBlank="1" showErrorMessage="1" sqref="O17:O18 O21 O26 O31 O34 O37 O41 O44 O47 O53 O57 O60 O64 O67 O70 U73 O73:O74 O79">
      <formula1>"DELAPIDATED,POOR,FAIR,GOOD,VERY GOOD,EXCELLENT,NOT APPLICABLE"</formula1>
    </dataValidation>
    <dataValidation type="list" allowBlank="1" showErrorMessage="1" sqref="J53">
      <formula1>"STEEL WINDOW FRAMES,ALUMINIUM WINDOW FRAMES,NO WINDOWS FITTED"</formula1>
    </dataValidation>
    <dataValidation type="list" allowBlank="1" showErrorMessage="1" sqref="J26">
      <formula1>"CONCRETE ROOF TILES,IBR,CORRUGATED ROOFING SHEETS,NO ROOFING"</formula1>
    </dataValidation>
    <dataValidation type="list" allowBlank="1" showErrorMessage="1" sqref="J12">
      <formula1>"2010-2013,2014-2021,2021-2023"</formula1>
    </dataValidation>
    <dataValidation type="list" allowBlank="1" showErrorMessage="1" sqref="J47">
      <formula1>"VINYL FLOORING,TILING FLOORING,TIMBER FLOORING,CARPETS FLOORING,NO FLOORING"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31.63"/>
    <col customWidth="1" min="4" max="4" width="19.63"/>
    <col customWidth="1" hidden="1" min="5" max="5" width="9.13"/>
    <col customWidth="1" hidden="1" min="6" max="6" width="3.13"/>
    <col customWidth="1" hidden="1" min="7" max="7" width="3.38"/>
    <col customWidth="1" min="8" max="8" width="0.38"/>
    <col customWidth="1" min="9" max="11" width="14.63"/>
    <col customWidth="1" min="12" max="12" width="13.13"/>
    <col customWidth="1" min="13" max="13" width="24.38"/>
    <col customWidth="1" min="14" max="14" width="14.75"/>
    <col customWidth="1" min="15" max="15" width="3.0"/>
    <col customWidth="1" min="16" max="16" width="50.75"/>
    <col customWidth="1" min="17" max="17" width="30.75"/>
    <col customWidth="1" min="18" max="26" width="9.0"/>
  </cols>
  <sheetData>
    <row r="1" ht="12.0" customHeight="1">
      <c r="B1" s="1"/>
      <c r="C1" s="347"/>
      <c r="D1" s="161"/>
      <c r="E1" s="348"/>
      <c r="F1" s="1"/>
      <c r="G1" s="1"/>
      <c r="H1" s="1"/>
      <c r="I1" s="349"/>
      <c r="J1" s="349"/>
      <c r="K1" s="349"/>
      <c r="L1" s="350"/>
      <c r="M1" s="350"/>
      <c r="N1" s="351"/>
      <c r="O1" s="349"/>
      <c r="P1" s="347"/>
      <c r="Q1" s="151"/>
    </row>
    <row r="2" ht="26.25" customHeight="1">
      <c r="B2" s="1"/>
      <c r="C2" s="4" t="s">
        <v>95</v>
      </c>
      <c r="D2" s="161"/>
      <c r="E2" s="348"/>
      <c r="F2" s="1"/>
      <c r="G2" s="1"/>
      <c r="H2" s="1"/>
      <c r="I2" s="349"/>
      <c r="J2" s="349"/>
      <c r="K2" s="349"/>
      <c r="L2" s="350"/>
      <c r="M2" s="350"/>
      <c r="N2" s="351"/>
      <c r="O2" s="349"/>
      <c r="P2" s="347"/>
      <c r="Q2" s="151"/>
    </row>
    <row r="3" ht="26.25" customHeight="1">
      <c r="B3" s="1"/>
      <c r="C3" s="260"/>
      <c r="D3" s="161"/>
      <c r="E3" s="348"/>
      <c r="F3" s="1"/>
      <c r="G3" s="1"/>
      <c r="H3" s="1"/>
      <c r="I3" s="349"/>
      <c r="J3" s="349"/>
      <c r="K3" s="349"/>
      <c r="L3" s="350"/>
      <c r="M3" s="350"/>
      <c r="N3" s="351"/>
      <c r="O3" s="349"/>
      <c r="P3" s="347"/>
      <c r="Q3" s="151"/>
    </row>
    <row r="4" ht="26.25" customHeight="1">
      <c r="B4" s="1"/>
      <c r="C4" s="352"/>
      <c r="D4" s="161"/>
      <c r="E4" s="348"/>
      <c r="F4" s="1"/>
      <c r="G4" s="1"/>
      <c r="H4" s="1"/>
      <c r="I4" s="349"/>
      <c r="J4" s="349"/>
      <c r="K4" s="349"/>
      <c r="L4" s="350"/>
      <c r="M4" s="6" t="s">
        <v>2</v>
      </c>
      <c r="N4" s="7"/>
      <c r="O4" s="349"/>
      <c r="P4" s="8" t="s">
        <v>3</v>
      </c>
      <c r="Q4" s="7"/>
    </row>
    <row r="5" ht="22.5" customHeight="1">
      <c r="B5" s="1"/>
      <c r="D5" s="161"/>
      <c r="E5" s="348"/>
      <c r="F5" s="1"/>
      <c r="G5" s="1"/>
      <c r="H5" s="1"/>
      <c r="I5" s="353" t="s">
        <v>96</v>
      </c>
      <c r="J5" s="354"/>
      <c r="K5" s="355"/>
      <c r="L5" s="356" t="s">
        <v>80</v>
      </c>
      <c r="M5" s="356"/>
      <c r="N5" s="357"/>
      <c r="O5" s="349"/>
      <c r="P5" s="347"/>
      <c r="Q5" s="151"/>
    </row>
    <row r="6" ht="58.5" customHeight="1">
      <c r="A6" s="358"/>
      <c r="B6" s="167" t="s">
        <v>6</v>
      </c>
      <c r="C6" s="167" t="s">
        <v>7</v>
      </c>
      <c r="D6" s="359" t="s">
        <v>97</v>
      </c>
      <c r="E6" s="360" t="s">
        <v>98</v>
      </c>
      <c r="F6" s="359" t="s">
        <v>99</v>
      </c>
      <c r="G6" s="359"/>
      <c r="H6" s="361" t="s">
        <v>8</v>
      </c>
      <c r="I6" s="362" t="s">
        <v>9</v>
      </c>
      <c r="J6" s="362" t="s">
        <v>10</v>
      </c>
      <c r="K6" s="362" t="s">
        <v>11</v>
      </c>
      <c r="L6" s="363" t="s">
        <v>12</v>
      </c>
      <c r="M6" s="26" t="s">
        <v>13</v>
      </c>
      <c r="N6" s="364" t="s">
        <v>14</v>
      </c>
      <c r="O6" s="365"/>
      <c r="P6" s="366" t="s">
        <v>18</v>
      </c>
      <c r="Q6" s="364" t="s">
        <v>14</v>
      </c>
      <c r="R6" s="358"/>
      <c r="S6" s="358"/>
      <c r="T6" s="358"/>
      <c r="U6" s="358"/>
      <c r="V6" s="358"/>
      <c r="W6" s="358"/>
      <c r="X6" s="358"/>
      <c r="Y6" s="358"/>
      <c r="Z6" s="358"/>
    </row>
    <row r="7" ht="30.0" customHeight="1">
      <c r="A7" s="358"/>
      <c r="B7" s="367"/>
      <c r="C7" s="367"/>
      <c r="D7" s="368"/>
      <c r="E7" s="369"/>
      <c r="F7" s="368"/>
      <c r="G7" s="368"/>
      <c r="H7" s="370"/>
      <c r="I7" s="371">
        <v>3.0</v>
      </c>
      <c r="J7" s="371">
        <v>2.0</v>
      </c>
      <c r="K7" s="371">
        <v>1.0</v>
      </c>
      <c r="L7" s="372"/>
      <c r="M7" s="373"/>
      <c r="N7" s="371"/>
      <c r="O7" s="374"/>
      <c r="P7" s="375"/>
      <c r="Q7" s="224"/>
      <c r="R7" s="358"/>
      <c r="S7" s="358"/>
      <c r="T7" s="358"/>
      <c r="U7" s="358"/>
      <c r="V7" s="358"/>
      <c r="W7" s="358"/>
      <c r="X7" s="358"/>
      <c r="Y7" s="358"/>
      <c r="Z7" s="358"/>
    </row>
    <row r="8" ht="30.0" customHeight="1">
      <c r="B8" s="52"/>
      <c r="C8" s="184" t="s">
        <v>100</v>
      </c>
      <c r="D8" s="185">
        <v>220.0</v>
      </c>
      <c r="E8" s="376"/>
      <c r="F8" s="61"/>
      <c r="G8" s="61"/>
      <c r="H8" s="48"/>
      <c r="I8" s="377"/>
      <c r="J8" s="377"/>
      <c r="K8" s="377"/>
      <c r="L8" s="378"/>
      <c r="M8" s="379">
        <v>500.0</v>
      </c>
      <c r="N8" s="189"/>
      <c r="O8" s="380"/>
      <c r="P8" s="193"/>
      <c r="Q8" s="381"/>
    </row>
    <row r="9" ht="30.0" customHeight="1">
      <c r="B9" s="52"/>
      <c r="C9" s="194" t="s">
        <v>20</v>
      </c>
      <c r="D9" s="185"/>
      <c r="E9" s="376"/>
      <c r="F9" s="61"/>
      <c r="G9" s="185" t="s">
        <v>81</v>
      </c>
      <c r="H9" s="54"/>
      <c r="I9" s="377"/>
      <c r="J9" s="377"/>
      <c r="K9" s="377"/>
      <c r="L9" s="382"/>
      <c r="M9" s="196" t="s">
        <v>10</v>
      </c>
      <c r="N9" s="197"/>
      <c r="O9" s="380"/>
      <c r="P9" s="193"/>
      <c r="Q9" s="381"/>
    </row>
    <row r="10" ht="30.0" customHeight="1">
      <c r="B10" s="52"/>
      <c r="C10" s="383"/>
      <c r="D10" s="185"/>
      <c r="E10" s="376"/>
      <c r="F10" s="61"/>
      <c r="G10" s="185" t="s">
        <v>11</v>
      </c>
      <c r="H10" s="54"/>
      <c r="I10" s="377"/>
      <c r="J10" s="377"/>
      <c r="K10" s="377"/>
      <c r="L10" s="384">
        <v>1.0</v>
      </c>
      <c r="M10" s="385"/>
      <c r="N10" s="197"/>
      <c r="O10" s="380"/>
      <c r="P10" s="193"/>
      <c r="Q10" s="381"/>
    </row>
    <row r="11" ht="30.0" customHeight="1">
      <c r="B11" s="52"/>
      <c r="C11" s="383"/>
      <c r="D11" s="185"/>
      <c r="E11" s="376"/>
      <c r="F11" s="61"/>
      <c r="G11" s="185" t="s">
        <v>10</v>
      </c>
      <c r="H11" s="54"/>
      <c r="I11" s="377"/>
      <c r="J11" s="377"/>
      <c r="K11" s="377"/>
      <c r="L11" s="384">
        <v>2.0</v>
      </c>
      <c r="M11" s="385"/>
      <c r="N11" s="197"/>
      <c r="O11" s="380"/>
      <c r="P11" s="193"/>
      <c r="Q11" s="381"/>
    </row>
    <row r="12" ht="30.0" customHeight="1">
      <c r="B12" s="52"/>
      <c r="C12" s="383"/>
      <c r="D12" s="185"/>
      <c r="E12" s="376"/>
      <c r="F12" s="61"/>
      <c r="G12" s="185" t="s">
        <v>9</v>
      </c>
      <c r="H12" s="119"/>
      <c r="I12" s="377"/>
      <c r="J12" s="377"/>
      <c r="K12" s="377"/>
      <c r="L12" s="384">
        <v>3.0</v>
      </c>
      <c r="M12" s="385"/>
      <c r="N12" s="197"/>
      <c r="O12" s="380"/>
      <c r="P12" s="193"/>
      <c r="Q12" s="381"/>
    </row>
    <row r="13" ht="30.0" customHeight="1">
      <c r="B13" s="52"/>
      <c r="C13" s="383"/>
      <c r="D13" s="185"/>
      <c r="E13" s="376"/>
      <c r="F13" s="61"/>
      <c r="G13" s="185" t="s">
        <v>21</v>
      </c>
      <c r="H13" s="63">
        <v>1.24</v>
      </c>
      <c r="I13" s="377"/>
      <c r="J13" s="203">
        <v>1.25</v>
      </c>
      <c r="K13" s="203">
        <v>1.32</v>
      </c>
      <c r="L13" s="382"/>
      <c r="M13" s="385"/>
      <c r="N13" s="197"/>
      <c r="O13" s="380"/>
      <c r="P13" s="193"/>
      <c r="Q13" s="381"/>
    </row>
    <row r="14" ht="30.0" customHeight="1">
      <c r="A14" s="386"/>
      <c r="B14" s="53"/>
      <c r="C14" s="198"/>
      <c r="D14" s="387"/>
      <c r="E14" s="388"/>
      <c r="F14" s="192"/>
      <c r="G14" s="387"/>
      <c r="H14" s="387"/>
      <c r="I14" s="380"/>
      <c r="J14" s="389"/>
      <c r="K14" s="389"/>
      <c r="L14" s="390"/>
      <c r="M14" s="391"/>
      <c r="N14" s="197"/>
      <c r="O14" s="380"/>
      <c r="P14" s="193"/>
      <c r="Q14" s="381"/>
      <c r="R14" s="386"/>
      <c r="S14" s="386"/>
      <c r="T14" s="386"/>
      <c r="U14" s="386"/>
      <c r="V14" s="386"/>
      <c r="W14" s="386"/>
      <c r="X14" s="386"/>
      <c r="Y14" s="386"/>
      <c r="Z14" s="386"/>
    </row>
    <row r="15" ht="30.0" customHeight="1">
      <c r="A15" s="392"/>
      <c r="B15" s="44">
        <v>1.0</v>
      </c>
      <c r="C15" s="65" t="s">
        <v>101</v>
      </c>
      <c r="D15" s="66"/>
      <c r="E15" s="393"/>
      <c r="F15" s="44"/>
      <c r="G15" s="44"/>
      <c r="H15" s="44"/>
      <c r="I15" s="394"/>
      <c r="J15" s="394"/>
      <c r="K15" s="394"/>
      <c r="L15" s="395"/>
      <c r="M15" s="396" t="s">
        <v>102</v>
      </c>
      <c r="N15" s="397">
        <f>IF(M15="BLOCKS",IF(M9="2010-2013",K16*M8,IF(M9="2014-2021",J16*M8,IF(M9="2021-2023",I16*M8,0))),IF(M15="BLOCKS WITH PALISADE",IF(M9="2010-2013",K17*M8,IF(M9="2014-2021",J17*M8,IF(M9="2021-2023",I17*M8,0))),IF(M15="PRE-CAST SLABS",IF(M9="2010-2013",K18*M8,IF(M9="2014-2021",J18*M8,IF(M9="2021-2023",I18*M8,0))),IF(M15="STOCK BRICKS",IF(M9="2010-2013",K19*M8,IF(M9="2014-2021",J19*M8,IF(M9="2021-2023",I19*M8,0))),IF(M15="STOCK BRICKS WITH PALISADE",IF(M9="2010-2013",K20*M8,IF(M9="2014-2021",J20*M8,IF(M9="2021-2023",I20*M8,0))),IF(M15="FACE BRICKS",IF(M9="2010-2013",K21*M8,IF(M9="2014-2021",J21*M8,IF(M9="2021-2023",I21*M8,0))),IF(M15="FACE BRICK WITH PALISADE",IF(M9="2010-2013",K22*M8,IF(M9="2014-2021",J22*M8,IF(M9="2021-2023",I22*M8,0))),IF(M15="CLEAR-VU",IF(M9="2010-2013",K23*M8,IF(M9="2014-2021",J23*M8,IF(M9="2021-2023",I23*M8,0))),IF(M15="PALISADE",IF(M9="2010-2013",K24*M8,IF(M9="2014-2021",J24*M8,IF(M9="2021-2023",I24*M8,0))),IF(M15="DIAMOND MESH",IF(M9="2010-2013",K25*M8,IF(M9="2014-2021",J25*M8,IF(M9="2021-2023",I25*M8,0))),0))))))))))</f>
        <v>74400</v>
      </c>
      <c r="O15" s="118"/>
      <c r="P15" s="229" t="s">
        <v>23</v>
      </c>
      <c r="Q15" s="230">
        <f>IF(P15="Delapidated",N15*0.6,IF(P15="Poor",N15*0.7,IF(P15="Fair",N15*0.8,IF(P15="Good",N15*0.85,IF(P15="Very Good",N15*0.9,IF(P15="Excellent",N15*1,IF(P15="Not Applicable",N15*1,0)))))))</f>
        <v>74400</v>
      </c>
      <c r="R15" s="392"/>
      <c r="S15" s="392"/>
      <c r="T15" s="392"/>
      <c r="U15" s="392"/>
      <c r="V15" s="392"/>
      <c r="W15" s="392"/>
      <c r="X15" s="392"/>
      <c r="Y15" s="392"/>
      <c r="Z15" s="392"/>
    </row>
    <row r="16" ht="30.0" customHeight="1">
      <c r="A16" s="392"/>
      <c r="B16" s="44"/>
      <c r="C16" s="398" t="s">
        <v>29</v>
      </c>
      <c r="D16" s="399"/>
      <c r="E16" s="393">
        <v>1.0</v>
      </c>
      <c r="F16" s="71">
        <v>1.0</v>
      </c>
      <c r="G16" s="71"/>
      <c r="H16" s="71"/>
      <c r="I16" s="394">
        <f>250*H13</f>
        <v>310</v>
      </c>
      <c r="J16" s="394">
        <f t="shared" ref="J16:J25" si="1">I16/$J$13</f>
        <v>248</v>
      </c>
      <c r="K16" s="394">
        <f t="shared" ref="K16:K25" si="2">I16/$K$13</f>
        <v>234.8484848</v>
      </c>
      <c r="L16" s="400">
        <v>1.0</v>
      </c>
      <c r="M16" s="401"/>
      <c r="N16" s="73" t="s">
        <v>103</v>
      </c>
      <c r="O16" s="118">
        <f t="shared" ref="O16:O25" si="3">I16*$M$8</f>
        <v>155000</v>
      </c>
      <c r="P16" s="34"/>
      <c r="Q16" s="402"/>
      <c r="R16" s="392"/>
      <c r="S16" s="392"/>
      <c r="T16" s="392"/>
      <c r="U16" s="392"/>
      <c r="V16" s="392"/>
      <c r="W16" s="392"/>
      <c r="X16" s="392"/>
      <c r="Y16" s="392"/>
      <c r="Z16" s="392"/>
    </row>
    <row r="17" ht="30.0" customHeight="1">
      <c r="A17" s="392"/>
      <c r="B17" s="44"/>
      <c r="C17" s="398" t="s">
        <v>104</v>
      </c>
      <c r="D17" s="399"/>
      <c r="E17" s="393">
        <v>2.0</v>
      </c>
      <c r="F17" s="71">
        <v>1.3</v>
      </c>
      <c r="G17" s="71"/>
      <c r="H17" s="71"/>
      <c r="I17" s="394">
        <f>I16*1.3</f>
        <v>403</v>
      </c>
      <c r="J17" s="394">
        <f t="shared" si="1"/>
        <v>322.4</v>
      </c>
      <c r="K17" s="394">
        <f t="shared" si="2"/>
        <v>305.3030303</v>
      </c>
      <c r="L17" s="400">
        <v>2.0</v>
      </c>
      <c r="M17" s="403"/>
      <c r="N17" s="73"/>
      <c r="O17" s="118">
        <f t="shared" si="3"/>
        <v>201500</v>
      </c>
      <c r="P17" s="34"/>
      <c r="Q17" s="402"/>
      <c r="R17" s="392"/>
      <c r="S17" s="392"/>
      <c r="T17" s="392"/>
      <c r="U17" s="392"/>
      <c r="V17" s="392"/>
      <c r="W17" s="392"/>
      <c r="X17" s="392"/>
      <c r="Y17" s="392"/>
      <c r="Z17" s="392"/>
    </row>
    <row r="18" ht="30.0" customHeight="1">
      <c r="A18" s="392"/>
      <c r="B18" s="44"/>
      <c r="C18" s="398" t="s">
        <v>102</v>
      </c>
      <c r="D18" s="399"/>
      <c r="E18" s="393">
        <v>3.0</v>
      </c>
      <c r="F18" s="71">
        <v>0.6</v>
      </c>
      <c r="G18" s="71"/>
      <c r="H18" s="71"/>
      <c r="I18" s="394">
        <f t="shared" ref="I18:I25" si="4">F18*$I$16</f>
        <v>186</v>
      </c>
      <c r="J18" s="394">
        <f t="shared" si="1"/>
        <v>148.8</v>
      </c>
      <c r="K18" s="394">
        <f t="shared" si="2"/>
        <v>140.9090909</v>
      </c>
      <c r="L18" s="400">
        <v>3.0</v>
      </c>
      <c r="M18" s="403"/>
      <c r="N18" s="73"/>
      <c r="O18" s="118">
        <f t="shared" si="3"/>
        <v>93000</v>
      </c>
      <c r="P18" s="34"/>
      <c r="Q18" s="402"/>
      <c r="R18" s="392"/>
      <c r="S18" s="392"/>
      <c r="T18" s="392"/>
      <c r="U18" s="392"/>
      <c r="V18" s="392"/>
      <c r="W18" s="392"/>
      <c r="X18" s="392"/>
      <c r="Y18" s="392"/>
      <c r="Z18" s="392"/>
    </row>
    <row r="19" ht="30.0" customHeight="1">
      <c r="A19" s="392"/>
      <c r="B19" s="44"/>
      <c r="C19" s="398" t="s">
        <v>28</v>
      </c>
      <c r="D19" s="399"/>
      <c r="E19" s="393">
        <v>4.0</v>
      </c>
      <c r="F19" s="71">
        <v>1.2</v>
      </c>
      <c r="G19" s="71"/>
      <c r="H19" s="71"/>
      <c r="I19" s="394">
        <f t="shared" si="4"/>
        <v>372</v>
      </c>
      <c r="J19" s="394">
        <f t="shared" si="1"/>
        <v>297.6</v>
      </c>
      <c r="K19" s="394">
        <f t="shared" si="2"/>
        <v>281.8181818</v>
      </c>
      <c r="L19" s="400">
        <v>4.0</v>
      </c>
      <c r="M19" s="403"/>
      <c r="N19" s="73"/>
      <c r="O19" s="118">
        <f t="shared" si="3"/>
        <v>186000</v>
      </c>
      <c r="P19" s="34"/>
      <c r="Q19" s="402"/>
      <c r="R19" s="392"/>
      <c r="S19" s="392"/>
      <c r="T19" s="392"/>
      <c r="U19" s="392"/>
      <c r="V19" s="392"/>
      <c r="W19" s="392"/>
      <c r="X19" s="392"/>
      <c r="Y19" s="392"/>
      <c r="Z19" s="392"/>
    </row>
    <row r="20" ht="30.0" customHeight="1">
      <c r="A20" s="392"/>
      <c r="B20" s="44"/>
      <c r="C20" s="398" t="s">
        <v>105</v>
      </c>
      <c r="D20" s="399"/>
      <c r="E20" s="393">
        <v>5.0</v>
      </c>
      <c r="F20" s="71">
        <v>1.6</v>
      </c>
      <c r="G20" s="71"/>
      <c r="H20" s="71"/>
      <c r="I20" s="394">
        <f t="shared" si="4"/>
        <v>496</v>
      </c>
      <c r="J20" s="394">
        <f t="shared" si="1"/>
        <v>396.8</v>
      </c>
      <c r="K20" s="394">
        <f t="shared" si="2"/>
        <v>375.7575758</v>
      </c>
      <c r="L20" s="400">
        <v>5.0</v>
      </c>
      <c r="M20" s="403"/>
      <c r="N20" s="73"/>
      <c r="O20" s="118">
        <f t="shared" si="3"/>
        <v>248000</v>
      </c>
      <c r="P20" s="34"/>
      <c r="Q20" s="402"/>
      <c r="R20" s="392"/>
      <c r="S20" s="392"/>
      <c r="T20" s="392"/>
      <c r="U20" s="392"/>
      <c r="V20" s="392"/>
      <c r="W20" s="392"/>
      <c r="X20" s="392"/>
      <c r="Y20" s="392"/>
      <c r="Z20" s="392"/>
    </row>
    <row r="21" ht="30.0" customHeight="1">
      <c r="A21" s="392"/>
      <c r="B21" s="44"/>
      <c r="C21" s="398" t="s">
        <v>106</v>
      </c>
      <c r="D21" s="399"/>
      <c r="E21" s="393">
        <v>6.0</v>
      </c>
      <c r="F21" s="71">
        <v>1.8</v>
      </c>
      <c r="G21" s="71"/>
      <c r="H21" s="71"/>
      <c r="I21" s="394">
        <f t="shared" si="4"/>
        <v>558</v>
      </c>
      <c r="J21" s="394">
        <f t="shared" si="1"/>
        <v>446.4</v>
      </c>
      <c r="K21" s="394">
        <f t="shared" si="2"/>
        <v>422.7272727</v>
      </c>
      <c r="L21" s="400">
        <v>6.0</v>
      </c>
      <c r="M21" s="403"/>
      <c r="N21" s="73"/>
      <c r="O21" s="118">
        <f t="shared" si="3"/>
        <v>279000</v>
      </c>
      <c r="P21" s="34"/>
      <c r="Q21" s="402"/>
      <c r="R21" s="392"/>
      <c r="S21" s="392"/>
      <c r="T21" s="392"/>
      <c r="U21" s="392"/>
      <c r="V21" s="392"/>
      <c r="W21" s="392"/>
      <c r="X21" s="392"/>
      <c r="Y21" s="392"/>
      <c r="Z21" s="392"/>
    </row>
    <row r="22" ht="30.0" customHeight="1">
      <c r="A22" s="392"/>
      <c r="B22" s="44"/>
      <c r="C22" s="398" t="s">
        <v>107</v>
      </c>
      <c r="D22" s="399"/>
      <c r="E22" s="393">
        <v>7.0</v>
      </c>
      <c r="F22" s="71">
        <v>2.1</v>
      </c>
      <c r="G22" s="71"/>
      <c r="H22" s="71"/>
      <c r="I22" s="394">
        <f t="shared" si="4"/>
        <v>651</v>
      </c>
      <c r="J22" s="394">
        <f t="shared" si="1"/>
        <v>520.8</v>
      </c>
      <c r="K22" s="394">
        <f t="shared" si="2"/>
        <v>493.1818182</v>
      </c>
      <c r="L22" s="400">
        <v>7.0</v>
      </c>
      <c r="M22" s="403"/>
      <c r="N22" s="73"/>
      <c r="O22" s="118">
        <f t="shared" si="3"/>
        <v>325500</v>
      </c>
      <c r="P22" s="34"/>
      <c r="Q22" s="402"/>
      <c r="R22" s="392"/>
      <c r="S22" s="392"/>
      <c r="T22" s="392"/>
      <c r="U22" s="392"/>
      <c r="V22" s="392"/>
      <c r="W22" s="392"/>
      <c r="X22" s="392"/>
      <c r="Y22" s="392"/>
      <c r="Z22" s="392"/>
    </row>
    <row r="23" ht="30.0" customHeight="1">
      <c r="A23" s="392"/>
      <c r="B23" s="44"/>
      <c r="C23" s="398" t="s">
        <v>108</v>
      </c>
      <c r="D23" s="399"/>
      <c r="E23" s="393">
        <v>8.0</v>
      </c>
      <c r="F23" s="71">
        <v>4.8</v>
      </c>
      <c r="G23" s="71"/>
      <c r="H23" s="71"/>
      <c r="I23" s="394">
        <f t="shared" si="4"/>
        <v>1488</v>
      </c>
      <c r="J23" s="394">
        <f t="shared" si="1"/>
        <v>1190.4</v>
      </c>
      <c r="K23" s="394">
        <f t="shared" si="2"/>
        <v>1127.272727</v>
      </c>
      <c r="L23" s="400">
        <v>8.0</v>
      </c>
      <c r="M23" s="403"/>
      <c r="N23" s="73"/>
      <c r="O23" s="118">
        <f t="shared" si="3"/>
        <v>744000</v>
      </c>
      <c r="P23" s="34"/>
      <c r="Q23" s="402"/>
      <c r="R23" s="392"/>
      <c r="S23" s="392"/>
      <c r="T23" s="392"/>
      <c r="U23" s="392"/>
      <c r="V23" s="392"/>
      <c r="W23" s="392"/>
      <c r="X23" s="392"/>
      <c r="Y23" s="392"/>
      <c r="Z23" s="392"/>
    </row>
    <row r="24" ht="30.0" customHeight="1">
      <c r="A24" s="392"/>
      <c r="B24" s="44"/>
      <c r="C24" s="398" t="s">
        <v>109</v>
      </c>
      <c r="D24" s="399"/>
      <c r="E24" s="393">
        <v>9.0</v>
      </c>
      <c r="F24" s="71">
        <v>3.5</v>
      </c>
      <c r="G24" s="71"/>
      <c r="H24" s="71"/>
      <c r="I24" s="394">
        <f t="shared" si="4"/>
        <v>1085</v>
      </c>
      <c r="J24" s="394">
        <f t="shared" si="1"/>
        <v>868</v>
      </c>
      <c r="K24" s="394">
        <f t="shared" si="2"/>
        <v>821.969697</v>
      </c>
      <c r="L24" s="400">
        <v>9.0</v>
      </c>
      <c r="M24" s="403"/>
      <c r="N24" s="73"/>
      <c r="O24" s="118">
        <f t="shared" si="3"/>
        <v>542500</v>
      </c>
      <c r="P24" s="34"/>
      <c r="Q24" s="402"/>
      <c r="R24" s="392"/>
      <c r="S24" s="392"/>
      <c r="T24" s="392"/>
      <c r="U24" s="392"/>
      <c r="V24" s="392"/>
      <c r="W24" s="392"/>
      <c r="X24" s="392"/>
      <c r="Y24" s="392"/>
      <c r="Z24" s="392"/>
    </row>
    <row r="25" ht="30.0" customHeight="1">
      <c r="A25" s="392"/>
      <c r="B25" s="44"/>
      <c r="C25" s="398" t="s">
        <v>110</v>
      </c>
      <c r="D25" s="399"/>
      <c r="E25" s="393">
        <v>10.0</v>
      </c>
      <c r="F25" s="71">
        <v>0.3</v>
      </c>
      <c r="G25" s="71"/>
      <c r="H25" s="71"/>
      <c r="I25" s="394">
        <f t="shared" si="4"/>
        <v>93</v>
      </c>
      <c r="J25" s="394">
        <f t="shared" si="1"/>
        <v>74.4</v>
      </c>
      <c r="K25" s="394">
        <f t="shared" si="2"/>
        <v>70.45454545</v>
      </c>
      <c r="L25" s="400">
        <v>10.0</v>
      </c>
      <c r="M25" s="403"/>
      <c r="N25" s="73"/>
      <c r="O25" s="118">
        <f t="shared" si="3"/>
        <v>46500</v>
      </c>
      <c r="P25" s="34"/>
      <c r="Q25" s="402"/>
      <c r="R25" s="392"/>
      <c r="S25" s="392"/>
      <c r="T25" s="392"/>
      <c r="U25" s="392"/>
      <c r="V25" s="392"/>
      <c r="W25" s="392"/>
      <c r="X25" s="392"/>
      <c r="Y25" s="392"/>
      <c r="Z25" s="392"/>
    </row>
    <row r="26" ht="30.0" customHeight="1">
      <c r="A26" s="404"/>
      <c r="B26" s="375"/>
      <c r="C26" s="405"/>
      <c r="D26" s="406"/>
      <c r="E26" s="407"/>
      <c r="F26" s="225"/>
      <c r="G26" s="225"/>
      <c r="H26" s="225"/>
      <c r="I26" s="225"/>
      <c r="J26" s="225"/>
      <c r="K26" s="225"/>
      <c r="L26" s="407"/>
      <c r="M26" s="408"/>
      <c r="N26" s="45"/>
      <c r="O26" s="249"/>
      <c r="P26" s="218"/>
      <c r="Q26" s="409"/>
      <c r="R26" s="404"/>
      <c r="S26" s="404"/>
      <c r="T26" s="404"/>
      <c r="U26" s="404"/>
      <c r="V26" s="404"/>
      <c r="W26" s="404"/>
      <c r="X26" s="404"/>
      <c r="Y26" s="404"/>
      <c r="Z26" s="404"/>
    </row>
    <row r="27" ht="30.0" customHeight="1">
      <c r="A27" s="392"/>
      <c r="B27" s="44">
        <v>2.0</v>
      </c>
      <c r="C27" s="65" t="s">
        <v>111</v>
      </c>
      <c r="D27" s="66"/>
      <c r="E27" s="393"/>
      <c r="F27" s="44"/>
      <c r="G27" s="44"/>
      <c r="H27" s="44"/>
      <c r="I27" s="394"/>
      <c r="J27" s="394"/>
      <c r="K27" s="394"/>
      <c r="L27" s="395"/>
      <c r="M27" s="410" t="s">
        <v>25</v>
      </c>
      <c r="N27" s="411">
        <f>IF(M27="YES",IF(M9="2010-2013",K28*$M$8,IF(M9="2014-2021",J28*$M$8,IF(M9="2021-2023",I28*$M$8,0))),0)</f>
        <v>24800</v>
      </c>
      <c r="O27" s="118"/>
      <c r="P27" s="72" t="s">
        <v>23</v>
      </c>
      <c r="Q27" s="73">
        <f>IF(P27="Delapidated",N27*0.6,IF(P27="Poor",N27*0.7,IF(P27="Fair",N27*0.8,IF(P27="Good",N27*0.85,IF(P27="Very Good",N27*0.9,IF(P27="Excellent",N27*1,IF(P27="Not Applicable",N27*1,0)))))))</f>
        <v>24800</v>
      </c>
      <c r="R27" s="392"/>
      <c r="S27" s="392"/>
      <c r="T27" s="392"/>
      <c r="U27" s="392"/>
      <c r="V27" s="392"/>
      <c r="W27" s="392"/>
      <c r="X27" s="392"/>
      <c r="Y27" s="392"/>
      <c r="Z27" s="392"/>
    </row>
    <row r="28" ht="30.0" customHeight="1">
      <c r="A28" s="392"/>
      <c r="B28" s="44"/>
      <c r="C28" s="398" t="s">
        <v>25</v>
      </c>
      <c r="D28" s="399">
        <f>D27*F28</f>
        <v>0</v>
      </c>
      <c r="E28" s="393">
        <v>1.0</v>
      </c>
      <c r="F28" s="44">
        <v>1.0</v>
      </c>
      <c r="G28" s="44"/>
      <c r="H28" s="44"/>
      <c r="I28" s="394">
        <f>50*H13</f>
        <v>62</v>
      </c>
      <c r="J28" s="394">
        <f t="shared" ref="J28:J29" si="5">I28/$J$13</f>
        <v>49.6</v>
      </c>
      <c r="K28" s="394">
        <f t="shared" ref="K28:K29" si="6">I28/$K$13</f>
        <v>46.96969697</v>
      </c>
      <c r="L28" s="400">
        <v>1.0</v>
      </c>
      <c r="M28" s="412"/>
      <c r="N28" s="413"/>
      <c r="O28" s="118" t="str">
        <f>I28*#REF!</f>
        <v>#REF!</v>
      </c>
      <c r="P28" s="34"/>
      <c r="Q28" s="402"/>
      <c r="R28" s="392"/>
      <c r="S28" s="392"/>
      <c r="T28" s="392"/>
      <c r="U28" s="392"/>
      <c r="V28" s="392"/>
      <c r="W28" s="392"/>
      <c r="X28" s="392"/>
      <c r="Y28" s="392"/>
      <c r="Z28" s="392"/>
    </row>
    <row r="29" ht="30.0" customHeight="1">
      <c r="A29" s="392"/>
      <c r="B29" s="44"/>
      <c r="C29" s="398" t="s">
        <v>26</v>
      </c>
      <c r="D29" s="399">
        <f>D27*F29</f>
        <v>0</v>
      </c>
      <c r="E29" s="393">
        <v>2.0</v>
      </c>
      <c r="F29" s="71">
        <v>0.0</v>
      </c>
      <c r="G29" s="71"/>
      <c r="H29" s="71"/>
      <c r="I29" s="394">
        <v>0.0</v>
      </c>
      <c r="J29" s="394">
        <f t="shared" si="5"/>
        <v>0</v>
      </c>
      <c r="K29" s="394">
        <f t="shared" si="6"/>
        <v>0</v>
      </c>
      <c r="L29" s="400">
        <v>2.0</v>
      </c>
      <c r="M29" s="403"/>
      <c r="N29" s="73"/>
      <c r="O29" s="118">
        <v>0.0</v>
      </c>
      <c r="P29" s="34"/>
      <c r="Q29" s="402"/>
      <c r="R29" s="392"/>
      <c r="S29" s="392"/>
      <c r="T29" s="392"/>
      <c r="U29" s="392"/>
      <c r="V29" s="392"/>
      <c r="W29" s="392"/>
      <c r="X29" s="392"/>
      <c r="Y29" s="392"/>
      <c r="Z29" s="392"/>
    </row>
    <row r="30" ht="30.0" customHeight="1">
      <c r="A30" s="404"/>
      <c r="B30" s="375"/>
      <c r="C30" s="405"/>
      <c r="D30" s="406"/>
      <c r="E30" s="407"/>
      <c r="F30" s="225"/>
      <c r="G30" s="225"/>
      <c r="H30" s="225"/>
      <c r="I30" s="225"/>
      <c r="J30" s="225"/>
      <c r="K30" s="225"/>
      <c r="L30" s="407"/>
      <c r="M30" s="408"/>
      <c r="N30" s="45"/>
      <c r="O30" s="249"/>
      <c r="P30" s="218"/>
      <c r="Q30" s="409"/>
      <c r="R30" s="404"/>
      <c r="S30" s="404"/>
      <c r="T30" s="404"/>
      <c r="U30" s="404"/>
      <c r="V30" s="404"/>
      <c r="W30" s="404"/>
      <c r="X30" s="404"/>
      <c r="Y30" s="404"/>
      <c r="Z30" s="404"/>
    </row>
    <row r="31" ht="30.0" customHeight="1">
      <c r="A31" s="392"/>
      <c r="B31" s="44">
        <v>3.0</v>
      </c>
      <c r="C31" s="74" t="s">
        <v>112</v>
      </c>
      <c r="D31" s="414"/>
      <c r="E31" s="393"/>
      <c r="F31" s="71"/>
      <c r="G31" s="71"/>
      <c r="H31" s="71"/>
      <c r="I31" s="394"/>
      <c r="J31" s="394"/>
      <c r="K31" s="394"/>
      <c r="L31" s="395"/>
      <c r="M31" s="396" t="s">
        <v>110</v>
      </c>
      <c r="N31" s="411">
        <f>IF(M31="METAL GATE MOTORISED",IF(M9="2010-2013",K32*1,IF(M9="2014-2021",J32*1,IF(M9="2021-2023",I32*1,0))),IF(M31="METAL GATE NOT MOTORISED",IF(M9="2010-2013",K33*1,IF(M9="2014-2021",J33*1,IF(M9="2021-2023",I33*1,0))),IF(M31="DIAMOND MESH",IF(M9="2010-2013",K34*1,IF(M9="2014-2021",J34*1,IF(M9="2021-2023",I34*1,0))),0)))</f>
        <v>1488</v>
      </c>
      <c r="O31" s="118"/>
      <c r="P31" s="72" t="s">
        <v>23</v>
      </c>
      <c r="Q31" s="73">
        <f>IF(P31="Delapidated",N31*0.6,IF(P31="Poor",N31*0.7,IF(P31="Fair",N31*0.8,IF(P31="Good",N31*0.85,IF(P31="Very Good",N31*0.9,IF(P31="Excellent",N31*1,IF(P31="Not Applicable",N31*1,0)))))))</f>
        <v>1488</v>
      </c>
      <c r="R31" s="392"/>
      <c r="S31" s="392"/>
      <c r="T31" s="392"/>
      <c r="U31" s="392"/>
      <c r="V31" s="392"/>
      <c r="W31" s="392"/>
      <c r="X31" s="392"/>
      <c r="Y31" s="392"/>
      <c r="Z31" s="392"/>
    </row>
    <row r="32" ht="30.0" customHeight="1">
      <c r="A32" s="392"/>
      <c r="B32" s="212"/>
      <c r="C32" s="415" t="s">
        <v>113</v>
      </c>
      <c r="D32" s="399">
        <v>10000.0</v>
      </c>
      <c r="E32" s="393">
        <v>1.0</v>
      </c>
      <c r="F32" s="71">
        <v>1.0</v>
      </c>
      <c r="G32" s="71"/>
      <c r="H32" s="71"/>
      <c r="I32" s="394">
        <f>10000*H13</f>
        <v>12400</v>
      </c>
      <c r="J32" s="394">
        <f t="shared" ref="J32:J35" si="7">I32/$J$13</f>
        <v>9920</v>
      </c>
      <c r="K32" s="394">
        <f t="shared" ref="K32:K35" si="8">I32/$K$13</f>
        <v>9393.939394</v>
      </c>
      <c r="L32" s="400">
        <v>1.0</v>
      </c>
      <c r="M32" s="34"/>
      <c r="N32" s="416"/>
      <c r="O32" s="118">
        <f t="shared" ref="O32:O34" si="9">I32</f>
        <v>12400</v>
      </c>
      <c r="P32" s="34"/>
      <c r="Q32" s="417"/>
      <c r="R32" s="392"/>
      <c r="S32" s="392"/>
      <c r="T32" s="392"/>
      <c r="U32" s="392"/>
      <c r="V32" s="392"/>
      <c r="W32" s="392"/>
      <c r="X32" s="392"/>
      <c r="Y32" s="392"/>
      <c r="Z32" s="392"/>
    </row>
    <row r="33" ht="30.0" customHeight="1">
      <c r="A33" s="392"/>
      <c r="B33" s="212"/>
      <c r="C33" s="415" t="s">
        <v>114</v>
      </c>
      <c r="D33" s="399">
        <v>7500.0</v>
      </c>
      <c r="E33" s="393">
        <v>2.0</v>
      </c>
      <c r="F33" s="71">
        <v>1.0</v>
      </c>
      <c r="G33" s="71"/>
      <c r="H33" s="71"/>
      <c r="I33" s="394">
        <f>7500*H13</f>
        <v>9300</v>
      </c>
      <c r="J33" s="394">
        <f t="shared" si="7"/>
        <v>7440</v>
      </c>
      <c r="K33" s="394">
        <f t="shared" si="8"/>
        <v>7045.454545</v>
      </c>
      <c r="L33" s="400">
        <v>2.0</v>
      </c>
      <c r="M33" s="418"/>
      <c r="N33" s="419"/>
      <c r="O33" s="118">
        <f t="shared" si="9"/>
        <v>9300</v>
      </c>
      <c r="P33" s="34"/>
      <c r="Q33" s="417"/>
      <c r="R33" s="392"/>
      <c r="S33" s="392"/>
      <c r="T33" s="392"/>
      <c r="U33" s="392"/>
      <c r="V33" s="392"/>
      <c r="W33" s="392"/>
      <c r="X33" s="392"/>
      <c r="Y33" s="392"/>
      <c r="Z33" s="392"/>
    </row>
    <row r="34" ht="30.0" customHeight="1">
      <c r="A34" s="392"/>
      <c r="B34" s="212"/>
      <c r="C34" s="415" t="s">
        <v>110</v>
      </c>
      <c r="D34" s="399">
        <v>1500.0</v>
      </c>
      <c r="E34" s="393">
        <v>3.0</v>
      </c>
      <c r="F34" s="71">
        <v>1.0</v>
      </c>
      <c r="G34" s="71"/>
      <c r="H34" s="71"/>
      <c r="I34" s="394">
        <f>1500*H13</f>
        <v>1860</v>
      </c>
      <c r="J34" s="394">
        <f t="shared" si="7"/>
        <v>1488</v>
      </c>
      <c r="K34" s="394">
        <f t="shared" si="8"/>
        <v>1409.090909</v>
      </c>
      <c r="L34" s="400">
        <v>3.0</v>
      </c>
      <c r="M34" s="418"/>
      <c r="N34" s="419"/>
      <c r="O34" s="118">
        <f t="shared" si="9"/>
        <v>1860</v>
      </c>
      <c r="P34" s="34"/>
      <c r="Q34" s="417"/>
      <c r="R34" s="392"/>
      <c r="S34" s="392"/>
      <c r="T34" s="392"/>
      <c r="U34" s="392"/>
      <c r="V34" s="392"/>
      <c r="W34" s="392"/>
      <c r="X34" s="392"/>
      <c r="Y34" s="392"/>
      <c r="Z34" s="392"/>
    </row>
    <row r="35" ht="30.0" customHeight="1">
      <c r="A35" s="392"/>
      <c r="B35" s="420"/>
      <c r="C35" s="421" t="s">
        <v>115</v>
      </c>
      <c r="D35" s="422">
        <v>0.0</v>
      </c>
      <c r="E35" s="423"/>
      <c r="F35" s="424"/>
      <c r="G35" s="424"/>
      <c r="H35" s="424"/>
      <c r="I35" s="425">
        <v>0.0</v>
      </c>
      <c r="J35" s="425">
        <f t="shared" si="7"/>
        <v>0</v>
      </c>
      <c r="K35" s="425">
        <f t="shared" si="8"/>
        <v>0</v>
      </c>
      <c r="L35" s="426">
        <v>4.0</v>
      </c>
      <c r="M35" s="427"/>
      <c r="N35" s="428"/>
      <c r="O35" s="118">
        <v>0.0</v>
      </c>
      <c r="P35" s="34"/>
      <c r="Q35" s="417"/>
      <c r="R35" s="392"/>
      <c r="S35" s="392"/>
      <c r="T35" s="392"/>
      <c r="U35" s="392"/>
      <c r="V35" s="392"/>
      <c r="W35" s="392"/>
      <c r="X35" s="392"/>
      <c r="Y35" s="392"/>
      <c r="Z35" s="392"/>
    </row>
    <row r="36" ht="30.0" customHeight="1">
      <c r="A36" s="392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429"/>
      <c r="O36" s="34"/>
      <c r="P36" s="34"/>
      <c r="Q36" s="416"/>
      <c r="R36" s="392"/>
      <c r="S36" s="392"/>
      <c r="T36" s="392"/>
      <c r="U36" s="392"/>
      <c r="V36" s="392"/>
      <c r="W36" s="392"/>
      <c r="X36" s="392"/>
      <c r="Y36" s="392"/>
      <c r="Z36" s="392"/>
    </row>
    <row r="37" ht="30.0" customHeight="1">
      <c r="B37" s="119"/>
      <c r="C37" s="17"/>
      <c r="D37" s="16"/>
      <c r="E37" s="430"/>
      <c r="F37" s="119"/>
      <c r="G37" s="119"/>
      <c r="H37" s="119"/>
      <c r="I37" s="431"/>
      <c r="J37" s="431"/>
      <c r="K37" s="431"/>
      <c r="L37" s="432"/>
      <c r="M37" s="432"/>
      <c r="N37" s="115"/>
      <c r="O37" s="431"/>
      <c r="P37" s="17"/>
      <c r="Q37" s="433"/>
    </row>
    <row r="38" ht="30.0" customHeight="1">
      <c r="B38" s="119"/>
      <c r="C38" s="17"/>
      <c r="D38" s="16"/>
      <c r="E38" s="434"/>
      <c r="F38" s="267"/>
      <c r="G38" s="267"/>
      <c r="H38" s="267"/>
      <c r="I38" s="268"/>
      <c r="J38" s="268"/>
      <c r="K38" s="268"/>
      <c r="L38" s="432"/>
      <c r="M38" s="435" t="s">
        <v>116</v>
      </c>
      <c r="N38" s="436">
        <f>SUM(N15:N35)</f>
        <v>100688</v>
      </c>
      <c r="O38" s="431"/>
      <c r="P38" s="17"/>
      <c r="Q38" s="266">
        <f>SUM(Q15:Q31)</f>
        <v>100688</v>
      </c>
    </row>
    <row r="39" ht="12.0" customHeight="1">
      <c r="B39" s="1"/>
      <c r="C39" s="347"/>
      <c r="D39" s="161"/>
      <c r="E39" s="348"/>
      <c r="F39" s="1"/>
      <c r="G39" s="1"/>
      <c r="H39" s="1"/>
      <c r="I39" s="349"/>
      <c r="J39" s="349"/>
      <c r="K39" s="349"/>
      <c r="L39" s="350"/>
      <c r="M39" s="350"/>
      <c r="N39" s="351"/>
      <c r="O39" s="349"/>
      <c r="P39" s="347"/>
      <c r="Q39" s="151"/>
    </row>
    <row r="40" ht="12.0" customHeight="1">
      <c r="B40" s="1"/>
      <c r="C40" s="347"/>
      <c r="D40" s="161"/>
      <c r="E40" s="348"/>
      <c r="F40" s="1"/>
      <c r="G40" s="1"/>
      <c r="H40" s="1"/>
      <c r="I40" s="349"/>
      <c r="J40" s="349"/>
      <c r="K40" s="349"/>
      <c r="L40" s="350"/>
      <c r="M40" s="350"/>
      <c r="N40" s="351"/>
      <c r="O40" s="349"/>
      <c r="P40" s="347"/>
      <c r="Q40" s="151"/>
    </row>
    <row r="41" ht="12.0" customHeight="1">
      <c r="B41" s="1"/>
      <c r="C41" s="347"/>
      <c r="D41" s="161"/>
      <c r="E41" s="348"/>
      <c r="F41" s="1"/>
      <c r="G41" s="1"/>
      <c r="H41" s="1"/>
      <c r="I41" s="349"/>
      <c r="J41" s="349"/>
      <c r="K41" s="349"/>
      <c r="L41" s="350"/>
      <c r="M41" s="350"/>
      <c r="N41" s="351"/>
      <c r="O41" s="349"/>
      <c r="P41" s="347"/>
      <c r="Q41" s="151"/>
    </row>
    <row r="42" ht="12.0" customHeight="1">
      <c r="B42" s="1"/>
      <c r="C42" s="347"/>
      <c r="D42" s="161"/>
      <c r="E42" s="348"/>
      <c r="F42" s="1"/>
      <c r="G42" s="1"/>
      <c r="H42" s="1"/>
      <c r="I42" s="349"/>
      <c r="J42" s="349"/>
      <c r="K42" s="349"/>
      <c r="L42" s="350"/>
      <c r="M42" s="350"/>
      <c r="N42" s="351"/>
      <c r="O42" s="349"/>
      <c r="P42" s="347"/>
      <c r="Q42" s="151"/>
    </row>
    <row r="43" ht="12.0" customHeight="1">
      <c r="B43" s="1"/>
      <c r="C43" s="347"/>
      <c r="D43" s="161"/>
      <c r="E43" s="348"/>
      <c r="F43" s="1"/>
      <c r="G43" s="1"/>
      <c r="H43" s="1"/>
      <c r="I43" s="349"/>
      <c r="J43" s="349"/>
      <c r="K43" s="349"/>
      <c r="L43" s="350"/>
      <c r="M43" s="350"/>
      <c r="N43" s="351"/>
      <c r="O43" s="349"/>
      <c r="P43" s="347"/>
      <c r="Q43" s="151"/>
    </row>
    <row r="44" ht="12.0" customHeight="1">
      <c r="B44" s="1"/>
      <c r="C44" s="347"/>
      <c r="D44" s="161"/>
      <c r="E44" s="348"/>
      <c r="F44" s="1"/>
      <c r="G44" s="1"/>
      <c r="H44" s="1"/>
      <c r="I44" s="349"/>
      <c r="J44" s="349"/>
      <c r="K44" s="349"/>
      <c r="L44" s="350"/>
      <c r="M44" s="350"/>
      <c r="N44" s="351"/>
      <c r="O44" s="349"/>
      <c r="P44" s="347"/>
      <c r="Q44" s="151"/>
    </row>
    <row r="45" ht="12.0" customHeight="1">
      <c r="B45" s="1"/>
      <c r="C45" s="347"/>
      <c r="D45" s="161"/>
      <c r="E45" s="348"/>
      <c r="F45" s="1"/>
      <c r="G45" s="1"/>
      <c r="H45" s="1"/>
      <c r="I45" s="349"/>
      <c r="J45" s="349"/>
      <c r="K45" s="349"/>
      <c r="L45" s="350"/>
      <c r="M45" s="350"/>
      <c r="N45" s="351"/>
      <c r="O45" s="349"/>
      <c r="P45" s="347"/>
      <c r="Q45" s="151"/>
    </row>
    <row r="46" ht="12.0" customHeight="1">
      <c r="B46" s="1"/>
      <c r="C46" s="347"/>
      <c r="D46" s="161"/>
      <c r="E46" s="348"/>
      <c r="F46" s="1"/>
      <c r="G46" s="1"/>
      <c r="H46" s="1"/>
      <c r="I46" s="349"/>
      <c r="J46" s="349"/>
      <c r="K46" s="349"/>
      <c r="L46" s="350"/>
      <c r="M46" s="350"/>
      <c r="N46" s="351"/>
      <c r="O46" s="349"/>
      <c r="P46" s="347"/>
      <c r="Q46" s="151"/>
    </row>
    <row r="47" ht="12.0" customHeight="1">
      <c r="B47" s="1"/>
      <c r="C47" s="347"/>
      <c r="D47" s="161"/>
      <c r="E47" s="348"/>
      <c r="F47" s="1"/>
      <c r="G47" s="1"/>
      <c r="H47" s="1"/>
      <c r="I47" s="349"/>
      <c r="J47" s="349"/>
      <c r="K47" s="349"/>
      <c r="L47" s="350"/>
      <c r="M47" s="350"/>
      <c r="N47" s="351"/>
      <c r="O47" s="349"/>
      <c r="P47" s="347"/>
      <c r="Q47" s="151"/>
    </row>
    <row r="48" ht="12.0" customHeight="1">
      <c r="B48" s="1"/>
      <c r="C48" s="347"/>
      <c r="D48" s="161"/>
      <c r="E48" s="348"/>
      <c r="F48" s="1"/>
      <c r="G48" s="1"/>
      <c r="H48" s="1"/>
      <c r="I48" s="349"/>
      <c r="J48" s="349"/>
      <c r="K48" s="349"/>
      <c r="L48" s="350"/>
      <c r="M48" s="350"/>
      <c r="N48" s="351"/>
      <c r="O48" s="349"/>
      <c r="P48" s="347"/>
      <c r="Q48" s="151"/>
    </row>
    <row r="49" ht="12.0" customHeight="1">
      <c r="B49" s="1"/>
      <c r="C49" s="347"/>
      <c r="D49" s="161"/>
      <c r="E49" s="348"/>
      <c r="F49" s="1"/>
      <c r="G49" s="1"/>
      <c r="H49" s="1"/>
      <c r="I49" s="349"/>
      <c r="J49" s="349"/>
      <c r="K49" s="349"/>
      <c r="L49" s="350"/>
      <c r="M49" s="350"/>
      <c r="N49" s="351"/>
      <c r="O49" s="349"/>
      <c r="P49" s="347"/>
      <c r="Q49" s="151"/>
    </row>
    <row r="50" ht="12.0" customHeight="1">
      <c r="B50" s="1"/>
      <c r="C50" s="347"/>
      <c r="D50" s="161"/>
      <c r="E50" s="348"/>
      <c r="F50" s="1"/>
      <c r="G50" s="1"/>
      <c r="H50" s="1"/>
      <c r="I50" s="349"/>
      <c r="J50" s="349"/>
      <c r="K50" s="349"/>
      <c r="L50" s="350"/>
      <c r="M50" s="350"/>
      <c r="N50" s="351"/>
      <c r="O50" s="349"/>
      <c r="P50" s="347"/>
      <c r="Q50" s="151"/>
    </row>
    <row r="51" ht="12.0" customHeight="1">
      <c r="B51" s="1"/>
      <c r="C51" s="347"/>
      <c r="D51" s="161"/>
      <c r="E51" s="348"/>
      <c r="F51" s="1"/>
      <c r="G51" s="1"/>
      <c r="H51" s="1"/>
      <c r="I51" s="349"/>
      <c r="J51" s="349"/>
      <c r="K51" s="349"/>
      <c r="L51" s="350"/>
      <c r="M51" s="350"/>
      <c r="N51" s="351"/>
      <c r="O51" s="349"/>
      <c r="P51" s="347"/>
      <c r="Q51" s="151"/>
    </row>
    <row r="52" ht="12.0" customHeight="1">
      <c r="B52" s="1"/>
      <c r="C52" s="347"/>
      <c r="D52" s="161"/>
      <c r="E52" s="348"/>
      <c r="F52" s="1"/>
      <c r="G52" s="1"/>
      <c r="H52" s="1"/>
      <c r="I52" s="349"/>
      <c r="J52" s="349"/>
      <c r="K52" s="349"/>
      <c r="L52" s="350"/>
      <c r="M52" s="350"/>
      <c r="N52" s="351"/>
      <c r="O52" s="349"/>
      <c r="P52" s="347"/>
      <c r="Q52" s="151"/>
    </row>
    <row r="53" ht="12.0" customHeight="1">
      <c r="B53" s="1"/>
      <c r="C53" s="347"/>
      <c r="D53" s="161"/>
      <c r="E53" s="348"/>
      <c r="F53" s="1"/>
      <c r="G53" s="1"/>
      <c r="H53" s="1"/>
      <c r="I53" s="349"/>
      <c r="J53" s="349"/>
      <c r="K53" s="349"/>
      <c r="L53" s="350"/>
      <c r="M53" s="350"/>
      <c r="N53" s="351"/>
      <c r="O53" s="349"/>
      <c r="P53" s="347"/>
      <c r="Q53" s="151"/>
    </row>
    <row r="54" ht="12.0" customHeight="1">
      <c r="B54" s="1"/>
      <c r="C54" s="347"/>
      <c r="D54" s="161"/>
      <c r="E54" s="348"/>
      <c r="F54" s="1"/>
      <c r="G54" s="1"/>
      <c r="H54" s="1"/>
      <c r="I54" s="349"/>
      <c r="J54" s="349"/>
      <c r="K54" s="349"/>
      <c r="L54" s="350"/>
      <c r="M54" s="350"/>
      <c r="N54" s="351"/>
      <c r="O54" s="349"/>
      <c r="P54" s="347"/>
      <c r="Q54" s="151"/>
    </row>
    <row r="55" ht="12.0" customHeight="1">
      <c r="B55" s="1"/>
      <c r="C55" s="347"/>
      <c r="D55" s="161"/>
      <c r="E55" s="348"/>
      <c r="F55" s="1"/>
      <c r="G55" s="1"/>
      <c r="H55" s="1"/>
      <c r="I55" s="349"/>
      <c r="J55" s="349"/>
      <c r="K55" s="349"/>
      <c r="L55" s="350"/>
      <c r="M55" s="350"/>
      <c r="N55" s="437"/>
      <c r="O55" s="349"/>
      <c r="P55" s="347"/>
      <c r="Q55" s="151"/>
    </row>
    <row r="56" ht="12.0" customHeight="1">
      <c r="B56" s="1"/>
      <c r="C56" s="347"/>
      <c r="D56" s="161"/>
      <c r="E56" s="348"/>
      <c r="F56" s="1"/>
      <c r="G56" s="1"/>
      <c r="H56" s="1"/>
      <c r="I56" s="349"/>
      <c r="J56" s="349"/>
      <c r="K56" s="349"/>
      <c r="L56" s="350"/>
      <c r="M56" s="350"/>
      <c r="N56" s="351"/>
      <c r="O56" s="349"/>
      <c r="P56" s="347"/>
      <c r="Q56" s="151"/>
    </row>
    <row r="57" ht="12.0" customHeight="1">
      <c r="B57" s="1"/>
      <c r="C57" s="347"/>
      <c r="D57" s="161"/>
      <c r="E57" s="348"/>
      <c r="F57" s="1"/>
      <c r="G57" s="1"/>
      <c r="H57" s="1"/>
      <c r="I57" s="349"/>
      <c r="J57" s="349"/>
      <c r="K57" s="349"/>
      <c r="L57" s="350"/>
      <c r="M57" s="350"/>
      <c r="N57" s="351"/>
      <c r="O57" s="349"/>
      <c r="P57" s="347"/>
      <c r="Q57" s="151"/>
    </row>
    <row r="58" ht="12.0" customHeight="1">
      <c r="B58" s="1"/>
      <c r="C58" s="347"/>
      <c r="D58" s="161"/>
      <c r="E58" s="348"/>
      <c r="F58" s="1"/>
      <c r="G58" s="1"/>
      <c r="H58" s="1"/>
      <c r="I58" s="349"/>
      <c r="J58" s="349"/>
      <c r="K58" s="349"/>
      <c r="L58" s="350"/>
      <c r="M58" s="350"/>
      <c r="N58" s="351"/>
      <c r="O58" s="349"/>
      <c r="P58" s="347"/>
      <c r="Q58" s="151"/>
    </row>
    <row r="59" ht="12.0" customHeight="1">
      <c r="B59" s="1"/>
      <c r="C59" s="347"/>
      <c r="D59" s="161"/>
      <c r="E59" s="348"/>
      <c r="F59" s="1"/>
      <c r="G59" s="1"/>
      <c r="H59" s="1"/>
      <c r="I59" s="349"/>
      <c r="J59" s="349"/>
      <c r="K59" s="349"/>
      <c r="L59" s="350"/>
      <c r="M59" s="350"/>
      <c r="N59" s="351"/>
      <c r="O59" s="349"/>
      <c r="P59" s="347"/>
      <c r="Q59" s="151"/>
    </row>
    <row r="60" ht="12.0" customHeight="1">
      <c r="B60" s="1"/>
      <c r="C60" s="347"/>
      <c r="D60" s="161"/>
      <c r="E60" s="348"/>
      <c r="F60" s="1"/>
      <c r="G60" s="1"/>
      <c r="H60" s="1"/>
      <c r="I60" s="349"/>
      <c r="J60" s="349"/>
      <c r="K60" s="349"/>
      <c r="L60" s="350"/>
      <c r="M60" s="350"/>
      <c r="N60" s="351"/>
      <c r="O60" s="349"/>
      <c r="P60" s="347"/>
      <c r="Q60" s="151"/>
    </row>
    <row r="61" ht="12.0" customHeight="1">
      <c r="B61" s="1"/>
      <c r="C61" s="347"/>
      <c r="D61" s="161"/>
      <c r="E61" s="348"/>
      <c r="F61" s="1"/>
      <c r="G61" s="1"/>
      <c r="H61" s="1"/>
      <c r="I61" s="349"/>
      <c r="J61" s="349"/>
      <c r="K61" s="349"/>
      <c r="L61" s="350"/>
      <c r="M61" s="350"/>
      <c r="N61" s="351"/>
      <c r="O61" s="349"/>
      <c r="P61" s="347"/>
      <c r="Q61" s="151"/>
    </row>
    <row r="62" ht="12.0" customHeight="1">
      <c r="B62" s="1"/>
      <c r="C62" s="347"/>
      <c r="D62" s="161"/>
      <c r="E62" s="348"/>
      <c r="F62" s="1"/>
      <c r="G62" s="1"/>
      <c r="H62" s="1"/>
      <c r="I62" s="349"/>
      <c r="J62" s="349"/>
      <c r="K62" s="349"/>
      <c r="L62" s="350"/>
      <c r="M62" s="350"/>
      <c r="N62" s="351"/>
      <c r="O62" s="349"/>
      <c r="P62" s="347"/>
      <c r="Q62" s="151"/>
    </row>
    <row r="63" ht="12.0" customHeight="1">
      <c r="B63" s="1"/>
      <c r="C63" s="347"/>
      <c r="D63" s="161"/>
      <c r="E63" s="348"/>
      <c r="F63" s="1"/>
      <c r="G63" s="1"/>
      <c r="H63" s="1"/>
      <c r="I63" s="349"/>
      <c r="J63" s="349"/>
      <c r="K63" s="349"/>
      <c r="L63" s="350"/>
      <c r="M63" s="350"/>
      <c r="N63" s="351"/>
      <c r="O63" s="349"/>
      <c r="P63" s="347"/>
      <c r="Q63" s="151"/>
    </row>
    <row r="64" ht="12.0" customHeight="1">
      <c r="B64" s="1"/>
      <c r="C64" s="347"/>
      <c r="D64" s="161"/>
      <c r="E64" s="348"/>
      <c r="F64" s="1"/>
      <c r="G64" s="1"/>
      <c r="H64" s="1"/>
      <c r="I64" s="349"/>
      <c r="J64" s="349"/>
      <c r="K64" s="349"/>
      <c r="L64" s="350"/>
      <c r="M64" s="350"/>
      <c r="N64" s="351"/>
      <c r="O64" s="349"/>
      <c r="P64" s="347"/>
      <c r="Q64" s="151"/>
    </row>
    <row r="65" ht="12.0" customHeight="1">
      <c r="B65" s="1"/>
      <c r="C65" s="347"/>
      <c r="D65" s="161"/>
      <c r="E65" s="348"/>
      <c r="F65" s="1"/>
      <c r="G65" s="1"/>
      <c r="H65" s="1"/>
      <c r="I65" s="349"/>
      <c r="J65" s="349"/>
      <c r="K65" s="349"/>
      <c r="L65" s="350"/>
      <c r="M65" s="350"/>
      <c r="N65" s="351"/>
      <c r="O65" s="349"/>
      <c r="P65" s="347"/>
      <c r="Q65" s="151"/>
    </row>
    <row r="66" ht="12.0" customHeight="1">
      <c r="B66" s="1"/>
      <c r="C66" s="347"/>
      <c r="D66" s="161"/>
      <c r="E66" s="348"/>
      <c r="F66" s="1"/>
      <c r="G66" s="1"/>
      <c r="H66" s="1"/>
      <c r="I66" s="349"/>
      <c r="J66" s="349"/>
      <c r="K66" s="349"/>
      <c r="L66" s="350"/>
      <c r="M66" s="350"/>
      <c r="N66" s="351"/>
      <c r="O66" s="349"/>
      <c r="P66" s="347"/>
      <c r="Q66" s="151"/>
    </row>
    <row r="67" ht="12.0" customHeight="1">
      <c r="B67" s="1"/>
      <c r="C67" s="347"/>
      <c r="D67" s="161"/>
      <c r="E67" s="348"/>
      <c r="F67" s="1"/>
      <c r="G67" s="1"/>
      <c r="H67" s="1"/>
      <c r="I67" s="349"/>
      <c r="J67" s="349"/>
      <c r="K67" s="349"/>
      <c r="L67" s="350"/>
      <c r="M67" s="350"/>
      <c r="N67" s="351"/>
      <c r="O67" s="349"/>
      <c r="P67" s="347"/>
      <c r="Q67" s="151"/>
    </row>
    <row r="68" ht="12.0" customHeight="1">
      <c r="B68" s="1"/>
      <c r="C68" s="347"/>
      <c r="D68" s="161"/>
      <c r="E68" s="348"/>
      <c r="F68" s="1"/>
      <c r="G68" s="1"/>
      <c r="H68" s="1"/>
      <c r="I68" s="349"/>
      <c r="J68" s="349"/>
      <c r="K68" s="349"/>
      <c r="L68" s="350"/>
      <c r="M68" s="350"/>
      <c r="N68" s="351"/>
      <c r="O68" s="349"/>
      <c r="P68" s="347"/>
      <c r="Q68" s="151"/>
    </row>
    <row r="69" ht="12.0" customHeight="1">
      <c r="B69" s="1"/>
      <c r="C69" s="347"/>
      <c r="D69" s="161"/>
      <c r="E69" s="348"/>
      <c r="F69" s="1"/>
      <c r="G69" s="1"/>
      <c r="H69" s="1"/>
      <c r="I69" s="349"/>
      <c r="J69" s="349"/>
      <c r="K69" s="349"/>
      <c r="L69" s="350"/>
      <c r="M69" s="350"/>
      <c r="N69" s="351"/>
      <c r="O69" s="349"/>
      <c r="P69" s="347"/>
      <c r="Q69" s="151"/>
    </row>
    <row r="70" ht="12.0" customHeight="1">
      <c r="B70" s="1"/>
      <c r="C70" s="347"/>
      <c r="D70" s="161"/>
      <c r="E70" s="348"/>
      <c r="F70" s="1"/>
      <c r="G70" s="1"/>
      <c r="H70" s="1"/>
      <c r="I70" s="349"/>
      <c r="J70" s="349"/>
      <c r="K70" s="349"/>
      <c r="L70" s="350"/>
      <c r="M70" s="350"/>
      <c r="N70" s="351"/>
      <c r="O70" s="349"/>
      <c r="P70" s="347"/>
      <c r="Q70" s="151"/>
    </row>
    <row r="71" ht="12.0" customHeight="1">
      <c r="B71" s="1"/>
      <c r="C71" s="347"/>
      <c r="D71" s="161"/>
      <c r="E71" s="348"/>
      <c r="F71" s="1"/>
      <c r="G71" s="1"/>
      <c r="H71" s="1"/>
      <c r="I71" s="349"/>
      <c r="J71" s="349"/>
      <c r="K71" s="349"/>
      <c r="L71" s="350"/>
      <c r="M71" s="350"/>
      <c r="N71" s="351"/>
      <c r="O71" s="349"/>
      <c r="P71" s="347"/>
      <c r="Q71" s="151"/>
    </row>
    <row r="72" ht="12.0" customHeight="1">
      <c r="B72" s="1"/>
      <c r="C72" s="347"/>
      <c r="D72" s="161"/>
      <c r="E72" s="348"/>
      <c r="F72" s="1"/>
      <c r="G72" s="1"/>
      <c r="H72" s="1"/>
      <c r="I72" s="349"/>
      <c r="J72" s="349"/>
      <c r="K72" s="349"/>
      <c r="L72" s="350"/>
      <c r="M72" s="350"/>
      <c r="N72" s="351"/>
      <c r="O72" s="349"/>
      <c r="P72" s="347"/>
      <c r="Q72" s="151"/>
    </row>
    <row r="73" ht="12.0" customHeight="1">
      <c r="B73" s="1"/>
      <c r="C73" s="347"/>
      <c r="D73" s="161"/>
      <c r="E73" s="348"/>
      <c r="F73" s="1"/>
      <c r="G73" s="1"/>
      <c r="H73" s="1"/>
      <c r="I73" s="349"/>
      <c r="J73" s="349"/>
      <c r="K73" s="349"/>
      <c r="L73" s="350"/>
      <c r="M73" s="350"/>
      <c r="N73" s="351"/>
      <c r="O73" s="349"/>
      <c r="P73" s="347"/>
      <c r="Q73" s="151"/>
    </row>
    <row r="74" ht="12.0" customHeight="1">
      <c r="B74" s="1"/>
      <c r="C74" s="347"/>
      <c r="D74" s="161"/>
      <c r="E74" s="348"/>
      <c r="F74" s="1"/>
      <c r="G74" s="1"/>
      <c r="H74" s="1"/>
      <c r="I74" s="349"/>
      <c r="J74" s="349"/>
      <c r="K74" s="349"/>
      <c r="L74" s="350"/>
      <c r="M74" s="350"/>
      <c r="N74" s="351"/>
      <c r="O74" s="349"/>
      <c r="P74" s="347"/>
      <c r="Q74" s="151"/>
    </row>
    <row r="75" ht="12.0" customHeight="1">
      <c r="B75" s="1"/>
      <c r="C75" s="347"/>
      <c r="D75" s="161"/>
      <c r="E75" s="348"/>
      <c r="F75" s="1"/>
      <c r="G75" s="1"/>
      <c r="H75" s="1"/>
      <c r="I75" s="349"/>
      <c r="J75" s="349"/>
      <c r="K75" s="349"/>
      <c r="L75" s="350"/>
      <c r="M75" s="350"/>
      <c r="N75" s="351"/>
      <c r="O75" s="349"/>
      <c r="P75" s="347"/>
      <c r="Q75" s="151"/>
    </row>
    <row r="76" ht="12.0" customHeight="1">
      <c r="B76" s="1"/>
      <c r="C76" s="347"/>
      <c r="D76" s="161"/>
      <c r="E76" s="348"/>
      <c r="F76" s="1"/>
      <c r="G76" s="1"/>
      <c r="H76" s="1"/>
      <c r="I76" s="349"/>
      <c r="J76" s="349"/>
      <c r="K76" s="349"/>
      <c r="L76" s="350"/>
      <c r="M76" s="350"/>
      <c r="N76" s="351"/>
      <c r="O76" s="349"/>
      <c r="P76" s="347"/>
      <c r="Q76" s="151"/>
    </row>
    <row r="77" ht="12.0" customHeight="1">
      <c r="B77" s="1"/>
      <c r="C77" s="347"/>
      <c r="D77" s="161"/>
      <c r="E77" s="348"/>
      <c r="F77" s="1"/>
      <c r="G77" s="1"/>
      <c r="H77" s="1"/>
      <c r="I77" s="349"/>
      <c r="J77" s="349"/>
      <c r="K77" s="349"/>
      <c r="L77" s="350"/>
      <c r="M77" s="350"/>
      <c r="N77" s="351"/>
      <c r="O77" s="349"/>
      <c r="P77" s="347"/>
      <c r="Q77" s="151"/>
    </row>
    <row r="78" ht="12.0" customHeight="1">
      <c r="B78" s="1"/>
      <c r="C78" s="347"/>
      <c r="D78" s="161"/>
      <c r="E78" s="348"/>
      <c r="F78" s="1"/>
      <c r="G78" s="1"/>
      <c r="H78" s="1"/>
      <c r="I78" s="349"/>
      <c r="J78" s="349"/>
      <c r="K78" s="349"/>
      <c r="L78" s="350"/>
      <c r="M78" s="350"/>
      <c r="N78" s="351"/>
      <c r="O78" s="349"/>
      <c r="P78" s="347"/>
      <c r="Q78" s="151"/>
    </row>
    <row r="79" ht="12.0" customHeight="1">
      <c r="B79" s="1"/>
      <c r="C79" s="347"/>
      <c r="D79" s="161"/>
      <c r="E79" s="348"/>
      <c r="F79" s="1"/>
      <c r="G79" s="1"/>
      <c r="H79" s="1"/>
      <c r="I79" s="349"/>
      <c r="J79" s="349"/>
      <c r="K79" s="349"/>
      <c r="L79" s="350"/>
      <c r="M79" s="350"/>
      <c r="N79" s="351"/>
      <c r="O79" s="349"/>
      <c r="P79" s="347"/>
      <c r="Q79" s="151"/>
    </row>
    <row r="80" ht="12.0" customHeight="1">
      <c r="B80" s="1"/>
      <c r="C80" s="347"/>
      <c r="D80" s="161"/>
      <c r="E80" s="348"/>
      <c r="F80" s="1"/>
      <c r="G80" s="1"/>
      <c r="H80" s="1"/>
      <c r="I80" s="349"/>
      <c r="J80" s="349"/>
      <c r="K80" s="349"/>
      <c r="L80" s="350"/>
      <c r="M80" s="350"/>
      <c r="N80" s="351"/>
      <c r="O80" s="349"/>
      <c r="P80" s="347"/>
      <c r="Q80" s="151"/>
    </row>
    <row r="81" ht="12.0" customHeight="1">
      <c r="B81" s="1"/>
      <c r="C81" s="347"/>
      <c r="D81" s="161"/>
      <c r="E81" s="348"/>
      <c r="F81" s="1"/>
      <c r="G81" s="1"/>
      <c r="H81" s="1"/>
      <c r="I81" s="349"/>
      <c r="J81" s="349"/>
      <c r="K81" s="349"/>
      <c r="L81" s="350"/>
      <c r="M81" s="350"/>
      <c r="N81" s="351"/>
      <c r="O81" s="349"/>
      <c r="P81" s="347"/>
      <c r="Q81" s="151"/>
    </row>
    <row r="82" ht="12.0" customHeight="1">
      <c r="B82" s="1"/>
      <c r="C82" s="347"/>
      <c r="D82" s="161"/>
      <c r="E82" s="348"/>
      <c r="F82" s="1"/>
      <c r="G82" s="1"/>
      <c r="H82" s="1"/>
      <c r="I82" s="349"/>
      <c r="J82" s="349"/>
      <c r="K82" s="349"/>
      <c r="L82" s="350"/>
      <c r="M82" s="350"/>
      <c r="N82" s="351"/>
      <c r="O82" s="349"/>
      <c r="P82" s="347"/>
      <c r="Q82" s="151"/>
    </row>
    <row r="83" ht="12.0" customHeight="1">
      <c r="B83" s="1"/>
      <c r="C83" s="347"/>
      <c r="D83" s="161"/>
      <c r="E83" s="348"/>
      <c r="F83" s="1"/>
      <c r="G83" s="1"/>
      <c r="H83" s="1"/>
      <c r="I83" s="349"/>
      <c r="J83" s="349"/>
      <c r="K83" s="349"/>
      <c r="L83" s="350"/>
      <c r="M83" s="350"/>
      <c r="N83" s="351"/>
      <c r="O83" s="349"/>
      <c r="P83" s="347"/>
      <c r="Q83" s="151"/>
    </row>
    <row r="84" ht="12.0" customHeight="1">
      <c r="B84" s="1"/>
      <c r="C84" s="347"/>
      <c r="D84" s="161"/>
      <c r="E84" s="348"/>
      <c r="F84" s="1"/>
      <c r="G84" s="1"/>
      <c r="H84" s="1"/>
      <c r="I84" s="349"/>
      <c r="J84" s="349"/>
      <c r="K84" s="349"/>
      <c r="L84" s="350"/>
      <c r="M84" s="350"/>
      <c r="N84" s="351"/>
      <c r="O84" s="349"/>
      <c r="P84" s="347"/>
      <c r="Q84" s="151"/>
    </row>
    <row r="85" ht="12.0" customHeight="1">
      <c r="B85" s="1"/>
      <c r="C85" s="347"/>
      <c r="D85" s="161"/>
      <c r="E85" s="348"/>
      <c r="F85" s="1"/>
      <c r="G85" s="1"/>
      <c r="H85" s="1"/>
      <c r="I85" s="349"/>
      <c r="J85" s="349"/>
      <c r="K85" s="349"/>
      <c r="L85" s="350"/>
      <c r="M85" s="350"/>
      <c r="N85" s="351"/>
      <c r="O85" s="349"/>
      <c r="P85" s="347"/>
      <c r="Q85" s="151"/>
    </row>
    <row r="86" ht="12.0" customHeight="1">
      <c r="B86" s="1"/>
      <c r="C86" s="347"/>
      <c r="D86" s="161"/>
      <c r="E86" s="348"/>
      <c r="F86" s="1"/>
      <c r="G86" s="1"/>
      <c r="H86" s="1"/>
      <c r="I86" s="349"/>
      <c r="J86" s="349"/>
      <c r="K86" s="349"/>
      <c r="L86" s="350"/>
      <c r="M86" s="350"/>
      <c r="N86" s="351"/>
      <c r="O86" s="349"/>
      <c r="P86" s="347"/>
      <c r="Q86" s="151"/>
    </row>
    <row r="87" ht="12.0" customHeight="1">
      <c r="B87" s="1"/>
      <c r="C87" s="347"/>
      <c r="D87" s="161"/>
      <c r="E87" s="348"/>
      <c r="F87" s="1"/>
      <c r="G87" s="1"/>
      <c r="H87" s="1"/>
      <c r="I87" s="349"/>
      <c r="J87" s="349"/>
      <c r="K87" s="349"/>
      <c r="L87" s="350"/>
      <c r="M87" s="350"/>
      <c r="N87" s="351"/>
      <c r="O87" s="349"/>
      <c r="P87" s="347"/>
      <c r="Q87" s="151"/>
    </row>
    <row r="88" ht="12.0" customHeight="1">
      <c r="B88" s="1"/>
      <c r="C88" s="347"/>
      <c r="D88" s="161"/>
      <c r="E88" s="348"/>
      <c r="F88" s="1"/>
      <c r="G88" s="1"/>
      <c r="H88" s="1"/>
      <c r="I88" s="349"/>
      <c r="J88" s="349"/>
      <c r="K88" s="349"/>
      <c r="L88" s="350"/>
      <c r="M88" s="350"/>
      <c r="N88" s="351"/>
      <c r="O88" s="349"/>
      <c r="P88" s="347"/>
      <c r="Q88" s="151"/>
    </row>
    <row r="89" ht="12.0" customHeight="1">
      <c r="B89" s="1"/>
      <c r="C89" s="347"/>
      <c r="D89" s="161"/>
      <c r="E89" s="348"/>
      <c r="F89" s="1"/>
      <c r="G89" s="1"/>
      <c r="H89" s="1"/>
      <c r="I89" s="349"/>
      <c r="J89" s="349"/>
      <c r="K89" s="349"/>
      <c r="L89" s="350"/>
      <c r="M89" s="350"/>
      <c r="N89" s="351"/>
      <c r="O89" s="349"/>
      <c r="P89" s="347"/>
      <c r="Q89" s="151"/>
    </row>
    <row r="90" ht="12.0" customHeight="1">
      <c r="B90" s="1"/>
      <c r="C90" s="347"/>
      <c r="D90" s="161"/>
      <c r="E90" s="348"/>
      <c r="F90" s="1"/>
      <c r="G90" s="1"/>
      <c r="H90" s="1"/>
      <c r="I90" s="349"/>
      <c r="J90" s="349"/>
      <c r="K90" s="349"/>
      <c r="L90" s="350"/>
      <c r="M90" s="350"/>
      <c r="N90" s="351"/>
      <c r="O90" s="349"/>
      <c r="P90" s="347"/>
      <c r="Q90" s="151"/>
    </row>
    <row r="91" ht="12.0" customHeight="1">
      <c r="B91" s="1"/>
      <c r="C91" s="347"/>
      <c r="D91" s="161"/>
      <c r="E91" s="348"/>
      <c r="F91" s="1"/>
      <c r="G91" s="1"/>
      <c r="H91" s="1"/>
      <c r="I91" s="349"/>
      <c r="J91" s="349"/>
      <c r="K91" s="349"/>
      <c r="L91" s="350"/>
      <c r="M91" s="350"/>
      <c r="N91" s="351"/>
      <c r="O91" s="349"/>
      <c r="P91" s="347"/>
      <c r="Q91" s="151"/>
    </row>
    <row r="92" ht="12.0" customHeight="1">
      <c r="B92" s="1"/>
      <c r="C92" s="347"/>
      <c r="D92" s="161"/>
      <c r="E92" s="348"/>
      <c r="F92" s="1"/>
      <c r="G92" s="1"/>
      <c r="H92" s="1"/>
      <c r="I92" s="349"/>
      <c r="J92" s="349"/>
      <c r="K92" s="349"/>
      <c r="L92" s="350"/>
      <c r="M92" s="350"/>
      <c r="N92" s="351"/>
      <c r="O92" s="349"/>
      <c r="P92" s="347"/>
      <c r="Q92" s="151"/>
    </row>
    <row r="93" ht="12.0" customHeight="1">
      <c r="B93" s="1"/>
      <c r="C93" s="347"/>
      <c r="D93" s="161"/>
      <c r="E93" s="348"/>
      <c r="F93" s="1"/>
      <c r="G93" s="1"/>
      <c r="H93" s="1"/>
      <c r="I93" s="349"/>
      <c r="J93" s="349"/>
      <c r="K93" s="349"/>
      <c r="L93" s="350"/>
      <c r="M93" s="350"/>
      <c r="N93" s="351"/>
      <c r="O93" s="349"/>
      <c r="P93" s="347"/>
      <c r="Q93" s="151"/>
    </row>
    <row r="94" ht="12.0" customHeight="1">
      <c r="B94" s="1"/>
      <c r="C94" s="347"/>
      <c r="D94" s="161"/>
      <c r="E94" s="348"/>
      <c r="F94" s="1"/>
      <c r="G94" s="1"/>
      <c r="H94" s="1"/>
      <c r="I94" s="349"/>
      <c r="J94" s="349"/>
      <c r="K94" s="349"/>
      <c r="L94" s="350"/>
      <c r="M94" s="350"/>
      <c r="N94" s="351"/>
      <c r="O94" s="349"/>
      <c r="P94" s="347"/>
      <c r="Q94" s="151"/>
    </row>
    <row r="95" ht="12.0" customHeight="1">
      <c r="B95" s="1"/>
      <c r="C95" s="347"/>
      <c r="D95" s="161"/>
      <c r="E95" s="348"/>
      <c r="F95" s="1"/>
      <c r="G95" s="1"/>
      <c r="H95" s="1"/>
      <c r="I95" s="349"/>
      <c r="J95" s="349"/>
      <c r="K95" s="349"/>
      <c r="L95" s="350"/>
      <c r="M95" s="350"/>
      <c r="N95" s="351"/>
      <c r="O95" s="349"/>
      <c r="P95" s="347"/>
      <c r="Q95" s="151"/>
    </row>
    <row r="96" ht="12.0" customHeight="1">
      <c r="B96" s="1"/>
      <c r="C96" s="347"/>
      <c r="D96" s="161"/>
      <c r="E96" s="348"/>
      <c r="F96" s="1"/>
      <c r="G96" s="1"/>
      <c r="H96" s="1"/>
      <c r="I96" s="349"/>
      <c r="J96" s="349"/>
      <c r="K96" s="349"/>
      <c r="L96" s="350"/>
      <c r="M96" s="350"/>
      <c r="N96" s="351"/>
      <c r="O96" s="349"/>
      <c r="P96" s="347"/>
      <c r="Q96" s="151"/>
    </row>
    <row r="97" ht="12.0" customHeight="1">
      <c r="B97" s="1"/>
      <c r="C97" s="347"/>
      <c r="D97" s="161"/>
      <c r="E97" s="348"/>
      <c r="F97" s="1"/>
      <c r="G97" s="1"/>
      <c r="H97" s="1"/>
      <c r="I97" s="349"/>
      <c r="J97" s="349"/>
      <c r="K97" s="349"/>
      <c r="L97" s="350"/>
      <c r="M97" s="350"/>
      <c r="N97" s="351"/>
      <c r="O97" s="349"/>
      <c r="P97" s="347"/>
      <c r="Q97" s="151"/>
    </row>
    <row r="98" ht="12.0" customHeight="1">
      <c r="B98" s="1"/>
      <c r="C98" s="347"/>
      <c r="D98" s="161"/>
      <c r="E98" s="348"/>
      <c r="F98" s="1"/>
      <c r="G98" s="1"/>
      <c r="H98" s="1"/>
      <c r="I98" s="349"/>
      <c r="J98" s="349"/>
      <c r="K98" s="349"/>
      <c r="L98" s="350"/>
      <c r="M98" s="350"/>
      <c r="N98" s="351"/>
      <c r="O98" s="349"/>
      <c r="P98" s="347"/>
      <c r="Q98" s="151"/>
    </row>
    <row r="99" ht="12.0" customHeight="1">
      <c r="B99" s="1"/>
      <c r="C99" s="347"/>
      <c r="D99" s="161"/>
      <c r="E99" s="348"/>
      <c r="F99" s="1"/>
      <c r="G99" s="1"/>
      <c r="H99" s="1"/>
      <c r="I99" s="349"/>
      <c r="J99" s="349"/>
      <c r="K99" s="349"/>
      <c r="L99" s="350"/>
      <c r="M99" s="350"/>
      <c r="N99" s="351"/>
      <c r="O99" s="349"/>
      <c r="P99" s="347"/>
      <c r="Q99" s="151"/>
    </row>
    <row r="100" ht="12.0" customHeight="1">
      <c r="B100" s="1"/>
      <c r="C100" s="347"/>
      <c r="D100" s="161"/>
      <c r="E100" s="348"/>
      <c r="F100" s="1"/>
      <c r="G100" s="1"/>
      <c r="H100" s="1"/>
      <c r="I100" s="349"/>
      <c r="J100" s="349"/>
      <c r="K100" s="349"/>
      <c r="L100" s="350"/>
      <c r="M100" s="350"/>
      <c r="N100" s="351"/>
      <c r="O100" s="349"/>
      <c r="P100" s="347"/>
      <c r="Q100" s="151"/>
    </row>
    <row r="101" ht="12.0" customHeight="1">
      <c r="B101" s="1"/>
      <c r="C101" s="347"/>
      <c r="D101" s="161"/>
      <c r="E101" s="348"/>
      <c r="F101" s="1"/>
      <c r="G101" s="1"/>
      <c r="H101" s="1"/>
      <c r="I101" s="349"/>
      <c r="J101" s="349"/>
      <c r="K101" s="349"/>
      <c r="L101" s="350"/>
      <c r="M101" s="350"/>
      <c r="N101" s="351"/>
      <c r="O101" s="349"/>
      <c r="P101" s="347"/>
      <c r="Q101" s="151"/>
    </row>
    <row r="102" ht="12.0" customHeight="1">
      <c r="B102" s="1"/>
      <c r="C102" s="347"/>
      <c r="D102" s="161"/>
      <c r="E102" s="348"/>
      <c r="F102" s="1"/>
      <c r="G102" s="1"/>
      <c r="H102" s="1"/>
      <c r="I102" s="349"/>
      <c r="J102" s="349"/>
      <c r="K102" s="349"/>
      <c r="L102" s="350"/>
      <c r="M102" s="350"/>
      <c r="N102" s="351"/>
      <c r="O102" s="349"/>
      <c r="P102" s="347"/>
      <c r="Q102" s="151"/>
    </row>
    <row r="103" ht="12.0" customHeight="1">
      <c r="B103" s="1"/>
      <c r="C103" s="347"/>
      <c r="D103" s="161"/>
      <c r="E103" s="348"/>
      <c r="F103" s="1"/>
      <c r="G103" s="1"/>
      <c r="H103" s="1"/>
      <c r="I103" s="349"/>
      <c r="J103" s="349"/>
      <c r="K103" s="349"/>
      <c r="L103" s="350"/>
      <c r="M103" s="350"/>
      <c r="N103" s="351"/>
      <c r="O103" s="349"/>
      <c r="P103" s="347"/>
      <c r="Q103" s="151"/>
    </row>
    <row r="104" ht="12.0" customHeight="1">
      <c r="B104" s="1"/>
      <c r="C104" s="347"/>
      <c r="D104" s="161"/>
      <c r="E104" s="348"/>
      <c r="F104" s="1"/>
      <c r="G104" s="1"/>
      <c r="H104" s="1"/>
      <c r="I104" s="349"/>
      <c r="J104" s="349"/>
      <c r="K104" s="349"/>
      <c r="L104" s="350"/>
      <c r="M104" s="350"/>
      <c r="N104" s="351"/>
      <c r="O104" s="349"/>
      <c r="P104" s="347"/>
      <c r="Q104" s="151"/>
    </row>
    <row r="105" ht="12.0" customHeight="1">
      <c r="B105" s="1"/>
      <c r="C105" s="347"/>
      <c r="D105" s="161"/>
      <c r="E105" s="348"/>
      <c r="F105" s="1"/>
      <c r="G105" s="1"/>
      <c r="H105" s="1"/>
      <c r="I105" s="349"/>
      <c r="J105" s="349"/>
      <c r="K105" s="349"/>
      <c r="L105" s="350"/>
      <c r="M105" s="350"/>
      <c r="N105" s="351"/>
      <c r="O105" s="349"/>
      <c r="P105" s="347"/>
      <c r="Q105" s="151"/>
    </row>
    <row r="106" ht="12.0" customHeight="1">
      <c r="B106" s="1"/>
      <c r="C106" s="347"/>
      <c r="D106" s="161"/>
      <c r="E106" s="348"/>
      <c r="F106" s="1"/>
      <c r="G106" s="1"/>
      <c r="H106" s="1"/>
      <c r="I106" s="349"/>
      <c r="J106" s="349"/>
      <c r="K106" s="349"/>
      <c r="L106" s="350"/>
      <c r="M106" s="350"/>
      <c r="N106" s="351"/>
      <c r="O106" s="349"/>
      <c r="P106" s="347"/>
      <c r="Q106" s="151"/>
    </row>
    <row r="107" ht="12.0" customHeight="1">
      <c r="B107" s="1"/>
      <c r="C107" s="347"/>
      <c r="D107" s="161"/>
      <c r="E107" s="348"/>
      <c r="F107" s="1"/>
      <c r="G107" s="1"/>
      <c r="H107" s="1"/>
      <c r="I107" s="349"/>
      <c r="J107" s="349"/>
      <c r="K107" s="349"/>
      <c r="L107" s="350"/>
      <c r="M107" s="350"/>
      <c r="N107" s="351"/>
      <c r="O107" s="349"/>
      <c r="P107" s="347"/>
      <c r="Q107" s="151"/>
    </row>
    <row r="108" ht="12.0" customHeight="1">
      <c r="B108" s="1"/>
      <c r="C108" s="347"/>
      <c r="D108" s="161"/>
      <c r="E108" s="348"/>
      <c r="F108" s="1"/>
      <c r="G108" s="1"/>
      <c r="H108" s="1"/>
      <c r="I108" s="349"/>
      <c r="J108" s="349"/>
      <c r="K108" s="349"/>
      <c r="L108" s="350"/>
      <c r="M108" s="350"/>
      <c r="N108" s="351"/>
      <c r="O108" s="349"/>
      <c r="P108" s="347"/>
      <c r="Q108" s="151"/>
    </row>
    <row r="109" ht="12.0" customHeight="1">
      <c r="B109" s="1"/>
      <c r="C109" s="347"/>
      <c r="D109" s="161"/>
      <c r="E109" s="348"/>
      <c r="F109" s="1"/>
      <c r="G109" s="1"/>
      <c r="H109" s="1"/>
      <c r="I109" s="349"/>
      <c r="J109" s="349"/>
      <c r="K109" s="349"/>
      <c r="L109" s="350"/>
      <c r="M109" s="350"/>
      <c r="N109" s="351"/>
      <c r="O109" s="349"/>
      <c r="P109" s="347"/>
      <c r="Q109" s="151"/>
    </row>
    <row r="110" ht="12.0" customHeight="1">
      <c r="B110" s="1"/>
      <c r="C110" s="347"/>
      <c r="D110" s="161"/>
      <c r="E110" s="348"/>
      <c r="F110" s="1"/>
      <c r="G110" s="1"/>
      <c r="H110" s="1"/>
      <c r="I110" s="349"/>
      <c r="J110" s="349"/>
      <c r="K110" s="349"/>
      <c r="L110" s="350"/>
      <c r="M110" s="350"/>
      <c r="N110" s="351"/>
      <c r="O110" s="349"/>
      <c r="P110" s="347"/>
      <c r="Q110" s="151"/>
    </row>
    <row r="111" ht="12.0" customHeight="1">
      <c r="B111" s="1"/>
      <c r="C111" s="347"/>
      <c r="D111" s="161"/>
      <c r="E111" s="348"/>
      <c r="F111" s="1"/>
      <c r="G111" s="1"/>
      <c r="H111" s="1"/>
      <c r="I111" s="349"/>
      <c r="J111" s="349"/>
      <c r="K111" s="349"/>
      <c r="L111" s="350"/>
      <c r="M111" s="350"/>
      <c r="N111" s="351"/>
      <c r="O111" s="349"/>
      <c r="P111" s="347"/>
      <c r="Q111" s="151"/>
    </row>
    <row r="112" ht="12.0" customHeight="1">
      <c r="B112" s="1"/>
      <c r="C112" s="347"/>
      <c r="D112" s="161"/>
      <c r="E112" s="348"/>
      <c r="F112" s="1"/>
      <c r="G112" s="1"/>
      <c r="H112" s="1"/>
      <c r="I112" s="349"/>
      <c r="J112" s="349"/>
      <c r="K112" s="349"/>
      <c r="L112" s="350"/>
      <c r="M112" s="350"/>
      <c r="N112" s="351"/>
      <c r="O112" s="349"/>
      <c r="P112" s="347"/>
      <c r="Q112" s="151"/>
    </row>
    <row r="113" ht="12.0" customHeight="1">
      <c r="B113" s="1"/>
      <c r="C113" s="347"/>
      <c r="D113" s="161"/>
      <c r="E113" s="348"/>
      <c r="F113" s="1"/>
      <c r="G113" s="1"/>
      <c r="H113" s="1"/>
      <c r="I113" s="349"/>
      <c r="J113" s="349"/>
      <c r="K113" s="349"/>
      <c r="L113" s="350"/>
      <c r="M113" s="350"/>
      <c r="N113" s="351"/>
      <c r="O113" s="349"/>
      <c r="P113" s="347"/>
      <c r="Q113" s="151"/>
    </row>
    <row r="114" ht="12.0" customHeight="1">
      <c r="B114" s="1"/>
      <c r="C114" s="347"/>
      <c r="D114" s="161"/>
      <c r="E114" s="348"/>
      <c r="F114" s="1"/>
      <c r="G114" s="1"/>
      <c r="H114" s="1"/>
      <c r="I114" s="349"/>
      <c r="J114" s="349"/>
      <c r="K114" s="349"/>
      <c r="L114" s="350"/>
      <c r="M114" s="350"/>
      <c r="N114" s="351"/>
      <c r="O114" s="349"/>
      <c r="P114" s="347"/>
      <c r="Q114" s="151"/>
    </row>
    <row r="115" ht="12.0" customHeight="1">
      <c r="B115" s="1"/>
      <c r="C115" s="347"/>
      <c r="D115" s="161"/>
      <c r="E115" s="348"/>
      <c r="F115" s="1"/>
      <c r="G115" s="1"/>
      <c r="H115" s="1"/>
      <c r="I115" s="349"/>
      <c r="J115" s="349"/>
      <c r="K115" s="349"/>
      <c r="L115" s="350"/>
      <c r="M115" s="350"/>
      <c r="N115" s="351"/>
      <c r="O115" s="349"/>
      <c r="P115" s="347"/>
      <c r="Q115" s="151"/>
    </row>
    <row r="116" ht="12.0" customHeight="1">
      <c r="B116" s="1"/>
      <c r="C116" s="347"/>
      <c r="D116" s="161"/>
      <c r="E116" s="348"/>
      <c r="F116" s="1"/>
      <c r="G116" s="1"/>
      <c r="H116" s="1"/>
      <c r="I116" s="349"/>
      <c r="J116" s="349"/>
      <c r="K116" s="349"/>
      <c r="L116" s="350"/>
      <c r="M116" s="350"/>
      <c r="N116" s="351"/>
      <c r="O116" s="349"/>
      <c r="P116" s="347"/>
      <c r="Q116" s="151"/>
    </row>
    <row r="117" ht="12.0" customHeight="1">
      <c r="B117" s="1"/>
      <c r="C117" s="347"/>
      <c r="D117" s="161"/>
      <c r="E117" s="348"/>
      <c r="F117" s="1"/>
      <c r="G117" s="1"/>
      <c r="H117" s="1"/>
      <c r="I117" s="349"/>
      <c r="J117" s="349"/>
      <c r="K117" s="349"/>
      <c r="L117" s="350"/>
      <c r="M117" s="350"/>
      <c r="N117" s="351"/>
      <c r="O117" s="349"/>
      <c r="P117" s="347"/>
      <c r="Q117" s="151"/>
    </row>
    <row r="118" ht="12.0" customHeight="1">
      <c r="B118" s="1"/>
      <c r="C118" s="347"/>
      <c r="D118" s="161"/>
      <c r="E118" s="348"/>
      <c r="F118" s="1"/>
      <c r="G118" s="1"/>
      <c r="H118" s="1"/>
      <c r="I118" s="349"/>
      <c r="J118" s="349"/>
      <c r="K118" s="349"/>
      <c r="L118" s="350"/>
      <c r="M118" s="350"/>
      <c r="N118" s="351"/>
      <c r="O118" s="349"/>
      <c r="P118" s="347"/>
      <c r="Q118" s="151"/>
    </row>
    <row r="119" ht="12.0" customHeight="1">
      <c r="B119" s="1"/>
      <c r="C119" s="347"/>
      <c r="D119" s="161"/>
      <c r="E119" s="348"/>
      <c r="F119" s="1"/>
      <c r="G119" s="1"/>
      <c r="H119" s="1"/>
      <c r="I119" s="349"/>
      <c r="J119" s="349"/>
      <c r="K119" s="349"/>
      <c r="L119" s="350"/>
      <c r="M119" s="350"/>
      <c r="N119" s="351"/>
      <c r="O119" s="349"/>
      <c r="P119" s="347"/>
      <c r="Q119" s="151"/>
    </row>
    <row r="120" ht="12.0" customHeight="1">
      <c r="B120" s="1"/>
      <c r="C120" s="347"/>
      <c r="D120" s="161"/>
      <c r="E120" s="348"/>
      <c r="F120" s="1"/>
      <c r="G120" s="1"/>
      <c r="H120" s="1"/>
      <c r="I120" s="349"/>
      <c r="J120" s="349"/>
      <c r="K120" s="349"/>
      <c r="L120" s="350"/>
      <c r="M120" s="350"/>
      <c r="N120" s="351"/>
      <c r="O120" s="349"/>
      <c r="P120" s="347"/>
      <c r="Q120" s="151"/>
    </row>
    <row r="121" ht="12.0" customHeight="1">
      <c r="B121" s="1"/>
      <c r="C121" s="347"/>
      <c r="D121" s="161"/>
      <c r="E121" s="348"/>
      <c r="F121" s="1"/>
      <c r="G121" s="1"/>
      <c r="H121" s="1"/>
      <c r="I121" s="349"/>
      <c r="J121" s="349"/>
      <c r="K121" s="349"/>
      <c r="L121" s="350"/>
      <c r="M121" s="350"/>
      <c r="N121" s="351"/>
      <c r="O121" s="349"/>
      <c r="P121" s="347"/>
      <c r="Q121" s="151"/>
    </row>
    <row r="122" ht="12.0" customHeight="1">
      <c r="B122" s="1"/>
      <c r="C122" s="347"/>
      <c r="D122" s="161"/>
      <c r="E122" s="348"/>
      <c r="F122" s="1"/>
      <c r="G122" s="1"/>
      <c r="H122" s="1"/>
      <c r="I122" s="349"/>
      <c r="J122" s="349"/>
      <c r="K122" s="349"/>
      <c r="L122" s="350"/>
      <c r="M122" s="350"/>
      <c r="N122" s="351"/>
      <c r="O122" s="349"/>
      <c r="P122" s="347"/>
      <c r="Q122" s="151"/>
    </row>
    <row r="123" ht="12.0" customHeight="1">
      <c r="B123" s="1"/>
      <c r="C123" s="347"/>
      <c r="D123" s="161"/>
      <c r="E123" s="348"/>
      <c r="F123" s="1"/>
      <c r="G123" s="1"/>
      <c r="H123" s="1"/>
      <c r="I123" s="349"/>
      <c r="J123" s="349"/>
      <c r="K123" s="349"/>
      <c r="L123" s="350"/>
      <c r="M123" s="350"/>
      <c r="N123" s="351"/>
      <c r="O123" s="349"/>
      <c r="P123" s="347"/>
      <c r="Q123" s="151"/>
    </row>
    <row r="124" ht="12.0" customHeight="1">
      <c r="B124" s="1"/>
      <c r="C124" s="347"/>
      <c r="D124" s="161"/>
      <c r="E124" s="348"/>
      <c r="F124" s="1"/>
      <c r="G124" s="1"/>
      <c r="H124" s="1"/>
      <c r="I124" s="349"/>
      <c r="J124" s="349"/>
      <c r="K124" s="349"/>
      <c r="L124" s="350"/>
      <c r="M124" s="350"/>
      <c r="N124" s="351"/>
      <c r="O124" s="349"/>
      <c r="P124" s="347"/>
      <c r="Q124" s="151"/>
    </row>
    <row r="125" ht="12.0" customHeight="1">
      <c r="B125" s="1"/>
      <c r="C125" s="347"/>
      <c r="D125" s="161"/>
      <c r="E125" s="348"/>
      <c r="F125" s="1"/>
      <c r="G125" s="1"/>
      <c r="H125" s="1"/>
      <c r="I125" s="349"/>
      <c r="J125" s="349"/>
      <c r="K125" s="349"/>
      <c r="L125" s="350"/>
      <c r="M125" s="350"/>
      <c r="N125" s="351"/>
      <c r="O125" s="349"/>
      <c r="P125" s="347"/>
      <c r="Q125" s="151"/>
    </row>
    <row r="126" ht="12.0" customHeight="1">
      <c r="B126" s="1"/>
      <c r="C126" s="347"/>
      <c r="D126" s="161"/>
      <c r="E126" s="348"/>
      <c r="F126" s="1"/>
      <c r="G126" s="1"/>
      <c r="H126" s="1"/>
      <c r="I126" s="349"/>
      <c r="J126" s="349"/>
      <c r="K126" s="349"/>
      <c r="L126" s="350"/>
      <c r="M126" s="350"/>
      <c r="N126" s="351"/>
      <c r="O126" s="349"/>
      <c r="P126" s="347"/>
      <c r="Q126" s="151"/>
    </row>
    <row r="127" ht="12.0" customHeight="1">
      <c r="B127" s="1"/>
      <c r="C127" s="347"/>
      <c r="D127" s="161"/>
      <c r="E127" s="348"/>
      <c r="F127" s="1"/>
      <c r="G127" s="1"/>
      <c r="H127" s="1"/>
      <c r="I127" s="349"/>
      <c r="J127" s="349"/>
      <c r="K127" s="349"/>
      <c r="L127" s="350"/>
      <c r="M127" s="350"/>
      <c r="N127" s="351"/>
      <c r="O127" s="349"/>
      <c r="P127" s="347"/>
      <c r="Q127" s="151"/>
    </row>
    <row r="128" ht="12.0" customHeight="1">
      <c r="B128" s="1"/>
      <c r="C128" s="347"/>
      <c r="D128" s="161"/>
      <c r="E128" s="348"/>
      <c r="F128" s="1"/>
      <c r="G128" s="1"/>
      <c r="H128" s="1"/>
      <c r="I128" s="349"/>
      <c r="J128" s="349"/>
      <c r="K128" s="349"/>
      <c r="L128" s="350"/>
      <c r="M128" s="350"/>
      <c r="N128" s="351"/>
      <c r="O128" s="349"/>
      <c r="P128" s="347"/>
      <c r="Q128" s="151"/>
    </row>
    <row r="129" ht="12.0" customHeight="1">
      <c r="B129" s="1"/>
      <c r="C129" s="347"/>
      <c r="D129" s="161"/>
      <c r="E129" s="348"/>
      <c r="F129" s="1"/>
      <c r="G129" s="1"/>
      <c r="H129" s="1"/>
      <c r="I129" s="349"/>
      <c r="J129" s="349"/>
      <c r="K129" s="349"/>
      <c r="L129" s="350"/>
      <c r="M129" s="350"/>
      <c r="N129" s="351"/>
      <c r="O129" s="349"/>
      <c r="P129" s="347"/>
      <c r="Q129" s="151"/>
    </row>
    <row r="130" ht="12.0" customHeight="1">
      <c r="B130" s="1"/>
      <c r="C130" s="347"/>
      <c r="D130" s="161"/>
      <c r="E130" s="348"/>
      <c r="F130" s="1"/>
      <c r="G130" s="1"/>
      <c r="H130" s="1"/>
      <c r="I130" s="349"/>
      <c r="J130" s="349"/>
      <c r="K130" s="349"/>
      <c r="L130" s="350"/>
      <c r="M130" s="350"/>
      <c r="N130" s="351"/>
      <c r="O130" s="349"/>
      <c r="P130" s="347"/>
      <c r="Q130" s="151"/>
    </row>
    <row r="131" ht="12.0" customHeight="1">
      <c r="B131" s="1"/>
      <c r="C131" s="347"/>
      <c r="D131" s="161"/>
      <c r="E131" s="348"/>
      <c r="F131" s="1"/>
      <c r="G131" s="1"/>
      <c r="H131" s="1"/>
      <c r="I131" s="349"/>
      <c r="J131" s="349"/>
      <c r="K131" s="349"/>
      <c r="L131" s="350"/>
      <c r="M131" s="350"/>
      <c r="N131" s="351"/>
      <c r="O131" s="349"/>
      <c r="P131" s="347"/>
      <c r="Q131" s="151"/>
    </row>
    <row r="132" ht="12.0" customHeight="1">
      <c r="B132" s="1"/>
      <c r="C132" s="347"/>
      <c r="D132" s="161"/>
      <c r="E132" s="348"/>
      <c r="F132" s="1"/>
      <c r="G132" s="1"/>
      <c r="H132" s="1"/>
      <c r="I132" s="349"/>
      <c r="J132" s="349"/>
      <c r="K132" s="349"/>
      <c r="L132" s="350"/>
      <c r="M132" s="350"/>
      <c r="N132" s="351"/>
      <c r="O132" s="349"/>
      <c r="P132" s="347"/>
      <c r="Q132" s="151"/>
    </row>
    <row r="133" ht="12.0" customHeight="1">
      <c r="B133" s="1"/>
      <c r="C133" s="347"/>
      <c r="D133" s="161"/>
      <c r="E133" s="348"/>
      <c r="F133" s="1"/>
      <c r="G133" s="1"/>
      <c r="H133" s="1"/>
      <c r="I133" s="349"/>
      <c r="J133" s="349"/>
      <c r="K133" s="349"/>
      <c r="L133" s="350"/>
      <c r="M133" s="350"/>
      <c r="N133" s="351"/>
      <c r="O133" s="349"/>
      <c r="P133" s="347"/>
      <c r="Q133" s="151"/>
    </row>
    <row r="134" ht="12.0" customHeight="1">
      <c r="B134" s="1"/>
      <c r="C134" s="347"/>
      <c r="D134" s="161"/>
      <c r="E134" s="348"/>
      <c r="F134" s="1"/>
      <c r="G134" s="1"/>
      <c r="H134" s="1"/>
      <c r="I134" s="349"/>
      <c r="J134" s="349"/>
      <c r="K134" s="349"/>
      <c r="L134" s="350"/>
      <c r="M134" s="350"/>
      <c r="N134" s="351"/>
      <c r="O134" s="349"/>
      <c r="P134" s="347"/>
      <c r="Q134" s="151"/>
    </row>
    <row r="135" ht="12.0" customHeight="1">
      <c r="B135" s="1"/>
      <c r="C135" s="347"/>
      <c r="D135" s="161"/>
      <c r="E135" s="348"/>
      <c r="F135" s="1"/>
      <c r="G135" s="1"/>
      <c r="H135" s="1"/>
      <c r="I135" s="349"/>
      <c r="J135" s="349"/>
      <c r="K135" s="349"/>
      <c r="L135" s="350"/>
      <c r="M135" s="350"/>
      <c r="N135" s="351"/>
      <c r="O135" s="349"/>
      <c r="P135" s="347"/>
      <c r="Q135" s="151"/>
    </row>
    <row r="136" ht="12.0" customHeight="1">
      <c r="B136" s="1"/>
      <c r="C136" s="347"/>
      <c r="D136" s="161"/>
      <c r="E136" s="348"/>
      <c r="F136" s="1"/>
      <c r="G136" s="1"/>
      <c r="H136" s="1"/>
      <c r="I136" s="349"/>
      <c r="J136" s="349"/>
      <c r="K136" s="349"/>
      <c r="L136" s="350"/>
      <c r="M136" s="350"/>
      <c r="N136" s="351"/>
      <c r="O136" s="349"/>
      <c r="P136" s="347"/>
      <c r="Q136" s="151"/>
    </row>
    <row r="137" ht="12.0" customHeight="1">
      <c r="B137" s="1"/>
      <c r="C137" s="347"/>
      <c r="D137" s="161"/>
      <c r="E137" s="348"/>
      <c r="F137" s="1"/>
      <c r="G137" s="1"/>
      <c r="H137" s="1"/>
      <c r="I137" s="349"/>
      <c r="J137" s="349"/>
      <c r="K137" s="349"/>
      <c r="L137" s="350"/>
      <c r="M137" s="350"/>
      <c r="N137" s="351"/>
      <c r="O137" s="349"/>
      <c r="P137" s="347"/>
      <c r="Q137" s="151"/>
    </row>
    <row r="138" ht="12.0" customHeight="1">
      <c r="B138" s="1"/>
      <c r="C138" s="347"/>
      <c r="D138" s="161"/>
      <c r="E138" s="348"/>
      <c r="F138" s="1"/>
      <c r="G138" s="1"/>
      <c r="H138" s="1"/>
      <c r="I138" s="349"/>
      <c r="J138" s="349"/>
      <c r="K138" s="349"/>
      <c r="L138" s="350"/>
      <c r="M138" s="350"/>
      <c r="N138" s="351"/>
      <c r="O138" s="349"/>
      <c r="P138" s="347"/>
      <c r="Q138" s="151"/>
    </row>
    <row r="139" ht="12.0" customHeight="1">
      <c r="B139" s="1"/>
      <c r="C139" s="347"/>
      <c r="D139" s="161"/>
      <c r="E139" s="348"/>
      <c r="F139" s="1"/>
      <c r="G139" s="1"/>
      <c r="H139" s="1"/>
      <c r="I139" s="349"/>
      <c r="J139" s="349"/>
      <c r="K139" s="349"/>
      <c r="L139" s="350"/>
      <c r="M139" s="350"/>
      <c r="N139" s="351"/>
      <c r="O139" s="349"/>
      <c r="P139" s="347"/>
      <c r="Q139" s="151"/>
    </row>
    <row r="140" ht="12.0" customHeight="1">
      <c r="B140" s="1"/>
      <c r="C140" s="347"/>
      <c r="D140" s="161"/>
      <c r="E140" s="348"/>
      <c r="F140" s="1"/>
      <c r="G140" s="1"/>
      <c r="H140" s="1"/>
      <c r="I140" s="349"/>
      <c r="J140" s="349"/>
      <c r="K140" s="349"/>
      <c r="L140" s="350"/>
      <c r="M140" s="350"/>
      <c r="N140" s="351"/>
      <c r="O140" s="349"/>
      <c r="P140" s="347"/>
      <c r="Q140" s="151"/>
    </row>
    <row r="141" ht="12.0" customHeight="1">
      <c r="B141" s="1"/>
      <c r="C141" s="347"/>
      <c r="D141" s="161"/>
      <c r="E141" s="348"/>
      <c r="F141" s="1"/>
      <c r="G141" s="1"/>
      <c r="H141" s="1"/>
      <c r="I141" s="349"/>
      <c r="J141" s="349"/>
      <c r="K141" s="349"/>
      <c r="L141" s="350"/>
      <c r="M141" s="350"/>
      <c r="N141" s="351"/>
      <c r="O141" s="349"/>
      <c r="P141" s="347"/>
      <c r="Q141" s="151"/>
    </row>
    <row r="142" ht="12.0" customHeight="1">
      <c r="B142" s="1"/>
      <c r="C142" s="347"/>
      <c r="D142" s="161"/>
      <c r="E142" s="348"/>
      <c r="F142" s="1"/>
      <c r="G142" s="1"/>
      <c r="H142" s="1"/>
      <c r="I142" s="349"/>
      <c r="J142" s="349"/>
      <c r="K142" s="349"/>
      <c r="L142" s="350"/>
      <c r="M142" s="350"/>
      <c r="N142" s="351"/>
      <c r="O142" s="349"/>
      <c r="P142" s="347"/>
      <c r="Q142" s="151"/>
    </row>
    <row r="143" ht="12.0" customHeight="1">
      <c r="B143" s="1"/>
      <c r="C143" s="347"/>
      <c r="D143" s="161"/>
      <c r="E143" s="348"/>
      <c r="F143" s="1"/>
      <c r="G143" s="1"/>
      <c r="H143" s="1"/>
      <c r="I143" s="349"/>
      <c r="J143" s="349"/>
      <c r="K143" s="349"/>
      <c r="L143" s="350"/>
      <c r="M143" s="350"/>
      <c r="N143" s="351"/>
      <c r="O143" s="349"/>
      <c r="P143" s="347"/>
      <c r="Q143" s="151"/>
    </row>
    <row r="144" ht="12.0" customHeight="1">
      <c r="B144" s="1"/>
      <c r="C144" s="347"/>
      <c r="D144" s="161"/>
      <c r="E144" s="348"/>
      <c r="F144" s="1"/>
      <c r="G144" s="1"/>
      <c r="H144" s="1"/>
      <c r="I144" s="349"/>
      <c r="J144" s="349"/>
      <c r="K144" s="349"/>
      <c r="L144" s="350"/>
      <c r="M144" s="350"/>
      <c r="N144" s="351"/>
      <c r="O144" s="349"/>
      <c r="P144" s="347"/>
      <c r="Q144" s="151"/>
    </row>
    <row r="145" ht="12.0" customHeight="1">
      <c r="B145" s="1"/>
      <c r="C145" s="347"/>
      <c r="D145" s="161"/>
      <c r="E145" s="348"/>
      <c r="F145" s="1"/>
      <c r="G145" s="1"/>
      <c r="H145" s="1"/>
      <c r="I145" s="349"/>
      <c r="J145" s="349"/>
      <c r="K145" s="349"/>
      <c r="L145" s="350"/>
      <c r="M145" s="350"/>
      <c r="N145" s="351"/>
      <c r="O145" s="349"/>
      <c r="P145" s="347"/>
      <c r="Q145" s="151"/>
    </row>
    <row r="146" ht="12.0" customHeight="1">
      <c r="B146" s="1"/>
      <c r="C146" s="347"/>
      <c r="D146" s="161"/>
      <c r="E146" s="348"/>
      <c r="F146" s="1"/>
      <c r="G146" s="1"/>
      <c r="H146" s="1"/>
      <c r="I146" s="349"/>
      <c r="J146" s="349"/>
      <c r="K146" s="349"/>
      <c r="L146" s="350"/>
      <c r="M146" s="350"/>
      <c r="N146" s="351"/>
      <c r="O146" s="349"/>
      <c r="P146" s="347"/>
      <c r="Q146" s="151"/>
    </row>
    <row r="147" ht="12.0" customHeight="1">
      <c r="B147" s="1"/>
      <c r="C147" s="347"/>
      <c r="D147" s="161"/>
      <c r="E147" s="348"/>
      <c r="F147" s="1"/>
      <c r="G147" s="1"/>
      <c r="H147" s="1"/>
      <c r="I147" s="349"/>
      <c r="J147" s="349"/>
      <c r="K147" s="349"/>
      <c r="L147" s="350"/>
      <c r="M147" s="350"/>
      <c r="N147" s="351"/>
      <c r="O147" s="349"/>
      <c r="P147" s="347"/>
      <c r="Q147" s="151"/>
    </row>
    <row r="148" ht="12.0" customHeight="1">
      <c r="B148" s="1"/>
      <c r="C148" s="347"/>
      <c r="D148" s="161"/>
      <c r="E148" s="348"/>
      <c r="F148" s="1"/>
      <c r="G148" s="1"/>
      <c r="H148" s="1"/>
      <c r="I148" s="349"/>
      <c r="J148" s="349"/>
      <c r="K148" s="349"/>
      <c r="L148" s="350"/>
      <c r="M148" s="350"/>
      <c r="N148" s="351"/>
      <c r="O148" s="349"/>
      <c r="P148" s="347"/>
      <c r="Q148" s="151"/>
    </row>
    <row r="149" ht="12.0" customHeight="1">
      <c r="B149" s="1"/>
      <c r="C149" s="347"/>
      <c r="D149" s="161"/>
      <c r="E149" s="348"/>
      <c r="F149" s="1"/>
      <c r="G149" s="1"/>
      <c r="H149" s="1"/>
      <c r="I149" s="349"/>
      <c r="J149" s="349"/>
      <c r="K149" s="349"/>
      <c r="L149" s="350"/>
      <c r="M149" s="350"/>
      <c r="N149" s="351"/>
      <c r="O149" s="349"/>
      <c r="P149" s="347"/>
      <c r="Q149" s="151"/>
    </row>
    <row r="150" ht="12.0" customHeight="1">
      <c r="B150" s="1"/>
      <c r="C150" s="347"/>
      <c r="D150" s="161"/>
      <c r="E150" s="348"/>
      <c r="F150" s="1"/>
      <c r="G150" s="1"/>
      <c r="H150" s="1"/>
      <c r="I150" s="349"/>
      <c r="J150" s="349"/>
      <c r="K150" s="349"/>
      <c r="L150" s="350"/>
      <c r="M150" s="350"/>
      <c r="N150" s="351"/>
      <c r="O150" s="349"/>
      <c r="P150" s="347"/>
      <c r="Q150" s="151"/>
    </row>
    <row r="151" ht="12.0" customHeight="1">
      <c r="B151" s="1"/>
      <c r="C151" s="347"/>
      <c r="D151" s="161"/>
      <c r="E151" s="348"/>
      <c r="F151" s="1"/>
      <c r="G151" s="1"/>
      <c r="H151" s="1"/>
      <c r="I151" s="349"/>
      <c r="J151" s="349"/>
      <c r="K151" s="349"/>
      <c r="L151" s="350"/>
      <c r="M151" s="350"/>
      <c r="N151" s="351"/>
      <c r="O151" s="349"/>
      <c r="P151" s="347"/>
      <c r="Q151" s="151"/>
    </row>
    <row r="152" ht="12.0" customHeight="1">
      <c r="B152" s="1"/>
      <c r="C152" s="347"/>
      <c r="D152" s="161"/>
      <c r="E152" s="348"/>
      <c r="F152" s="1"/>
      <c r="G152" s="1"/>
      <c r="H152" s="1"/>
      <c r="I152" s="349"/>
      <c r="J152" s="349"/>
      <c r="K152" s="349"/>
      <c r="L152" s="350"/>
      <c r="M152" s="350"/>
      <c r="N152" s="351"/>
      <c r="O152" s="349"/>
      <c r="P152" s="347"/>
      <c r="Q152" s="151"/>
    </row>
    <row r="153" ht="12.0" customHeight="1">
      <c r="B153" s="1"/>
      <c r="C153" s="347"/>
      <c r="D153" s="161"/>
      <c r="E153" s="348"/>
      <c r="F153" s="1"/>
      <c r="G153" s="1"/>
      <c r="H153" s="1"/>
      <c r="I153" s="349"/>
      <c r="J153" s="349"/>
      <c r="K153" s="349"/>
      <c r="L153" s="350"/>
      <c r="M153" s="350"/>
      <c r="N153" s="351"/>
      <c r="O153" s="349"/>
      <c r="P153" s="347"/>
      <c r="Q153" s="151"/>
    </row>
    <row r="154" ht="12.0" customHeight="1">
      <c r="B154" s="1"/>
      <c r="C154" s="347"/>
      <c r="D154" s="161"/>
      <c r="E154" s="348"/>
      <c r="F154" s="1"/>
      <c r="G154" s="1"/>
      <c r="H154" s="1"/>
      <c r="I154" s="349"/>
      <c r="J154" s="349"/>
      <c r="K154" s="349"/>
      <c r="L154" s="350"/>
      <c r="M154" s="350"/>
      <c r="N154" s="351"/>
      <c r="O154" s="349"/>
      <c r="P154" s="347"/>
      <c r="Q154" s="151"/>
    </row>
    <row r="155" ht="12.0" customHeight="1">
      <c r="B155" s="1"/>
      <c r="C155" s="347"/>
      <c r="D155" s="161"/>
      <c r="E155" s="348"/>
      <c r="F155" s="1"/>
      <c r="G155" s="1"/>
      <c r="H155" s="1"/>
      <c r="I155" s="349"/>
      <c r="J155" s="349"/>
      <c r="K155" s="349"/>
      <c r="L155" s="350"/>
      <c r="M155" s="350"/>
      <c r="N155" s="351"/>
      <c r="O155" s="349"/>
      <c r="P155" s="347"/>
      <c r="Q155" s="151"/>
    </row>
    <row r="156" ht="12.0" customHeight="1">
      <c r="B156" s="1"/>
      <c r="C156" s="347"/>
      <c r="D156" s="161"/>
      <c r="E156" s="348"/>
      <c r="F156" s="1"/>
      <c r="G156" s="1"/>
      <c r="H156" s="1"/>
      <c r="I156" s="349"/>
      <c r="J156" s="349"/>
      <c r="K156" s="349"/>
      <c r="L156" s="350"/>
      <c r="M156" s="350"/>
      <c r="N156" s="351"/>
      <c r="O156" s="349"/>
      <c r="P156" s="347"/>
      <c r="Q156" s="151"/>
    </row>
    <row r="157" ht="12.0" customHeight="1">
      <c r="B157" s="1"/>
      <c r="C157" s="347"/>
      <c r="D157" s="161"/>
      <c r="E157" s="348"/>
      <c r="F157" s="1"/>
      <c r="G157" s="1"/>
      <c r="H157" s="1"/>
      <c r="I157" s="349"/>
      <c r="J157" s="349"/>
      <c r="K157" s="349"/>
      <c r="L157" s="350"/>
      <c r="M157" s="350"/>
      <c r="N157" s="351"/>
      <c r="O157" s="349"/>
      <c r="P157" s="347"/>
      <c r="Q157" s="151"/>
    </row>
    <row r="158" ht="12.0" customHeight="1">
      <c r="B158" s="1"/>
      <c r="C158" s="347"/>
      <c r="D158" s="161"/>
      <c r="E158" s="348"/>
      <c r="F158" s="1"/>
      <c r="G158" s="1"/>
      <c r="H158" s="1"/>
      <c r="I158" s="349"/>
      <c r="J158" s="349"/>
      <c r="K158" s="349"/>
      <c r="L158" s="350"/>
      <c r="M158" s="350"/>
      <c r="N158" s="351"/>
      <c r="O158" s="349"/>
      <c r="P158" s="347"/>
      <c r="Q158" s="151"/>
    </row>
    <row r="159" ht="12.0" customHeight="1">
      <c r="B159" s="1"/>
      <c r="C159" s="347"/>
      <c r="D159" s="161"/>
      <c r="E159" s="348"/>
      <c r="F159" s="1"/>
      <c r="G159" s="1"/>
      <c r="H159" s="1"/>
      <c r="I159" s="349"/>
      <c r="J159" s="349"/>
      <c r="K159" s="349"/>
      <c r="L159" s="350"/>
      <c r="M159" s="350"/>
      <c r="N159" s="351"/>
      <c r="O159" s="349"/>
      <c r="P159" s="347"/>
      <c r="Q159" s="151"/>
    </row>
    <row r="160" ht="12.0" customHeight="1">
      <c r="B160" s="1"/>
      <c r="C160" s="347"/>
      <c r="D160" s="161"/>
      <c r="E160" s="348"/>
      <c r="F160" s="1"/>
      <c r="G160" s="1"/>
      <c r="H160" s="1"/>
      <c r="I160" s="349"/>
      <c r="J160" s="349"/>
      <c r="K160" s="349"/>
      <c r="L160" s="350"/>
      <c r="M160" s="350"/>
      <c r="N160" s="351"/>
      <c r="O160" s="349"/>
      <c r="P160" s="347"/>
      <c r="Q160" s="151"/>
    </row>
    <row r="161" ht="12.0" customHeight="1">
      <c r="B161" s="1"/>
      <c r="C161" s="347"/>
      <c r="D161" s="161"/>
      <c r="E161" s="348"/>
      <c r="F161" s="1"/>
      <c r="G161" s="1"/>
      <c r="H161" s="1"/>
      <c r="I161" s="349"/>
      <c r="J161" s="349"/>
      <c r="K161" s="349"/>
      <c r="L161" s="350"/>
      <c r="M161" s="350"/>
      <c r="N161" s="351"/>
      <c r="O161" s="349"/>
      <c r="P161" s="347"/>
      <c r="Q161" s="151"/>
    </row>
    <row r="162" ht="12.0" customHeight="1">
      <c r="B162" s="1"/>
      <c r="C162" s="347"/>
      <c r="D162" s="161"/>
      <c r="E162" s="348"/>
      <c r="F162" s="1"/>
      <c r="G162" s="1"/>
      <c r="H162" s="1"/>
      <c r="I162" s="349"/>
      <c r="J162" s="349"/>
      <c r="K162" s="349"/>
      <c r="L162" s="350"/>
      <c r="M162" s="350"/>
      <c r="N162" s="351"/>
      <c r="O162" s="349"/>
      <c r="P162" s="347"/>
      <c r="Q162" s="151"/>
    </row>
    <row r="163" ht="12.0" customHeight="1">
      <c r="B163" s="1"/>
      <c r="C163" s="347"/>
      <c r="D163" s="161"/>
      <c r="E163" s="348"/>
      <c r="F163" s="1"/>
      <c r="G163" s="1"/>
      <c r="H163" s="1"/>
      <c r="I163" s="349"/>
      <c r="J163" s="349"/>
      <c r="K163" s="349"/>
      <c r="L163" s="350"/>
      <c r="M163" s="350"/>
      <c r="N163" s="351"/>
      <c r="O163" s="349"/>
      <c r="P163" s="347"/>
      <c r="Q163" s="151"/>
    </row>
    <row r="164" ht="12.0" customHeight="1">
      <c r="B164" s="1"/>
      <c r="C164" s="347"/>
      <c r="D164" s="161"/>
      <c r="E164" s="348"/>
      <c r="F164" s="1"/>
      <c r="G164" s="1"/>
      <c r="H164" s="1"/>
      <c r="I164" s="349"/>
      <c r="J164" s="349"/>
      <c r="K164" s="349"/>
      <c r="L164" s="350"/>
      <c r="M164" s="350"/>
      <c r="N164" s="351"/>
      <c r="O164" s="349"/>
      <c r="P164" s="347"/>
      <c r="Q164" s="151"/>
    </row>
    <row r="165" ht="12.0" customHeight="1">
      <c r="B165" s="1"/>
      <c r="C165" s="347"/>
      <c r="D165" s="161"/>
      <c r="E165" s="348"/>
      <c r="F165" s="1"/>
      <c r="G165" s="1"/>
      <c r="H165" s="1"/>
      <c r="I165" s="349"/>
      <c r="J165" s="349"/>
      <c r="K165" s="349"/>
      <c r="L165" s="350"/>
      <c r="M165" s="350"/>
      <c r="N165" s="351"/>
      <c r="O165" s="349"/>
      <c r="P165" s="347"/>
      <c r="Q165" s="151"/>
    </row>
    <row r="166" ht="12.0" customHeight="1">
      <c r="B166" s="1"/>
      <c r="C166" s="347"/>
      <c r="D166" s="161"/>
      <c r="E166" s="348"/>
      <c r="F166" s="1"/>
      <c r="G166" s="1"/>
      <c r="H166" s="1"/>
      <c r="I166" s="349"/>
      <c r="J166" s="349"/>
      <c r="K166" s="349"/>
      <c r="L166" s="350"/>
      <c r="M166" s="350"/>
      <c r="N166" s="351"/>
      <c r="O166" s="349"/>
      <c r="P166" s="347"/>
      <c r="Q166" s="151"/>
    </row>
    <row r="167" ht="12.0" customHeight="1">
      <c r="B167" s="1"/>
      <c r="C167" s="347"/>
      <c r="D167" s="161"/>
      <c r="E167" s="348"/>
      <c r="F167" s="1"/>
      <c r="G167" s="1"/>
      <c r="H167" s="1"/>
      <c r="I167" s="349"/>
      <c r="J167" s="349"/>
      <c r="K167" s="349"/>
      <c r="L167" s="350"/>
      <c r="M167" s="350"/>
      <c r="N167" s="351"/>
      <c r="O167" s="349"/>
      <c r="P167" s="347"/>
      <c r="Q167" s="151"/>
    </row>
    <row r="168" ht="12.0" customHeight="1">
      <c r="B168" s="1"/>
      <c r="C168" s="347"/>
      <c r="D168" s="161"/>
      <c r="E168" s="348"/>
      <c r="F168" s="1"/>
      <c r="G168" s="1"/>
      <c r="H168" s="1"/>
      <c r="I168" s="349"/>
      <c r="J168" s="349"/>
      <c r="K168" s="349"/>
      <c r="L168" s="350"/>
      <c r="M168" s="350"/>
      <c r="N168" s="351"/>
      <c r="O168" s="349"/>
      <c r="P168" s="347"/>
      <c r="Q168" s="151"/>
    </row>
    <row r="169" ht="12.0" customHeight="1">
      <c r="B169" s="1"/>
      <c r="C169" s="347"/>
      <c r="D169" s="161"/>
      <c r="E169" s="348"/>
      <c r="F169" s="1"/>
      <c r="G169" s="1"/>
      <c r="H169" s="1"/>
      <c r="I169" s="349"/>
      <c r="J169" s="349"/>
      <c r="K169" s="349"/>
      <c r="L169" s="350"/>
      <c r="M169" s="350"/>
      <c r="N169" s="351"/>
      <c r="O169" s="349"/>
      <c r="P169" s="347"/>
      <c r="Q169" s="151"/>
    </row>
    <row r="170" ht="12.0" customHeight="1">
      <c r="B170" s="1"/>
      <c r="C170" s="347"/>
      <c r="D170" s="161"/>
      <c r="E170" s="348"/>
      <c r="F170" s="1"/>
      <c r="G170" s="1"/>
      <c r="H170" s="1"/>
      <c r="I170" s="349"/>
      <c r="J170" s="349"/>
      <c r="K170" s="349"/>
      <c r="L170" s="350"/>
      <c r="M170" s="350"/>
      <c r="N170" s="351"/>
      <c r="O170" s="349"/>
      <c r="P170" s="347"/>
      <c r="Q170" s="151"/>
    </row>
    <row r="171" ht="12.0" customHeight="1">
      <c r="B171" s="1"/>
      <c r="C171" s="347"/>
      <c r="D171" s="161"/>
      <c r="E171" s="348"/>
      <c r="F171" s="1"/>
      <c r="G171" s="1"/>
      <c r="H171" s="1"/>
      <c r="I171" s="349"/>
      <c r="J171" s="349"/>
      <c r="K171" s="349"/>
      <c r="L171" s="350"/>
      <c r="M171" s="350"/>
      <c r="N171" s="351"/>
      <c r="O171" s="349"/>
      <c r="P171" s="347"/>
      <c r="Q171" s="151"/>
    </row>
    <row r="172" ht="12.0" customHeight="1">
      <c r="B172" s="1"/>
      <c r="C172" s="347"/>
      <c r="D172" s="161"/>
      <c r="E172" s="348"/>
      <c r="F172" s="1"/>
      <c r="G172" s="1"/>
      <c r="H172" s="1"/>
      <c r="I172" s="349"/>
      <c r="J172" s="349"/>
      <c r="K172" s="349"/>
      <c r="L172" s="350"/>
      <c r="M172" s="350"/>
      <c r="N172" s="351"/>
      <c r="O172" s="349"/>
      <c r="P172" s="347"/>
      <c r="Q172" s="151"/>
    </row>
    <row r="173" ht="12.0" customHeight="1">
      <c r="B173" s="1"/>
      <c r="C173" s="347"/>
      <c r="D173" s="161"/>
      <c r="E173" s="348"/>
      <c r="F173" s="1"/>
      <c r="G173" s="1"/>
      <c r="H173" s="1"/>
      <c r="I173" s="349"/>
      <c r="J173" s="349"/>
      <c r="K173" s="349"/>
      <c r="L173" s="350"/>
      <c r="M173" s="350"/>
      <c r="N173" s="351"/>
      <c r="O173" s="349"/>
      <c r="P173" s="347"/>
      <c r="Q173" s="151"/>
    </row>
    <row r="174" ht="12.0" customHeight="1">
      <c r="B174" s="1"/>
      <c r="C174" s="347"/>
      <c r="D174" s="161"/>
      <c r="E174" s="348"/>
      <c r="F174" s="1"/>
      <c r="G174" s="1"/>
      <c r="H174" s="1"/>
      <c r="I174" s="349"/>
      <c r="J174" s="349"/>
      <c r="K174" s="349"/>
      <c r="L174" s="350"/>
      <c r="M174" s="350"/>
      <c r="N174" s="351"/>
      <c r="O174" s="349"/>
      <c r="P174" s="347"/>
      <c r="Q174" s="151"/>
    </row>
    <row r="175" ht="12.0" customHeight="1">
      <c r="B175" s="1"/>
      <c r="C175" s="347"/>
      <c r="D175" s="161"/>
      <c r="E175" s="348"/>
      <c r="F175" s="1"/>
      <c r="G175" s="1"/>
      <c r="H175" s="1"/>
      <c r="I175" s="349"/>
      <c r="J175" s="349"/>
      <c r="K175" s="349"/>
      <c r="L175" s="350"/>
      <c r="M175" s="350"/>
      <c r="N175" s="351"/>
      <c r="O175" s="349"/>
      <c r="P175" s="347"/>
      <c r="Q175" s="151"/>
    </row>
    <row r="176" ht="12.0" customHeight="1">
      <c r="B176" s="1"/>
      <c r="C176" s="347"/>
      <c r="D176" s="161"/>
      <c r="E176" s="348"/>
      <c r="F176" s="1"/>
      <c r="G176" s="1"/>
      <c r="H176" s="1"/>
      <c r="I176" s="349"/>
      <c r="J176" s="349"/>
      <c r="K176" s="349"/>
      <c r="L176" s="350"/>
      <c r="M176" s="350"/>
      <c r="N176" s="351"/>
      <c r="O176" s="349"/>
      <c r="P176" s="347"/>
      <c r="Q176" s="151"/>
    </row>
    <row r="177" ht="12.0" customHeight="1">
      <c r="B177" s="1"/>
      <c r="C177" s="347"/>
      <c r="D177" s="161"/>
      <c r="E177" s="348"/>
      <c r="F177" s="1"/>
      <c r="G177" s="1"/>
      <c r="H177" s="1"/>
      <c r="I177" s="349"/>
      <c r="J177" s="349"/>
      <c r="K177" s="349"/>
      <c r="L177" s="350"/>
      <c r="M177" s="350"/>
      <c r="N177" s="351"/>
      <c r="O177" s="349"/>
      <c r="P177" s="347"/>
      <c r="Q177" s="151"/>
    </row>
    <row r="178" ht="12.0" customHeight="1">
      <c r="B178" s="1"/>
      <c r="C178" s="347"/>
      <c r="D178" s="161"/>
      <c r="E178" s="348"/>
      <c r="F178" s="1"/>
      <c r="G178" s="1"/>
      <c r="H178" s="1"/>
      <c r="I178" s="349"/>
      <c r="J178" s="349"/>
      <c r="K178" s="349"/>
      <c r="L178" s="350"/>
      <c r="M178" s="350"/>
      <c r="N178" s="351"/>
      <c r="O178" s="349"/>
      <c r="P178" s="347"/>
      <c r="Q178" s="151"/>
    </row>
    <row r="179" ht="12.0" customHeight="1">
      <c r="B179" s="1"/>
      <c r="C179" s="347"/>
      <c r="D179" s="161"/>
      <c r="E179" s="348"/>
      <c r="F179" s="1"/>
      <c r="G179" s="1"/>
      <c r="H179" s="1"/>
      <c r="I179" s="349"/>
      <c r="J179" s="349"/>
      <c r="K179" s="349"/>
      <c r="L179" s="350"/>
      <c r="M179" s="350"/>
      <c r="N179" s="351"/>
      <c r="O179" s="349"/>
      <c r="P179" s="347"/>
      <c r="Q179" s="151"/>
    </row>
    <row r="180" ht="12.0" customHeight="1">
      <c r="B180" s="1"/>
      <c r="C180" s="347"/>
      <c r="D180" s="161"/>
      <c r="E180" s="348"/>
      <c r="F180" s="1"/>
      <c r="G180" s="1"/>
      <c r="H180" s="1"/>
      <c r="I180" s="349"/>
      <c r="J180" s="349"/>
      <c r="K180" s="349"/>
      <c r="L180" s="350"/>
      <c r="M180" s="350"/>
      <c r="N180" s="351"/>
      <c r="O180" s="349"/>
      <c r="P180" s="347"/>
      <c r="Q180" s="151"/>
    </row>
    <row r="181" ht="12.0" customHeight="1">
      <c r="B181" s="1"/>
      <c r="C181" s="347"/>
      <c r="D181" s="161"/>
      <c r="E181" s="348"/>
      <c r="F181" s="1"/>
      <c r="G181" s="1"/>
      <c r="H181" s="1"/>
      <c r="I181" s="349"/>
      <c r="J181" s="349"/>
      <c r="K181" s="349"/>
      <c r="L181" s="350"/>
      <c r="M181" s="350"/>
      <c r="N181" s="351"/>
      <c r="O181" s="349"/>
      <c r="P181" s="347"/>
      <c r="Q181" s="151"/>
    </row>
    <row r="182" ht="12.0" customHeight="1">
      <c r="B182" s="1"/>
      <c r="C182" s="347"/>
      <c r="D182" s="161"/>
      <c r="E182" s="348"/>
      <c r="F182" s="1"/>
      <c r="G182" s="1"/>
      <c r="H182" s="1"/>
      <c r="I182" s="349"/>
      <c r="J182" s="349"/>
      <c r="K182" s="349"/>
      <c r="L182" s="350"/>
      <c r="M182" s="350"/>
      <c r="N182" s="351"/>
      <c r="O182" s="349"/>
      <c r="P182" s="347"/>
      <c r="Q182" s="151"/>
    </row>
    <row r="183" ht="12.0" customHeight="1">
      <c r="B183" s="1"/>
      <c r="C183" s="347"/>
      <c r="D183" s="161"/>
      <c r="E183" s="348"/>
      <c r="F183" s="1"/>
      <c r="G183" s="1"/>
      <c r="H183" s="1"/>
      <c r="I183" s="349"/>
      <c r="J183" s="349"/>
      <c r="K183" s="349"/>
      <c r="L183" s="350"/>
      <c r="M183" s="350"/>
      <c r="N183" s="351"/>
      <c r="O183" s="349"/>
      <c r="P183" s="347"/>
      <c r="Q183" s="151"/>
    </row>
    <row r="184" ht="12.0" customHeight="1">
      <c r="B184" s="1"/>
      <c r="C184" s="347"/>
      <c r="D184" s="161"/>
      <c r="E184" s="348"/>
      <c r="F184" s="1"/>
      <c r="G184" s="1"/>
      <c r="H184" s="1"/>
      <c r="I184" s="349"/>
      <c r="J184" s="349"/>
      <c r="K184" s="349"/>
      <c r="L184" s="350"/>
      <c r="M184" s="350"/>
      <c r="N184" s="351"/>
      <c r="O184" s="349"/>
      <c r="P184" s="347"/>
      <c r="Q184" s="151"/>
    </row>
    <row r="185" ht="12.0" customHeight="1">
      <c r="B185" s="1"/>
      <c r="C185" s="347"/>
      <c r="D185" s="161"/>
      <c r="E185" s="348"/>
      <c r="F185" s="1"/>
      <c r="G185" s="1"/>
      <c r="H185" s="1"/>
      <c r="I185" s="349"/>
      <c r="J185" s="349"/>
      <c r="K185" s="349"/>
      <c r="L185" s="350"/>
      <c r="M185" s="350"/>
      <c r="N185" s="351"/>
      <c r="O185" s="349"/>
      <c r="P185" s="347"/>
      <c r="Q185" s="151"/>
    </row>
    <row r="186" ht="12.0" customHeight="1">
      <c r="B186" s="1"/>
      <c r="C186" s="347"/>
      <c r="D186" s="161"/>
      <c r="E186" s="348"/>
      <c r="F186" s="1"/>
      <c r="G186" s="1"/>
      <c r="H186" s="1"/>
      <c r="I186" s="349"/>
      <c r="J186" s="349"/>
      <c r="K186" s="349"/>
      <c r="L186" s="350"/>
      <c r="M186" s="350"/>
      <c r="N186" s="351"/>
      <c r="O186" s="349"/>
      <c r="P186" s="347"/>
      <c r="Q186" s="151"/>
    </row>
    <row r="187" ht="12.0" customHeight="1">
      <c r="B187" s="1"/>
      <c r="C187" s="347"/>
      <c r="D187" s="161"/>
      <c r="E187" s="348"/>
      <c r="F187" s="1"/>
      <c r="G187" s="1"/>
      <c r="H187" s="1"/>
      <c r="I187" s="349"/>
      <c r="J187" s="349"/>
      <c r="K187" s="349"/>
      <c r="L187" s="350"/>
      <c r="M187" s="350"/>
      <c r="N187" s="351"/>
      <c r="O187" s="349"/>
      <c r="P187" s="347"/>
      <c r="Q187" s="151"/>
    </row>
    <row r="188" ht="12.0" customHeight="1">
      <c r="B188" s="1"/>
      <c r="C188" s="347"/>
      <c r="D188" s="161"/>
      <c r="E188" s="348"/>
      <c r="F188" s="1"/>
      <c r="G188" s="1"/>
      <c r="H188" s="1"/>
      <c r="I188" s="349"/>
      <c r="J188" s="349"/>
      <c r="K188" s="349"/>
      <c r="L188" s="350"/>
      <c r="M188" s="350"/>
      <c r="N188" s="351"/>
      <c r="O188" s="349"/>
      <c r="P188" s="347"/>
      <c r="Q188" s="151"/>
    </row>
    <row r="189" ht="12.0" customHeight="1">
      <c r="B189" s="1"/>
      <c r="C189" s="347"/>
      <c r="D189" s="161"/>
      <c r="E189" s="348"/>
      <c r="F189" s="1"/>
      <c r="G189" s="1"/>
      <c r="H189" s="1"/>
      <c r="I189" s="349"/>
      <c r="J189" s="349"/>
      <c r="K189" s="349"/>
      <c r="L189" s="350"/>
      <c r="M189" s="350"/>
      <c r="N189" s="351"/>
      <c r="O189" s="349"/>
      <c r="P189" s="347"/>
      <c r="Q189" s="151"/>
    </row>
    <row r="190" ht="12.0" customHeight="1">
      <c r="B190" s="1"/>
      <c r="C190" s="347"/>
      <c r="D190" s="161"/>
      <c r="E190" s="348"/>
      <c r="F190" s="1"/>
      <c r="G190" s="1"/>
      <c r="H190" s="1"/>
      <c r="I190" s="349"/>
      <c r="J190" s="349"/>
      <c r="K190" s="349"/>
      <c r="L190" s="350"/>
      <c r="M190" s="350"/>
      <c r="N190" s="351"/>
      <c r="O190" s="349"/>
      <c r="P190" s="347"/>
      <c r="Q190" s="151"/>
    </row>
    <row r="191" ht="12.0" customHeight="1">
      <c r="B191" s="1"/>
      <c r="C191" s="347"/>
      <c r="D191" s="161"/>
      <c r="E191" s="348"/>
      <c r="F191" s="1"/>
      <c r="G191" s="1"/>
      <c r="H191" s="1"/>
      <c r="I191" s="349"/>
      <c r="J191" s="349"/>
      <c r="K191" s="349"/>
      <c r="L191" s="350"/>
      <c r="M191" s="350"/>
      <c r="N191" s="351"/>
      <c r="O191" s="349"/>
      <c r="P191" s="347"/>
      <c r="Q191" s="151"/>
    </row>
    <row r="192" ht="12.0" customHeight="1">
      <c r="B192" s="1"/>
      <c r="C192" s="347"/>
      <c r="D192" s="161"/>
      <c r="E192" s="348"/>
      <c r="F192" s="1"/>
      <c r="G192" s="1"/>
      <c r="H192" s="1"/>
      <c r="I192" s="349"/>
      <c r="J192" s="349"/>
      <c r="K192" s="349"/>
      <c r="L192" s="350"/>
      <c r="M192" s="350"/>
      <c r="N192" s="351"/>
      <c r="O192" s="349"/>
      <c r="P192" s="347"/>
      <c r="Q192" s="151"/>
    </row>
    <row r="193" ht="12.0" customHeight="1">
      <c r="B193" s="1"/>
      <c r="C193" s="347"/>
      <c r="D193" s="161"/>
      <c r="E193" s="348"/>
      <c r="F193" s="1"/>
      <c r="G193" s="1"/>
      <c r="H193" s="1"/>
      <c r="I193" s="349"/>
      <c r="J193" s="349"/>
      <c r="K193" s="349"/>
      <c r="L193" s="350"/>
      <c r="M193" s="350"/>
      <c r="N193" s="351"/>
      <c r="O193" s="349"/>
      <c r="P193" s="347"/>
      <c r="Q193" s="151"/>
    </row>
    <row r="194" ht="12.0" customHeight="1">
      <c r="B194" s="1"/>
      <c r="C194" s="347"/>
      <c r="D194" s="161"/>
      <c r="E194" s="348"/>
      <c r="F194" s="1"/>
      <c r="G194" s="1"/>
      <c r="H194" s="1"/>
      <c r="I194" s="349"/>
      <c r="J194" s="349"/>
      <c r="K194" s="349"/>
      <c r="L194" s="350"/>
      <c r="M194" s="350"/>
      <c r="N194" s="351"/>
      <c r="O194" s="349"/>
      <c r="P194" s="347"/>
      <c r="Q194" s="151"/>
    </row>
    <row r="195" ht="12.0" customHeight="1">
      <c r="B195" s="1"/>
      <c r="C195" s="347"/>
      <c r="D195" s="161"/>
      <c r="E195" s="348"/>
      <c r="F195" s="1"/>
      <c r="G195" s="1"/>
      <c r="H195" s="1"/>
      <c r="I195" s="349"/>
      <c r="J195" s="349"/>
      <c r="K195" s="349"/>
      <c r="L195" s="350"/>
      <c r="M195" s="350"/>
      <c r="N195" s="351"/>
      <c r="O195" s="349"/>
      <c r="P195" s="347"/>
      <c r="Q195" s="151"/>
    </row>
    <row r="196" ht="12.0" customHeight="1">
      <c r="B196" s="1"/>
      <c r="C196" s="347"/>
      <c r="D196" s="161"/>
      <c r="E196" s="348"/>
      <c r="F196" s="1"/>
      <c r="G196" s="1"/>
      <c r="H196" s="1"/>
      <c r="I196" s="349"/>
      <c r="J196" s="349"/>
      <c r="K196" s="349"/>
      <c r="L196" s="350"/>
      <c r="M196" s="350"/>
      <c r="N196" s="351"/>
      <c r="O196" s="349"/>
      <c r="P196" s="347"/>
      <c r="Q196" s="151"/>
    </row>
    <row r="197" ht="12.0" customHeight="1">
      <c r="B197" s="1"/>
      <c r="C197" s="347"/>
      <c r="D197" s="161"/>
      <c r="E197" s="348"/>
      <c r="F197" s="1"/>
      <c r="G197" s="1"/>
      <c r="H197" s="1"/>
      <c r="I197" s="349"/>
      <c r="J197" s="349"/>
      <c r="K197" s="349"/>
      <c r="L197" s="350"/>
      <c r="M197" s="350"/>
      <c r="N197" s="351"/>
      <c r="O197" s="349"/>
      <c r="P197" s="347"/>
      <c r="Q197" s="151"/>
    </row>
    <row r="198" ht="12.0" customHeight="1">
      <c r="B198" s="1"/>
      <c r="C198" s="347"/>
      <c r="D198" s="161"/>
      <c r="E198" s="348"/>
      <c r="F198" s="1"/>
      <c r="G198" s="1"/>
      <c r="H198" s="1"/>
      <c r="I198" s="349"/>
      <c r="J198" s="349"/>
      <c r="K198" s="349"/>
      <c r="L198" s="350"/>
      <c r="M198" s="350"/>
      <c r="N198" s="351"/>
      <c r="O198" s="349"/>
      <c r="P198" s="347"/>
      <c r="Q198" s="151"/>
    </row>
    <row r="199" ht="12.0" customHeight="1">
      <c r="B199" s="1"/>
      <c r="C199" s="347"/>
      <c r="D199" s="161"/>
      <c r="E199" s="348"/>
      <c r="F199" s="1"/>
      <c r="G199" s="1"/>
      <c r="H199" s="1"/>
      <c r="I199" s="349"/>
      <c r="J199" s="349"/>
      <c r="K199" s="349"/>
      <c r="L199" s="350"/>
      <c r="M199" s="350"/>
      <c r="N199" s="351"/>
      <c r="O199" s="349"/>
      <c r="P199" s="347"/>
      <c r="Q199" s="151"/>
    </row>
    <row r="200" ht="12.0" customHeight="1">
      <c r="B200" s="1"/>
      <c r="C200" s="347"/>
      <c r="D200" s="161"/>
      <c r="E200" s="348"/>
      <c r="F200" s="1"/>
      <c r="G200" s="1"/>
      <c r="H200" s="1"/>
      <c r="I200" s="349"/>
      <c r="J200" s="349"/>
      <c r="K200" s="349"/>
      <c r="L200" s="350"/>
      <c r="M200" s="350"/>
      <c r="N200" s="351"/>
      <c r="O200" s="349"/>
      <c r="P200" s="347"/>
      <c r="Q200" s="151"/>
    </row>
    <row r="201" ht="12.0" customHeight="1">
      <c r="B201" s="1"/>
      <c r="C201" s="347"/>
      <c r="D201" s="161"/>
      <c r="E201" s="348"/>
      <c r="F201" s="1"/>
      <c r="G201" s="1"/>
      <c r="H201" s="1"/>
      <c r="I201" s="349"/>
      <c r="J201" s="349"/>
      <c r="K201" s="349"/>
      <c r="L201" s="350"/>
      <c r="M201" s="350"/>
      <c r="N201" s="351"/>
      <c r="O201" s="349"/>
      <c r="P201" s="347"/>
      <c r="Q201" s="151"/>
    </row>
    <row r="202" ht="12.0" customHeight="1">
      <c r="B202" s="1"/>
      <c r="C202" s="347"/>
      <c r="D202" s="161"/>
      <c r="E202" s="348"/>
      <c r="F202" s="1"/>
      <c r="G202" s="1"/>
      <c r="H202" s="1"/>
      <c r="I202" s="349"/>
      <c r="J202" s="349"/>
      <c r="K202" s="349"/>
      <c r="L202" s="350"/>
      <c r="M202" s="350"/>
      <c r="N202" s="351"/>
      <c r="O202" s="349"/>
      <c r="P202" s="347"/>
      <c r="Q202" s="151"/>
    </row>
    <row r="203" ht="12.0" customHeight="1">
      <c r="B203" s="1"/>
      <c r="C203" s="347"/>
      <c r="D203" s="161"/>
      <c r="E203" s="348"/>
      <c r="F203" s="1"/>
      <c r="G203" s="1"/>
      <c r="H203" s="1"/>
      <c r="I203" s="349"/>
      <c r="J203" s="349"/>
      <c r="K203" s="349"/>
      <c r="L203" s="350"/>
      <c r="M203" s="350"/>
      <c r="N203" s="351"/>
      <c r="O203" s="349"/>
      <c r="P203" s="347"/>
      <c r="Q203" s="151"/>
    </row>
    <row r="204" ht="12.0" customHeight="1">
      <c r="B204" s="1"/>
      <c r="C204" s="347"/>
      <c r="D204" s="161"/>
      <c r="E204" s="348"/>
      <c r="F204" s="1"/>
      <c r="G204" s="1"/>
      <c r="H204" s="1"/>
      <c r="I204" s="349"/>
      <c r="J204" s="349"/>
      <c r="K204" s="349"/>
      <c r="L204" s="350"/>
      <c r="M204" s="350"/>
      <c r="N204" s="351"/>
      <c r="O204" s="349"/>
      <c r="P204" s="347"/>
      <c r="Q204" s="151"/>
    </row>
    <row r="205" ht="12.0" customHeight="1">
      <c r="B205" s="1"/>
      <c r="C205" s="347"/>
      <c r="D205" s="161"/>
      <c r="E205" s="348"/>
      <c r="F205" s="1"/>
      <c r="G205" s="1"/>
      <c r="H205" s="1"/>
      <c r="I205" s="349"/>
      <c r="J205" s="349"/>
      <c r="K205" s="349"/>
      <c r="L205" s="350"/>
      <c r="M205" s="350"/>
      <c r="N205" s="351"/>
      <c r="O205" s="349"/>
      <c r="P205" s="347"/>
      <c r="Q205" s="151"/>
    </row>
    <row r="206" ht="12.0" customHeight="1">
      <c r="B206" s="1"/>
      <c r="C206" s="347"/>
      <c r="D206" s="161"/>
      <c r="E206" s="348"/>
      <c r="F206" s="1"/>
      <c r="G206" s="1"/>
      <c r="H206" s="1"/>
      <c r="I206" s="349"/>
      <c r="J206" s="349"/>
      <c r="K206" s="349"/>
      <c r="L206" s="350"/>
      <c r="M206" s="350"/>
      <c r="N206" s="351"/>
      <c r="O206" s="349"/>
      <c r="P206" s="347"/>
      <c r="Q206" s="151"/>
    </row>
    <row r="207" ht="12.0" customHeight="1">
      <c r="B207" s="1"/>
      <c r="C207" s="347"/>
      <c r="D207" s="161"/>
      <c r="E207" s="348"/>
      <c r="F207" s="1"/>
      <c r="G207" s="1"/>
      <c r="H207" s="1"/>
      <c r="I207" s="349"/>
      <c r="J207" s="349"/>
      <c r="K207" s="349"/>
      <c r="L207" s="350"/>
      <c r="M207" s="350"/>
      <c r="N207" s="351"/>
      <c r="O207" s="349"/>
      <c r="P207" s="347"/>
      <c r="Q207" s="151"/>
    </row>
    <row r="208" ht="12.0" customHeight="1">
      <c r="B208" s="1"/>
      <c r="C208" s="347"/>
      <c r="D208" s="161"/>
      <c r="E208" s="348"/>
      <c r="F208" s="1"/>
      <c r="G208" s="1"/>
      <c r="H208" s="1"/>
      <c r="I208" s="349"/>
      <c r="J208" s="349"/>
      <c r="K208" s="349"/>
      <c r="L208" s="350"/>
      <c r="M208" s="350"/>
      <c r="N208" s="351"/>
      <c r="O208" s="349"/>
      <c r="P208" s="347"/>
      <c r="Q208" s="151"/>
    </row>
    <row r="209" ht="12.0" customHeight="1">
      <c r="B209" s="1"/>
      <c r="C209" s="347"/>
      <c r="D209" s="161"/>
      <c r="E209" s="348"/>
      <c r="F209" s="1"/>
      <c r="G209" s="1"/>
      <c r="H209" s="1"/>
      <c r="I209" s="349"/>
      <c r="J209" s="349"/>
      <c r="K209" s="349"/>
      <c r="L209" s="350"/>
      <c r="M209" s="350"/>
      <c r="N209" s="351"/>
      <c r="O209" s="349"/>
      <c r="P209" s="347"/>
      <c r="Q209" s="151"/>
    </row>
    <row r="210" ht="12.0" customHeight="1">
      <c r="B210" s="1"/>
      <c r="C210" s="347"/>
      <c r="D210" s="161"/>
      <c r="E210" s="348"/>
      <c r="F210" s="1"/>
      <c r="G210" s="1"/>
      <c r="H210" s="1"/>
      <c r="I210" s="349"/>
      <c r="J210" s="349"/>
      <c r="K210" s="349"/>
      <c r="L210" s="350"/>
      <c r="M210" s="350"/>
      <c r="N210" s="351"/>
      <c r="O210" s="349"/>
      <c r="P210" s="347"/>
      <c r="Q210" s="151"/>
    </row>
    <row r="211" ht="12.0" customHeight="1">
      <c r="B211" s="1"/>
      <c r="C211" s="347"/>
      <c r="D211" s="161"/>
      <c r="E211" s="348"/>
      <c r="F211" s="1"/>
      <c r="G211" s="1"/>
      <c r="H211" s="1"/>
      <c r="I211" s="349"/>
      <c r="J211" s="349"/>
      <c r="K211" s="349"/>
      <c r="L211" s="350"/>
      <c r="M211" s="350"/>
      <c r="N211" s="351"/>
      <c r="O211" s="349"/>
      <c r="P211" s="347"/>
      <c r="Q211" s="151"/>
    </row>
    <row r="212" ht="12.0" customHeight="1">
      <c r="B212" s="1"/>
      <c r="C212" s="347"/>
      <c r="D212" s="161"/>
      <c r="E212" s="348"/>
      <c r="F212" s="1"/>
      <c r="G212" s="1"/>
      <c r="H212" s="1"/>
      <c r="I212" s="349"/>
      <c r="J212" s="349"/>
      <c r="K212" s="349"/>
      <c r="L212" s="350"/>
      <c r="M212" s="350"/>
      <c r="N212" s="351"/>
      <c r="O212" s="349"/>
      <c r="P212" s="347"/>
      <c r="Q212" s="151"/>
    </row>
    <row r="213" ht="12.0" customHeight="1">
      <c r="B213" s="1"/>
      <c r="C213" s="347"/>
      <c r="D213" s="161"/>
      <c r="E213" s="348"/>
      <c r="F213" s="1"/>
      <c r="G213" s="1"/>
      <c r="H213" s="1"/>
      <c r="I213" s="349"/>
      <c r="J213" s="349"/>
      <c r="K213" s="349"/>
      <c r="L213" s="350"/>
      <c r="M213" s="350"/>
      <c r="N213" s="351"/>
      <c r="O213" s="349"/>
      <c r="P213" s="347"/>
      <c r="Q213" s="151"/>
    </row>
    <row r="214" ht="12.0" customHeight="1">
      <c r="B214" s="1"/>
      <c r="C214" s="347"/>
      <c r="D214" s="161"/>
      <c r="E214" s="348"/>
      <c r="F214" s="1"/>
      <c r="G214" s="1"/>
      <c r="H214" s="1"/>
      <c r="I214" s="349"/>
      <c r="J214" s="349"/>
      <c r="K214" s="349"/>
      <c r="L214" s="350"/>
      <c r="M214" s="350"/>
      <c r="N214" s="351"/>
      <c r="O214" s="349"/>
      <c r="P214" s="347"/>
      <c r="Q214" s="151"/>
    </row>
    <row r="215" ht="12.0" customHeight="1">
      <c r="B215" s="1"/>
      <c r="C215" s="347"/>
      <c r="D215" s="161"/>
      <c r="E215" s="348"/>
      <c r="F215" s="1"/>
      <c r="G215" s="1"/>
      <c r="H215" s="1"/>
      <c r="I215" s="349"/>
      <c r="J215" s="349"/>
      <c r="K215" s="349"/>
      <c r="L215" s="350"/>
      <c r="M215" s="350"/>
      <c r="N215" s="351"/>
      <c r="O215" s="349"/>
      <c r="P215" s="347"/>
      <c r="Q215" s="151"/>
    </row>
    <row r="216" ht="12.0" customHeight="1">
      <c r="B216" s="1"/>
      <c r="C216" s="347"/>
      <c r="D216" s="161"/>
      <c r="E216" s="348"/>
      <c r="F216" s="1"/>
      <c r="G216" s="1"/>
      <c r="H216" s="1"/>
      <c r="I216" s="349"/>
      <c r="J216" s="349"/>
      <c r="K216" s="349"/>
      <c r="L216" s="350"/>
      <c r="M216" s="350"/>
      <c r="N216" s="351"/>
      <c r="O216" s="349"/>
      <c r="P216" s="347"/>
      <c r="Q216" s="151"/>
    </row>
    <row r="217" ht="12.0" customHeight="1">
      <c r="B217" s="1"/>
      <c r="C217" s="347"/>
      <c r="D217" s="161"/>
      <c r="E217" s="348"/>
      <c r="F217" s="1"/>
      <c r="G217" s="1"/>
      <c r="H217" s="1"/>
      <c r="I217" s="349"/>
      <c r="J217" s="349"/>
      <c r="K217" s="349"/>
      <c r="L217" s="350"/>
      <c r="M217" s="350"/>
      <c r="N217" s="351"/>
      <c r="O217" s="349"/>
      <c r="P217" s="347"/>
      <c r="Q217" s="151"/>
    </row>
    <row r="218" ht="12.0" customHeight="1">
      <c r="B218" s="1"/>
      <c r="C218" s="347"/>
      <c r="D218" s="161"/>
      <c r="E218" s="348"/>
      <c r="F218" s="1"/>
      <c r="G218" s="1"/>
      <c r="H218" s="1"/>
      <c r="I218" s="349"/>
      <c r="J218" s="349"/>
      <c r="K218" s="349"/>
      <c r="L218" s="350"/>
      <c r="M218" s="350"/>
      <c r="N218" s="351"/>
      <c r="O218" s="349"/>
      <c r="P218" s="347"/>
      <c r="Q218" s="151"/>
    </row>
    <row r="219" ht="12.0" customHeight="1">
      <c r="B219" s="1"/>
      <c r="C219" s="347"/>
      <c r="D219" s="161"/>
      <c r="E219" s="348"/>
      <c r="F219" s="1"/>
      <c r="G219" s="1"/>
      <c r="H219" s="1"/>
      <c r="I219" s="349"/>
      <c r="J219" s="349"/>
      <c r="K219" s="349"/>
      <c r="L219" s="350"/>
      <c r="M219" s="350"/>
      <c r="N219" s="351"/>
      <c r="O219" s="349"/>
      <c r="P219" s="347"/>
      <c r="Q219" s="151"/>
    </row>
    <row r="220" ht="12.0" customHeight="1">
      <c r="B220" s="1"/>
      <c r="C220" s="347"/>
      <c r="D220" s="161"/>
      <c r="E220" s="348"/>
      <c r="F220" s="1"/>
      <c r="G220" s="1"/>
      <c r="H220" s="1"/>
      <c r="I220" s="349"/>
      <c r="J220" s="349"/>
      <c r="K220" s="349"/>
      <c r="L220" s="350"/>
      <c r="M220" s="350"/>
      <c r="N220" s="351"/>
      <c r="O220" s="349"/>
      <c r="P220" s="347"/>
      <c r="Q220" s="151"/>
    </row>
    <row r="221" ht="12.0" customHeight="1">
      <c r="B221" s="1"/>
      <c r="C221" s="347"/>
      <c r="D221" s="161"/>
      <c r="E221" s="348"/>
      <c r="F221" s="1"/>
      <c r="G221" s="1"/>
      <c r="H221" s="1"/>
      <c r="I221" s="349"/>
      <c r="J221" s="349"/>
      <c r="K221" s="349"/>
      <c r="L221" s="350"/>
      <c r="M221" s="350"/>
      <c r="N221" s="351"/>
      <c r="O221" s="349"/>
      <c r="P221" s="347"/>
      <c r="Q221" s="151"/>
    </row>
    <row r="222" ht="12.0" customHeight="1">
      <c r="B222" s="1"/>
      <c r="C222" s="347"/>
      <c r="D222" s="161"/>
      <c r="E222" s="348"/>
      <c r="F222" s="1"/>
      <c r="G222" s="1"/>
      <c r="H222" s="1"/>
      <c r="I222" s="349"/>
      <c r="J222" s="349"/>
      <c r="K222" s="349"/>
      <c r="L222" s="350"/>
      <c r="M222" s="350"/>
      <c r="N222" s="351"/>
      <c r="O222" s="349"/>
      <c r="P222" s="347"/>
      <c r="Q222" s="151"/>
    </row>
    <row r="223" ht="12.0" customHeight="1">
      <c r="B223" s="1"/>
      <c r="C223" s="347"/>
      <c r="D223" s="161"/>
      <c r="E223" s="348"/>
      <c r="F223" s="1"/>
      <c r="G223" s="1"/>
      <c r="H223" s="1"/>
      <c r="I223" s="349"/>
      <c r="J223" s="349"/>
      <c r="K223" s="349"/>
      <c r="L223" s="350"/>
      <c r="M223" s="350"/>
      <c r="N223" s="351"/>
      <c r="O223" s="349"/>
      <c r="P223" s="347"/>
      <c r="Q223" s="151"/>
    </row>
    <row r="224" ht="12.0" customHeight="1">
      <c r="B224" s="1"/>
      <c r="C224" s="347"/>
      <c r="D224" s="161"/>
      <c r="E224" s="348"/>
      <c r="F224" s="1"/>
      <c r="G224" s="1"/>
      <c r="H224" s="1"/>
      <c r="I224" s="349"/>
      <c r="J224" s="349"/>
      <c r="K224" s="349"/>
      <c r="L224" s="350"/>
      <c r="M224" s="350"/>
      <c r="N224" s="351"/>
      <c r="O224" s="349"/>
      <c r="P224" s="347"/>
      <c r="Q224" s="151"/>
    </row>
    <row r="225" ht="12.0" customHeight="1">
      <c r="B225" s="1"/>
      <c r="C225" s="347"/>
      <c r="D225" s="161"/>
      <c r="E225" s="348"/>
      <c r="F225" s="1"/>
      <c r="G225" s="1"/>
      <c r="H225" s="1"/>
      <c r="I225" s="349"/>
      <c r="J225" s="349"/>
      <c r="K225" s="349"/>
      <c r="L225" s="350"/>
      <c r="M225" s="350"/>
      <c r="N225" s="351"/>
      <c r="O225" s="349"/>
      <c r="P225" s="347"/>
      <c r="Q225" s="151"/>
    </row>
    <row r="226" ht="12.0" customHeight="1">
      <c r="B226" s="1"/>
      <c r="C226" s="347"/>
      <c r="D226" s="161"/>
      <c r="E226" s="348"/>
      <c r="F226" s="1"/>
      <c r="G226" s="1"/>
      <c r="H226" s="1"/>
      <c r="I226" s="349"/>
      <c r="J226" s="349"/>
      <c r="K226" s="349"/>
      <c r="L226" s="350"/>
      <c r="M226" s="350"/>
      <c r="N226" s="351"/>
      <c r="O226" s="349"/>
      <c r="P226" s="347"/>
      <c r="Q226" s="151"/>
    </row>
    <row r="227" ht="12.0" customHeight="1">
      <c r="B227" s="1"/>
      <c r="C227" s="347"/>
      <c r="D227" s="161"/>
      <c r="E227" s="348"/>
      <c r="F227" s="1"/>
      <c r="G227" s="1"/>
      <c r="H227" s="1"/>
      <c r="I227" s="349"/>
      <c r="J227" s="349"/>
      <c r="K227" s="349"/>
      <c r="L227" s="350"/>
      <c r="M227" s="350"/>
      <c r="N227" s="351"/>
      <c r="O227" s="349"/>
      <c r="P227" s="347"/>
      <c r="Q227" s="151"/>
    </row>
    <row r="228" ht="12.0" customHeight="1">
      <c r="B228" s="1"/>
      <c r="C228" s="347"/>
      <c r="D228" s="161"/>
      <c r="E228" s="348"/>
      <c r="F228" s="1"/>
      <c r="G228" s="1"/>
      <c r="H228" s="1"/>
      <c r="I228" s="349"/>
      <c r="J228" s="349"/>
      <c r="K228" s="349"/>
      <c r="L228" s="350"/>
      <c r="M228" s="350"/>
      <c r="N228" s="351"/>
      <c r="O228" s="349"/>
      <c r="P228" s="347"/>
      <c r="Q228" s="151"/>
    </row>
    <row r="229" ht="12.0" customHeight="1">
      <c r="B229" s="1"/>
      <c r="C229" s="347"/>
      <c r="D229" s="161"/>
      <c r="E229" s="348"/>
      <c r="F229" s="1"/>
      <c r="G229" s="1"/>
      <c r="H229" s="1"/>
      <c r="I229" s="349"/>
      <c r="J229" s="349"/>
      <c r="K229" s="349"/>
      <c r="L229" s="350"/>
      <c r="M229" s="350"/>
      <c r="N229" s="351"/>
      <c r="O229" s="349"/>
      <c r="P229" s="347"/>
      <c r="Q229" s="151"/>
    </row>
    <row r="230" ht="12.0" customHeight="1">
      <c r="B230" s="1"/>
      <c r="C230" s="347"/>
      <c r="D230" s="161"/>
      <c r="E230" s="348"/>
      <c r="F230" s="1"/>
      <c r="G230" s="1"/>
      <c r="H230" s="1"/>
      <c r="I230" s="349"/>
      <c r="J230" s="349"/>
      <c r="K230" s="349"/>
      <c r="L230" s="350"/>
      <c r="M230" s="350"/>
      <c r="N230" s="351"/>
      <c r="O230" s="349"/>
      <c r="P230" s="347"/>
      <c r="Q230" s="151"/>
    </row>
    <row r="231" ht="12.0" customHeight="1">
      <c r="B231" s="1"/>
      <c r="C231" s="347"/>
      <c r="D231" s="161"/>
      <c r="E231" s="348"/>
      <c r="F231" s="1"/>
      <c r="G231" s="1"/>
      <c r="H231" s="1"/>
      <c r="I231" s="349"/>
      <c r="J231" s="349"/>
      <c r="K231" s="349"/>
      <c r="L231" s="350"/>
      <c r="M231" s="350"/>
      <c r="N231" s="351"/>
      <c r="O231" s="349"/>
      <c r="P231" s="347"/>
      <c r="Q231" s="151"/>
    </row>
    <row r="232" ht="12.0" customHeight="1">
      <c r="B232" s="1"/>
      <c r="C232" s="347"/>
      <c r="D232" s="161"/>
      <c r="E232" s="348"/>
      <c r="F232" s="1"/>
      <c r="G232" s="1"/>
      <c r="H232" s="1"/>
      <c r="I232" s="349"/>
      <c r="J232" s="349"/>
      <c r="K232" s="349"/>
      <c r="L232" s="350"/>
      <c r="M232" s="350"/>
      <c r="N232" s="351"/>
      <c r="O232" s="349"/>
      <c r="P232" s="347"/>
      <c r="Q232" s="151"/>
    </row>
    <row r="233" ht="12.0" customHeight="1">
      <c r="B233" s="1"/>
      <c r="C233" s="347"/>
      <c r="D233" s="161"/>
      <c r="E233" s="348"/>
      <c r="F233" s="1"/>
      <c r="G233" s="1"/>
      <c r="H233" s="1"/>
      <c r="I233" s="349"/>
      <c r="J233" s="349"/>
      <c r="K233" s="349"/>
      <c r="L233" s="350"/>
      <c r="M233" s="350"/>
      <c r="N233" s="351"/>
      <c r="O233" s="349"/>
      <c r="P233" s="347"/>
      <c r="Q233" s="151"/>
    </row>
    <row r="234" ht="12.0" customHeight="1">
      <c r="B234" s="1"/>
      <c r="C234" s="347"/>
      <c r="D234" s="161"/>
      <c r="E234" s="348"/>
      <c r="F234" s="1"/>
      <c r="G234" s="1"/>
      <c r="H234" s="1"/>
      <c r="I234" s="349"/>
      <c r="J234" s="349"/>
      <c r="K234" s="349"/>
      <c r="L234" s="350"/>
      <c r="M234" s="350"/>
      <c r="N234" s="351"/>
      <c r="O234" s="349"/>
      <c r="P234" s="347"/>
      <c r="Q234" s="151"/>
    </row>
    <row r="235" ht="12.0" customHeight="1">
      <c r="B235" s="1"/>
      <c r="C235" s="347"/>
      <c r="D235" s="161"/>
      <c r="E235" s="348"/>
      <c r="F235" s="1"/>
      <c r="G235" s="1"/>
      <c r="H235" s="1"/>
      <c r="I235" s="349"/>
      <c r="J235" s="349"/>
      <c r="K235" s="349"/>
      <c r="L235" s="350"/>
      <c r="M235" s="350"/>
      <c r="N235" s="351"/>
      <c r="O235" s="349"/>
      <c r="P235" s="347"/>
      <c r="Q235" s="151"/>
    </row>
    <row r="236" ht="12.0" customHeight="1">
      <c r="B236" s="1"/>
      <c r="C236" s="347"/>
      <c r="D236" s="161"/>
      <c r="E236" s="348"/>
      <c r="F236" s="1"/>
      <c r="G236" s="1"/>
      <c r="H236" s="1"/>
      <c r="I236" s="349"/>
      <c r="J236" s="349"/>
      <c r="K236" s="349"/>
      <c r="L236" s="350"/>
      <c r="M236" s="350"/>
      <c r="N236" s="351"/>
      <c r="O236" s="349"/>
      <c r="P236" s="347"/>
      <c r="Q236" s="151"/>
    </row>
    <row r="237" ht="12.0" customHeight="1">
      <c r="B237" s="1"/>
      <c r="C237" s="347"/>
      <c r="D237" s="161"/>
      <c r="E237" s="348"/>
      <c r="F237" s="1"/>
      <c r="G237" s="1"/>
      <c r="H237" s="1"/>
      <c r="I237" s="349"/>
      <c r="J237" s="349"/>
      <c r="K237" s="349"/>
      <c r="L237" s="350"/>
      <c r="M237" s="350"/>
      <c r="N237" s="351"/>
      <c r="O237" s="349"/>
      <c r="P237" s="347"/>
      <c r="Q237" s="151"/>
    </row>
    <row r="238" ht="12.0" customHeight="1">
      <c r="B238" s="1"/>
      <c r="C238" s="347"/>
      <c r="D238" s="161"/>
      <c r="E238" s="348"/>
      <c r="F238" s="1"/>
      <c r="G238" s="1"/>
      <c r="H238" s="1"/>
      <c r="I238" s="349"/>
      <c r="J238" s="349"/>
      <c r="K238" s="349"/>
      <c r="L238" s="350"/>
      <c r="M238" s="350"/>
      <c r="N238" s="351"/>
      <c r="O238" s="349"/>
      <c r="P238" s="347"/>
      <c r="Q238" s="151"/>
    </row>
    <row r="239" ht="12.0" customHeight="1">
      <c r="B239" s="1"/>
      <c r="C239" s="347"/>
      <c r="D239" s="161"/>
      <c r="E239" s="348"/>
      <c r="F239" s="1"/>
      <c r="G239" s="1"/>
      <c r="H239" s="1"/>
      <c r="I239" s="349"/>
      <c r="J239" s="349"/>
      <c r="K239" s="349"/>
      <c r="L239" s="350"/>
      <c r="M239" s="350"/>
      <c r="N239" s="351"/>
      <c r="O239" s="349"/>
      <c r="P239" s="347"/>
      <c r="Q239" s="151"/>
    </row>
    <row r="240" ht="12.0" customHeight="1">
      <c r="B240" s="1"/>
      <c r="C240" s="347"/>
      <c r="D240" s="161"/>
      <c r="E240" s="348"/>
      <c r="F240" s="1"/>
      <c r="G240" s="1"/>
      <c r="H240" s="1"/>
      <c r="I240" s="349"/>
      <c r="J240" s="349"/>
      <c r="K240" s="349"/>
      <c r="L240" s="350"/>
      <c r="M240" s="350"/>
      <c r="N240" s="351"/>
      <c r="O240" s="349"/>
      <c r="P240" s="347"/>
      <c r="Q240" s="151"/>
    </row>
    <row r="241" ht="12.0" customHeight="1">
      <c r="B241" s="1"/>
      <c r="C241" s="347"/>
      <c r="D241" s="161"/>
      <c r="E241" s="348"/>
      <c r="F241" s="1"/>
      <c r="G241" s="1"/>
      <c r="H241" s="1"/>
      <c r="I241" s="349"/>
      <c r="J241" s="349"/>
      <c r="K241" s="349"/>
      <c r="L241" s="350"/>
      <c r="M241" s="350"/>
      <c r="N241" s="351"/>
      <c r="O241" s="349"/>
      <c r="P241" s="347"/>
      <c r="Q241" s="151"/>
    </row>
    <row r="242" ht="12.0" customHeight="1">
      <c r="B242" s="1"/>
      <c r="C242" s="347"/>
      <c r="D242" s="161"/>
      <c r="E242" s="348"/>
      <c r="F242" s="1"/>
      <c r="G242" s="1"/>
      <c r="H242" s="1"/>
      <c r="I242" s="349"/>
      <c r="J242" s="349"/>
      <c r="K242" s="349"/>
      <c r="L242" s="350"/>
      <c r="M242" s="350"/>
      <c r="N242" s="351"/>
      <c r="O242" s="349"/>
      <c r="P242" s="347"/>
      <c r="Q242" s="151"/>
    </row>
    <row r="243" ht="12.0" customHeight="1">
      <c r="B243" s="1"/>
      <c r="C243" s="347"/>
      <c r="D243" s="161"/>
      <c r="E243" s="348"/>
      <c r="F243" s="1"/>
      <c r="G243" s="1"/>
      <c r="H243" s="1"/>
      <c r="I243" s="349"/>
      <c r="J243" s="349"/>
      <c r="K243" s="349"/>
      <c r="L243" s="350"/>
      <c r="M243" s="350"/>
      <c r="N243" s="351"/>
      <c r="O243" s="349"/>
      <c r="P243" s="347"/>
      <c r="Q243" s="151"/>
    </row>
    <row r="244" ht="12.0" customHeight="1">
      <c r="B244" s="1"/>
      <c r="C244" s="347"/>
      <c r="D244" s="161"/>
      <c r="E244" s="348"/>
      <c r="F244" s="1"/>
      <c r="G244" s="1"/>
      <c r="H244" s="1"/>
      <c r="I244" s="349"/>
      <c r="J244" s="349"/>
      <c r="K244" s="349"/>
      <c r="L244" s="350"/>
      <c r="M244" s="350"/>
      <c r="N244" s="351"/>
      <c r="O244" s="349"/>
      <c r="P244" s="347"/>
      <c r="Q244" s="151"/>
    </row>
    <row r="245" ht="12.0" customHeight="1">
      <c r="B245" s="1"/>
      <c r="C245" s="347"/>
      <c r="D245" s="161"/>
      <c r="E245" s="348"/>
      <c r="F245" s="1"/>
      <c r="G245" s="1"/>
      <c r="H245" s="1"/>
      <c r="I245" s="349"/>
      <c r="J245" s="349"/>
      <c r="K245" s="349"/>
      <c r="L245" s="350"/>
      <c r="M245" s="350"/>
      <c r="N245" s="351"/>
      <c r="O245" s="349"/>
      <c r="P245" s="347"/>
      <c r="Q245" s="151"/>
    </row>
    <row r="246" ht="12.0" customHeight="1">
      <c r="B246" s="1"/>
      <c r="C246" s="347"/>
      <c r="D246" s="161"/>
      <c r="E246" s="348"/>
      <c r="F246" s="1"/>
      <c r="G246" s="1"/>
      <c r="H246" s="1"/>
      <c r="I246" s="349"/>
      <c r="J246" s="349"/>
      <c r="K246" s="349"/>
      <c r="L246" s="350"/>
      <c r="M246" s="350"/>
      <c r="N246" s="351"/>
      <c r="O246" s="349"/>
      <c r="P246" s="347"/>
      <c r="Q246" s="151"/>
    </row>
    <row r="247" ht="12.0" customHeight="1">
      <c r="B247" s="1"/>
      <c r="C247" s="347"/>
      <c r="D247" s="161"/>
      <c r="E247" s="348"/>
      <c r="F247" s="1"/>
      <c r="G247" s="1"/>
      <c r="H247" s="1"/>
      <c r="I247" s="349"/>
      <c r="J247" s="349"/>
      <c r="K247" s="349"/>
      <c r="L247" s="350"/>
      <c r="M247" s="350"/>
      <c r="N247" s="351"/>
      <c r="O247" s="349"/>
      <c r="P247" s="347"/>
      <c r="Q247" s="151"/>
    </row>
    <row r="248" ht="12.0" customHeight="1">
      <c r="B248" s="1"/>
      <c r="C248" s="347"/>
      <c r="D248" s="161"/>
      <c r="E248" s="348"/>
      <c r="F248" s="1"/>
      <c r="G248" s="1"/>
      <c r="H248" s="1"/>
      <c r="I248" s="349"/>
      <c r="J248" s="349"/>
      <c r="K248" s="349"/>
      <c r="L248" s="350"/>
      <c r="M248" s="350"/>
      <c r="N248" s="351"/>
      <c r="O248" s="349"/>
      <c r="P248" s="347"/>
      <c r="Q248" s="151"/>
    </row>
    <row r="249" ht="12.0" customHeight="1">
      <c r="B249" s="1"/>
      <c r="C249" s="347"/>
      <c r="D249" s="161"/>
      <c r="E249" s="348"/>
      <c r="F249" s="1"/>
      <c r="G249" s="1"/>
      <c r="H249" s="1"/>
      <c r="I249" s="349"/>
      <c r="J249" s="349"/>
      <c r="K249" s="349"/>
      <c r="L249" s="350"/>
      <c r="M249" s="350"/>
      <c r="N249" s="351"/>
      <c r="O249" s="349"/>
      <c r="P249" s="347"/>
      <c r="Q249" s="151"/>
    </row>
    <row r="250" ht="12.0" customHeight="1">
      <c r="B250" s="1"/>
      <c r="C250" s="347"/>
      <c r="D250" s="161"/>
      <c r="E250" s="348"/>
      <c r="F250" s="1"/>
      <c r="G250" s="1"/>
      <c r="H250" s="1"/>
      <c r="I250" s="349"/>
      <c r="J250" s="349"/>
      <c r="K250" s="349"/>
      <c r="L250" s="350"/>
      <c r="M250" s="350"/>
      <c r="N250" s="351"/>
      <c r="O250" s="349"/>
      <c r="P250" s="347"/>
      <c r="Q250" s="151"/>
    </row>
    <row r="251" ht="12.0" customHeight="1">
      <c r="B251" s="1"/>
      <c r="C251" s="347"/>
      <c r="D251" s="161"/>
      <c r="E251" s="348"/>
      <c r="F251" s="1"/>
      <c r="G251" s="1"/>
      <c r="H251" s="1"/>
      <c r="I251" s="349"/>
      <c r="J251" s="349"/>
      <c r="K251" s="349"/>
      <c r="L251" s="350"/>
      <c r="M251" s="350"/>
      <c r="N251" s="351"/>
      <c r="O251" s="349"/>
      <c r="P251" s="347"/>
      <c r="Q251" s="151"/>
    </row>
    <row r="252" ht="12.0" customHeight="1">
      <c r="B252" s="1"/>
      <c r="C252" s="347"/>
      <c r="D252" s="161"/>
      <c r="E252" s="348"/>
      <c r="F252" s="1"/>
      <c r="G252" s="1"/>
      <c r="H252" s="1"/>
      <c r="I252" s="349"/>
      <c r="J252" s="349"/>
      <c r="K252" s="349"/>
      <c r="L252" s="350"/>
      <c r="M252" s="350"/>
      <c r="N252" s="351"/>
      <c r="O252" s="349"/>
      <c r="P252" s="347"/>
      <c r="Q252" s="151"/>
    </row>
    <row r="253" ht="12.0" customHeight="1">
      <c r="B253" s="1"/>
      <c r="C253" s="347"/>
      <c r="D253" s="161"/>
      <c r="E253" s="348"/>
      <c r="F253" s="1"/>
      <c r="G253" s="1"/>
      <c r="H253" s="1"/>
      <c r="I253" s="349"/>
      <c r="J253" s="349"/>
      <c r="K253" s="349"/>
      <c r="L253" s="350"/>
      <c r="M253" s="350"/>
      <c r="N253" s="351"/>
      <c r="O253" s="349"/>
      <c r="P253" s="347"/>
      <c r="Q253" s="151"/>
    </row>
    <row r="254" ht="12.0" customHeight="1">
      <c r="B254" s="1"/>
      <c r="C254" s="347"/>
      <c r="D254" s="161"/>
      <c r="E254" s="348"/>
      <c r="F254" s="1"/>
      <c r="G254" s="1"/>
      <c r="H254" s="1"/>
      <c r="I254" s="349"/>
      <c r="J254" s="349"/>
      <c r="K254" s="349"/>
      <c r="L254" s="350"/>
      <c r="M254" s="350"/>
      <c r="N254" s="351"/>
      <c r="O254" s="349"/>
      <c r="P254" s="347"/>
      <c r="Q254" s="151"/>
    </row>
    <row r="255" ht="12.0" customHeight="1">
      <c r="B255" s="1"/>
      <c r="C255" s="347"/>
      <c r="D255" s="161"/>
      <c r="E255" s="348"/>
      <c r="F255" s="1"/>
      <c r="G255" s="1"/>
      <c r="H255" s="1"/>
      <c r="I255" s="349"/>
      <c r="J255" s="349"/>
      <c r="K255" s="349"/>
      <c r="L255" s="350"/>
      <c r="M255" s="350"/>
      <c r="N255" s="351"/>
      <c r="O255" s="349"/>
      <c r="P255" s="347"/>
      <c r="Q255" s="151"/>
    </row>
    <row r="256" ht="12.0" customHeight="1">
      <c r="B256" s="1"/>
      <c r="C256" s="347"/>
      <c r="D256" s="161"/>
      <c r="E256" s="348"/>
      <c r="F256" s="1"/>
      <c r="G256" s="1"/>
      <c r="H256" s="1"/>
      <c r="I256" s="349"/>
      <c r="J256" s="349"/>
      <c r="K256" s="349"/>
      <c r="L256" s="350"/>
      <c r="M256" s="350"/>
      <c r="N256" s="351"/>
      <c r="O256" s="349"/>
      <c r="P256" s="347"/>
      <c r="Q256" s="151"/>
    </row>
    <row r="257" ht="12.0" customHeight="1">
      <c r="B257" s="1"/>
      <c r="C257" s="347"/>
      <c r="D257" s="161"/>
      <c r="E257" s="348"/>
      <c r="F257" s="1"/>
      <c r="G257" s="1"/>
      <c r="H257" s="1"/>
      <c r="I257" s="349"/>
      <c r="J257" s="349"/>
      <c r="K257" s="349"/>
      <c r="L257" s="350"/>
      <c r="M257" s="350"/>
      <c r="N257" s="351"/>
      <c r="O257" s="349"/>
      <c r="P257" s="347"/>
      <c r="Q257" s="151"/>
    </row>
    <row r="258" ht="12.0" customHeight="1">
      <c r="B258" s="1"/>
      <c r="C258" s="347"/>
      <c r="D258" s="161"/>
      <c r="E258" s="348"/>
      <c r="F258" s="1"/>
      <c r="G258" s="1"/>
      <c r="H258" s="1"/>
      <c r="I258" s="349"/>
      <c r="J258" s="349"/>
      <c r="K258" s="349"/>
      <c r="L258" s="350"/>
      <c r="M258" s="350"/>
      <c r="N258" s="351"/>
      <c r="O258" s="349"/>
      <c r="P258" s="347"/>
      <c r="Q258" s="151"/>
    </row>
    <row r="259" ht="12.0" customHeight="1">
      <c r="B259" s="1"/>
      <c r="C259" s="347"/>
      <c r="D259" s="161"/>
      <c r="E259" s="348"/>
      <c r="F259" s="1"/>
      <c r="G259" s="1"/>
      <c r="H259" s="1"/>
      <c r="I259" s="349"/>
      <c r="J259" s="349"/>
      <c r="K259" s="349"/>
      <c r="L259" s="350"/>
      <c r="M259" s="350"/>
      <c r="N259" s="351"/>
      <c r="O259" s="349"/>
      <c r="P259" s="347"/>
      <c r="Q259" s="151"/>
    </row>
    <row r="260" ht="12.0" customHeight="1">
      <c r="B260" s="1"/>
      <c r="C260" s="347"/>
      <c r="D260" s="161"/>
      <c r="E260" s="348"/>
      <c r="F260" s="1"/>
      <c r="G260" s="1"/>
      <c r="H260" s="1"/>
      <c r="I260" s="349"/>
      <c r="J260" s="349"/>
      <c r="K260" s="349"/>
      <c r="L260" s="350"/>
      <c r="M260" s="350"/>
      <c r="N260" s="351"/>
      <c r="O260" s="349"/>
      <c r="P260" s="347"/>
      <c r="Q260" s="151"/>
    </row>
    <row r="261" ht="12.0" customHeight="1">
      <c r="B261" s="1"/>
      <c r="C261" s="347"/>
      <c r="D261" s="161"/>
      <c r="E261" s="348"/>
      <c r="F261" s="1"/>
      <c r="G261" s="1"/>
      <c r="H261" s="1"/>
      <c r="I261" s="349"/>
      <c r="J261" s="349"/>
      <c r="K261" s="349"/>
      <c r="L261" s="350"/>
      <c r="M261" s="350"/>
      <c r="N261" s="351"/>
      <c r="O261" s="349"/>
      <c r="P261" s="347"/>
      <c r="Q261" s="151"/>
    </row>
    <row r="262" ht="12.0" customHeight="1">
      <c r="B262" s="1"/>
      <c r="C262" s="347"/>
      <c r="D262" s="161"/>
      <c r="E262" s="348"/>
      <c r="F262" s="1"/>
      <c r="G262" s="1"/>
      <c r="H262" s="1"/>
      <c r="I262" s="349"/>
      <c r="J262" s="349"/>
      <c r="K262" s="349"/>
      <c r="L262" s="350"/>
      <c r="M262" s="350"/>
      <c r="N262" s="351"/>
      <c r="O262" s="349"/>
      <c r="P262" s="347"/>
      <c r="Q262" s="151"/>
    </row>
    <row r="263" ht="12.0" customHeight="1">
      <c r="B263" s="1"/>
      <c r="C263" s="347"/>
      <c r="D263" s="161"/>
      <c r="E263" s="348"/>
      <c r="F263" s="1"/>
      <c r="G263" s="1"/>
      <c r="H263" s="1"/>
      <c r="I263" s="349"/>
      <c r="J263" s="349"/>
      <c r="K263" s="349"/>
      <c r="L263" s="350"/>
      <c r="M263" s="350"/>
      <c r="N263" s="351"/>
      <c r="O263" s="349"/>
      <c r="P263" s="347"/>
      <c r="Q263" s="151"/>
    </row>
    <row r="264" ht="12.0" customHeight="1">
      <c r="B264" s="1"/>
      <c r="C264" s="347"/>
      <c r="D264" s="161"/>
      <c r="E264" s="348"/>
      <c r="F264" s="1"/>
      <c r="G264" s="1"/>
      <c r="H264" s="1"/>
      <c r="I264" s="349"/>
      <c r="J264" s="349"/>
      <c r="K264" s="349"/>
      <c r="L264" s="350"/>
      <c r="M264" s="350"/>
      <c r="N264" s="351"/>
      <c r="O264" s="349"/>
      <c r="P264" s="347"/>
      <c r="Q264" s="151"/>
    </row>
    <row r="265" ht="12.0" customHeight="1">
      <c r="B265" s="1"/>
      <c r="C265" s="347"/>
      <c r="D265" s="161"/>
      <c r="E265" s="348"/>
      <c r="F265" s="1"/>
      <c r="G265" s="1"/>
      <c r="H265" s="1"/>
      <c r="I265" s="349"/>
      <c r="J265" s="349"/>
      <c r="K265" s="349"/>
      <c r="L265" s="350"/>
      <c r="M265" s="350"/>
      <c r="N265" s="351"/>
      <c r="O265" s="349"/>
      <c r="P265" s="347"/>
      <c r="Q265" s="151"/>
    </row>
    <row r="266" ht="12.0" customHeight="1">
      <c r="B266" s="1"/>
      <c r="C266" s="347"/>
      <c r="D266" s="161"/>
      <c r="E266" s="348"/>
      <c r="F266" s="1"/>
      <c r="G266" s="1"/>
      <c r="H266" s="1"/>
      <c r="I266" s="349"/>
      <c r="J266" s="349"/>
      <c r="K266" s="349"/>
      <c r="L266" s="350"/>
      <c r="M266" s="350"/>
      <c r="N266" s="351"/>
      <c r="O266" s="349"/>
      <c r="P266" s="347"/>
      <c r="Q266" s="151"/>
    </row>
    <row r="267" ht="12.0" customHeight="1">
      <c r="B267" s="1"/>
      <c r="C267" s="347"/>
      <c r="D267" s="161"/>
      <c r="E267" s="348"/>
      <c r="F267" s="1"/>
      <c r="G267" s="1"/>
      <c r="H267" s="1"/>
      <c r="I267" s="349"/>
      <c r="J267" s="349"/>
      <c r="K267" s="349"/>
      <c r="L267" s="350"/>
      <c r="M267" s="350"/>
      <c r="N267" s="351"/>
      <c r="O267" s="349"/>
      <c r="P267" s="347"/>
      <c r="Q267" s="151"/>
    </row>
    <row r="268" ht="12.0" customHeight="1">
      <c r="B268" s="1"/>
      <c r="C268" s="347"/>
      <c r="D268" s="161"/>
      <c r="E268" s="348"/>
      <c r="F268" s="1"/>
      <c r="G268" s="1"/>
      <c r="H268" s="1"/>
      <c r="I268" s="349"/>
      <c r="J268" s="349"/>
      <c r="K268" s="349"/>
      <c r="L268" s="350"/>
      <c r="M268" s="350"/>
      <c r="N268" s="351"/>
      <c r="O268" s="349"/>
      <c r="P268" s="347"/>
      <c r="Q268" s="151"/>
    </row>
    <row r="269" ht="12.0" customHeight="1">
      <c r="B269" s="1"/>
      <c r="C269" s="347"/>
      <c r="D269" s="161"/>
      <c r="E269" s="348"/>
      <c r="F269" s="1"/>
      <c r="G269" s="1"/>
      <c r="H269" s="1"/>
      <c r="I269" s="349"/>
      <c r="J269" s="349"/>
      <c r="K269" s="349"/>
      <c r="L269" s="350"/>
      <c r="M269" s="350"/>
      <c r="N269" s="351"/>
      <c r="O269" s="349"/>
      <c r="P269" s="347"/>
      <c r="Q269" s="151"/>
    </row>
    <row r="270" ht="12.0" customHeight="1">
      <c r="B270" s="1"/>
      <c r="C270" s="347"/>
      <c r="D270" s="161"/>
      <c r="E270" s="348"/>
      <c r="F270" s="1"/>
      <c r="G270" s="1"/>
      <c r="H270" s="1"/>
      <c r="I270" s="349"/>
      <c r="J270" s="349"/>
      <c r="K270" s="349"/>
      <c r="L270" s="350"/>
      <c r="M270" s="350"/>
      <c r="N270" s="351"/>
      <c r="O270" s="349"/>
      <c r="P270" s="347"/>
      <c r="Q270" s="151"/>
    </row>
    <row r="271" ht="12.0" customHeight="1">
      <c r="B271" s="1"/>
      <c r="C271" s="347"/>
      <c r="D271" s="161"/>
      <c r="E271" s="348"/>
      <c r="F271" s="1"/>
      <c r="G271" s="1"/>
      <c r="H271" s="1"/>
      <c r="I271" s="349"/>
      <c r="J271" s="349"/>
      <c r="K271" s="349"/>
      <c r="L271" s="350"/>
      <c r="M271" s="350"/>
      <c r="N271" s="351"/>
      <c r="O271" s="349"/>
      <c r="P271" s="347"/>
      <c r="Q271" s="151"/>
    </row>
    <row r="272" ht="12.0" customHeight="1">
      <c r="B272" s="1"/>
      <c r="C272" s="347"/>
      <c r="D272" s="161"/>
      <c r="E272" s="348"/>
      <c r="F272" s="1"/>
      <c r="G272" s="1"/>
      <c r="H272" s="1"/>
      <c r="I272" s="349"/>
      <c r="J272" s="349"/>
      <c r="K272" s="349"/>
      <c r="L272" s="350"/>
      <c r="M272" s="350"/>
      <c r="N272" s="351"/>
      <c r="O272" s="349"/>
      <c r="P272" s="347"/>
      <c r="Q272" s="151"/>
    </row>
    <row r="273" ht="12.0" customHeight="1">
      <c r="B273" s="1"/>
      <c r="C273" s="347"/>
      <c r="D273" s="161"/>
      <c r="E273" s="348"/>
      <c r="F273" s="1"/>
      <c r="G273" s="1"/>
      <c r="H273" s="1"/>
      <c r="I273" s="349"/>
      <c r="J273" s="349"/>
      <c r="K273" s="349"/>
      <c r="L273" s="350"/>
      <c r="M273" s="350"/>
      <c r="N273" s="351"/>
      <c r="O273" s="349"/>
      <c r="P273" s="347"/>
      <c r="Q273" s="151"/>
    </row>
    <row r="274" ht="12.0" customHeight="1">
      <c r="B274" s="1"/>
      <c r="C274" s="347"/>
      <c r="D274" s="161"/>
      <c r="E274" s="348"/>
      <c r="F274" s="1"/>
      <c r="G274" s="1"/>
      <c r="H274" s="1"/>
      <c r="I274" s="349"/>
      <c r="J274" s="349"/>
      <c r="K274" s="349"/>
      <c r="L274" s="350"/>
      <c r="M274" s="350"/>
      <c r="N274" s="351"/>
      <c r="O274" s="349"/>
      <c r="P274" s="347"/>
      <c r="Q274" s="151"/>
    </row>
    <row r="275" ht="12.0" customHeight="1">
      <c r="B275" s="1"/>
      <c r="C275" s="347"/>
      <c r="D275" s="161"/>
      <c r="E275" s="348"/>
      <c r="F275" s="1"/>
      <c r="G275" s="1"/>
      <c r="H275" s="1"/>
      <c r="I275" s="349"/>
      <c r="J275" s="349"/>
      <c r="K275" s="349"/>
      <c r="L275" s="350"/>
      <c r="M275" s="350"/>
      <c r="N275" s="351"/>
      <c r="O275" s="349"/>
      <c r="P275" s="347"/>
      <c r="Q275" s="151"/>
    </row>
    <row r="276" ht="12.0" customHeight="1">
      <c r="B276" s="1"/>
      <c r="C276" s="347"/>
      <c r="D276" s="161"/>
      <c r="E276" s="348"/>
      <c r="F276" s="1"/>
      <c r="G276" s="1"/>
      <c r="H276" s="1"/>
      <c r="I276" s="349"/>
      <c r="J276" s="349"/>
      <c r="K276" s="349"/>
      <c r="L276" s="350"/>
      <c r="M276" s="350"/>
      <c r="N276" s="351"/>
      <c r="O276" s="349"/>
      <c r="P276" s="347"/>
      <c r="Q276" s="151"/>
    </row>
    <row r="277" ht="12.0" customHeight="1">
      <c r="B277" s="1"/>
      <c r="C277" s="347"/>
      <c r="D277" s="161"/>
      <c r="E277" s="348"/>
      <c r="F277" s="1"/>
      <c r="G277" s="1"/>
      <c r="H277" s="1"/>
      <c r="I277" s="349"/>
      <c r="J277" s="349"/>
      <c r="K277" s="349"/>
      <c r="L277" s="350"/>
      <c r="M277" s="350"/>
      <c r="N277" s="351"/>
      <c r="O277" s="349"/>
      <c r="P277" s="347"/>
      <c r="Q277" s="151"/>
    </row>
    <row r="278" ht="12.0" customHeight="1">
      <c r="B278" s="1"/>
      <c r="C278" s="347"/>
      <c r="D278" s="161"/>
      <c r="E278" s="348"/>
      <c r="F278" s="1"/>
      <c r="G278" s="1"/>
      <c r="H278" s="1"/>
      <c r="I278" s="349"/>
      <c r="J278" s="349"/>
      <c r="K278" s="349"/>
      <c r="L278" s="350"/>
      <c r="M278" s="350"/>
      <c r="N278" s="351"/>
      <c r="O278" s="349"/>
      <c r="P278" s="347"/>
      <c r="Q278" s="151"/>
    </row>
    <row r="279" ht="12.0" customHeight="1">
      <c r="B279" s="1"/>
      <c r="C279" s="347"/>
      <c r="D279" s="161"/>
      <c r="E279" s="348"/>
      <c r="F279" s="1"/>
      <c r="G279" s="1"/>
      <c r="H279" s="1"/>
      <c r="I279" s="349"/>
      <c r="J279" s="349"/>
      <c r="K279" s="349"/>
      <c r="L279" s="350"/>
      <c r="M279" s="350"/>
      <c r="N279" s="351"/>
      <c r="O279" s="349"/>
      <c r="P279" s="347"/>
      <c r="Q279" s="151"/>
    </row>
    <row r="280" ht="12.0" customHeight="1">
      <c r="B280" s="1"/>
      <c r="C280" s="347"/>
      <c r="D280" s="161"/>
      <c r="E280" s="348"/>
      <c r="F280" s="1"/>
      <c r="G280" s="1"/>
      <c r="H280" s="1"/>
      <c r="I280" s="349"/>
      <c r="J280" s="349"/>
      <c r="K280" s="349"/>
      <c r="L280" s="350"/>
      <c r="M280" s="350"/>
      <c r="N280" s="351"/>
      <c r="O280" s="349"/>
      <c r="P280" s="347"/>
      <c r="Q280" s="151"/>
    </row>
    <row r="281" ht="12.0" customHeight="1">
      <c r="B281" s="1"/>
      <c r="C281" s="347"/>
      <c r="D281" s="161"/>
      <c r="E281" s="348"/>
      <c r="F281" s="1"/>
      <c r="G281" s="1"/>
      <c r="H281" s="1"/>
      <c r="I281" s="349"/>
      <c r="J281" s="349"/>
      <c r="K281" s="349"/>
      <c r="L281" s="350"/>
      <c r="M281" s="350"/>
      <c r="N281" s="351"/>
      <c r="O281" s="349"/>
      <c r="P281" s="347"/>
      <c r="Q281" s="151"/>
    </row>
    <row r="282" ht="12.0" customHeight="1">
      <c r="B282" s="1"/>
      <c r="C282" s="347"/>
      <c r="D282" s="161"/>
      <c r="E282" s="348"/>
      <c r="F282" s="1"/>
      <c r="G282" s="1"/>
      <c r="H282" s="1"/>
      <c r="I282" s="349"/>
      <c r="J282" s="349"/>
      <c r="K282" s="349"/>
      <c r="L282" s="350"/>
      <c r="M282" s="350"/>
      <c r="N282" s="351"/>
      <c r="O282" s="349"/>
      <c r="P282" s="347"/>
      <c r="Q282" s="151"/>
    </row>
    <row r="283" ht="12.0" customHeight="1">
      <c r="B283" s="1"/>
      <c r="C283" s="347"/>
      <c r="D283" s="161"/>
      <c r="E283" s="348"/>
      <c r="F283" s="1"/>
      <c r="G283" s="1"/>
      <c r="H283" s="1"/>
      <c r="I283" s="349"/>
      <c r="J283" s="349"/>
      <c r="K283" s="349"/>
      <c r="L283" s="350"/>
      <c r="M283" s="350"/>
      <c r="N283" s="351"/>
      <c r="O283" s="349"/>
      <c r="P283" s="347"/>
      <c r="Q283" s="151"/>
    </row>
    <row r="284" ht="12.0" customHeight="1">
      <c r="B284" s="1"/>
      <c r="C284" s="347"/>
      <c r="D284" s="161"/>
      <c r="E284" s="348"/>
      <c r="F284" s="1"/>
      <c r="G284" s="1"/>
      <c r="H284" s="1"/>
      <c r="I284" s="349"/>
      <c r="J284" s="349"/>
      <c r="K284" s="349"/>
      <c r="L284" s="350"/>
      <c r="M284" s="350"/>
      <c r="N284" s="351"/>
      <c r="O284" s="349"/>
      <c r="P284" s="347"/>
      <c r="Q284" s="151"/>
    </row>
    <row r="285" ht="12.0" customHeight="1">
      <c r="B285" s="1"/>
      <c r="C285" s="347"/>
      <c r="D285" s="161"/>
      <c r="E285" s="348"/>
      <c r="F285" s="1"/>
      <c r="G285" s="1"/>
      <c r="H285" s="1"/>
      <c r="I285" s="349"/>
      <c r="J285" s="349"/>
      <c r="K285" s="349"/>
      <c r="L285" s="350"/>
      <c r="M285" s="350"/>
      <c r="N285" s="351"/>
      <c r="O285" s="349"/>
      <c r="P285" s="347"/>
      <c r="Q285" s="151"/>
    </row>
    <row r="286" ht="12.0" customHeight="1">
      <c r="B286" s="1"/>
      <c r="C286" s="347"/>
      <c r="D286" s="161"/>
      <c r="E286" s="348"/>
      <c r="F286" s="1"/>
      <c r="G286" s="1"/>
      <c r="H286" s="1"/>
      <c r="I286" s="349"/>
      <c r="J286" s="349"/>
      <c r="K286" s="349"/>
      <c r="L286" s="350"/>
      <c r="M286" s="350"/>
      <c r="N286" s="351"/>
      <c r="O286" s="349"/>
      <c r="P286" s="347"/>
      <c r="Q286" s="151"/>
    </row>
    <row r="287" ht="12.0" customHeight="1">
      <c r="B287" s="1"/>
      <c r="C287" s="347"/>
      <c r="D287" s="161"/>
      <c r="E287" s="348"/>
      <c r="F287" s="1"/>
      <c r="G287" s="1"/>
      <c r="H287" s="1"/>
      <c r="I287" s="349"/>
      <c r="J287" s="349"/>
      <c r="K287" s="349"/>
      <c r="L287" s="350"/>
      <c r="M287" s="350"/>
      <c r="N287" s="351"/>
      <c r="O287" s="349"/>
      <c r="P287" s="347"/>
      <c r="Q287" s="151"/>
    </row>
    <row r="288" ht="12.0" customHeight="1">
      <c r="B288" s="1"/>
      <c r="C288" s="347"/>
      <c r="D288" s="161"/>
      <c r="E288" s="348"/>
      <c r="F288" s="1"/>
      <c r="G288" s="1"/>
      <c r="H288" s="1"/>
      <c r="I288" s="349"/>
      <c r="J288" s="349"/>
      <c r="K288" s="349"/>
      <c r="L288" s="350"/>
      <c r="M288" s="350"/>
      <c r="N288" s="351"/>
      <c r="O288" s="349"/>
      <c r="P288" s="347"/>
      <c r="Q288" s="151"/>
    </row>
    <row r="289" ht="12.0" customHeight="1">
      <c r="B289" s="1"/>
      <c r="C289" s="347"/>
      <c r="D289" s="161"/>
      <c r="E289" s="348"/>
      <c r="F289" s="1"/>
      <c r="G289" s="1"/>
      <c r="H289" s="1"/>
      <c r="I289" s="349"/>
      <c r="J289" s="349"/>
      <c r="K289" s="349"/>
      <c r="L289" s="350"/>
      <c r="M289" s="350"/>
      <c r="N289" s="351"/>
      <c r="O289" s="349"/>
      <c r="P289" s="347"/>
      <c r="Q289" s="151"/>
    </row>
    <row r="290" ht="12.0" customHeight="1">
      <c r="B290" s="1"/>
      <c r="C290" s="347"/>
      <c r="D290" s="161"/>
      <c r="E290" s="348"/>
      <c r="F290" s="1"/>
      <c r="G290" s="1"/>
      <c r="H290" s="1"/>
      <c r="I290" s="349"/>
      <c r="J290" s="349"/>
      <c r="K290" s="349"/>
      <c r="L290" s="350"/>
      <c r="M290" s="350"/>
      <c r="N290" s="351"/>
      <c r="O290" s="349"/>
      <c r="P290" s="347"/>
      <c r="Q290" s="151"/>
    </row>
    <row r="291" ht="12.0" customHeight="1">
      <c r="B291" s="1"/>
      <c r="C291" s="347"/>
      <c r="D291" s="161"/>
      <c r="E291" s="348"/>
      <c r="F291" s="1"/>
      <c r="G291" s="1"/>
      <c r="H291" s="1"/>
      <c r="I291" s="349"/>
      <c r="J291" s="349"/>
      <c r="K291" s="349"/>
      <c r="L291" s="350"/>
      <c r="M291" s="350"/>
      <c r="N291" s="351"/>
      <c r="O291" s="349"/>
      <c r="P291" s="347"/>
      <c r="Q291" s="151"/>
    </row>
    <row r="292" ht="12.0" customHeight="1">
      <c r="B292" s="1"/>
      <c r="C292" s="347"/>
      <c r="D292" s="161"/>
      <c r="E292" s="348"/>
      <c r="F292" s="1"/>
      <c r="G292" s="1"/>
      <c r="H292" s="1"/>
      <c r="I292" s="349"/>
      <c r="J292" s="349"/>
      <c r="K292" s="349"/>
      <c r="L292" s="350"/>
      <c r="M292" s="350"/>
      <c r="N292" s="351"/>
      <c r="O292" s="349"/>
      <c r="P292" s="347"/>
      <c r="Q292" s="151"/>
    </row>
    <row r="293" ht="12.0" customHeight="1">
      <c r="B293" s="1"/>
      <c r="C293" s="347"/>
      <c r="D293" s="161"/>
      <c r="E293" s="348"/>
      <c r="F293" s="1"/>
      <c r="G293" s="1"/>
      <c r="H293" s="1"/>
      <c r="I293" s="349"/>
      <c r="J293" s="349"/>
      <c r="K293" s="349"/>
      <c r="L293" s="350"/>
      <c r="M293" s="350"/>
      <c r="N293" s="351"/>
      <c r="O293" s="349"/>
      <c r="P293" s="347"/>
      <c r="Q293" s="151"/>
    </row>
    <row r="294" ht="12.0" customHeight="1">
      <c r="B294" s="1"/>
      <c r="C294" s="347"/>
      <c r="D294" s="161"/>
      <c r="E294" s="348"/>
      <c r="F294" s="1"/>
      <c r="G294" s="1"/>
      <c r="H294" s="1"/>
      <c r="I294" s="349"/>
      <c r="J294" s="349"/>
      <c r="K294" s="349"/>
      <c r="L294" s="350"/>
      <c r="M294" s="350"/>
      <c r="N294" s="351"/>
      <c r="O294" s="349"/>
      <c r="P294" s="347"/>
      <c r="Q294" s="151"/>
    </row>
    <row r="295" ht="12.0" customHeight="1">
      <c r="B295" s="1"/>
      <c r="C295" s="347"/>
      <c r="D295" s="161"/>
      <c r="E295" s="348"/>
      <c r="F295" s="1"/>
      <c r="G295" s="1"/>
      <c r="H295" s="1"/>
      <c r="I295" s="349"/>
      <c r="J295" s="349"/>
      <c r="K295" s="349"/>
      <c r="L295" s="350"/>
      <c r="M295" s="350"/>
      <c r="N295" s="351"/>
      <c r="O295" s="349"/>
      <c r="P295" s="347"/>
      <c r="Q295" s="151"/>
    </row>
    <row r="296" ht="12.0" customHeight="1">
      <c r="B296" s="1"/>
      <c r="C296" s="347"/>
      <c r="D296" s="161"/>
      <c r="E296" s="348"/>
      <c r="F296" s="1"/>
      <c r="G296" s="1"/>
      <c r="H296" s="1"/>
      <c r="I296" s="349"/>
      <c r="J296" s="349"/>
      <c r="K296" s="349"/>
      <c r="L296" s="350"/>
      <c r="M296" s="350"/>
      <c r="N296" s="351"/>
      <c r="O296" s="349"/>
      <c r="P296" s="347"/>
      <c r="Q296" s="151"/>
    </row>
    <row r="297" ht="12.0" customHeight="1">
      <c r="B297" s="1"/>
      <c r="C297" s="347"/>
      <c r="D297" s="161"/>
      <c r="E297" s="348"/>
      <c r="F297" s="1"/>
      <c r="G297" s="1"/>
      <c r="H297" s="1"/>
      <c r="I297" s="349"/>
      <c r="J297" s="349"/>
      <c r="K297" s="349"/>
      <c r="L297" s="350"/>
      <c r="M297" s="350"/>
      <c r="N297" s="351"/>
      <c r="O297" s="349"/>
      <c r="P297" s="347"/>
      <c r="Q297" s="151"/>
    </row>
    <row r="298" ht="12.0" customHeight="1">
      <c r="B298" s="1"/>
      <c r="C298" s="347"/>
      <c r="D298" s="161"/>
      <c r="E298" s="348"/>
      <c r="F298" s="1"/>
      <c r="G298" s="1"/>
      <c r="H298" s="1"/>
      <c r="I298" s="349"/>
      <c r="J298" s="349"/>
      <c r="K298" s="349"/>
      <c r="L298" s="350"/>
      <c r="M298" s="350"/>
      <c r="N298" s="351"/>
      <c r="O298" s="349"/>
      <c r="P298" s="347"/>
      <c r="Q298" s="151"/>
    </row>
    <row r="299" ht="12.0" customHeight="1">
      <c r="B299" s="1"/>
      <c r="C299" s="347"/>
      <c r="D299" s="161"/>
      <c r="E299" s="348"/>
      <c r="F299" s="1"/>
      <c r="G299" s="1"/>
      <c r="H299" s="1"/>
      <c r="I299" s="349"/>
      <c r="J299" s="349"/>
      <c r="K299" s="349"/>
      <c r="L299" s="350"/>
      <c r="M299" s="350"/>
      <c r="N299" s="351"/>
      <c r="O299" s="349"/>
      <c r="P299" s="347"/>
      <c r="Q299" s="151"/>
    </row>
    <row r="300" ht="12.0" customHeight="1">
      <c r="B300" s="1"/>
      <c r="C300" s="347"/>
      <c r="D300" s="161"/>
      <c r="E300" s="348"/>
      <c r="F300" s="1"/>
      <c r="G300" s="1"/>
      <c r="H300" s="1"/>
      <c r="I300" s="349"/>
      <c r="J300" s="349"/>
      <c r="K300" s="349"/>
      <c r="L300" s="350"/>
      <c r="M300" s="350"/>
      <c r="N300" s="351"/>
      <c r="O300" s="349"/>
      <c r="P300" s="347"/>
      <c r="Q300" s="151"/>
    </row>
    <row r="301" ht="12.0" customHeight="1">
      <c r="B301" s="1"/>
      <c r="C301" s="347"/>
      <c r="D301" s="161"/>
      <c r="E301" s="348"/>
      <c r="F301" s="1"/>
      <c r="G301" s="1"/>
      <c r="H301" s="1"/>
      <c r="I301" s="349"/>
      <c r="J301" s="349"/>
      <c r="K301" s="349"/>
      <c r="L301" s="350"/>
      <c r="M301" s="350"/>
      <c r="N301" s="351"/>
      <c r="O301" s="349"/>
      <c r="P301" s="347"/>
      <c r="Q301" s="151"/>
    </row>
    <row r="302" ht="12.0" customHeight="1">
      <c r="B302" s="1"/>
      <c r="C302" s="347"/>
      <c r="D302" s="161"/>
      <c r="E302" s="348"/>
      <c r="F302" s="1"/>
      <c r="G302" s="1"/>
      <c r="H302" s="1"/>
      <c r="I302" s="349"/>
      <c r="J302" s="349"/>
      <c r="K302" s="349"/>
      <c r="L302" s="350"/>
      <c r="M302" s="350"/>
      <c r="N302" s="351"/>
      <c r="O302" s="349"/>
      <c r="P302" s="347"/>
      <c r="Q302" s="151"/>
    </row>
    <row r="303" ht="12.0" customHeight="1">
      <c r="B303" s="1"/>
      <c r="C303" s="347"/>
      <c r="D303" s="161"/>
      <c r="E303" s="348"/>
      <c r="F303" s="1"/>
      <c r="G303" s="1"/>
      <c r="H303" s="1"/>
      <c r="I303" s="349"/>
      <c r="J303" s="349"/>
      <c r="K303" s="349"/>
      <c r="L303" s="350"/>
      <c r="M303" s="350"/>
      <c r="N303" s="351"/>
      <c r="O303" s="349"/>
      <c r="P303" s="347"/>
      <c r="Q303" s="151"/>
    </row>
    <row r="304" ht="12.0" customHeight="1">
      <c r="B304" s="1"/>
      <c r="C304" s="347"/>
      <c r="D304" s="161"/>
      <c r="E304" s="348"/>
      <c r="F304" s="1"/>
      <c r="G304" s="1"/>
      <c r="H304" s="1"/>
      <c r="I304" s="349"/>
      <c r="J304" s="349"/>
      <c r="K304" s="349"/>
      <c r="L304" s="350"/>
      <c r="M304" s="350"/>
      <c r="N304" s="351"/>
      <c r="O304" s="349"/>
      <c r="P304" s="347"/>
      <c r="Q304" s="151"/>
    </row>
    <row r="305" ht="12.0" customHeight="1">
      <c r="B305" s="1"/>
      <c r="C305" s="347"/>
      <c r="D305" s="161"/>
      <c r="E305" s="348"/>
      <c r="F305" s="1"/>
      <c r="G305" s="1"/>
      <c r="H305" s="1"/>
      <c r="I305" s="349"/>
      <c r="J305" s="349"/>
      <c r="K305" s="349"/>
      <c r="L305" s="350"/>
      <c r="M305" s="350"/>
      <c r="N305" s="351"/>
      <c r="O305" s="349"/>
      <c r="P305" s="347"/>
      <c r="Q305" s="151"/>
    </row>
    <row r="306" ht="12.0" customHeight="1">
      <c r="B306" s="1"/>
      <c r="C306" s="347"/>
      <c r="D306" s="161"/>
      <c r="E306" s="348"/>
      <c r="F306" s="1"/>
      <c r="G306" s="1"/>
      <c r="H306" s="1"/>
      <c r="I306" s="349"/>
      <c r="J306" s="349"/>
      <c r="K306" s="349"/>
      <c r="L306" s="350"/>
      <c r="M306" s="350"/>
      <c r="N306" s="351"/>
      <c r="O306" s="349"/>
      <c r="P306" s="347"/>
      <c r="Q306" s="151"/>
    </row>
    <row r="307" ht="12.0" customHeight="1">
      <c r="B307" s="1"/>
      <c r="C307" s="347"/>
      <c r="D307" s="161"/>
      <c r="E307" s="348"/>
      <c r="F307" s="1"/>
      <c r="G307" s="1"/>
      <c r="H307" s="1"/>
      <c r="I307" s="349"/>
      <c r="J307" s="349"/>
      <c r="K307" s="349"/>
      <c r="L307" s="350"/>
      <c r="M307" s="350"/>
      <c r="N307" s="351"/>
      <c r="O307" s="349"/>
      <c r="P307" s="347"/>
      <c r="Q307" s="151"/>
    </row>
    <row r="308" ht="12.0" customHeight="1">
      <c r="B308" s="1"/>
      <c r="C308" s="347"/>
      <c r="D308" s="161"/>
      <c r="E308" s="348"/>
      <c r="F308" s="1"/>
      <c r="G308" s="1"/>
      <c r="H308" s="1"/>
      <c r="I308" s="349"/>
      <c r="J308" s="349"/>
      <c r="K308" s="349"/>
      <c r="L308" s="350"/>
      <c r="M308" s="350"/>
      <c r="N308" s="351"/>
      <c r="O308" s="349"/>
      <c r="P308" s="347"/>
      <c r="Q308" s="151"/>
    </row>
    <row r="309" ht="12.0" customHeight="1">
      <c r="B309" s="1"/>
      <c r="C309" s="347"/>
      <c r="D309" s="161"/>
      <c r="E309" s="348"/>
      <c r="F309" s="1"/>
      <c r="G309" s="1"/>
      <c r="H309" s="1"/>
      <c r="I309" s="349"/>
      <c r="J309" s="349"/>
      <c r="K309" s="349"/>
      <c r="L309" s="350"/>
      <c r="M309" s="350"/>
      <c r="N309" s="351"/>
      <c r="O309" s="349"/>
      <c r="P309" s="347"/>
      <c r="Q309" s="151"/>
    </row>
    <row r="310" ht="12.0" customHeight="1">
      <c r="B310" s="1"/>
      <c r="C310" s="347"/>
      <c r="D310" s="161"/>
      <c r="E310" s="348"/>
      <c r="F310" s="1"/>
      <c r="G310" s="1"/>
      <c r="H310" s="1"/>
      <c r="I310" s="349"/>
      <c r="J310" s="349"/>
      <c r="K310" s="349"/>
      <c r="L310" s="350"/>
      <c r="M310" s="350"/>
      <c r="N310" s="351"/>
      <c r="O310" s="349"/>
      <c r="P310" s="347"/>
      <c r="Q310" s="151"/>
    </row>
    <row r="311" ht="12.0" customHeight="1">
      <c r="B311" s="1"/>
      <c r="C311" s="347"/>
      <c r="D311" s="161"/>
      <c r="E311" s="348"/>
      <c r="F311" s="1"/>
      <c r="G311" s="1"/>
      <c r="H311" s="1"/>
      <c r="I311" s="349"/>
      <c r="J311" s="349"/>
      <c r="K311" s="349"/>
      <c r="L311" s="350"/>
      <c r="M311" s="350"/>
      <c r="N311" s="351"/>
      <c r="O311" s="349"/>
      <c r="P311" s="347"/>
      <c r="Q311" s="151"/>
    </row>
    <row r="312" ht="12.0" customHeight="1">
      <c r="B312" s="1"/>
      <c r="C312" s="347"/>
      <c r="D312" s="161"/>
      <c r="E312" s="348"/>
      <c r="F312" s="1"/>
      <c r="G312" s="1"/>
      <c r="H312" s="1"/>
      <c r="I312" s="349"/>
      <c r="J312" s="349"/>
      <c r="K312" s="349"/>
      <c r="L312" s="350"/>
      <c r="M312" s="350"/>
      <c r="N312" s="351"/>
      <c r="O312" s="349"/>
      <c r="P312" s="347"/>
      <c r="Q312" s="151"/>
    </row>
    <row r="313" ht="12.0" customHeight="1">
      <c r="B313" s="1"/>
      <c r="C313" s="347"/>
      <c r="D313" s="161"/>
      <c r="E313" s="348"/>
      <c r="F313" s="1"/>
      <c r="G313" s="1"/>
      <c r="H313" s="1"/>
      <c r="I313" s="349"/>
      <c r="J313" s="349"/>
      <c r="K313" s="349"/>
      <c r="L313" s="350"/>
      <c r="M313" s="350"/>
      <c r="N313" s="351"/>
      <c r="O313" s="349"/>
      <c r="P313" s="347"/>
      <c r="Q313" s="151"/>
    </row>
    <row r="314" ht="12.0" customHeight="1">
      <c r="B314" s="1"/>
      <c r="C314" s="347"/>
      <c r="D314" s="161"/>
      <c r="E314" s="348"/>
      <c r="F314" s="1"/>
      <c r="G314" s="1"/>
      <c r="H314" s="1"/>
      <c r="I314" s="349"/>
      <c r="J314" s="349"/>
      <c r="K314" s="349"/>
      <c r="L314" s="350"/>
      <c r="M314" s="350"/>
      <c r="N314" s="351"/>
      <c r="O314" s="349"/>
      <c r="P314" s="347"/>
      <c r="Q314" s="151"/>
    </row>
    <row r="315" ht="12.0" customHeight="1">
      <c r="B315" s="1"/>
      <c r="C315" s="347"/>
      <c r="D315" s="161"/>
      <c r="E315" s="348"/>
      <c r="F315" s="1"/>
      <c r="G315" s="1"/>
      <c r="H315" s="1"/>
      <c r="I315" s="349"/>
      <c r="J315" s="349"/>
      <c r="K315" s="349"/>
      <c r="L315" s="350"/>
      <c r="M315" s="350"/>
      <c r="N315" s="351"/>
      <c r="O315" s="349"/>
      <c r="P315" s="347"/>
      <c r="Q315" s="151"/>
    </row>
    <row r="316" ht="12.0" customHeight="1">
      <c r="B316" s="1"/>
      <c r="C316" s="347"/>
      <c r="D316" s="161"/>
      <c r="E316" s="348"/>
      <c r="F316" s="1"/>
      <c r="G316" s="1"/>
      <c r="H316" s="1"/>
      <c r="I316" s="349"/>
      <c r="J316" s="349"/>
      <c r="K316" s="349"/>
      <c r="L316" s="350"/>
      <c r="M316" s="350"/>
      <c r="N316" s="351"/>
      <c r="O316" s="349"/>
      <c r="P316" s="347"/>
      <c r="Q316" s="151"/>
    </row>
    <row r="317" ht="12.0" customHeight="1">
      <c r="B317" s="1"/>
      <c r="C317" s="347"/>
      <c r="D317" s="161"/>
      <c r="E317" s="348"/>
      <c r="F317" s="1"/>
      <c r="G317" s="1"/>
      <c r="H317" s="1"/>
      <c r="I317" s="349"/>
      <c r="J317" s="349"/>
      <c r="K317" s="349"/>
      <c r="L317" s="350"/>
      <c r="M317" s="350"/>
      <c r="N317" s="351"/>
      <c r="O317" s="349"/>
      <c r="P317" s="347"/>
      <c r="Q317" s="151"/>
    </row>
    <row r="318" ht="12.0" customHeight="1">
      <c r="B318" s="1"/>
      <c r="C318" s="347"/>
      <c r="D318" s="161"/>
      <c r="E318" s="348"/>
      <c r="F318" s="1"/>
      <c r="G318" s="1"/>
      <c r="H318" s="1"/>
      <c r="I318" s="349"/>
      <c r="J318" s="349"/>
      <c r="K318" s="349"/>
      <c r="L318" s="350"/>
      <c r="M318" s="350"/>
      <c r="N318" s="351"/>
      <c r="O318" s="349"/>
      <c r="P318" s="347"/>
      <c r="Q318" s="151"/>
    </row>
    <row r="319" ht="12.0" customHeight="1">
      <c r="B319" s="1"/>
      <c r="C319" s="347"/>
      <c r="D319" s="161"/>
      <c r="E319" s="348"/>
      <c r="F319" s="1"/>
      <c r="G319" s="1"/>
      <c r="H319" s="1"/>
      <c r="I319" s="349"/>
      <c r="J319" s="349"/>
      <c r="K319" s="349"/>
      <c r="L319" s="350"/>
      <c r="M319" s="350"/>
      <c r="N319" s="351"/>
      <c r="O319" s="349"/>
      <c r="P319" s="347"/>
      <c r="Q319" s="151"/>
    </row>
    <row r="320" ht="12.0" customHeight="1">
      <c r="B320" s="1"/>
      <c r="C320" s="347"/>
      <c r="D320" s="161"/>
      <c r="E320" s="348"/>
      <c r="F320" s="1"/>
      <c r="G320" s="1"/>
      <c r="H320" s="1"/>
      <c r="I320" s="349"/>
      <c r="J320" s="349"/>
      <c r="K320" s="349"/>
      <c r="L320" s="350"/>
      <c r="M320" s="350"/>
      <c r="N320" s="351"/>
      <c r="O320" s="349"/>
      <c r="P320" s="347"/>
      <c r="Q320" s="151"/>
    </row>
    <row r="321" ht="12.0" customHeight="1">
      <c r="B321" s="1"/>
      <c r="C321" s="347"/>
      <c r="D321" s="161"/>
      <c r="E321" s="348"/>
      <c r="F321" s="1"/>
      <c r="G321" s="1"/>
      <c r="H321" s="1"/>
      <c r="I321" s="349"/>
      <c r="J321" s="349"/>
      <c r="K321" s="349"/>
      <c r="L321" s="350"/>
      <c r="M321" s="350"/>
      <c r="N321" s="351"/>
      <c r="O321" s="349"/>
      <c r="P321" s="347"/>
      <c r="Q321" s="151"/>
    </row>
    <row r="322" ht="12.0" customHeight="1">
      <c r="B322" s="1"/>
      <c r="C322" s="347"/>
      <c r="D322" s="161"/>
      <c r="E322" s="348"/>
      <c r="F322" s="1"/>
      <c r="G322" s="1"/>
      <c r="H322" s="1"/>
      <c r="I322" s="349"/>
      <c r="J322" s="349"/>
      <c r="K322" s="349"/>
      <c r="L322" s="350"/>
      <c r="M322" s="350"/>
      <c r="N322" s="351"/>
      <c r="O322" s="349"/>
      <c r="P322" s="347"/>
      <c r="Q322" s="151"/>
    </row>
    <row r="323" ht="12.0" customHeight="1">
      <c r="B323" s="1"/>
      <c r="C323" s="347"/>
      <c r="D323" s="161"/>
      <c r="E323" s="348"/>
      <c r="F323" s="1"/>
      <c r="G323" s="1"/>
      <c r="H323" s="1"/>
      <c r="I323" s="349"/>
      <c r="J323" s="349"/>
      <c r="K323" s="349"/>
      <c r="L323" s="350"/>
      <c r="M323" s="350"/>
      <c r="N323" s="351"/>
      <c r="O323" s="349"/>
      <c r="P323" s="347"/>
      <c r="Q323" s="151"/>
    </row>
    <row r="324" ht="12.0" customHeight="1">
      <c r="B324" s="1"/>
      <c r="C324" s="347"/>
      <c r="D324" s="161"/>
      <c r="E324" s="348"/>
      <c r="F324" s="1"/>
      <c r="G324" s="1"/>
      <c r="H324" s="1"/>
      <c r="I324" s="349"/>
      <c r="J324" s="349"/>
      <c r="K324" s="349"/>
      <c r="L324" s="350"/>
      <c r="M324" s="350"/>
      <c r="N324" s="351"/>
      <c r="O324" s="349"/>
      <c r="P324" s="347"/>
      <c r="Q324" s="151"/>
    </row>
    <row r="325" ht="12.0" customHeight="1">
      <c r="B325" s="1"/>
      <c r="C325" s="347"/>
      <c r="D325" s="161"/>
      <c r="E325" s="348"/>
      <c r="F325" s="1"/>
      <c r="G325" s="1"/>
      <c r="H325" s="1"/>
      <c r="I325" s="349"/>
      <c r="J325" s="349"/>
      <c r="K325" s="349"/>
      <c r="L325" s="350"/>
      <c r="M325" s="350"/>
      <c r="N325" s="351"/>
      <c r="O325" s="349"/>
      <c r="P325" s="347"/>
      <c r="Q325" s="151"/>
    </row>
    <row r="326" ht="12.0" customHeight="1">
      <c r="B326" s="1"/>
      <c r="C326" s="347"/>
      <c r="D326" s="161"/>
      <c r="E326" s="348"/>
      <c r="F326" s="1"/>
      <c r="G326" s="1"/>
      <c r="H326" s="1"/>
      <c r="I326" s="349"/>
      <c r="J326" s="349"/>
      <c r="K326" s="349"/>
      <c r="L326" s="350"/>
      <c r="M326" s="350"/>
      <c r="N326" s="351"/>
      <c r="O326" s="349"/>
      <c r="P326" s="347"/>
      <c r="Q326" s="151"/>
    </row>
    <row r="327" ht="12.0" customHeight="1">
      <c r="B327" s="1"/>
      <c r="C327" s="347"/>
      <c r="D327" s="161"/>
      <c r="E327" s="348"/>
      <c r="F327" s="1"/>
      <c r="G327" s="1"/>
      <c r="H327" s="1"/>
      <c r="I327" s="349"/>
      <c r="J327" s="349"/>
      <c r="K327" s="349"/>
      <c r="L327" s="350"/>
      <c r="M327" s="350"/>
      <c r="N327" s="351"/>
      <c r="O327" s="349"/>
      <c r="P327" s="347"/>
      <c r="Q327" s="151"/>
    </row>
    <row r="328" ht="12.0" customHeight="1">
      <c r="B328" s="1"/>
      <c r="C328" s="347"/>
      <c r="D328" s="161"/>
      <c r="E328" s="348"/>
      <c r="F328" s="1"/>
      <c r="G328" s="1"/>
      <c r="H328" s="1"/>
      <c r="I328" s="349"/>
      <c r="J328" s="349"/>
      <c r="K328" s="349"/>
      <c r="L328" s="350"/>
      <c r="M328" s="350"/>
      <c r="N328" s="351"/>
      <c r="O328" s="349"/>
      <c r="P328" s="347"/>
      <c r="Q328" s="151"/>
    </row>
    <row r="329" ht="12.0" customHeight="1">
      <c r="B329" s="1"/>
      <c r="C329" s="347"/>
      <c r="D329" s="161"/>
      <c r="E329" s="348"/>
      <c r="F329" s="1"/>
      <c r="G329" s="1"/>
      <c r="H329" s="1"/>
      <c r="I329" s="349"/>
      <c r="J329" s="349"/>
      <c r="K329" s="349"/>
      <c r="L329" s="350"/>
      <c r="M329" s="350"/>
      <c r="N329" s="351"/>
      <c r="O329" s="349"/>
      <c r="P329" s="347"/>
      <c r="Q329" s="151"/>
    </row>
    <row r="330" ht="12.0" customHeight="1">
      <c r="B330" s="1"/>
      <c r="C330" s="347"/>
      <c r="D330" s="161"/>
      <c r="E330" s="348"/>
      <c r="F330" s="1"/>
      <c r="G330" s="1"/>
      <c r="H330" s="1"/>
      <c r="I330" s="349"/>
      <c r="J330" s="349"/>
      <c r="K330" s="349"/>
      <c r="L330" s="350"/>
      <c r="M330" s="350"/>
      <c r="N330" s="351"/>
      <c r="O330" s="349"/>
      <c r="P330" s="347"/>
      <c r="Q330" s="151"/>
    </row>
    <row r="331" ht="12.0" customHeight="1">
      <c r="B331" s="1"/>
      <c r="C331" s="347"/>
      <c r="D331" s="161"/>
      <c r="E331" s="348"/>
      <c r="F331" s="1"/>
      <c r="G331" s="1"/>
      <c r="H331" s="1"/>
      <c r="I331" s="349"/>
      <c r="J331" s="349"/>
      <c r="K331" s="349"/>
      <c r="L331" s="350"/>
      <c r="M331" s="350"/>
      <c r="N331" s="351"/>
      <c r="O331" s="349"/>
      <c r="P331" s="347"/>
      <c r="Q331" s="151"/>
    </row>
    <row r="332" ht="12.0" customHeight="1">
      <c r="B332" s="1"/>
      <c r="C332" s="347"/>
      <c r="D332" s="161"/>
      <c r="E332" s="348"/>
      <c r="F332" s="1"/>
      <c r="G332" s="1"/>
      <c r="H332" s="1"/>
      <c r="I332" s="349"/>
      <c r="J332" s="349"/>
      <c r="K332" s="349"/>
      <c r="L332" s="350"/>
      <c r="M332" s="350"/>
      <c r="N332" s="351"/>
      <c r="O332" s="349"/>
      <c r="P332" s="347"/>
      <c r="Q332" s="151"/>
    </row>
    <row r="333" ht="12.0" customHeight="1">
      <c r="B333" s="1"/>
      <c r="C333" s="347"/>
      <c r="D333" s="161"/>
      <c r="E333" s="348"/>
      <c r="F333" s="1"/>
      <c r="G333" s="1"/>
      <c r="H333" s="1"/>
      <c r="I333" s="349"/>
      <c r="J333" s="349"/>
      <c r="K333" s="349"/>
      <c r="L333" s="350"/>
      <c r="M333" s="350"/>
      <c r="N333" s="351"/>
      <c r="O333" s="349"/>
      <c r="P333" s="347"/>
      <c r="Q333" s="151"/>
    </row>
    <row r="334" ht="12.0" customHeight="1">
      <c r="B334" s="1"/>
      <c r="C334" s="347"/>
      <c r="D334" s="161"/>
      <c r="E334" s="348"/>
      <c r="F334" s="1"/>
      <c r="G334" s="1"/>
      <c r="H334" s="1"/>
      <c r="I334" s="349"/>
      <c r="J334" s="349"/>
      <c r="K334" s="349"/>
      <c r="L334" s="350"/>
      <c r="M334" s="350"/>
      <c r="N334" s="351"/>
      <c r="O334" s="349"/>
      <c r="P334" s="347"/>
      <c r="Q334" s="151"/>
    </row>
    <row r="335" ht="12.0" customHeight="1">
      <c r="B335" s="1"/>
      <c r="C335" s="347"/>
      <c r="D335" s="161"/>
      <c r="E335" s="348"/>
      <c r="F335" s="1"/>
      <c r="G335" s="1"/>
      <c r="H335" s="1"/>
      <c r="I335" s="349"/>
      <c r="J335" s="349"/>
      <c r="K335" s="349"/>
      <c r="L335" s="350"/>
      <c r="M335" s="350"/>
      <c r="N335" s="351"/>
      <c r="O335" s="349"/>
      <c r="P335" s="347"/>
      <c r="Q335" s="151"/>
    </row>
    <row r="336" ht="12.0" customHeight="1">
      <c r="B336" s="1"/>
      <c r="C336" s="347"/>
      <c r="D336" s="161"/>
      <c r="E336" s="348"/>
      <c r="F336" s="1"/>
      <c r="G336" s="1"/>
      <c r="H336" s="1"/>
      <c r="I336" s="349"/>
      <c r="J336" s="349"/>
      <c r="K336" s="349"/>
      <c r="L336" s="350"/>
      <c r="M336" s="350"/>
      <c r="N336" s="351"/>
      <c r="O336" s="349"/>
      <c r="P336" s="347"/>
      <c r="Q336" s="151"/>
    </row>
    <row r="337" ht="12.0" customHeight="1">
      <c r="B337" s="1"/>
      <c r="C337" s="347"/>
      <c r="D337" s="161"/>
      <c r="E337" s="348"/>
      <c r="F337" s="1"/>
      <c r="G337" s="1"/>
      <c r="H337" s="1"/>
      <c r="I337" s="349"/>
      <c r="J337" s="349"/>
      <c r="K337" s="349"/>
      <c r="L337" s="350"/>
      <c r="M337" s="350"/>
      <c r="N337" s="351"/>
      <c r="O337" s="349"/>
      <c r="P337" s="347"/>
      <c r="Q337" s="151"/>
    </row>
    <row r="338" ht="12.0" customHeight="1">
      <c r="B338" s="1"/>
      <c r="C338" s="347"/>
      <c r="D338" s="161"/>
      <c r="E338" s="348"/>
      <c r="F338" s="1"/>
      <c r="G338" s="1"/>
      <c r="H338" s="1"/>
      <c r="I338" s="349"/>
      <c r="J338" s="349"/>
      <c r="K338" s="349"/>
      <c r="L338" s="350"/>
      <c r="M338" s="350"/>
      <c r="N338" s="351"/>
      <c r="O338" s="349"/>
      <c r="P338" s="347"/>
      <c r="Q338" s="151"/>
    </row>
    <row r="339" ht="12.0" customHeight="1">
      <c r="B339" s="1"/>
      <c r="C339" s="347"/>
      <c r="D339" s="161"/>
      <c r="E339" s="348"/>
      <c r="F339" s="1"/>
      <c r="G339" s="1"/>
      <c r="H339" s="1"/>
      <c r="I339" s="349"/>
      <c r="J339" s="349"/>
      <c r="K339" s="349"/>
      <c r="L339" s="350"/>
      <c r="M339" s="350"/>
      <c r="N339" s="351"/>
      <c r="O339" s="349"/>
      <c r="P339" s="347"/>
      <c r="Q339" s="151"/>
    </row>
    <row r="340" ht="12.0" customHeight="1">
      <c r="B340" s="1"/>
      <c r="C340" s="347"/>
      <c r="D340" s="161"/>
      <c r="E340" s="348"/>
      <c r="F340" s="1"/>
      <c r="G340" s="1"/>
      <c r="H340" s="1"/>
      <c r="I340" s="349"/>
      <c r="J340" s="349"/>
      <c r="K340" s="349"/>
      <c r="L340" s="350"/>
      <c r="M340" s="350"/>
      <c r="N340" s="351"/>
      <c r="O340" s="349"/>
      <c r="P340" s="347"/>
      <c r="Q340" s="151"/>
    </row>
    <row r="341" ht="12.0" customHeight="1">
      <c r="B341" s="1"/>
      <c r="C341" s="347"/>
      <c r="D341" s="161"/>
      <c r="E341" s="348"/>
      <c r="F341" s="1"/>
      <c r="G341" s="1"/>
      <c r="H341" s="1"/>
      <c r="I341" s="349"/>
      <c r="J341" s="349"/>
      <c r="K341" s="349"/>
      <c r="L341" s="350"/>
      <c r="M341" s="350"/>
      <c r="N341" s="351"/>
      <c r="O341" s="349"/>
      <c r="P341" s="347"/>
      <c r="Q341" s="151"/>
    </row>
    <row r="342" ht="12.0" customHeight="1">
      <c r="B342" s="1"/>
      <c r="C342" s="347"/>
      <c r="D342" s="161"/>
      <c r="E342" s="348"/>
      <c r="F342" s="1"/>
      <c r="G342" s="1"/>
      <c r="H342" s="1"/>
      <c r="I342" s="349"/>
      <c r="J342" s="349"/>
      <c r="K342" s="349"/>
      <c r="L342" s="350"/>
      <c r="M342" s="350"/>
      <c r="N342" s="351"/>
      <c r="O342" s="349"/>
      <c r="P342" s="347"/>
      <c r="Q342" s="151"/>
    </row>
    <row r="343" ht="12.0" customHeight="1">
      <c r="B343" s="1"/>
      <c r="C343" s="347"/>
      <c r="D343" s="161"/>
      <c r="E343" s="348"/>
      <c r="F343" s="1"/>
      <c r="G343" s="1"/>
      <c r="H343" s="1"/>
      <c r="I343" s="349"/>
      <c r="J343" s="349"/>
      <c r="K343" s="349"/>
      <c r="L343" s="350"/>
      <c r="M343" s="350"/>
      <c r="N343" s="351"/>
      <c r="O343" s="349"/>
      <c r="P343" s="347"/>
      <c r="Q343" s="151"/>
    </row>
    <row r="344" ht="12.0" customHeight="1">
      <c r="B344" s="1"/>
      <c r="C344" s="347"/>
      <c r="D344" s="161"/>
      <c r="E344" s="348"/>
      <c r="F344" s="1"/>
      <c r="G344" s="1"/>
      <c r="H344" s="1"/>
      <c r="I344" s="349"/>
      <c r="J344" s="349"/>
      <c r="K344" s="349"/>
      <c r="L344" s="350"/>
      <c r="M344" s="350"/>
      <c r="N344" s="351"/>
      <c r="O344" s="349"/>
      <c r="P344" s="347"/>
      <c r="Q344" s="151"/>
    </row>
    <row r="345" ht="12.0" customHeight="1">
      <c r="B345" s="1"/>
      <c r="C345" s="347"/>
      <c r="D345" s="161"/>
      <c r="E345" s="348"/>
      <c r="F345" s="1"/>
      <c r="G345" s="1"/>
      <c r="H345" s="1"/>
      <c r="I345" s="349"/>
      <c r="J345" s="349"/>
      <c r="K345" s="349"/>
      <c r="L345" s="350"/>
      <c r="M345" s="350"/>
      <c r="N345" s="351"/>
      <c r="O345" s="349"/>
      <c r="P345" s="347"/>
      <c r="Q345" s="151"/>
    </row>
    <row r="346" ht="12.0" customHeight="1">
      <c r="B346" s="1"/>
      <c r="C346" s="347"/>
      <c r="D346" s="161"/>
      <c r="E346" s="348"/>
      <c r="F346" s="1"/>
      <c r="G346" s="1"/>
      <c r="H346" s="1"/>
      <c r="I346" s="349"/>
      <c r="J346" s="349"/>
      <c r="K346" s="349"/>
      <c r="L346" s="350"/>
      <c r="M346" s="350"/>
      <c r="N346" s="351"/>
      <c r="O346" s="349"/>
      <c r="P346" s="347"/>
      <c r="Q346" s="151"/>
    </row>
    <row r="347" ht="12.0" customHeight="1">
      <c r="B347" s="1"/>
      <c r="C347" s="347"/>
      <c r="D347" s="161"/>
      <c r="E347" s="348"/>
      <c r="F347" s="1"/>
      <c r="G347" s="1"/>
      <c r="H347" s="1"/>
      <c r="I347" s="349"/>
      <c r="J347" s="349"/>
      <c r="K347" s="349"/>
      <c r="L347" s="350"/>
      <c r="M347" s="350"/>
      <c r="N347" s="351"/>
      <c r="O347" s="349"/>
      <c r="P347" s="347"/>
      <c r="Q347" s="151"/>
    </row>
    <row r="348" ht="12.0" customHeight="1">
      <c r="B348" s="1"/>
      <c r="C348" s="347"/>
      <c r="D348" s="161"/>
      <c r="E348" s="348"/>
      <c r="F348" s="1"/>
      <c r="G348" s="1"/>
      <c r="H348" s="1"/>
      <c r="I348" s="349"/>
      <c r="J348" s="349"/>
      <c r="K348" s="349"/>
      <c r="L348" s="350"/>
      <c r="M348" s="350"/>
      <c r="N348" s="351"/>
      <c r="O348" s="349"/>
      <c r="P348" s="347"/>
      <c r="Q348" s="151"/>
    </row>
    <row r="349" ht="12.0" customHeight="1">
      <c r="B349" s="1"/>
      <c r="C349" s="347"/>
      <c r="D349" s="161"/>
      <c r="E349" s="348"/>
      <c r="F349" s="1"/>
      <c r="G349" s="1"/>
      <c r="H349" s="1"/>
      <c r="I349" s="349"/>
      <c r="J349" s="349"/>
      <c r="K349" s="349"/>
      <c r="L349" s="350"/>
      <c r="M349" s="350"/>
      <c r="N349" s="351"/>
      <c r="O349" s="349"/>
      <c r="P349" s="347"/>
      <c r="Q349" s="151"/>
    </row>
    <row r="350" ht="12.0" customHeight="1">
      <c r="B350" s="1"/>
      <c r="C350" s="347"/>
      <c r="D350" s="161"/>
      <c r="E350" s="348"/>
      <c r="F350" s="1"/>
      <c r="G350" s="1"/>
      <c r="H350" s="1"/>
      <c r="I350" s="349"/>
      <c r="J350" s="349"/>
      <c r="K350" s="349"/>
      <c r="L350" s="350"/>
      <c r="M350" s="350"/>
      <c r="N350" s="351"/>
      <c r="O350" s="349"/>
      <c r="P350" s="347"/>
      <c r="Q350" s="151"/>
    </row>
    <row r="351" ht="12.0" customHeight="1">
      <c r="B351" s="1"/>
      <c r="C351" s="347"/>
      <c r="D351" s="161"/>
      <c r="E351" s="348"/>
      <c r="F351" s="1"/>
      <c r="G351" s="1"/>
      <c r="H351" s="1"/>
      <c r="I351" s="349"/>
      <c r="J351" s="349"/>
      <c r="K351" s="349"/>
      <c r="L351" s="350"/>
      <c r="M351" s="350"/>
      <c r="N351" s="351"/>
      <c r="O351" s="349"/>
      <c r="P351" s="347"/>
      <c r="Q351" s="151"/>
    </row>
    <row r="352" ht="12.0" customHeight="1">
      <c r="B352" s="1"/>
      <c r="C352" s="347"/>
      <c r="D352" s="161"/>
      <c r="E352" s="348"/>
      <c r="F352" s="1"/>
      <c r="G352" s="1"/>
      <c r="H352" s="1"/>
      <c r="I352" s="349"/>
      <c r="J352" s="349"/>
      <c r="K352" s="349"/>
      <c r="L352" s="350"/>
      <c r="M352" s="350"/>
      <c r="N352" s="351"/>
      <c r="O352" s="349"/>
      <c r="P352" s="347"/>
      <c r="Q352" s="151"/>
    </row>
    <row r="353" ht="12.0" customHeight="1">
      <c r="B353" s="1"/>
      <c r="C353" s="347"/>
      <c r="D353" s="161"/>
      <c r="E353" s="348"/>
      <c r="F353" s="1"/>
      <c r="G353" s="1"/>
      <c r="H353" s="1"/>
      <c r="I353" s="349"/>
      <c r="J353" s="349"/>
      <c r="K353" s="349"/>
      <c r="L353" s="350"/>
      <c r="M353" s="350"/>
      <c r="N353" s="351"/>
      <c r="O353" s="349"/>
      <c r="P353" s="347"/>
      <c r="Q353" s="151"/>
    </row>
    <row r="354" ht="12.0" customHeight="1">
      <c r="B354" s="1"/>
      <c r="C354" s="347"/>
      <c r="D354" s="161"/>
      <c r="E354" s="348"/>
      <c r="F354" s="1"/>
      <c r="G354" s="1"/>
      <c r="H354" s="1"/>
      <c r="I354" s="349"/>
      <c r="J354" s="349"/>
      <c r="K354" s="349"/>
      <c r="L354" s="350"/>
      <c r="M354" s="350"/>
      <c r="N354" s="351"/>
      <c r="O354" s="349"/>
      <c r="P354" s="347"/>
      <c r="Q354" s="151"/>
    </row>
    <row r="355" ht="12.0" customHeight="1">
      <c r="B355" s="1"/>
      <c r="C355" s="347"/>
      <c r="D355" s="161"/>
      <c r="E355" s="348"/>
      <c r="F355" s="1"/>
      <c r="G355" s="1"/>
      <c r="H355" s="1"/>
      <c r="I355" s="349"/>
      <c r="J355" s="349"/>
      <c r="K355" s="349"/>
      <c r="L355" s="350"/>
      <c r="M355" s="350"/>
      <c r="N355" s="351"/>
      <c r="O355" s="349"/>
      <c r="P355" s="347"/>
      <c r="Q355" s="151"/>
    </row>
    <row r="356" ht="12.0" customHeight="1">
      <c r="B356" s="1"/>
      <c r="C356" s="347"/>
      <c r="D356" s="161"/>
      <c r="E356" s="348"/>
      <c r="F356" s="1"/>
      <c r="G356" s="1"/>
      <c r="H356" s="1"/>
      <c r="I356" s="349"/>
      <c r="J356" s="349"/>
      <c r="K356" s="349"/>
      <c r="L356" s="350"/>
      <c r="M356" s="350"/>
      <c r="N356" s="351"/>
      <c r="O356" s="349"/>
      <c r="P356" s="347"/>
      <c r="Q356" s="151"/>
    </row>
    <row r="357" ht="12.0" customHeight="1">
      <c r="B357" s="1"/>
      <c r="C357" s="347"/>
      <c r="D357" s="161"/>
      <c r="E357" s="348"/>
      <c r="F357" s="1"/>
      <c r="G357" s="1"/>
      <c r="H357" s="1"/>
      <c r="I357" s="349"/>
      <c r="J357" s="349"/>
      <c r="K357" s="349"/>
      <c r="L357" s="350"/>
      <c r="M357" s="350"/>
      <c r="N357" s="351"/>
      <c r="O357" s="349"/>
      <c r="P357" s="347"/>
      <c r="Q357" s="151"/>
    </row>
    <row r="358" ht="12.0" customHeight="1">
      <c r="B358" s="1"/>
      <c r="C358" s="347"/>
      <c r="D358" s="161"/>
      <c r="E358" s="348"/>
      <c r="F358" s="1"/>
      <c r="G358" s="1"/>
      <c r="H358" s="1"/>
      <c r="I358" s="349"/>
      <c r="J358" s="349"/>
      <c r="K358" s="349"/>
      <c r="L358" s="350"/>
      <c r="M358" s="350"/>
      <c r="N358" s="351"/>
      <c r="O358" s="349"/>
      <c r="P358" s="347"/>
      <c r="Q358" s="151"/>
    </row>
    <row r="359" ht="12.0" customHeight="1">
      <c r="B359" s="1"/>
      <c r="C359" s="347"/>
      <c r="D359" s="161"/>
      <c r="E359" s="348"/>
      <c r="F359" s="1"/>
      <c r="G359" s="1"/>
      <c r="H359" s="1"/>
      <c r="I359" s="349"/>
      <c r="J359" s="349"/>
      <c r="K359" s="349"/>
      <c r="L359" s="350"/>
      <c r="M359" s="350"/>
      <c r="N359" s="351"/>
      <c r="O359" s="349"/>
      <c r="P359" s="347"/>
      <c r="Q359" s="151"/>
    </row>
    <row r="360" ht="12.0" customHeight="1">
      <c r="B360" s="1"/>
      <c r="C360" s="347"/>
      <c r="D360" s="161"/>
      <c r="E360" s="348"/>
      <c r="F360" s="1"/>
      <c r="G360" s="1"/>
      <c r="H360" s="1"/>
      <c r="I360" s="349"/>
      <c r="J360" s="349"/>
      <c r="K360" s="349"/>
      <c r="L360" s="350"/>
      <c r="M360" s="350"/>
      <c r="N360" s="351"/>
      <c r="O360" s="349"/>
      <c r="P360" s="347"/>
      <c r="Q360" s="151"/>
    </row>
    <row r="361" ht="12.0" customHeight="1">
      <c r="B361" s="1"/>
      <c r="C361" s="347"/>
      <c r="D361" s="161"/>
      <c r="E361" s="348"/>
      <c r="F361" s="1"/>
      <c r="G361" s="1"/>
      <c r="H361" s="1"/>
      <c r="I361" s="349"/>
      <c r="J361" s="349"/>
      <c r="K361" s="349"/>
      <c r="L361" s="350"/>
      <c r="M361" s="350"/>
      <c r="N361" s="351"/>
      <c r="O361" s="349"/>
      <c r="P361" s="347"/>
      <c r="Q361" s="151"/>
    </row>
    <row r="362" ht="12.0" customHeight="1">
      <c r="B362" s="1"/>
      <c r="C362" s="347"/>
      <c r="D362" s="161"/>
      <c r="E362" s="348"/>
      <c r="F362" s="1"/>
      <c r="G362" s="1"/>
      <c r="H362" s="1"/>
      <c r="I362" s="349"/>
      <c r="J362" s="349"/>
      <c r="K362" s="349"/>
      <c r="L362" s="350"/>
      <c r="M362" s="350"/>
      <c r="N362" s="351"/>
      <c r="O362" s="349"/>
      <c r="P362" s="347"/>
      <c r="Q362" s="151"/>
    </row>
    <row r="363" ht="12.0" customHeight="1">
      <c r="B363" s="1"/>
      <c r="C363" s="347"/>
      <c r="D363" s="161"/>
      <c r="E363" s="348"/>
      <c r="F363" s="1"/>
      <c r="G363" s="1"/>
      <c r="H363" s="1"/>
      <c r="I363" s="349"/>
      <c r="J363" s="349"/>
      <c r="K363" s="349"/>
      <c r="L363" s="350"/>
      <c r="M363" s="350"/>
      <c r="N363" s="351"/>
      <c r="O363" s="349"/>
      <c r="P363" s="347"/>
      <c r="Q363" s="151"/>
    </row>
    <row r="364" ht="12.0" customHeight="1">
      <c r="B364" s="1"/>
      <c r="C364" s="347"/>
      <c r="D364" s="161"/>
      <c r="E364" s="348"/>
      <c r="F364" s="1"/>
      <c r="G364" s="1"/>
      <c r="H364" s="1"/>
      <c r="I364" s="349"/>
      <c r="J364" s="349"/>
      <c r="K364" s="349"/>
      <c r="L364" s="350"/>
      <c r="M364" s="350"/>
      <c r="N364" s="351"/>
      <c r="O364" s="349"/>
      <c r="P364" s="347"/>
      <c r="Q364" s="151"/>
    </row>
    <row r="365" ht="12.0" customHeight="1">
      <c r="B365" s="1"/>
      <c r="C365" s="347"/>
      <c r="D365" s="161"/>
      <c r="E365" s="348"/>
      <c r="F365" s="1"/>
      <c r="G365" s="1"/>
      <c r="H365" s="1"/>
      <c r="I365" s="349"/>
      <c r="J365" s="349"/>
      <c r="K365" s="349"/>
      <c r="L365" s="350"/>
      <c r="M365" s="350"/>
      <c r="N365" s="351"/>
      <c r="O365" s="349"/>
      <c r="P365" s="347"/>
      <c r="Q365" s="151"/>
    </row>
    <row r="366" ht="12.0" customHeight="1">
      <c r="B366" s="1"/>
      <c r="C366" s="347"/>
      <c r="D366" s="161"/>
      <c r="E366" s="348"/>
      <c r="F366" s="1"/>
      <c r="G366" s="1"/>
      <c r="H366" s="1"/>
      <c r="I366" s="349"/>
      <c r="J366" s="349"/>
      <c r="K366" s="349"/>
      <c r="L366" s="350"/>
      <c r="M366" s="350"/>
      <c r="N366" s="351"/>
      <c r="O366" s="349"/>
      <c r="P366" s="347"/>
      <c r="Q366" s="151"/>
    </row>
    <row r="367" ht="12.0" customHeight="1">
      <c r="B367" s="1"/>
      <c r="C367" s="347"/>
      <c r="D367" s="161"/>
      <c r="E367" s="348"/>
      <c r="F367" s="1"/>
      <c r="G367" s="1"/>
      <c r="H367" s="1"/>
      <c r="I367" s="349"/>
      <c r="J367" s="349"/>
      <c r="K367" s="349"/>
      <c r="L367" s="350"/>
      <c r="M367" s="350"/>
      <c r="N367" s="351"/>
      <c r="O367" s="349"/>
      <c r="P367" s="347"/>
      <c r="Q367" s="151"/>
    </row>
    <row r="368" ht="12.0" customHeight="1">
      <c r="B368" s="1"/>
      <c r="C368" s="347"/>
      <c r="D368" s="161"/>
      <c r="E368" s="348"/>
      <c r="F368" s="1"/>
      <c r="G368" s="1"/>
      <c r="H368" s="1"/>
      <c r="I368" s="349"/>
      <c r="J368" s="349"/>
      <c r="K368" s="349"/>
      <c r="L368" s="350"/>
      <c r="M368" s="350"/>
      <c r="N368" s="351"/>
      <c r="O368" s="349"/>
      <c r="P368" s="347"/>
      <c r="Q368" s="151"/>
    </row>
    <row r="369" ht="12.0" customHeight="1">
      <c r="B369" s="1"/>
      <c r="C369" s="347"/>
      <c r="D369" s="161"/>
      <c r="E369" s="348"/>
      <c r="F369" s="1"/>
      <c r="G369" s="1"/>
      <c r="H369" s="1"/>
      <c r="I369" s="349"/>
      <c r="J369" s="349"/>
      <c r="K369" s="349"/>
      <c r="L369" s="350"/>
      <c r="M369" s="350"/>
      <c r="N369" s="351"/>
      <c r="O369" s="349"/>
      <c r="P369" s="347"/>
      <c r="Q369" s="151"/>
    </row>
    <row r="370" ht="12.0" customHeight="1">
      <c r="B370" s="1"/>
      <c r="C370" s="347"/>
      <c r="D370" s="161"/>
      <c r="E370" s="348"/>
      <c r="F370" s="1"/>
      <c r="G370" s="1"/>
      <c r="H370" s="1"/>
      <c r="I370" s="349"/>
      <c r="J370" s="349"/>
      <c r="K370" s="349"/>
      <c r="L370" s="350"/>
      <c r="M370" s="350"/>
      <c r="N370" s="351"/>
      <c r="O370" s="349"/>
      <c r="P370" s="347"/>
      <c r="Q370" s="151"/>
    </row>
    <row r="371" ht="12.0" customHeight="1">
      <c r="B371" s="1"/>
      <c r="C371" s="347"/>
      <c r="D371" s="161"/>
      <c r="E371" s="348"/>
      <c r="F371" s="1"/>
      <c r="G371" s="1"/>
      <c r="H371" s="1"/>
      <c r="I371" s="349"/>
      <c r="J371" s="349"/>
      <c r="K371" s="349"/>
      <c r="L371" s="350"/>
      <c r="M371" s="350"/>
      <c r="N371" s="351"/>
      <c r="O371" s="349"/>
      <c r="P371" s="347"/>
      <c r="Q371" s="151"/>
    </row>
    <row r="372" ht="12.0" customHeight="1">
      <c r="B372" s="1"/>
      <c r="C372" s="347"/>
      <c r="D372" s="161"/>
      <c r="E372" s="348"/>
      <c r="F372" s="1"/>
      <c r="G372" s="1"/>
      <c r="H372" s="1"/>
      <c r="I372" s="349"/>
      <c r="J372" s="349"/>
      <c r="K372" s="349"/>
      <c r="L372" s="350"/>
      <c r="M372" s="350"/>
      <c r="N372" s="351"/>
      <c r="O372" s="349"/>
      <c r="P372" s="347"/>
      <c r="Q372" s="151"/>
    </row>
    <row r="373" ht="12.0" customHeight="1">
      <c r="B373" s="1"/>
      <c r="C373" s="347"/>
      <c r="D373" s="161"/>
      <c r="E373" s="348"/>
      <c r="F373" s="1"/>
      <c r="G373" s="1"/>
      <c r="H373" s="1"/>
      <c r="I373" s="349"/>
      <c r="J373" s="349"/>
      <c r="K373" s="349"/>
      <c r="L373" s="350"/>
      <c r="M373" s="350"/>
      <c r="N373" s="351"/>
      <c r="O373" s="349"/>
      <c r="P373" s="347"/>
      <c r="Q373" s="151"/>
    </row>
    <row r="374" ht="12.0" customHeight="1">
      <c r="B374" s="1"/>
      <c r="C374" s="347"/>
      <c r="D374" s="161"/>
      <c r="E374" s="348"/>
      <c r="F374" s="1"/>
      <c r="G374" s="1"/>
      <c r="H374" s="1"/>
      <c r="I374" s="349"/>
      <c r="J374" s="349"/>
      <c r="K374" s="349"/>
      <c r="L374" s="350"/>
      <c r="M374" s="350"/>
      <c r="N374" s="351"/>
      <c r="O374" s="349"/>
      <c r="P374" s="347"/>
      <c r="Q374" s="151"/>
    </row>
    <row r="375" ht="12.0" customHeight="1">
      <c r="B375" s="1"/>
      <c r="C375" s="347"/>
      <c r="D375" s="161"/>
      <c r="E375" s="348"/>
      <c r="F375" s="1"/>
      <c r="G375" s="1"/>
      <c r="H375" s="1"/>
      <c r="I375" s="349"/>
      <c r="J375" s="349"/>
      <c r="K375" s="349"/>
      <c r="L375" s="350"/>
      <c r="M375" s="350"/>
      <c r="N375" s="351"/>
      <c r="O375" s="349"/>
      <c r="P375" s="347"/>
      <c r="Q375" s="151"/>
    </row>
    <row r="376" ht="12.0" customHeight="1">
      <c r="B376" s="1"/>
      <c r="C376" s="347"/>
      <c r="D376" s="161"/>
      <c r="E376" s="348"/>
      <c r="F376" s="1"/>
      <c r="G376" s="1"/>
      <c r="H376" s="1"/>
      <c r="I376" s="349"/>
      <c r="J376" s="349"/>
      <c r="K376" s="349"/>
      <c r="L376" s="350"/>
      <c r="M376" s="350"/>
      <c r="N376" s="351"/>
      <c r="O376" s="349"/>
      <c r="P376" s="347"/>
      <c r="Q376" s="151"/>
    </row>
    <row r="377" ht="12.0" customHeight="1">
      <c r="B377" s="1"/>
      <c r="C377" s="347"/>
      <c r="D377" s="161"/>
      <c r="E377" s="348"/>
      <c r="F377" s="1"/>
      <c r="G377" s="1"/>
      <c r="H377" s="1"/>
      <c r="I377" s="349"/>
      <c r="J377" s="349"/>
      <c r="K377" s="349"/>
      <c r="L377" s="350"/>
      <c r="M377" s="350"/>
      <c r="N377" s="351"/>
      <c r="O377" s="349"/>
      <c r="P377" s="347"/>
      <c r="Q377" s="151"/>
    </row>
    <row r="378" ht="12.0" customHeight="1">
      <c r="B378" s="1"/>
      <c r="C378" s="347"/>
      <c r="D378" s="161"/>
      <c r="E378" s="348"/>
      <c r="F378" s="1"/>
      <c r="G378" s="1"/>
      <c r="H378" s="1"/>
      <c r="I378" s="349"/>
      <c r="J378" s="349"/>
      <c r="K378" s="349"/>
      <c r="L378" s="350"/>
      <c r="M378" s="350"/>
      <c r="N378" s="351"/>
      <c r="O378" s="349"/>
      <c r="P378" s="347"/>
      <c r="Q378" s="151"/>
    </row>
    <row r="379" ht="12.0" customHeight="1">
      <c r="B379" s="1"/>
      <c r="C379" s="347"/>
      <c r="D379" s="161"/>
      <c r="E379" s="348"/>
      <c r="F379" s="1"/>
      <c r="G379" s="1"/>
      <c r="H379" s="1"/>
      <c r="I379" s="349"/>
      <c r="J379" s="349"/>
      <c r="K379" s="349"/>
      <c r="L379" s="350"/>
      <c r="M379" s="350"/>
      <c r="N379" s="351"/>
      <c r="O379" s="349"/>
      <c r="P379" s="347"/>
      <c r="Q379" s="151"/>
    </row>
    <row r="380" ht="12.0" customHeight="1">
      <c r="B380" s="1"/>
      <c r="C380" s="347"/>
      <c r="D380" s="161"/>
      <c r="E380" s="348"/>
      <c r="F380" s="1"/>
      <c r="G380" s="1"/>
      <c r="H380" s="1"/>
      <c r="I380" s="349"/>
      <c r="J380" s="349"/>
      <c r="K380" s="349"/>
      <c r="L380" s="350"/>
      <c r="M380" s="350"/>
      <c r="N380" s="351"/>
      <c r="O380" s="349"/>
      <c r="P380" s="347"/>
      <c r="Q380" s="151"/>
    </row>
    <row r="381" ht="12.0" customHeight="1">
      <c r="B381" s="1"/>
      <c r="C381" s="347"/>
      <c r="D381" s="161"/>
      <c r="E381" s="348"/>
      <c r="F381" s="1"/>
      <c r="G381" s="1"/>
      <c r="H381" s="1"/>
      <c r="I381" s="349"/>
      <c r="J381" s="349"/>
      <c r="K381" s="349"/>
      <c r="L381" s="350"/>
      <c r="M381" s="350"/>
      <c r="N381" s="351"/>
      <c r="O381" s="349"/>
      <c r="P381" s="347"/>
      <c r="Q381" s="151"/>
    </row>
    <row r="382" ht="12.0" customHeight="1">
      <c r="B382" s="1"/>
      <c r="C382" s="347"/>
      <c r="D382" s="161"/>
      <c r="E382" s="348"/>
      <c r="F382" s="1"/>
      <c r="G382" s="1"/>
      <c r="H382" s="1"/>
      <c r="I382" s="349"/>
      <c r="J382" s="349"/>
      <c r="K382" s="349"/>
      <c r="L382" s="350"/>
      <c r="M382" s="350"/>
      <c r="N382" s="351"/>
      <c r="O382" s="349"/>
      <c r="P382" s="347"/>
      <c r="Q382" s="151"/>
    </row>
    <row r="383" ht="12.0" customHeight="1">
      <c r="B383" s="1"/>
      <c r="C383" s="347"/>
      <c r="D383" s="161"/>
      <c r="E383" s="348"/>
      <c r="F383" s="1"/>
      <c r="G383" s="1"/>
      <c r="H383" s="1"/>
      <c r="I383" s="349"/>
      <c r="J383" s="349"/>
      <c r="K383" s="349"/>
      <c r="L383" s="350"/>
      <c r="M383" s="350"/>
      <c r="N383" s="351"/>
      <c r="O383" s="349"/>
      <c r="P383" s="347"/>
      <c r="Q383" s="151"/>
    </row>
    <row r="384" ht="12.0" customHeight="1">
      <c r="B384" s="1"/>
      <c r="C384" s="347"/>
      <c r="D384" s="161"/>
      <c r="E384" s="348"/>
      <c r="F384" s="1"/>
      <c r="G384" s="1"/>
      <c r="H384" s="1"/>
      <c r="I384" s="349"/>
      <c r="J384" s="349"/>
      <c r="K384" s="349"/>
      <c r="L384" s="350"/>
      <c r="M384" s="350"/>
      <c r="N384" s="351"/>
      <c r="O384" s="349"/>
      <c r="P384" s="347"/>
      <c r="Q384" s="151"/>
    </row>
    <row r="385" ht="12.0" customHeight="1">
      <c r="B385" s="1"/>
      <c r="C385" s="347"/>
      <c r="D385" s="161"/>
      <c r="E385" s="348"/>
      <c r="F385" s="1"/>
      <c r="G385" s="1"/>
      <c r="H385" s="1"/>
      <c r="I385" s="349"/>
      <c r="J385" s="349"/>
      <c r="K385" s="349"/>
      <c r="L385" s="350"/>
      <c r="M385" s="350"/>
      <c r="N385" s="351"/>
      <c r="O385" s="349"/>
      <c r="P385" s="347"/>
      <c r="Q385" s="151"/>
    </row>
    <row r="386" ht="12.0" customHeight="1">
      <c r="B386" s="1"/>
      <c r="C386" s="347"/>
      <c r="D386" s="161"/>
      <c r="E386" s="348"/>
      <c r="F386" s="1"/>
      <c r="G386" s="1"/>
      <c r="H386" s="1"/>
      <c r="I386" s="349"/>
      <c r="J386" s="349"/>
      <c r="K386" s="349"/>
      <c r="L386" s="350"/>
      <c r="M386" s="350"/>
      <c r="N386" s="351"/>
      <c r="O386" s="349"/>
      <c r="P386" s="347"/>
      <c r="Q386" s="151"/>
    </row>
    <row r="387" ht="12.0" customHeight="1">
      <c r="B387" s="1"/>
      <c r="C387" s="347"/>
      <c r="D387" s="161"/>
      <c r="E387" s="348"/>
      <c r="F387" s="1"/>
      <c r="G387" s="1"/>
      <c r="H387" s="1"/>
      <c r="I387" s="349"/>
      <c r="J387" s="349"/>
      <c r="K387" s="349"/>
      <c r="L387" s="350"/>
      <c r="M387" s="350"/>
      <c r="N387" s="351"/>
      <c r="O387" s="349"/>
      <c r="P387" s="347"/>
      <c r="Q387" s="151"/>
    </row>
    <row r="388" ht="12.0" customHeight="1">
      <c r="B388" s="1"/>
      <c r="C388" s="347"/>
      <c r="D388" s="161"/>
      <c r="E388" s="348"/>
      <c r="F388" s="1"/>
      <c r="G388" s="1"/>
      <c r="H388" s="1"/>
      <c r="I388" s="349"/>
      <c r="J388" s="349"/>
      <c r="K388" s="349"/>
      <c r="L388" s="350"/>
      <c r="M388" s="350"/>
      <c r="N388" s="351"/>
      <c r="O388" s="349"/>
      <c r="P388" s="347"/>
      <c r="Q388" s="151"/>
    </row>
    <row r="389" ht="12.0" customHeight="1">
      <c r="B389" s="1"/>
      <c r="C389" s="347"/>
      <c r="D389" s="161"/>
      <c r="E389" s="348"/>
      <c r="F389" s="1"/>
      <c r="G389" s="1"/>
      <c r="H389" s="1"/>
      <c r="I389" s="349"/>
      <c r="J389" s="349"/>
      <c r="K389" s="349"/>
      <c r="L389" s="350"/>
      <c r="M389" s="350"/>
      <c r="N389" s="351"/>
      <c r="O389" s="349"/>
      <c r="P389" s="347"/>
      <c r="Q389" s="151"/>
    </row>
    <row r="390" ht="12.0" customHeight="1">
      <c r="B390" s="1"/>
      <c r="C390" s="347"/>
      <c r="D390" s="161"/>
      <c r="E390" s="348"/>
      <c r="F390" s="1"/>
      <c r="G390" s="1"/>
      <c r="H390" s="1"/>
      <c r="I390" s="349"/>
      <c r="J390" s="349"/>
      <c r="K390" s="349"/>
      <c r="L390" s="350"/>
      <c r="M390" s="350"/>
      <c r="N390" s="351"/>
      <c r="O390" s="349"/>
      <c r="P390" s="347"/>
      <c r="Q390" s="151"/>
    </row>
    <row r="391" ht="12.0" customHeight="1">
      <c r="B391" s="1"/>
      <c r="C391" s="347"/>
      <c r="D391" s="161"/>
      <c r="E391" s="348"/>
      <c r="F391" s="1"/>
      <c r="G391" s="1"/>
      <c r="H391" s="1"/>
      <c r="I391" s="349"/>
      <c r="J391" s="349"/>
      <c r="K391" s="349"/>
      <c r="L391" s="350"/>
      <c r="M391" s="350"/>
      <c r="N391" s="351"/>
      <c r="O391" s="349"/>
      <c r="P391" s="347"/>
      <c r="Q391" s="151"/>
    </row>
    <row r="392" ht="12.0" customHeight="1">
      <c r="B392" s="1"/>
      <c r="C392" s="347"/>
      <c r="D392" s="161"/>
      <c r="E392" s="348"/>
      <c r="F392" s="1"/>
      <c r="G392" s="1"/>
      <c r="H392" s="1"/>
      <c r="I392" s="349"/>
      <c r="J392" s="349"/>
      <c r="K392" s="349"/>
      <c r="L392" s="350"/>
      <c r="M392" s="350"/>
      <c r="N392" s="351"/>
      <c r="O392" s="349"/>
      <c r="P392" s="347"/>
      <c r="Q392" s="151"/>
    </row>
    <row r="393" ht="12.0" customHeight="1">
      <c r="B393" s="1"/>
      <c r="C393" s="347"/>
      <c r="D393" s="161"/>
      <c r="E393" s="348"/>
      <c r="F393" s="1"/>
      <c r="G393" s="1"/>
      <c r="H393" s="1"/>
      <c r="I393" s="349"/>
      <c r="J393" s="349"/>
      <c r="K393" s="349"/>
      <c r="L393" s="350"/>
      <c r="M393" s="350"/>
      <c r="N393" s="351"/>
      <c r="O393" s="349"/>
      <c r="P393" s="347"/>
      <c r="Q393" s="151"/>
    </row>
    <row r="394" ht="12.0" customHeight="1">
      <c r="B394" s="1"/>
      <c r="C394" s="347"/>
      <c r="D394" s="161"/>
      <c r="E394" s="348"/>
      <c r="F394" s="1"/>
      <c r="G394" s="1"/>
      <c r="H394" s="1"/>
      <c r="I394" s="349"/>
      <c r="J394" s="349"/>
      <c r="K394" s="349"/>
      <c r="L394" s="350"/>
      <c r="M394" s="350"/>
      <c r="N394" s="351"/>
      <c r="O394" s="349"/>
      <c r="P394" s="347"/>
      <c r="Q394" s="151"/>
    </row>
    <row r="395" ht="12.0" customHeight="1">
      <c r="B395" s="1"/>
      <c r="C395" s="347"/>
      <c r="D395" s="161"/>
      <c r="E395" s="348"/>
      <c r="F395" s="1"/>
      <c r="G395" s="1"/>
      <c r="H395" s="1"/>
      <c r="I395" s="349"/>
      <c r="J395" s="349"/>
      <c r="K395" s="349"/>
      <c r="L395" s="350"/>
      <c r="M395" s="350"/>
      <c r="N395" s="351"/>
      <c r="O395" s="349"/>
      <c r="P395" s="347"/>
      <c r="Q395" s="151"/>
    </row>
    <row r="396" ht="12.0" customHeight="1">
      <c r="B396" s="1"/>
      <c r="C396" s="347"/>
      <c r="D396" s="161"/>
      <c r="E396" s="348"/>
      <c r="F396" s="1"/>
      <c r="G396" s="1"/>
      <c r="H396" s="1"/>
      <c r="I396" s="349"/>
      <c r="J396" s="349"/>
      <c r="K396" s="349"/>
      <c r="L396" s="350"/>
      <c r="M396" s="350"/>
      <c r="N396" s="351"/>
      <c r="O396" s="349"/>
      <c r="P396" s="347"/>
      <c r="Q396" s="151"/>
    </row>
    <row r="397" ht="12.0" customHeight="1">
      <c r="B397" s="1"/>
      <c r="C397" s="347"/>
      <c r="D397" s="161"/>
      <c r="E397" s="348"/>
      <c r="F397" s="1"/>
      <c r="G397" s="1"/>
      <c r="H397" s="1"/>
      <c r="I397" s="349"/>
      <c r="J397" s="349"/>
      <c r="K397" s="349"/>
      <c r="L397" s="350"/>
      <c r="M397" s="350"/>
      <c r="N397" s="351"/>
      <c r="O397" s="349"/>
      <c r="P397" s="347"/>
      <c r="Q397" s="151"/>
    </row>
    <row r="398" ht="12.0" customHeight="1">
      <c r="B398" s="1"/>
      <c r="C398" s="347"/>
      <c r="D398" s="161"/>
      <c r="E398" s="348"/>
      <c r="F398" s="1"/>
      <c r="G398" s="1"/>
      <c r="H398" s="1"/>
      <c r="I398" s="349"/>
      <c r="J398" s="349"/>
      <c r="K398" s="349"/>
      <c r="L398" s="350"/>
      <c r="M398" s="350"/>
      <c r="N398" s="351"/>
      <c r="O398" s="349"/>
      <c r="P398" s="347"/>
      <c r="Q398" s="151"/>
    </row>
    <row r="399" ht="12.0" customHeight="1">
      <c r="B399" s="1"/>
      <c r="C399" s="347"/>
      <c r="D399" s="161"/>
      <c r="E399" s="348"/>
      <c r="F399" s="1"/>
      <c r="G399" s="1"/>
      <c r="H399" s="1"/>
      <c r="I399" s="349"/>
      <c r="J399" s="349"/>
      <c r="K399" s="349"/>
      <c r="L399" s="350"/>
      <c r="M399" s="350"/>
      <c r="N399" s="351"/>
      <c r="O399" s="349"/>
      <c r="P399" s="347"/>
      <c r="Q399" s="151"/>
    </row>
    <row r="400" ht="12.0" customHeight="1">
      <c r="B400" s="1"/>
      <c r="C400" s="347"/>
      <c r="D400" s="161"/>
      <c r="E400" s="348"/>
      <c r="F400" s="1"/>
      <c r="G400" s="1"/>
      <c r="H400" s="1"/>
      <c r="I400" s="349"/>
      <c r="J400" s="349"/>
      <c r="K400" s="349"/>
      <c r="L400" s="350"/>
      <c r="M400" s="350"/>
      <c r="N400" s="351"/>
      <c r="O400" s="349"/>
      <c r="P400" s="347"/>
      <c r="Q400" s="151"/>
    </row>
    <row r="401" ht="12.0" customHeight="1">
      <c r="B401" s="1"/>
      <c r="C401" s="347"/>
      <c r="D401" s="161"/>
      <c r="E401" s="348"/>
      <c r="F401" s="1"/>
      <c r="G401" s="1"/>
      <c r="H401" s="1"/>
      <c r="I401" s="349"/>
      <c r="J401" s="349"/>
      <c r="K401" s="349"/>
      <c r="L401" s="350"/>
      <c r="M401" s="350"/>
      <c r="N401" s="351"/>
      <c r="O401" s="349"/>
      <c r="P401" s="347"/>
      <c r="Q401" s="151"/>
    </row>
    <row r="402" ht="12.0" customHeight="1">
      <c r="B402" s="1"/>
      <c r="C402" s="347"/>
      <c r="D402" s="161"/>
      <c r="E402" s="348"/>
      <c r="F402" s="1"/>
      <c r="G402" s="1"/>
      <c r="H402" s="1"/>
      <c r="I402" s="349"/>
      <c r="J402" s="349"/>
      <c r="K402" s="349"/>
      <c r="L402" s="350"/>
      <c r="M402" s="350"/>
      <c r="N402" s="351"/>
      <c r="O402" s="349"/>
      <c r="P402" s="347"/>
      <c r="Q402" s="151"/>
    </row>
    <row r="403" ht="12.0" customHeight="1">
      <c r="B403" s="1"/>
      <c r="C403" s="347"/>
      <c r="D403" s="161"/>
      <c r="E403" s="348"/>
      <c r="F403" s="1"/>
      <c r="G403" s="1"/>
      <c r="H403" s="1"/>
      <c r="I403" s="349"/>
      <c r="J403" s="349"/>
      <c r="K403" s="349"/>
      <c r="L403" s="350"/>
      <c r="M403" s="350"/>
      <c r="N403" s="351"/>
      <c r="O403" s="349"/>
      <c r="P403" s="347"/>
      <c r="Q403" s="151"/>
    </row>
    <row r="404" ht="12.0" customHeight="1">
      <c r="B404" s="1"/>
      <c r="C404" s="347"/>
      <c r="D404" s="161"/>
      <c r="E404" s="348"/>
      <c r="F404" s="1"/>
      <c r="G404" s="1"/>
      <c r="H404" s="1"/>
      <c r="I404" s="349"/>
      <c r="J404" s="349"/>
      <c r="K404" s="349"/>
      <c r="L404" s="350"/>
      <c r="M404" s="350"/>
      <c r="N404" s="351"/>
      <c r="O404" s="349"/>
      <c r="P404" s="347"/>
      <c r="Q404" s="151"/>
    </row>
    <row r="405" ht="12.0" customHeight="1">
      <c r="B405" s="1"/>
      <c r="C405" s="347"/>
      <c r="D405" s="161"/>
      <c r="E405" s="348"/>
      <c r="F405" s="1"/>
      <c r="G405" s="1"/>
      <c r="H405" s="1"/>
      <c r="I405" s="349"/>
      <c r="J405" s="349"/>
      <c r="K405" s="349"/>
      <c r="L405" s="350"/>
      <c r="M405" s="350"/>
      <c r="N405" s="351"/>
      <c r="O405" s="349"/>
      <c r="P405" s="347"/>
      <c r="Q405" s="151"/>
    </row>
    <row r="406" ht="12.0" customHeight="1">
      <c r="B406" s="1"/>
      <c r="C406" s="347"/>
      <c r="D406" s="161"/>
      <c r="E406" s="348"/>
      <c r="F406" s="1"/>
      <c r="G406" s="1"/>
      <c r="H406" s="1"/>
      <c r="I406" s="349"/>
      <c r="J406" s="349"/>
      <c r="K406" s="349"/>
      <c r="L406" s="350"/>
      <c r="M406" s="350"/>
      <c r="N406" s="351"/>
      <c r="O406" s="349"/>
      <c r="P406" s="347"/>
      <c r="Q406" s="151"/>
    </row>
    <row r="407" ht="12.0" customHeight="1">
      <c r="B407" s="1"/>
      <c r="C407" s="347"/>
      <c r="D407" s="161"/>
      <c r="E407" s="348"/>
      <c r="F407" s="1"/>
      <c r="G407" s="1"/>
      <c r="H407" s="1"/>
      <c r="I407" s="349"/>
      <c r="J407" s="349"/>
      <c r="K407" s="349"/>
      <c r="L407" s="350"/>
      <c r="M407" s="350"/>
      <c r="N407" s="351"/>
      <c r="O407" s="349"/>
      <c r="P407" s="347"/>
      <c r="Q407" s="151"/>
    </row>
    <row r="408" ht="12.0" customHeight="1">
      <c r="B408" s="1"/>
      <c r="C408" s="347"/>
      <c r="D408" s="161"/>
      <c r="E408" s="348"/>
      <c r="F408" s="1"/>
      <c r="G408" s="1"/>
      <c r="H408" s="1"/>
      <c r="I408" s="349"/>
      <c r="J408" s="349"/>
      <c r="K408" s="349"/>
      <c r="L408" s="350"/>
      <c r="M408" s="350"/>
      <c r="N408" s="351"/>
      <c r="O408" s="349"/>
      <c r="P408" s="347"/>
      <c r="Q408" s="151"/>
    </row>
    <row r="409" ht="12.0" customHeight="1">
      <c r="B409" s="1"/>
      <c r="C409" s="347"/>
      <c r="D409" s="161"/>
      <c r="E409" s="348"/>
      <c r="F409" s="1"/>
      <c r="G409" s="1"/>
      <c r="H409" s="1"/>
      <c r="I409" s="349"/>
      <c r="J409" s="349"/>
      <c r="K409" s="349"/>
      <c r="L409" s="350"/>
      <c r="M409" s="350"/>
      <c r="N409" s="351"/>
      <c r="O409" s="349"/>
      <c r="P409" s="347"/>
      <c r="Q409" s="151"/>
    </row>
    <row r="410" ht="12.0" customHeight="1">
      <c r="B410" s="1"/>
      <c r="C410" s="347"/>
      <c r="D410" s="161"/>
      <c r="E410" s="348"/>
      <c r="F410" s="1"/>
      <c r="G410" s="1"/>
      <c r="H410" s="1"/>
      <c r="I410" s="349"/>
      <c r="J410" s="349"/>
      <c r="K410" s="349"/>
      <c r="L410" s="350"/>
      <c r="M410" s="350"/>
      <c r="N410" s="351"/>
      <c r="O410" s="349"/>
      <c r="P410" s="347"/>
      <c r="Q410" s="151"/>
    </row>
    <row r="411" ht="12.0" customHeight="1">
      <c r="B411" s="1"/>
      <c r="C411" s="347"/>
      <c r="D411" s="161"/>
      <c r="E411" s="348"/>
      <c r="F411" s="1"/>
      <c r="G411" s="1"/>
      <c r="H411" s="1"/>
      <c r="I411" s="349"/>
      <c r="J411" s="349"/>
      <c r="K411" s="349"/>
      <c r="L411" s="350"/>
      <c r="M411" s="350"/>
      <c r="N411" s="351"/>
      <c r="O411" s="349"/>
      <c r="P411" s="347"/>
      <c r="Q411" s="151"/>
    </row>
    <row r="412" ht="12.0" customHeight="1">
      <c r="B412" s="1"/>
      <c r="C412" s="347"/>
      <c r="D412" s="161"/>
      <c r="E412" s="348"/>
      <c r="F412" s="1"/>
      <c r="G412" s="1"/>
      <c r="H412" s="1"/>
      <c r="I412" s="349"/>
      <c r="J412" s="349"/>
      <c r="K412" s="349"/>
      <c r="L412" s="350"/>
      <c r="M412" s="350"/>
      <c r="N412" s="351"/>
      <c r="O412" s="349"/>
      <c r="P412" s="347"/>
      <c r="Q412" s="151"/>
    </row>
    <row r="413" ht="12.0" customHeight="1">
      <c r="B413" s="1"/>
      <c r="C413" s="347"/>
      <c r="D413" s="161"/>
      <c r="E413" s="348"/>
      <c r="F413" s="1"/>
      <c r="G413" s="1"/>
      <c r="H413" s="1"/>
      <c r="I413" s="349"/>
      <c r="J413" s="349"/>
      <c r="K413" s="349"/>
      <c r="L413" s="350"/>
      <c r="M413" s="350"/>
      <c r="N413" s="351"/>
      <c r="O413" s="349"/>
      <c r="P413" s="347"/>
      <c r="Q413" s="151"/>
    </row>
    <row r="414" ht="12.0" customHeight="1">
      <c r="B414" s="1"/>
      <c r="C414" s="347"/>
      <c r="D414" s="161"/>
      <c r="E414" s="348"/>
      <c r="F414" s="1"/>
      <c r="G414" s="1"/>
      <c r="H414" s="1"/>
      <c r="I414" s="349"/>
      <c r="J414" s="349"/>
      <c r="K414" s="349"/>
      <c r="L414" s="350"/>
      <c r="M414" s="350"/>
      <c r="N414" s="351"/>
      <c r="O414" s="349"/>
      <c r="P414" s="347"/>
      <c r="Q414" s="151"/>
    </row>
    <row r="415" ht="12.0" customHeight="1">
      <c r="B415" s="1"/>
      <c r="C415" s="347"/>
      <c r="D415" s="161"/>
      <c r="E415" s="348"/>
      <c r="F415" s="1"/>
      <c r="G415" s="1"/>
      <c r="H415" s="1"/>
      <c r="I415" s="349"/>
      <c r="J415" s="349"/>
      <c r="K415" s="349"/>
      <c r="L415" s="350"/>
      <c r="M415" s="350"/>
      <c r="N415" s="351"/>
      <c r="O415" s="349"/>
      <c r="P415" s="347"/>
      <c r="Q415" s="151"/>
    </row>
    <row r="416" ht="12.0" customHeight="1">
      <c r="B416" s="1"/>
      <c r="C416" s="347"/>
      <c r="D416" s="161"/>
      <c r="E416" s="348"/>
      <c r="F416" s="1"/>
      <c r="G416" s="1"/>
      <c r="H416" s="1"/>
      <c r="I416" s="349"/>
      <c r="J416" s="349"/>
      <c r="K416" s="349"/>
      <c r="L416" s="350"/>
      <c r="M416" s="350"/>
      <c r="N416" s="351"/>
      <c r="O416" s="349"/>
      <c r="P416" s="347"/>
      <c r="Q416" s="151"/>
    </row>
    <row r="417" ht="12.0" customHeight="1">
      <c r="B417" s="1"/>
      <c r="C417" s="347"/>
      <c r="D417" s="161"/>
      <c r="E417" s="348"/>
      <c r="F417" s="1"/>
      <c r="G417" s="1"/>
      <c r="H417" s="1"/>
      <c r="I417" s="349"/>
      <c r="J417" s="349"/>
      <c r="K417" s="349"/>
      <c r="L417" s="350"/>
      <c r="M417" s="350"/>
      <c r="N417" s="351"/>
      <c r="O417" s="349"/>
      <c r="P417" s="347"/>
      <c r="Q417" s="151"/>
    </row>
    <row r="418" ht="12.0" customHeight="1">
      <c r="B418" s="1"/>
      <c r="C418" s="347"/>
      <c r="D418" s="161"/>
      <c r="E418" s="348"/>
      <c r="F418" s="1"/>
      <c r="G418" s="1"/>
      <c r="H418" s="1"/>
      <c r="I418" s="349"/>
      <c r="J418" s="349"/>
      <c r="K418" s="349"/>
      <c r="L418" s="350"/>
      <c r="M418" s="350"/>
      <c r="N418" s="351"/>
      <c r="O418" s="349"/>
      <c r="P418" s="347"/>
      <c r="Q418" s="151"/>
    </row>
    <row r="419" ht="12.0" customHeight="1">
      <c r="B419" s="1"/>
      <c r="C419" s="347"/>
      <c r="D419" s="161"/>
      <c r="E419" s="348"/>
      <c r="F419" s="1"/>
      <c r="G419" s="1"/>
      <c r="H419" s="1"/>
      <c r="I419" s="349"/>
      <c r="J419" s="349"/>
      <c r="K419" s="349"/>
      <c r="L419" s="350"/>
      <c r="M419" s="350"/>
      <c r="N419" s="351"/>
      <c r="O419" s="349"/>
      <c r="P419" s="347"/>
      <c r="Q419" s="151"/>
    </row>
    <row r="420" ht="12.0" customHeight="1">
      <c r="B420" s="1"/>
      <c r="C420" s="347"/>
      <c r="D420" s="161"/>
      <c r="E420" s="348"/>
      <c r="F420" s="1"/>
      <c r="G420" s="1"/>
      <c r="H420" s="1"/>
      <c r="I420" s="349"/>
      <c r="J420" s="349"/>
      <c r="K420" s="349"/>
      <c r="L420" s="350"/>
      <c r="M420" s="350"/>
      <c r="N420" s="351"/>
      <c r="O420" s="349"/>
      <c r="P420" s="347"/>
      <c r="Q420" s="151"/>
    </row>
    <row r="421" ht="12.0" customHeight="1">
      <c r="B421" s="1"/>
      <c r="C421" s="347"/>
      <c r="D421" s="161"/>
      <c r="E421" s="348"/>
      <c r="F421" s="1"/>
      <c r="G421" s="1"/>
      <c r="H421" s="1"/>
      <c r="I421" s="349"/>
      <c r="J421" s="349"/>
      <c r="K421" s="349"/>
      <c r="L421" s="350"/>
      <c r="M421" s="350"/>
      <c r="N421" s="351"/>
      <c r="O421" s="349"/>
      <c r="P421" s="347"/>
      <c r="Q421" s="151"/>
    </row>
    <row r="422" ht="12.0" customHeight="1">
      <c r="B422" s="1"/>
      <c r="C422" s="347"/>
      <c r="D422" s="161"/>
      <c r="E422" s="348"/>
      <c r="F422" s="1"/>
      <c r="G422" s="1"/>
      <c r="H422" s="1"/>
      <c r="I422" s="349"/>
      <c r="J422" s="349"/>
      <c r="K422" s="349"/>
      <c r="L422" s="350"/>
      <c r="M422" s="350"/>
      <c r="N422" s="351"/>
      <c r="O422" s="349"/>
      <c r="P422" s="347"/>
      <c r="Q422" s="151"/>
    </row>
    <row r="423" ht="12.0" customHeight="1">
      <c r="B423" s="1"/>
      <c r="C423" s="347"/>
      <c r="D423" s="161"/>
      <c r="E423" s="348"/>
      <c r="F423" s="1"/>
      <c r="G423" s="1"/>
      <c r="H423" s="1"/>
      <c r="I423" s="349"/>
      <c r="J423" s="349"/>
      <c r="K423" s="349"/>
      <c r="L423" s="350"/>
      <c r="M423" s="350"/>
      <c r="N423" s="351"/>
      <c r="O423" s="349"/>
      <c r="P423" s="347"/>
      <c r="Q423" s="151"/>
    </row>
    <row r="424" ht="12.0" customHeight="1">
      <c r="B424" s="1"/>
      <c r="C424" s="347"/>
      <c r="D424" s="161"/>
      <c r="E424" s="348"/>
      <c r="F424" s="1"/>
      <c r="G424" s="1"/>
      <c r="H424" s="1"/>
      <c r="I424" s="349"/>
      <c r="J424" s="349"/>
      <c r="K424" s="349"/>
      <c r="L424" s="350"/>
      <c r="M424" s="350"/>
      <c r="N424" s="351"/>
      <c r="O424" s="349"/>
      <c r="P424" s="347"/>
      <c r="Q424" s="151"/>
    </row>
    <row r="425" ht="12.0" customHeight="1">
      <c r="B425" s="1"/>
      <c r="C425" s="347"/>
      <c r="D425" s="161"/>
      <c r="E425" s="348"/>
      <c r="F425" s="1"/>
      <c r="G425" s="1"/>
      <c r="H425" s="1"/>
      <c r="I425" s="349"/>
      <c r="J425" s="349"/>
      <c r="K425" s="349"/>
      <c r="L425" s="350"/>
      <c r="M425" s="350"/>
      <c r="N425" s="351"/>
      <c r="O425" s="349"/>
      <c r="P425" s="347"/>
      <c r="Q425" s="151"/>
    </row>
    <row r="426" ht="12.0" customHeight="1">
      <c r="B426" s="1"/>
      <c r="C426" s="347"/>
      <c r="D426" s="161"/>
      <c r="E426" s="348"/>
      <c r="F426" s="1"/>
      <c r="G426" s="1"/>
      <c r="H426" s="1"/>
      <c r="I426" s="349"/>
      <c r="J426" s="349"/>
      <c r="K426" s="349"/>
      <c r="L426" s="350"/>
      <c r="M426" s="350"/>
      <c r="N426" s="351"/>
      <c r="O426" s="349"/>
      <c r="P426" s="347"/>
      <c r="Q426" s="151"/>
    </row>
    <row r="427" ht="12.0" customHeight="1">
      <c r="B427" s="1"/>
      <c r="C427" s="347"/>
      <c r="D427" s="161"/>
      <c r="E427" s="348"/>
      <c r="F427" s="1"/>
      <c r="G427" s="1"/>
      <c r="H427" s="1"/>
      <c r="I427" s="349"/>
      <c r="J427" s="349"/>
      <c r="K427" s="349"/>
      <c r="L427" s="350"/>
      <c r="M427" s="350"/>
      <c r="N427" s="351"/>
      <c r="O427" s="349"/>
      <c r="P427" s="347"/>
      <c r="Q427" s="151"/>
    </row>
    <row r="428" ht="12.0" customHeight="1">
      <c r="B428" s="1"/>
      <c r="C428" s="347"/>
      <c r="D428" s="161"/>
      <c r="E428" s="348"/>
      <c r="F428" s="1"/>
      <c r="G428" s="1"/>
      <c r="H428" s="1"/>
      <c r="I428" s="349"/>
      <c r="J428" s="349"/>
      <c r="K428" s="349"/>
      <c r="L428" s="350"/>
      <c r="M428" s="350"/>
      <c r="N428" s="351"/>
      <c r="O428" s="349"/>
      <c r="P428" s="347"/>
      <c r="Q428" s="151"/>
    </row>
    <row r="429" ht="12.0" customHeight="1">
      <c r="B429" s="1"/>
      <c r="C429" s="347"/>
      <c r="D429" s="161"/>
      <c r="E429" s="348"/>
      <c r="F429" s="1"/>
      <c r="G429" s="1"/>
      <c r="H429" s="1"/>
      <c r="I429" s="349"/>
      <c r="J429" s="349"/>
      <c r="K429" s="349"/>
      <c r="L429" s="350"/>
      <c r="M429" s="350"/>
      <c r="N429" s="351"/>
      <c r="O429" s="349"/>
      <c r="P429" s="347"/>
      <c r="Q429" s="151"/>
    </row>
    <row r="430" ht="12.0" customHeight="1">
      <c r="B430" s="1"/>
      <c r="C430" s="347"/>
      <c r="D430" s="161"/>
      <c r="E430" s="348"/>
      <c r="F430" s="1"/>
      <c r="G430" s="1"/>
      <c r="H430" s="1"/>
      <c r="I430" s="349"/>
      <c r="J430" s="349"/>
      <c r="K430" s="349"/>
      <c r="L430" s="350"/>
      <c r="M430" s="350"/>
      <c r="N430" s="351"/>
      <c r="O430" s="349"/>
      <c r="P430" s="347"/>
      <c r="Q430" s="151"/>
    </row>
    <row r="431" ht="12.0" customHeight="1">
      <c r="B431" s="1"/>
      <c r="C431" s="347"/>
      <c r="D431" s="161"/>
      <c r="E431" s="348"/>
      <c r="F431" s="1"/>
      <c r="G431" s="1"/>
      <c r="H431" s="1"/>
      <c r="I431" s="349"/>
      <c r="J431" s="349"/>
      <c r="K431" s="349"/>
      <c r="L431" s="350"/>
      <c r="M431" s="350"/>
      <c r="N431" s="351"/>
      <c r="O431" s="349"/>
      <c r="P431" s="347"/>
      <c r="Q431" s="151"/>
    </row>
    <row r="432" ht="12.0" customHeight="1">
      <c r="B432" s="1"/>
      <c r="C432" s="347"/>
      <c r="D432" s="161"/>
      <c r="E432" s="348"/>
      <c r="F432" s="1"/>
      <c r="G432" s="1"/>
      <c r="H432" s="1"/>
      <c r="I432" s="349"/>
      <c r="J432" s="349"/>
      <c r="K432" s="349"/>
      <c r="L432" s="350"/>
      <c r="M432" s="350"/>
      <c r="N432" s="351"/>
      <c r="O432" s="349"/>
      <c r="P432" s="347"/>
      <c r="Q432" s="151"/>
    </row>
    <row r="433" ht="12.0" customHeight="1">
      <c r="B433" s="1"/>
      <c r="C433" s="347"/>
      <c r="D433" s="161"/>
      <c r="E433" s="348"/>
      <c r="F433" s="1"/>
      <c r="G433" s="1"/>
      <c r="H433" s="1"/>
      <c r="I433" s="349"/>
      <c r="J433" s="349"/>
      <c r="K433" s="349"/>
      <c r="L433" s="350"/>
      <c r="M433" s="350"/>
      <c r="N433" s="351"/>
      <c r="O433" s="349"/>
      <c r="P433" s="347"/>
      <c r="Q433" s="151"/>
    </row>
    <row r="434" ht="12.0" customHeight="1">
      <c r="B434" s="1"/>
      <c r="C434" s="347"/>
      <c r="D434" s="161"/>
      <c r="E434" s="348"/>
      <c r="F434" s="1"/>
      <c r="G434" s="1"/>
      <c r="H434" s="1"/>
      <c r="I434" s="349"/>
      <c r="J434" s="349"/>
      <c r="K434" s="349"/>
      <c r="L434" s="350"/>
      <c r="M434" s="350"/>
      <c r="N434" s="351"/>
      <c r="O434" s="349"/>
      <c r="P434" s="347"/>
      <c r="Q434" s="151"/>
    </row>
    <row r="435" ht="12.0" customHeight="1">
      <c r="B435" s="1"/>
      <c r="C435" s="347"/>
      <c r="D435" s="161"/>
      <c r="E435" s="348"/>
      <c r="F435" s="1"/>
      <c r="G435" s="1"/>
      <c r="H435" s="1"/>
      <c r="I435" s="349"/>
      <c r="J435" s="349"/>
      <c r="K435" s="349"/>
      <c r="L435" s="350"/>
      <c r="M435" s="350"/>
      <c r="N435" s="351"/>
      <c r="O435" s="349"/>
      <c r="P435" s="347"/>
      <c r="Q435" s="151"/>
    </row>
    <row r="436" ht="12.0" customHeight="1">
      <c r="B436" s="1"/>
      <c r="C436" s="347"/>
      <c r="D436" s="161"/>
      <c r="E436" s="348"/>
      <c r="F436" s="1"/>
      <c r="G436" s="1"/>
      <c r="H436" s="1"/>
      <c r="I436" s="349"/>
      <c r="J436" s="349"/>
      <c r="K436" s="349"/>
      <c r="L436" s="350"/>
      <c r="M436" s="350"/>
      <c r="N436" s="351"/>
      <c r="O436" s="349"/>
      <c r="P436" s="347"/>
      <c r="Q436" s="151"/>
    </row>
    <row r="437" ht="12.0" customHeight="1">
      <c r="B437" s="1"/>
      <c r="C437" s="347"/>
      <c r="D437" s="161"/>
      <c r="E437" s="348"/>
      <c r="F437" s="1"/>
      <c r="G437" s="1"/>
      <c r="H437" s="1"/>
      <c r="I437" s="349"/>
      <c r="J437" s="349"/>
      <c r="K437" s="349"/>
      <c r="L437" s="350"/>
      <c r="M437" s="350"/>
      <c r="N437" s="351"/>
      <c r="O437" s="349"/>
      <c r="P437" s="347"/>
      <c r="Q437" s="151"/>
    </row>
    <row r="438" ht="12.0" customHeight="1">
      <c r="B438" s="1"/>
      <c r="C438" s="347"/>
      <c r="D438" s="161"/>
      <c r="E438" s="348"/>
      <c r="F438" s="1"/>
      <c r="G438" s="1"/>
      <c r="H438" s="1"/>
      <c r="I438" s="349"/>
      <c r="J438" s="349"/>
      <c r="K438" s="349"/>
      <c r="L438" s="350"/>
      <c r="M438" s="350"/>
      <c r="N438" s="351"/>
      <c r="O438" s="349"/>
      <c r="P438" s="347"/>
      <c r="Q438" s="151"/>
    </row>
    <row r="439" ht="12.0" customHeight="1">
      <c r="B439" s="1"/>
      <c r="C439" s="347"/>
      <c r="D439" s="161"/>
      <c r="E439" s="348"/>
      <c r="F439" s="1"/>
      <c r="G439" s="1"/>
      <c r="H439" s="1"/>
      <c r="I439" s="349"/>
      <c r="J439" s="349"/>
      <c r="K439" s="349"/>
      <c r="L439" s="350"/>
      <c r="M439" s="350"/>
      <c r="N439" s="351"/>
      <c r="O439" s="349"/>
      <c r="P439" s="347"/>
      <c r="Q439" s="151"/>
    </row>
    <row r="440" ht="12.0" customHeight="1">
      <c r="B440" s="1"/>
      <c r="C440" s="347"/>
      <c r="D440" s="161"/>
      <c r="E440" s="348"/>
      <c r="F440" s="1"/>
      <c r="G440" s="1"/>
      <c r="H440" s="1"/>
      <c r="I440" s="349"/>
      <c r="J440" s="349"/>
      <c r="K440" s="349"/>
      <c r="L440" s="350"/>
      <c r="M440" s="350"/>
      <c r="N440" s="351"/>
      <c r="O440" s="349"/>
      <c r="P440" s="347"/>
      <c r="Q440" s="151"/>
    </row>
    <row r="441" ht="12.0" customHeight="1">
      <c r="B441" s="1"/>
      <c r="C441" s="347"/>
      <c r="D441" s="161"/>
      <c r="E441" s="348"/>
      <c r="F441" s="1"/>
      <c r="G441" s="1"/>
      <c r="H441" s="1"/>
      <c r="I441" s="349"/>
      <c r="J441" s="349"/>
      <c r="K441" s="349"/>
      <c r="L441" s="350"/>
      <c r="M441" s="350"/>
      <c r="N441" s="351"/>
      <c r="O441" s="349"/>
      <c r="P441" s="347"/>
      <c r="Q441" s="151"/>
    </row>
    <row r="442" ht="12.0" customHeight="1">
      <c r="B442" s="1"/>
      <c r="C442" s="347"/>
      <c r="D442" s="161"/>
      <c r="E442" s="348"/>
      <c r="F442" s="1"/>
      <c r="G442" s="1"/>
      <c r="H442" s="1"/>
      <c r="I442" s="349"/>
      <c r="J442" s="349"/>
      <c r="K442" s="349"/>
      <c r="L442" s="350"/>
      <c r="M442" s="350"/>
      <c r="N442" s="351"/>
      <c r="O442" s="349"/>
      <c r="P442" s="347"/>
      <c r="Q442" s="151"/>
    </row>
    <row r="443" ht="12.0" customHeight="1">
      <c r="B443" s="1"/>
      <c r="C443" s="347"/>
      <c r="D443" s="161"/>
      <c r="E443" s="348"/>
      <c r="F443" s="1"/>
      <c r="G443" s="1"/>
      <c r="H443" s="1"/>
      <c r="I443" s="349"/>
      <c r="J443" s="349"/>
      <c r="K443" s="349"/>
      <c r="L443" s="350"/>
      <c r="M443" s="350"/>
      <c r="N443" s="351"/>
      <c r="O443" s="349"/>
      <c r="P443" s="347"/>
      <c r="Q443" s="151"/>
    </row>
    <row r="444" ht="12.0" customHeight="1">
      <c r="B444" s="1"/>
      <c r="C444" s="347"/>
      <c r="D444" s="161"/>
      <c r="E444" s="348"/>
      <c r="F444" s="1"/>
      <c r="G444" s="1"/>
      <c r="H444" s="1"/>
      <c r="I444" s="349"/>
      <c r="J444" s="349"/>
      <c r="K444" s="349"/>
      <c r="L444" s="350"/>
      <c r="M444" s="350"/>
      <c r="N444" s="351"/>
      <c r="O444" s="349"/>
      <c r="P444" s="347"/>
      <c r="Q444" s="151"/>
    </row>
    <row r="445" ht="12.0" customHeight="1">
      <c r="B445" s="1"/>
      <c r="C445" s="347"/>
      <c r="D445" s="161"/>
      <c r="E445" s="348"/>
      <c r="F445" s="1"/>
      <c r="G445" s="1"/>
      <c r="H445" s="1"/>
      <c r="I445" s="349"/>
      <c r="J445" s="349"/>
      <c r="K445" s="349"/>
      <c r="L445" s="350"/>
      <c r="M445" s="350"/>
      <c r="N445" s="351"/>
      <c r="O445" s="349"/>
      <c r="P445" s="347"/>
      <c r="Q445" s="151"/>
    </row>
    <row r="446" ht="12.0" customHeight="1">
      <c r="B446" s="1"/>
      <c r="C446" s="347"/>
      <c r="D446" s="161"/>
      <c r="E446" s="348"/>
      <c r="F446" s="1"/>
      <c r="G446" s="1"/>
      <c r="H446" s="1"/>
      <c r="I446" s="349"/>
      <c r="J446" s="349"/>
      <c r="K446" s="349"/>
      <c r="L446" s="350"/>
      <c r="M446" s="350"/>
      <c r="N446" s="351"/>
      <c r="O446" s="349"/>
      <c r="P446" s="347"/>
      <c r="Q446" s="151"/>
    </row>
    <row r="447" ht="12.0" customHeight="1">
      <c r="B447" s="1"/>
      <c r="C447" s="347"/>
      <c r="D447" s="161"/>
      <c r="E447" s="348"/>
      <c r="F447" s="1"/>
      <c r="G447" s="1"/>
      <c r="H447" s="1"/>
      <c r="I447" s="349"/>
      <c r="J447" s="349"/>
      <c r="K447" s="349"/>
      <c r="L447" s="350"/>
      <c r="M447" s="350"/>
      <c r="N447" s="351"/>
      <c r="O447" s="349"/>
      <c r="P447" s="347"/>
      <c r="Q447" s="151"/>
    </row>
    <row r="448" ht="12.0" customHeight="1">
      <c r="B448" s="1"/>
      <c r="C448" s="347"/>
      <c r="D448" s="161"/>
      <c r="E448" s="348"/>
      <c r="F448" s="1"/>
      <c r="G448" s="1"/>
      <c r="H448" s="1"/>
      <c r="I448" s="349"/>
      <c r="J448" s="349"/>
      <c r="K448" s="349"/>
      <c r="L448" s="350"/>
      <c r="M448" s="350"/>
      <c r="N448" s="351"/>
      <c r="O448" s="349"/>
      <c r="P448" s="347"/>
      <c r="Q448" s="151"/>
    </row>
    <row r="449" ht="12.0" customHeight="1">
      <c r="B449" s="1"/>
      <c r="C449" s="347"/>
      <c r="D449" s="161"/>
      <c r="E449" s="348"/>
      <c r="F449" s="1"/>
      <c r="G449" s="1"/>
      <c r="H449" s="1"/>
      <c r="I449" s="349"/>
      <c r="J449" s="349"/>
      <c r="K449" s="349"/>
      <c r="L449" s="350"/>
      <c r="M449" s="350"/>
      <c r="N449" s="351"/>
      <c r="O449" s="349"/>
      <c r="P449" s="347"/>
      <c r="Q449" s="151"/>
    </row>
    <row r="450" ht="12.0" customHeight="1">
      <c r="B450" s="1"/>
      <c r="C450" s="347"/>
      <c r="D450" s="161"/>
      <c r="E450" s="348"/>
      <c r="F450" s="1"/>
      <c r="G450" s="1"/>
      <c r="H450" s="1"/>
      <c r="I450" s="349"/>
      <c r="J450" s="349"/>
      <c r="K450" s="349"/>
      <c r="L450" s="350"/>
      <c r="M450" s="350"/>
      <c r="N450" s="351"/>
      <c r="O450" s="349"/>
      <c r="P450" s="347"/>
      <c r="Q450" s="151"/>
    </row>
    <row r="451" ht="12.0" customHeight="1">
      <c r="B451" s="1"/>
      <c r="C451" s="347"/>
      <c r="D451" s="161"/>
      <c r="E451" s="348"/>
      <c r="F451" s="1"/>
      <c r="G451" s="1"/>
      <c r="H451" s="1"/>
      <c r="I451" s="349"/>
      <c r="J451" s="349"/>
      <c r="K451" s="349"/>
      <c r="L451" s="350"/>
      <c r="M451" s="350"/>
      <c r="N451" s="351"/>
      <c r="O451" s="349"/>
      <c r="P451" s="347"/>
      <c r="Q451" s="151"/>
    </row>
    <row r="452" ht="12.0" customHeight="1">
      <c r="B452" s="1"/>
      <c r="C452" s="347"/>
      <c r="D452" s="161"/>
      <c r="E452" s="348"/>
      <c r="F452" s="1"/>
      <c r="G452" s="1"/>
      <c r="H452" s="1"/>
      <c r="I452" s="349"/>
      <c r="J452" s="349"/>
      <c r="K452" s="349"/>
      <c r="L452" s="350"/>
      <c r="M452" s="350"/>
      <c r="N452" s="351"/>
      <c r="O452" s="349"/>
      <c r="P452" s="347"/>
      <c r="Q452" s="151"/>
    </row>
    <row r="453" ht="12.0" customHeight="1">
      <c r="B453" s="1"/>
      <c r="C453" s="347"/>
      <c r="D453" s="161"/>
      <c r="E453" s="348"/>
      <c r="F453" s="1"/>
      <c r="G453" s="1"/>
      <c r="H453" s="1"/>
      <c r="I453" s="349"/>
      <c r="J453" s="349"/>
      <c r="K453" s="349"/>
      <c r="L453" s="350"/>
      <c r="M453" s="350"/>
      <c r="N453" s="351"/>
      <c r="O453" s="349"/>
      <c r="P453" s="347"/>
      <c r="Q453" s="151"/>
    </row>
    <row r="454" ht="12.0" customHeight="1">
      <c r="B454" s="1"/>
      <c r="C454" s="347"/>
      <c r="D454" s="161"/>
      <c r="E454" s="348"/>
      <c r="F454" s="1"/>
      <c r="G454" s="1"/>
      <c r="H454" s="1"/>
      <c r="I454" s="349"/>
      <c r="J454" s="349"/>
      <c r="K454" s="349"/>
      <c r="L454" s="350"/>
      <c r="M454" s="350"/>
      <c r="N454" s="351"/>
      <c r="O454" s="349"/>
      <c r="P454" s="347"/>
      <c r="Q454" s="151"/>
    </row>
    <row r="455" ht="12.0" customHeight="1">
      <c r="B455" s="1"/>
      <c r="C455" s="347"/>
      <c r="D455" s="161"/>
      <c r="E455" s="348"/>
      <c r="F455" s="1"/>
      <c r="G455" s="1"/>
      <c r="H455" s="1"/>
      <c r="I455" s="349"/>
      <c r="J455" s="349"/>
      <c r="K455" s="349"/>
      <c r="L455" s="350"/>
      <c r="M455" s="350"/>
      <c r="N455" s="351"/>
      <c r="O455" s="349"/>
      <c r="P455" s="347"/>
      <c r="Q455" s="151"/>
    </row>
    <row r="456" ht="12.0" customHeight="1">
      <c r="B456" s="1"/>
      <c r="C456" s="347"/>
      <c r="D456" s="161"/>
      <c r="E456" s="348"/>
      <c r="F456" s="1"/>
      <c r="G456" s="1"/>
      <c r="H456" s="1"/>
      <c r="I456" s="349"/>
      <c r="J456" s="349"/>
      <c r="K456" s="349"/>
      <c r="L456" s="350"/>
      <c r="M456" s="350"/>
      <c r="N456" s="351"/>
      <c r="O456" s="349"/>
      <c r="P456" s="347"/>
      <c r="Q456" s="151"/>
    </row>
    <row r="457" ht="12.0" customHeight="1">
      <c r="B457" s="1"/>
      <c r="C457" s="347"/>
      <c r="D457" s="161"/>
      <c r="E457" s="348"/>
      <c r="F457" s="1"/>
      <c r="G457" s="1"/>
      <c r="H457" s="1"/>
      <c r="I457" s="349"/>
      <c r="J457" s="349"/>
      <c r="K457" s="349"/>
      <c r="L457" s="350"/>
      <c r="M457" s="350"/>
      <c r="N457" s="351"/>
      <c r="O457" s="349"/>
      <c r="P457" s="347"/>
      <c r="Q457" s="151"/>
    </row>
    <row r="458" ht="12.0" customHeight="1">
      <c r="B458" s="1"/>
      <c r="C458" s="347"/>
      <c r="D458" s="161"/>
      <c r="E458" s="348"/>
      <c r="F458" s="1"/>
      <c r="G458" s="1"/>
      <c r="H458" s="1"/>
      <c r="I458" s="349"/>
      <c r="J458" s="349"/>
      <c r="K458" s="349"/>
      <c r="L458" s="350"/>
      <c r="M458" s="350"/>
      <c r="N458" s="351"/>
      <c r="O458" s="349"/>
      <c r="P458" s="347"/>
      <c r="Q458" s="151"/>
    </row>
    <row r="459" ht="12.0" customHeight="1">
      <c r="B459" s="1"/>
      <c r="C459" s="347"/>
      <c r="D459" s="161"/>
      <c r="E459" s="348"/>
      <c r="F459" s="1"/>
      <c r="G459" s="1"/>
      <c r="H459" s="1"/>
      <c r="I459" s="349"/>
      <c r="J459" s="349"/>
      <c r="K459" s="349"/>
      <c r="L459" s="350"/>
      <c r="M459" s="350"/>
      <c r="N459" s="351"/>
      <c r="O459" s="349"/>
      <c r="P459" s="347"/>
      <c r="Q459" s="151"/>
    </row>
    <row r="460" ht="12.0" customHeight="1">
      <c r="B460" s="1"/>
      <c r="C460" s="347"/>
      <c r="D460" s="161"/>
      <c r="E460" s="348"/>
      <c r="F460" s="1"/>
      <c r="G460" s="1"/>
      <c r="H460" s="1"/>
      <c r="I460" s="349"/>
      <c r="J460" s="349"/>
      <c r="K460" s="349"/>
      <c r="L460" s="350"/>
      <c r="M460" s="350"/>
      <c r="N460" s="351"/>
      <c r="O460" s="349"/>
      <c r="P460" s="347"/>
      <c r="Q460" s="151"/>
    </row>
    <row r="461" ht="12.0" customHeight="1">
      <c r="B461" s="1"/>
      <c r="C461" s="347"/>
      <c r="D461" s="161"/>
      <c r="E461" s="348"/>
      <c r="F461" s="1"/>
      <c r="G461" s="1"/>
      <c r="H461" s="1"/>
      <c r="I461" s="349"/>
      <c r="J461" s="349"/>
      <c r="K461" s="349"/>
      <c r="L461" s="350"/>
      <c r="M461" s="350"/>
      <c r="N461" s="351"/>
      <c r="O461" s="349"/>
      <c r="P461" s="347"/>
      <c r="Q461" s="151"/>
    </row>
    <row r="462" ht="12.0" customHeight="1">
      <c r="B462" s="1"/>
      <c r="C462" s="347"/>
      <c r="D462" s="161"/>
      <c r="E462" s="348"/>
      <c r="F462" s="1"/>
      <c r="G462" s="1"/>
      <c r="H462" s="1"/>
      <c r="I462" s="349"/>
      <c r="J462" s="349"/>
      <c r="K462" s="349"/>
      <c r="L462" s="350"/>
      <c r="M462" s="350"/>
      <c r="N462" s="351"/>
      <c r="O462" s="349"/>
      <c r="P462" s="347"/>
      <c r="Q462" s="151"/>
    </row>
    <row r="463" ht="12.0" customHeight="1">
      <c r="B463" s="1"/>
      <c r="C463" s="347"/>
      <c r="D463" s="161"/>
      <c r="E463" s="348"/>
      <c r="F463" s="1"/>
      <c r="G463" s="1"/>
      <c r="H463" s="1"/>
      <c r="I463" s="349"/>
      <c r="J463" s="349"/>
      <c r="K463" s="349"/>
      <c r="L463" s="350"/>
      <c r="M463" s="350"/>
      <c r="N463" s="351"/>
      <c r="O463" s="349"/>
      <c r="P463" s="347"/>
      <c r="Q463" s="151"/>
    </row>
    <row r="464" ht="12.0" customHeight="1">
      <c r="B464" s="1"/>
      <c r="C464" s="347"/>
      <c r="D464" s="161"/>
      <c r="E464" s="348"/>
      <c r="F464" s="1"/>
      <c r="G464" s="1"/>
      <c r="H464" s="1"/>
      <c r="I464" s="349"/>
      <c r="J464" s="349"/>
      <c r="K464" s="349"/>
      <c r="L464" s="350"/>
      <c r="M464" s="350"/>
      <c r="N464" s="351"/>
      <c r="O464" s="349"/>
      <c r="P464" s="347"/>
      <c r="Q464" s="151"/>
    </row>
    <row r="465" ht="12.0" customHeight="1">
      <c r="B465" s="1"/>
      <c r="C465" s="347"/>
      <c r="D465" s="161"/>
      <c r="E465" s="348"/>
      <c r="F465" s="1"/>
      <c r="G465" s="1"/>
      <c r="H465" s="1"/>
      <c r="I465" s="349"/>
      <c r="J465" s="349"/>
      <c r="K465" s="349"/>
      <c r="L465" s="350"/>
      <c r="M465" s="350"/>
      <c r="N465" s="351"/>
      <c r="O465" s="349"/>
      <c r="P465" s="347"/>
      <c r="Q465" s="151"/>
    </row>
    <row r="466" ht="12.0" customHeight="1">
      <c r="B466" s="1"/>
      <c r="C466" s="347"/>
      <c r="D466" s="161"/>
      <c r="E466" s="348"/>
      <c r="F466" s="1"/>
      <c r="G466" s="1"/>
      <c r="H466" s="1"/>
      <c r="I466" s="349"/>
      <c r="J466" s="349"/>
      <c r="K466" s="349"/>
      <c r="L466" s="350"/>
      <c r="M466" s="350"/>
      <c r="N466" s="351"/>
      <c r="O466" s="349"/>
      <c r="P466" s="347"/>
      <c r="Q466" s="151"/>
    </row>
    <row r="467" ht="12.0" customHeight="1">
      <c r="B467" s="1"/>
      <c r="C467" s="347"/>
      <c r="D467" s="161"/>
      <c r="E467" s="348"/>
      <c r="F467" s="1"/>
      <c r="G467" s="1"/>
      <c r="H467" s="1"/>
      <c r="I467" s="349"/>
      <c r="J467" s="349"/>
      <c r="K467" s="349"/>
      <c r="L467" s="350"/>
      <c r="M467" s="350"/>
      <c r="N467" s="351"/>
      <c r="O467" s="349"/>
      <c r="P467" s="347"/>
      <c r="Q467" s="151"/>
    </row>
    <row r="468" ht="12.0" customHeight="1">
      <c r="B468" s="1"/>
      <c r="C468" s="347"/>
      <c r="D468" s="161"/>
      <c r="E468" s="348"/>
      <c r="F468" s="1"/>
      <c r="G468" s="1"/>
      <c r="H468" s="1"/>
      <c r="I468" s="349"/>
      <c r="J468" s="349"/>
      <c r="K468" s="349"/>
      <c r="L468" s="350"/>
      <c r="M468" s="350"/>
      <c r="N468" s="351"/>
      <c r="O468" s="349"/>
      <c r="P468" s="347"/>
      <c r="Q468" s="151"/>
    </row>
    <row r="469" ht="12.0" customHeight="1">
      <c r="B469" s="1"/>
      <c r="C469" s="347"/>
      <c r="D469" s="161"/>
      <c r="E469" s="348"/>
      <c r="F469" s="1"/>
      <c r="G469" s="1"/>
      <c r="H469" s="1"/>
      <c r="I469" s="349"/>
      <c r="J469" s="349"/>
      <c r="K469" s="349"/>
      <c r="L469" s="350"/>
      <c r="M469" s="350"/>
      <c r="N469" s="351"/>
      <c r="O469" s="349"/>
      <c r="P469" s="347"/>
      <c r="Q469" s="151"/>
    </row>
    <row r="470" ht="12.0" customHeight="1">
      <c r="B470" s="1"/>
      <c r="C470" s="347"/>
      <c r="D470" s="161"/>
      <c r="E470" s="348"/>
      <c r="F470" s="1"/>
      <c r="G470" s="1"/>
      <c r="H470" s="1"/>
      <c r="I470" s="349"/>
      <c r="J470" s="349"/>
      <c r="K470" s="349"/>
      <c r="L470" s="350"/>
      <c r="M470" s="350"/>
      <c r="N470" s="351"/>
      <c r="O470" s="349"/>
      <c r="P470" s="347"/>
      <c r="Q470" s="151"/>
    </row>
    <row r="471" ht="12.0" customHeight="1">
      <c r="B471" s="1"/>
      <c r="C471" s="347"/>
      <c r="D471" s="161"/>
      <c r="E471" s="348"/>
      <c r="F471" s="1"/>
      <c r="G471" s="1"/>
      <c r="H471" s="1"/>
      <c r="I471" s="349"/>
      <c r="J471" s="349"/>
      <c r="K471" s="349"/>
      <c r="L471" s="350"/>
      <c r="M471" s="350"/>
      <c r="N471" s="351"/>
      <c r="O471" s="349"/>
      <c r="P471" s="347"/>
      <c r="Q471" s="151"/>
    </row>
    <row r="472" ht="12.0" customHeight="1">
      <c r="B472" s="1"/>
      <c r="C472" s="347"/>
      <c r="D472" s="161"/>
      <c r="E472" s="348"/>
      <c r="F472" s="1"/>
      <c r="G472" s="1"/>
      <c r="H472" s="1"/>
      <c r="I472" s="349"/>
      <c r="J472" s="349"/>
      <c r="K472" s="349"/>
      <c r="L472" s="350"/>
      <c r="M472" s="350"/>
      <c r="N472" s="351"/>
      <c r="O472" s="349"/>
      <c r="P472" s="347"/>
      <c r="Q472" s="151"/>
    </row>
    <row r="473" ht="12.0" customHeight="1">
      <c r="B473" s="1"/>
      <c r="C473" s="347"/>
      <c r="D473" s="161"/>
      <c r="E473" s="348"/>
      <c r="F473" s="1"/>
      <c r="G473" s="1"/>
      <c r="H473" s="1"/>
      <c r="I473" s="349"/>
      <c r="J473" s="349"/>
      <c r="K473" s="349"/>
      <c r="L473" s="350"/>
      <c r="M473" s="350"/>
      <c r="N473" s="351"/>
      <c r="O473" s="349"/>
      <c r="P473" s="347"/>
      <c r="Q473" s="151"/>
    </row>
    <row r="474" ht="12.0" customHeight="1">
      <c r="B474" s="1"/>
      <c r="C474" s="347"/>
      <c r="D474" s="161"/>
      <c r="E474" s="348"/>
      <c r="F474" s="1"/>
      <c r="G474" s="1"/>
      <c r="H474" s="1"/>
      <c r="I474" s="349"/>
      <c r="J474" s="349"/>
      <c r="K474" s="349"/>
      <c r="L474" s="350"/>
      <c r="M474" s="350"/>
      <c r="N474" s="351"/>
      <c r="O474" s="349"/>
      <c r="P474" s="347"/>
      <c r="Q474" s="151"/>
    </row>
    <row r="475" ht="12.0" customHeight="1">
      <c r="B475" s="1"/>
      <c r="C475" s="347"/>
      <c r="D475" s="161"/>
      <c r="E475" s="348"/>
      <c r="F475" s="1"/>
      <c r="G475" s="1"/>
      <c r="H475" s="1"/>
      <c r="I475" s="349"/>
      <c r="J475" s="349"/>
      <c r="K475" s="349"/>
      <c r="L475" s="350"/>
      <c r="M475" s="350"/>
      <c r="N475" s="351"/>
      <c r="O475" s="349"/>
      <c r="P475" s="347"/>
      <c r="Q475" s="151"/>
    </row>
    <row r="476" ht="12.0" customHeight="1">
      <c r="B476" s="1"/>
      <c r="C476" s="347"/>
      <c r="D476" s="161"/>
      <c r="E476" s="348"/>
      <c r="F476" s="1"/>
      <c r="G476" s="1"/>
      <c r="H476" s="1"/>
      <c r="I476" s="349"/>
      <c r="J476" s="349"/>
      <c r="K476" s="349"/>
      <c r="L476" s="350"/>
      <c r="M476" s="350"/>
      <c r="N476" s="351"/>
      <c r="O476" s="349"/>
      <c r="P476" s="347"/>
      <c r="Q476" s="151"/>
    </row>
    <row r="477" ht="12.0" customHeight="1">
      <c r="B477" s="1"/>
      <c r="C477" s="347"/>
      <c r="D477" s="161"/>
      <c r="E477" s="348"/>
      <c r="F477" s="1"/>
      <c r="G477" s="1"/>
      <c r="H477" s="1"/>
      <c r="I477" s="349"/>
      <c r="J477" s="349"/>
      <c r="K477" s="349"/>
      <c r="L477" s="350"/>
      <c r="M477" s="350"/>
      <c r="N477" s="351"/>
      <c r="O477" s="349"/>
      <c r="P477" s="347"/>
      <c r="Q477" s="151"/>
    </row>
    <row r="478" ht="12.0" customHeight="1">
      <c r="B478" s="1"/>
      <c r="C478" s="347"/>
      <c r="D478" s="161"/>
      <c r="E478" s="348"/>
      <c r="F478" s="1"/>
      <c r="G478" s="1"/>
      <c r="H478" s="1"/>
      <c r="I478" s="349"/>
      <c r="J478" s="349"/>
      <c r="K478" s="349"/>
      <c r="L478" s="350"/>
      <c r="M478" s="350"/>
      <c r="N478" s="351"/>
      <c r="O478" s="349"/>
      <c r="P478" s="347"/>
      <c r="Q478" s="151"/>
    </row>
    <row r="479" ht="12.0" customHeight="1">
      <c r="B479" s="1"/>
      <c r="C479" s="347"/>
      <c r="D479" s="161"/>
      <c r="E479" s="348"/>
      <c r="F479" s="1"/>
      <c r="G479" s="1"/>
      <c r="H479" s="1"/>
      <c r="I479" s="349"/>
      <c r="J479" s="349"/>
      <c r="K479" s="349"/>
      <c r="L479" s="350"/>
      <c r="M479" s="350"/>
      <c r="N479" s="351"/>
      <c r="O479" s="349"/>
      <c r="P479" s="347"/>
      <c r="Q479" s="151"/>
    </row>
    <row r="480" ht="12.0" customHeight="1">
      <c r="B480" s="1"/>
      <c r="C480" s="347"/>
      <c r="D480" s="161"/>
      <c r="E480" s="348"/>
      <c r="F480" s="1"/>
      <c r="G480" s="1"/>
      <c r="H480" s="1"/>
      <c r="I480" s="349"/>
      <c r="J480" s="349"/>
      <c r="K480" s="349"/>
      <c r="L480" s="350"/>
      <c r="M480" s="350"/>
      <c r="N480" s="351"/>
      <c r="O480" s="349"/>
      <c r="P480" s="347"/>
      <c r="Q480" s="151"/>
    </row>
    <row r="481" ht="12.0" customHeight="1">
      <c r="B481" s="1"/>
      <c r="C481" s="347"/>
      <c r="D481" s="161"/>
      <c r="E481" s="348"/>
      <c r="F481" s="1"/>
      <c r="G481" s="1"/>
      <c r="H481" s="1"/>
      <c r="I481" s="349"/>
      <c r="J481" s="349"/>
      <c r="K481" s="349"/>
      <c r="L481" s="350"/>
      <c r="M481" s="350"/>
      <c r="N481" s="351"/>
      <c r="O481" s="349"/>
      <c r="P481" s="347"/>
      <c r="Q481" s="151"/>
    </row>
    <row r="482" ht="12.0" customHeight="1">
      <c r="B482" s="1"/>
      <c r="C482" s="347"/>
      <c r="D482" s="161"/>
      <c r="E482" s="348"/>
      <c r="F482" s="1"/>
      <c r="G482" s="1"/>
      <c r="H482" s="1"/>
      <c r="I482" s="349"/>
      <c r="J482" s="349"/>
      <c r="K482" s="349"/>
      <c r="L482" s="350"/>
      <c r="M482" s="350"/>
      <c r="N482" s="351"/>
      <c r="O482" s="349"/>
      <c r="P482" s="347"/>
      <c r="Q482" s="151"/>
    </row>
    <row r="483" ht="12.0" customHeight="1">
      <c r="B483" s="1"/>
      <c r="C483" s="347"/>
      <c r="D483" s="161"/>
      <c r="E483" s="348"/>
      <c r="F483" s="1"/>
      <c r="G483" s="1"/>
      <c r="H483" s="1"/>
      <c r="I483" s="349"/>
      <c r="J483" s="349"/>
      <c r="K483" s="349"/>
      <c r="L483" s="350"/>
      <c r="M483" s="350"/>
      <c r="N483" s="351"/>
      <c r="O483" s="349"/>
      <c r="P483" s="347"/>
      <c r="Q483" s="151"/>
    </row>
    <row r="484" ht="12.0" customHeight="1">
      <c r="B484" s="1"/>
      <c r="C484" s="347"/>
      <c r="D484" s="161"/>
      <c r="E484" s="348"/>
      <c r="F484" s="1"/>
      <c r="G484" s="1"/>
      <c r="H484" s="1"/>
      <c r="I484" s="349"/>
      <c r="J484" s="349"/>
      <c r="K484" s="349"/>
      <c r="L484" s="350"/>
      <c r="M484" s="350"/>
      <c r="N484" s="351"/>
      <c r="O484" s="349"/>
      <c r="P484" s="347"/>
      <c r="Q484" s="151"/>
    </row>
    <row r="485" ht="12.0" customHeight="1">
      <c r="B485" s="1"/>
      <c r="C485" s="347"/>
      <c r="D485" s="161"/>
      <c r="E485" s="348"/>
      <c r="F485" s="1"/>
      <c r="G485" s="1"/>
      <c r="H485" s="1"/>
      <c r="I485" s="349"/>
      <c r="J485" s="349"/>
      <c r="K485" s="349"/>
      <c r="L485" s="350"/>
      <c r="M485" s="350"/>
      <c r="N485" s="351"/>
      <c r="O485" s="349"/>
      <c r="P485" s="347"/>
      <c r="Q485" s="151"/>
    </row>
    <row r="486" ht="12.0" customHeight="1">
      <c r="B486" s="1"/>
      <c r="C486" s="347"/>
      <c r="D486" s="161"/>
      <c r="E486" s="348"/>
      <c r="F486" s="1"/>
      <c r="G486" s="1"/>
      <c r="H486" s="1"/>
      <c r="I486" s="349"/>
      <c r="J486" s="349"/>
      <c r="K486" s="349"/>
      <c r="L486" s="350"/>
      <c r="M486" s="350"/>
      <c r="N486" s="351"/>
      <c r="O486" s="349"/>
      <c r="P486" s="347"/>
      <c r="Q486" s="151"/>
    </row>
    <row r="487" ht="12.0" customHeight="1">
      <c r="B487" s="1"/>
      <c r="C487" s="347"/>
      <c r="D487" s="161"/>
      <c r="E487" s="348"/>
      <c r="F487" s="1"/>
      <c r="G487" s="1"/>
      <c r="H487" s="1"/>
      <c r="I487" s="349"/>
      <c r="J487" s="349"/>
      <c r="K487" s="349"/>
      <c r="L487" s="350"/>
      <c r="M487" s="350"/>
      <c r="N487" s="351"/>
      <c r="O487" s="349"/>
      <c r="P487" s="347"/>
      <c r="Q487" s="151"/>
    </row>
    <row r="488" ht="12.0" customHeight="1">
      <c r="B488" s="1"/>
      <c r="C488" s="347"/>
      <c r="D488" s="161"/>
      <c r="E488" s="348"/>
      <c r="F488" s="1"/>
      <c r="G488" s="1"/>
      <c r="H488" s="1"/>
      <c r="I488" s="349"/>
      <c r="J488" s="349"/>
      <c r="K488" s="349"/>
      <c r="L488" s="350"/>
      <c r="M488" s="350"/>
      <c r="N488" s="351"/>
      <c r="O488" s="349"/>
      <c r="P488" s="347"/>
      <c r="Q488" s="151"/>
    </row>
    <row r="489" ht="12.0" customHeight="1">
      <c r="B489" s="1"/>
      <c r="C489" s="347"/>
      <c r="D489" s="161"/>
      <c r="E489" s="348"/>
      <c r="F489" s="1"/>
      <c r="G489" s="1"/>
      <c r="H489" s="1"/>
      <c r="I489" s="349"/>
      <c r="J489" s="349"/>
      <c r="K489" s="349"/>
      <c r="L489" s="350"/>
      <c r="M489" s="350"/>
      <c r="N489" s="351"/>
      <c r="O489" s="349"/>
      <c r="P489" s="347"/>
      <c r="Q489" s="151"/>
    </row>
    <row r="490" ht="12.0" customHeight="1">
      <c r="B490" s="1"/>
      <c r="C490" s="347"/>
      <c r="D490" s="161"/>
      <c r="E490" s="348"/>
      <c r="F490" s="1"/>
      <c r="G490" s="1"/>
      <c r="H490" s="1"/>
      <c r="I490" s="349"/>
      <c r="J490" s="349"/>
      <c r="K490" s="349"/>
      <c r="L490" s="350"/>
      <c r="M490" s="350"/>
      <c r="N490" s="351"/>
      <c r="O490" s="349"/>
      <c r="P490" s="347"/>
      <c r="Q490" s="151"/>
    </row>
    <row r="491" ht="12.0" customHeight="1">
      <c r="B491" s="1"/>
      <c r="C491" s="347"/>
      <c r="D491" s="161"/>
      <c r="E491" s="348"/>
      <c r="F491" s="1"/>
      <c r="G491" s="1"/>
      <c r="H491" s="1"/>
      <c r="I491" s="349"/>
      <c r="J491" s="349"/>
      <c r="K491" s="349"/>
      <c r="L491" s="350"/>
      <c r="M491" s="350"/>
      <c r="N491" s="351"/>
      <c r="O491" s="349"/>
      <c r="P491" s="347"/>
      <c r="Q491" s="151"/>
    </row>
    <row r="492" ht="12.0" customHeight="1">
      <c r="B492" s="1"/>
      <c r="C492" s="347"/>
      <c r="D492" s="161"/>
      <c r="E492" s="348"/>
      <c r="F492" s="1"/>
      <c r="G492" s="1"/>
      <c r="H492" s="1"/>
      <c r="I492" s="349"/>
      <c r="J492" s="349"/>
      <c r="K492" s="349"/>
      <c r="L492" s="350"/>
      <c r="M492" s="350"/>
      <c r="N492" s="351"/>
      <c r="O492" s="349"/>
      <c r="P492" s="347"/>
      <c r="Q492" s="151"/>
    </row>
    <row r="493" ht="12.0" customHeight="1">
      <c r="B493" s="1"/>
      <c r="C493" s="347"/>
      <c r="D493" s="161"/>
      <c r="E493" s="348"/>
      <c r="F493" s="1"/>
      <c r="G493" s="1"/>
      <c r="H493" s="1"/>
      <c r="I493" s="349"/>
      <c r="J493" s="349"/>
      <c r="K493" s="349"/>
      <c r="L493" s="350"/>
      <c r="M493" s="350"/>
      <c r="N493" s="351"/>
      <c r="O493" s="349"/>
      <c r="P493" s="347"/>
      <c r="Q493" s="151"/>
    </row>
    <row r="494" ht="12.0" customHeight="1">
      <c r="B494" s="1"/>
      <c r="C494" s="347"/>
      <c r="D494" s="161"/>
      <c r="E494" s="348"/>
      <c r="F494" s="1"/>
      <c r="G494" s="1"/>
      <c r="H494" s="1"/>
      <c r="I494" s="349"/>
      <c r="J494" s="349"/>
      <c r="K494" s="349"/>
      <c r="L494" s="350"/>
      <c r="M494" s="350"/>
      <c r="N494" s="351"/>
      <c r="O494" s="349"/>
      <c r="P494" s="347"/>
      <c r="Q494" s="151"/>
    </row>
    <row r="495" ht="12.0" customHeight="1">
      <c r="B495" s="1"/>
      <c r="C495" s="347"/>
      <c r="D495" s="161"/>
      <c r="E495" s="348"/>
      <c r="F495" s="1"/>
      <c r="G495" s="1"/>
      <c r="H495" s="1"/>
      <c r="I495" s="349"/>
      <c r="J495" s="349"/>
      <c r="K495" s="349"/>
      <c r="L495" s="350"/>
      <c r="M495" s="350"/>
      <c r="N495" s="351"/>
      <c r="O495" s="349"/>
      <c r="P495" s="347"/>
      <c r="Q495" s="151"/>
    </row>
    <row r="496" ht="12.0" customHeight="1">
      <c r="B496" s="1"/>
      <c r="C496" s="347"/>
      <c r="D496" s="161"/>
      <c r="E496" s="348"/>
      <c r="F496" s="1"/>
      <c r="G496" s="1"/>
      <c r="H496" s="1"/>
      <c r="I496" s="349"/>
      <c r="J496" s="349"/>
      <c r="K496" s="349"/>
      <c r="L496" s="350"/>
      <c r="M496" s="350"/>
      <c r="N496" s="351"/>
      <c r="O496" s="349"/>
      <c r="P496" s="347"/>
      <c r="Q496" s="151"/>
    </row>
    <row r="497" ht="12.0" customHeight="1">
      <c r="B497" s="1"/>
      <c r="C497" s="347"/>
      <c r="D497" s="161"/>
      <c r="E497" s="348"/>
      <c r="F497" s="1"/>
      <c r="G497" s="1"/>
      <c r="H497" s="1"/>
      <c r="I497" s="349"/>
      <c r="J497" s="349"/>
      <c r="K497" s="349"/>
      <c r="L497" s="350"/>
      <c r="M497" s="350"/>
      <c r="N497" s="351"/>
      <c r="O497" s="349"/>
      <c r="P497" s="347"/>
      <c r="Q497" s="151"/>
    </row>
    <row r="498" ht="12.0" customHeight="1">
      <c r="B498" s="1"/>
      <c r="C498" s="347"/>
      <c r="D498" s="161"/>
      <c r="E498" s="348"/>
      <c r="F498" s="1"/>
      <c r="G498" s="1"/>
      <c r="H498" s="1"/>
      <c r="I498" s="349"/>
      <c r="J498" s="349"/>
      <c r="K498" s="349"/>
      <c r="L498" s="350"/>
      <c r="M498" s="350"/>
      <c r="N498" s="351"/>
      <c r="O498" s="349"/>
      <c r="P498" s="347"/>
      <c r="Q498" s="151"/>
    </row>
    <row r="499" ht="12.0" customHeight="1">
      <c r="B499" s="1"/>
      <c r="C499" s="347"/>
      <c r="D499" s="161"/>
      <c r="E499" s="348"/>
      <c r="F499" s="1"/>
      <c r="G499" s="1"/>
      <c r="H499" s="1"/>
      <c r="I499" s="349"/>
      <c r="J499" s="349"/>
      <c r="K499" s="349"/>
      <c r="L499" s="350"/>
      <c r="M499" s="350"/>
      <c r="N499" s="351"/>
      <c r="O499" s="349"/>
      <c r="P499" s="347"/>
      <c r="Q499" s="151"/>
    </row>
    <row r="500" ht="12.0" customHeight="1">
      <c r="B500" s="1"/>
      <c r="C500" s="347"/>
      <c r="D500" s="161"/>
      <c r="E500" s="348"/>
      <c r="F500" s="1"/>
      <c r="G500" s="1"/>
      <c r="H500" s="1"/>
      <c r="I500" s="349"/>
      <c r="J500" s="349"/>
      <c r="K500" s="349"/>
      <c r="L500" s="350"/>
      <c r="M500" s="350"/>
      <c r="N500" s="351"/>
      <c r="O500" s="349"/>
      <c r="P500" s="347"/>
      <c r="Q500" s="151"/>
    </row>
    <row r="501" ht="12.0" customHeight="1">
      <c r="B501" s="1"/>
      <c r="C501" s="347"/>
      <c r="D501" s="161"/>
      <c r="E501" s="348"/>
      <c r="F501" s="1"/>
      <c r="G501" s="1"/>
      <c r="H501" s="1"/>
      <c r="I501" s="349"/>
      <c r="J501" s="349"/>
      <c r="K501" s="349"/>
      <c r="L501" s="350"/>
      <c r="M501" s="350"/>
      <c r="N501" s="351"/>
      <c r="O501" s="349"/>
      <c r="P501" s="347"/>
      <c r="Q501" s="151"/>
    </row>
    <row r="502" ht="12.0" customHeight="1">
      <c r="B502" s="1"/>
      <c r="C502" s="347"/>
      <c r="D502" s="161"/>
      <c r="E502" s="348"/>
      <c r="F502" s="1"/>
      <c r="G502" s="1"/>
      <c r="H502" s="1"/>
      <c r="I502" s="349"/>
      <c r="J502" s="349"/>
      <c r="K502" s="349"/>
      <c r="L502" s="350"/>
      <c r="M502" s="350"/>
      <c r="N502" s="351"/>
      <c r="O502" s="349"/>
      <c r="P502" s="347"/>
      <c r="Q502" s="151"/>
    </row>
    <row r="503" ht="12.0" customHeight="1">
      <c r="B503" s="1"/>
      <c r="C503" s="347"/>
      <c r="D503" s="161"/>
      <c r="E503" s="348"/>
      <c r="F503" s="1"/>
      <c r="G503" s="1"/>
      <c r="H503" s="1"/>
      <c r="I503" s="349"/>
      <c r="J503" s="349"/>
      <c r="K503" s="349"/>
      <c r="L503" s="350"/>
      <c r="M503" s="350"/>
      <c r="N503" s="351"/>
      <c r="O503" s="349"/>
      <c r="P503" s="347"/>
      <c r="Q503" s="151"/>
    </row>
    <row r="504" ht="12.0" customHeight="1">
      <c r="B504" s="1"/>
      <c r="C504" s="347"/>
      <c r="D504" s="161"/>
      <c r="E504" s="348"/>
      <c r="F504" s="1"/>
      <c r="G504" s="1"/>
      <c r="H504" s="1"/>
      <c r="I504" s="349"/>
      <c r="J504" s="349"/>
      <c r="K504" s="349"/>
      <c r="L504" s="350"/>
      <c r="M504" s="350"/>
      <c r="N504" s="351"/>
      <c r="O504" s="349"/>
      <c r="P504" s="347"/>
      <c r="Q504" s="151"/>
    </row>
    <row r="505" ht="12.0" customHeight="1">
      <c r="B505" s="1"/>
      <c r="C505" s="347"/>
      <c r="D505" s="161"/>
      <c r="E505" s="348"/>
      <c r="F505" s="1"/>
      <c r="G505" s="1"/>
      <c r="H505" s="1"/>
      <c r="I505" s="349"/>
      <c r="J505" s="349"/>
      <c r="K505" s="349"/>
      <c r="L505" s="350"/>
      <c r="M505" s="350"/>
      <c r="N505" s="351"/>
      <c r="O505" s="349"/>
      <c r="P505" s="347"/>
      <c r="Q505" s="151"/>
    </row>
    <row r="506" ht="12.0" customHeight="1">
      <c r="B506" s="1"/>
      <c r="C506" s="347"/>
      <c r="D506" s="161"/>
      <c r="E506" s="348"/>
      <c r="F506" s="1"/>
      <c r="G506" s="1"/>
      <c r="H506" s="1"/>
      <c r="I506" s="349"/>
      <c r="J506" s="349"/>
      <c r="K506" s="349"/>
      <c r="L506" s="350"/>
      <c r="M506" s="350"/>
      <c r="N506" s="351"/>
      <c r="O506" s="349"/>
      <c r="P506" s="347"/>
      <c r="Q506" s="151"/>
    </row>
    <row r="507" ht="12.0" customHeight="1">
      <c r="B507" s="1"/>
      <c r="C507" s="347"/>
      <c r="D507" s="161"/>
      <c r="E507" s="348"/>
      <c r="F507" s="1"/>
      <c r="G507" s="1"/>
      <c r="H507" s="1"/>
      <c r="I507" s="349"/>
      <c r="J507" s="349"/>
      <c r="K507" s="349"/>
      <c r="L507" s="350"/>
      <c r="M507" s="350"/>
      <c r="N507" s="351"/>
      <c r="O507" s="349"/>
      <c r="P507" s="347"/>
      <c r="Q507" s="151"/>
    </row>
    <row r="508" ht="12.0" customHeight="1">
      <c r="B508" s="1"/>
      <c r="C508" s="347"/>
      <c r="D508" s="161"/>
      <c r="E508" s="348"/>
      <c r="F508" s="1"/>
      <c r="G508" s="1"/>
      <c r="H508" s="1"/>
      <c r="I508" s="349"/>
      <c r="J508" s="349"/>
      <c r="K508" s="349"/>
      <c r="L508" s="350"/>
      <c r="M508" s="350"/>
      <c r="N508" s="351"/>
      <c r="O508" s="349"/>
      <c r="P508" s="347"/>
      <c r="Q508" s="151"/>
    </row>
    <row r="509" ht="12.0" customHeight="1">
      <c r="B509" s="1"/>
      <c r="C509" s="347"/>
      <c r="D509" s="161"/>
      <c r="E509" s="348"/>
      <c r="F509" s="1"/>
      <c r="G509" s="1"/>
      <c r="H509" s="1"/>
      <c r="I509" s="349"/>
      <c r="J509" s="349"/>
      <c r="K509" s="349"/>
      <c r="L509" s="350"/>
      <c r="M509" s="350"/>
      <c r="N509" s="351"/>
      <c r="O509" s="349"/>
      <c r="P509" s="347"/>
      <c r="Q509" s="151"/>
    </row>
    <row r="510" ht="12.0" customHeight="1">
      <c r="B510" s="1"/>
      <c r="C510" s="347"/>
      <c r="D510" s="161"/>
      <c r="E510" s="348"/>
      <c r="F510" s="1"/>
      <c r="G510" s="1"/>
      <c r="H510" s="1"/>
      <c r="I510" s="349"/>
      <c r="J510" s="349"/>
      <c r="K510" s="349"/>
      <c r="L510" s="350"/>
      <c r="M510" s="350"/>
      <c r="N510" s="351"/>
      <c r="O510" s="349"/>
      <c r="P510" s="347"/>
      <c r="Q510" s="151"/>
    </row>
    <row r="511" ht="12.0" customHeight="1">
      <c r="B511" s="1"/>
      <c r="C511" s="347"/>
      <c r="D511" s="161"/>
      <c r="E511" s="348"/>
      <c r="F511" s="1"/>
      <c r="G511" s="1"/>
      <c r="H511" s="1"/>
      <c r="I511" s="349"/>
      <c r="J511" s="349"/>
      <c r="K511" s="349"/>
      <c r="L511" s="350"/>
      <c r="M511" s="350"/>
      <c r="N511" s="351"/>
      <c r="O511" s="349"/>
      <c r="P511" s="347"/>
      <c r="Q511" s="151"/>
    </row>
    <row r="512" ht="12.0" customHeight="1">
      <c r="B512" s="1"/>
      <c r="C512" s="347"/>
      <c r="D512" s="161"/>
      <c r="E512" s="348"/>
      <c r="F512" s="1"/>
      <c r="G512" s="1"/>
      <c r="H512" s="1"/>
      <c r="I512" s="349"/>
      <c r="J512" s="349"/>
      <c r="K512" s="349"/>
      <c r="L512" s="350"/>
      <c r="M512" s="350"/>
      <c r="N512" s="351"/>
      <c r="O512" s="349"/>
      <c r="P512" s="347"/>
      <c r="Q512" s="151"/>
    </row>
    <row r="513" ht="12.0" customHeight="1">
      <c r="B513" s="1"/>
      <c r="C513" s="347"/>
      <c r="D513" s="161"/>
      <c r="E513" s="348"/>
      <c r="F513" s="1"/>
      <c r="G513" s="1"/>
      <c r="H513" s="1"/>
      <c r="I513" s="349"/>
      <c r="J513" s="349"/>
      <c r="K513" s="349"/>
      <c r="L513" s="350"/>
      <c r="M513" s="350"/>
      <c r="N513" s="351"/>
      <c r="O513" s="349"/>
      <c r="P513" s="347"/>
      <c r="Q513" s="151"/>
    </row>
    <row r="514" ht="12.0" customHeight="1">
      <c r="B514" s="1"/>
      <c r="C514" s="347"/>
      <c r="D514" s="161"/>
      <c r="E514" s="348"/>
      <c r="F514" s="1"/>
      <c r="G514" s="1"/>
      <c r="H514" s="1"/>
      <c r="I514" s="349"/>
      <c r="J514" s="349"/>
      <c r="K514" s="349"/>
      <c r="L514" s="350"/>
      <c r="M514" s="350"/>
      <c r="N514" s="351"/>
      <c r="O514" s="349"/>
      <c r="P514" s="347"/>
      <c r="Q514" s="151"/>
    </row>
    <row r="515" ht="12.0" customHeight="1">
      <c r="B515" s="1"/>
      <c r="C515" s="347"/>
      <c r="D515" s="161"/>
      <c r="E515" s="348"/>
      <c r="F515" s="1"/>
      <c r="G515" s="1"/>
      <c r="H515" s="1"/>
      <c r="I515" s="349"/>
      <c r="J515" s="349"/>
      <c r="K515" s="349"/>
      <c r="L515" s="350"/>
      <c r="M515" s="350"/>
      <c r="N515" s="351"/>
      <c r="O515" s="349"/>
      <c r="P515" s="347"/>
      <c r="Q515" s="151"/>
    </row>
    <row r="516" ht="12.0" customHeight="1">
      <c r="B516" s="1"/>
      <c r="C516" s="347"/>
      <c r="D516" s="161"/>
      <c r="E516" s="348"/>
      <c r="F516" s="1"/>
      <c r="G516" s="1"/>
      <c r="H516" s="1"/>
      <c r="I516" s="349"/>
      <c r="J516" s="349"/>
      <c r="K516" s="349"/>
      <c r="L516" s="350"/>
      <c r="M516" s="350"/>
      <c r="N516" s="351"/>
      <c r="O516" s="349"/>
      <c r="P516" s="347"/>
      <c r="Q516" s="151"/>
    </row>
    <row r="517" ht="12.0" customHeight="1">
      <c r="B517" s="1"/>
      <c r="C517" s="347"/>
      <c r="D517" s="161"/>
      <c r="E517" s="348"/>
      <c r="F517" s="1"/>
      <c r="G517" s="1"/>
      <c r="H517" s="1"/>
      <c r="I517" s="349"/>
      <c r="J517" s="349"/>
      <c r="K517" s="349"/>
      <c r="L517" s="350"/>
      <c r="M517" s="350"/>
      <c r="N517" s="351"/>
      <c r="O517" s="349"/>
      <c r="P517" s="347"/>
      <c r="Q517" s="151"/>
    </row>
    <row r="518" ht="12.0" customHeight="1">
      <c r="B518" s="1"/>
      <c r="C518" s="347"/>
      <c r="D518" s="161"/>
      <c r="E518" s="348"/>
      <c r="F518" s="1"/>
      <c r="G518" s="1"/>
      <c r="H518" s="1"/>
      <c r="I518" s="349"/>
      <c r="J518" s="349"/>
      <c r="K518" s="349"/>
      <c r="L518" s="350"/>
      <c r="M518" s="350"/>
      <c r="N518" s="351"/>
      <c r="O518" s="349"/>
      <c r="P518" s="347"/>
      <c r="Q518" s="151"/>
    </row>
    <row r="519" ht="12.0" customHeight="1">
      <c r="B519" s="1"/>
      <c r="C519" s="347"/>
      <c r="D519" s="161"/>
      <c r="E519" s="348"/>
      <c r="F519" s="1"/>
      <c r="G519" s="1"/>
      <c r="H519" s="1"/>
      <c r="I519" s="349"/>
      <c r="J519" s="349"/>
      <c r="K519" s="349"/>
      <c r="L519" s="350"/>
      <c r="M519" s="350"/>
      <c r="N519" s="351"/>
      <c r="O519" s="349"/>
      <c r="P519" s="347"/>
      <c r="Q519" s="151"/>
    </row>
    <row r="520" ht="12.0" customHeight="1">
      <c r="B520" s="1"/>
      <c r="C520" s="347"/>
      <c r="D520" s="161"/>
      <c r="E520" s="348"/>
      <c r="F520" s="1"/>
      <c r="G520" s="1"/>
      <c r="H520" s="1"/>
      <c r="I520" s="349"/>
      <c r="J520" s="349"/>
      <c r="K520" s="349"/>
      <c r="L520" s="350"/>
      <c r="M520" s="350"/>
      <c r="N520" s="351"/>
      <c r="O520" s="349"/>
      <c r="P520" s="347"/>
      <c r="Q520" s="151"/>
    </row>
    <row r="521" ht="12.0" customHeight="1">
      <c r="B521" s="1"/>
      <c r="C521" s="347"/>
      <c r="D521" s="161"/>
      <c r="E521" s="348"/>
      <c r="F521" s="1"/>
      <c r="G521" s="1"/>
      <c r="H521" s="1"/>
      <c r="I521" s="349"/>
      <c r="J521" s="349"/>
      <c r="K521" s="349"/>
      <c r="L521" s="350"/>
      <c r="M521" s="350"/>
      <c r="N521" s="351"/>
      <c r="O521" s="349"/>
      <c r="P521" s="347"/>
      <c r="Q521" s="151"/>
    </row>
    <row r="522" ht="12.0" customHeight="1">
      <c r="B522" s="1"/>
      <c r="C522" s="347"/>
      <c r="D522" s="161"/>
      <c r="E522" s="348"/>
      <c r="F522" s="1"/>
      <c r="G522" s="1"/>
      <c r="H522" s="1"/>
      <c r="I522" s="349"/>
      <c r="J522" s="349"/>
      <c r="K522" s="349"/>
      <c r="L522" s="350"/>
      <c r="M522" s="350"/>
      <c r="N522" s="351"/>
      <c r="O522" s="349"/>
      <c r="P522" s="347"/>
      <c r="Q522" s="151"/>
    </row>
    <row r="523" ht="12.0" customHeight="1">
      <c r="B523" s="1"/>
      <c r="C523" s="347"/>
      <c r="D523" s="161"/>
      <c r="E523" s="348"/>
      <c r="F523" s="1"/>
      <c r="G523" s="1"/>
      <c r="H523" s="1"/>
      <c r="I523" s="349"/>
      <c r="J523" s="349"/>
      <c r="K523" s="349"/>
      <c r="L523" s="350"/>
      <c r="M523" s="350"/>
      <c r="N523" s="351"/>
      <c r="O523" s="349"/>
      <c r="P523" s="347"/>
      <c r="Q523" s="151"/>
    </row>
    <row r="524" ht="12.0" customHeight="1">
      <c r="B524" s="1"/>
      <c r="C524" s="347"/>
      <c r="D524" s="161"/>
      <c r="E524" s="348"/>
      <c r="F524" s="1"/>
      <c r="G524" s="1"/>
      <c r="H524" s="1"/>
      <c r="I524" s="349"/>
      <c r="J524" s="349"/>
      <c r="K524" s="349"/>
      <c r="L524" s="350"/>
      <c r="M524" s="350"/>
      <c r="N524" s="351"/>
      <c r="O524" s="349"/>
      <c r="P524" s="347"/>
      <c r="Q524" s="151"/>
    </row>
    <row r="525" ht="12.0" customHeight="1">
      <c r="B525" s="1"/>
      <c r="C525" s="347"/>
      <c r="D525" s="161"/>
      <c r="E525" s="348"/>
      <c r="F525" s="1"/>
      <c r="G525" s="1"/>
      <c r="H525" s="1"/>
      <c r="I525" s="349"/>
      <c r="J525" s="349"/>
      <c r="K525" s="349"/>
      <c r="L525" s="350"/>
      <c r="M525" s="350"/>
      <c r="N525" s="351"/>
      <c r="O525" s="349"/>
      <c r="P525" s="347"/>
      <c r="Q525" s="151"/>
    </row>
    <row r="526" ht="12.0" customHeight="1">
      <c r="B526" s="1"/>
      <c r="C526" s="347"/>
      <c r="D526" s="161"/>
      <c r="E526" s="348"/>
      <c r="F526" s="1"/>
      <c r="G526" s="1"/>
      <c r="H526" s="1"/>
      <c r="I526" s="349"/>
      <c r="J526" s="349"/>
      <c r="K526" s="349"/>
      <c r="L526" s="350"/>
      <c r="M526" s="350"/>
      <c r="N526" s="351"/>
      <c r="O526" s="349"/>
      <c r="P526" s="347"/>
      <c r="Q526" s="151"/>
    </row>
    <row r="527" ht="12.0" customHeight="1">
      <c r="B527" s="1"/>
      <c r="C527" s="347"/>
      <c r="D527" s="161"/>
      <c r="E527" s="348"/>
      <c r="F527" s="1"/>
      <c r="G527" s="1"/>
      <c r="H527" s="1"/>
      <c r="I527" s="349"/>
      <c r="J527" s="349"/>
      <c r="K527" s="349"/>
      <c r="L527" s="350"/>
      <c r="M527" s="350"/>
      <c r="N527" s="351"/>
      <c r="O527" s="349"/>
      <c r="P527" s="347"/>
      <c r="Q527" s="151"/>
    </row>
    <row r="528" ht="12.0" customHeight="1">
      <c r="B528" s="1"/>
      <c r="C528" s="347"/>
      <c r="D528" s="161"/>
      <c r="E528" s="348"/>
      <c r="F528" s="1"/>
      <c r="G528" s="1"/>
      <c r="H528" s="1"/>
      <c r="I528" s="349"/>
      <c r="J528" s="349"/>
      <c r="K528" s="349"/>
      <c r="L528" s="350"/>
      <c r="M528" s="350"/>
      <c r="N528" s="351"/>
      <c r="O528" s="349"/>
      <c r="P528" s="347"/>
      <c r="Q528" s="151"/>
    </row>
    <row r="529" ht="12.0" customHeight="1">
      <c r="B529" s="1"/>
      <c r="C529" s="347"/>
      <c r="D529" s="161"/>
      <c r="E529" s="348"/>
      <c r="F529" s="1"/>
      <c r="G529" s="1"/>
      <c r="H529" s="1"/>
      <c r="I529" s="349"/>
      <c r="J529" s="349"/>
      <c r="K529" s="349"/>
      <c r="L529" s="350"/>
      <c r="M529" s="350"/>
      <c r="N529" s="351"/>
      <c r="O529" s="349"/>
      <c r="P529" s="347"/>
      <c r="Q529" s="151"/>
    </row>
    <row r="530" ht="12.0" customHeight="1">
      <c r="B530" s="1"/>
      <c r="C530" s="347"/>
      <c r="D530" s="161"/>
      <c r="E530" s="348"/>
      <c r="F530" s="1"/>
      <c r="G530" s="1"/>
      <c r="H530" s="1"/>
      <c r="I530" s="349"/>
      <c r="J530" s="349"/>
      <c r="K530" s="349"/>
      <c r="L530" s="350"/>
      <c r="M530" s="350"/>
      <c r="N530" s="351"/>
      <c r="O530" s="349"/>
      <c r="P530" s="347"/>
      <c r="Q530" s="151"/>
    </row>
    <row r="531" ht="12.0" customHeight="1">
      <c r="B531" s="1"/>
      <c r="C531" s="347"/>
      <c r="D531" s="161"/>
      <c r="E531" s="348"/>
      <c r="F531" s="1"/>
      <c r="G531" s="1"/>
      <c r="H531" s="1"/>
      <c r="I531" s="349"/>
      <c r="J531" s="349"/>
      <c r="K531" s="349"/>
      <c r="L531" s="350"/>
      <c r="M531" s="350"/>
      <c r="N531" s="351"/>
      <c r="O531" s="349"/>
      <c r="P531" s="347"/>
      <c r="Q531" s="151"/>
    </row>
    <row r="532" ht="12.0" customHeight="1">
      <c r="B532" s="1"/>
      <c r="C532" s="347"/>
      <c r="D532" s="161"/>
      <c r="E532" s="348"/>
      <c r="F532" s="1"/>
      <c r="G532" s="1"/>
      <c r="H532" s="1"/>
      <c r="I532" s="349"/>
      <c r="J532" s="349"/>
      <c r="K532" s="349"/>
      <c r="L532" s="350"/>
      <c r="M532" s="350"/>
      <c r="N532" s="351"/>
      <c r="O532" s="349"/>
      <c r="P532" s="347"/>
      <c r="Q532" s="151"/>
    </row>
    <row r="533" ht="12.0" customHeight="1">
      <c r="B533" s="1"/>
      <c r="C533" s="347"/>
      <c r="D533" s="161"/>
      <c r="E533" s="348"/>
      <c r="F533" s="1"/>
      <c r="G533" s="1"/>
      <c r="H533" s="1"/>
      <c r="I533" s="349"/>
      <c r="J533" s="349"/>
      <c r="K533" s="349"/>
      <c r="L533" s="350"/>
      <c r="M533" s="350"/>
      <c r="N533" s="351"/>
      <c r="O533" s="349"/>
      <c r="P533" s="347"/>
      <c r="Q533" s="151"/>
    </row>
    <row r="534" ht="12.0" customHeight="1">
      <c r="B534" s="1"/>
      <c r="C534" s="347"/>
      <c r="D534" s="161"/>
      <c r="E534" s="348"/>
      <c r="F534" s="1"/>
      <c r="G534" s="1"/>
      <c r="H534" s="1"/>
      <c r="I534" s="349"/>
      <c r="J534" s="349"/>
      <c r="K534" s="349"/>
      <c r="L534" s="350"/>
      <c r="M534" s="350"/>
      <c r="N534" s="351"/>
      <c r="O534" s="349"/>
      <c r="P534" s="347"/>
      <c r="Q534" s="151"/>
    </row>
    <row r="535" ht="12.0" customHeight="1">
      <c r="B535" s="1"/>
      <c r="C535" s="347"/>
      <c r="D535" s="161"/>
      <c r="E535" s="348"/>
      <c r="F535" s="1"/>
      <c r="G535" s="1"/>
      <c r="H535" s="1"/>
      <c r="I535" s="349"/>
      <c r="J535" s="349"/>
      <c r="K535" s="349"/>
      <c r="L535" s="350"/>
      <c r="M535" s="350"/>
      <c r="N535" s="351"/>
      <c r="O535" s="349"/>
      <c r="P535" s="347"/>
      <c r="Q535" s="151"/>
    </row>
    <row r="536" ht="12.0" customHeight="1">
      <c r="B536" s="1"/>
      <c r="C536" s="347"/>
      <c r="D536" s="161"/>
      <c r="E536" s="348"/>
      <c r="F536" s="1"/>
      <c r="G536" s="1"/>
      <c r="H536" s="1"/>
      <c r="I536" s="349"/>
      <c r="J536" s="349"/>
      <c r="K536" s="349"/>
      <c r="L536" s="350"/>
      <c r="M536" s="350"/>
      <c r="N536" s="351"/>
      <c r="O536" s="349"/>
      <c r="P536" s="347"/>
      <c r="Q536" s="151"/>
    </row>
    <row r="537" ht="12.0" customHeight="1">
      <c r="B537" s="1"/>
      <c r="C537" s="347"/>
      <c r="D537" s="161"/>
      <c r="E537" s="348"/>
      <c r="F537" s="1"/>
      <c r="G537" s="1"/>
      <c r="H537" s="1"/>
      <c r="I537" s="349"/>
      <c r="J537" s="349"/>
      <c r="K537" s="349"/>
      <c r="L537" s="350"/>
      <c r="M537" s="350"/>
      <c r="N537" s="351"/>
      <c r="O537" s="349"/>
      <c r="P537" s="347"/>
      <c r="Q537" s="151"/>
    </row>
    <row r="538" ht="12.0" customHeight="1">
      <c r="B538" s="1"/>
      <c r="C538" s="347"/>
      <c r="D538" s="161"/>
      <c r="E538" s="348"/>
      <c r="F538" s="1"/>
      <c r="G538" s="1"/>
      <c r="H538" s="1"/>
      <c r="I538" s="349"/>
      <c r="J538" s="349"/>
      <c r="K538" s="349"/>
      <c r="L538" s="350"/>
      <c r="M538" s="350"/>
      <c r="N538" s="351"/>
      <c r="O538" s="349"/>
      <c r="P538" s="347"/>
      <c r="Q538" s="151"/>
    </row>
    <row r="539" ht="12.0" customHeight="1">
      <c r="B539" s="1"/>
      <c r="C539" s="347"/>
      <c r="D539" s="161"/>
      <c r="E539" s="348"/>
      <c r="F539" s="1"/>
      <c r="G539" s="1"/>
      <c r="H539" s="1"/>
      <c r="I539" s="349"/>
      <c r="J539" s="349"/>
      <c r="K539" s="349"/>
      <c r="L539" s="350"/>
      <c r="M539" s="350"/>
      <c r="N539" s="351"/>
      <c r="O539" s="349"/>
      <c r="P539" s="347"/>
      <c r="Q539" s="151"/>
    </row>
    <row r="540" ht="12.0" customHeight="1">
      <c r="B540" s="1"/>
      <c r="C540" s="347"/>
      <c r="D540" s="161"/>
      <c r="E540" s="348"/>
      <c r="F540" s="1"/>
      <c r="G540" s="1"/>
      <c r="H540" s="1"/>
      <c r="I540" s="349"/>
      <c r="J540" s="349"/>
      <c r="K540" s="349"/>
      <c r="L540" s="350"/>
      <c r="M540" s="350"/>
      <c r="N540" s="351"/>
      <c r="O540" s="349"/>
      <c r="P540" s="347"/>
      <c r="Q540" s="151"/>
    </row>
    <row r="541" ht="12.0" customHeight="1">
      <c r="B541" s="1"/>
      <c r="C541" s="347"/>
      <c r="D541" s="161"/>
      <c r="E541" s="348"/>
      <c r="F541" s="1"/>
      <c r="G541" s="1"/>
      <c r="H541" s="1"/>
      <c r="I541" s="349"/>
      <c r="J541" s="349"/>
      <c r="K541" s="349"/>
      <c r="L541" s="350"/>
      <c r="M541" s="350"/>
      <c r="N541" s="351"/>
      <c r="O541" s="349"/>
      <c r="P541" s="347"/>
      <c r="Q541" s="151"/>
    </row>
    <row r="542" ht="12.0" customHeight="1">
      <c r="B542" s="1"/>
      <c r="C542" s="347"/>
      <c r="D542" s="161"/>
      <c r="E542" s="348"/>
      <c r="F542" s="1"/>
      <c r="G542" s="1"/>
      <c r="H542" s="1"/>
      <c r="I542" s="349"/>
      <c r="J542" s="349"/>
      <c r="K542" s="349"/>
      <c r="L542" s="350"/>
      <c r="M542" s="350"/>
      <c r="N542" s="351"/>
      <c r="O542" s="349"/>
      <c r="P542" s="347"/>
      <c r="Q542" s="151"/>
    </row>
    <row r="543" ht="12.0" customHeight="1">
      <c r="B543" s="1"/>
      <c r="C543" s="347"/>
      <c r="D543" s="161"/>
      <c r="E543" s="348"/>
      <c r="F543" s="1"/>
      <c r="G543" s="1"/>
      <c r="H543" s="1"/>
      <c r="I543" s="349"/>
      <c r="J543" s="349"/>
      <c r="K543" s="349"/>
      <c r="L543" s="350"/>
      <c r="M543" s="350"/>
      <c r="N543" s="351"/>
      <c r="O543" s="349"/>
      <c r="P543" s="347"/>
      <c r="Q543" s="151"/>
    </row>
    <row r="544" ht="12.0" customHeight="1">
      <c r="B544" s="1"/>
      <c r="C544" s="347"/>
      <c r="D544" s="161"/>
      <c r="E544" s="348"/>
      <c r="F544" s="1"/>
      <c r="G544" s="1"/>
      <c r="H544" s="1"/>
      <c r="I544" s="349"/>
      <c r="J544" s="349"/>
      <c r="K544" s="349"/>
      <c r="L544" s="350"/>
      <c r="M544" s="350"/>
      <c r="N544" s="351"/>
      <c r="O544" s="349"/>
      <c r="P544" s="347"/>
      <c r="Q544" s="151"/>
    </row>
    <row r="545" ht="12.0" customHeight="1">
      <c r="B545" s="1"/>
      <c r="C545" s="347"/>
      <c r="D545" s="161"/>
      <c r="E545" s="348"/>
      <c r="F545" s="1"/>
      <c r="G545" s="1"/>
      <c r="H545" s="1"/>
      <c r="I545" s="349"/>
      <c r="J545" s="349"/>
      <c r="K545" s="349"/>
      <c r="L545" s="350"/>
      <c r="M545" s="350"/>
      <c r="N545" s="351"/>
      <c r="O545" s="349"/>
      <c r="P545" s="347"/>
      <c r="Q545" s="151"/>
    </row>
    <row r="546" ht="12.0" customHeight="1">
      <c r="B546" s="1"/>
      <c r="C546" s="347"/>
      <c r="D546" s="161"/>
      <c r="E546" s="348"/>
      <c r="F546" s="1"/>
      <c r="G546" s="1"/>
      <c r="H546" s="1"/>
      <c r="I546" s="349"/>
      <c r="J546" s="349"/>
      <c r="K546" s="349"/>
      <c r="L546" s="350"/>
      <c r="M546" s="350"/>
      <c r="N546" s="351"/>
      <c r="O546" s="349"/>
      <c r="P546" s="347"/>
      <c r="Q546" s="151"/>
    </row>
    <row r="547" ht="12.0" customHeight="1">
      <c r="B547" s="1"/>
      <c r="C547" s="347"/>
      <c r="D547" s="161"/>
      <c r="E547" s="348"/>
      <c r="F547" s="1"/>
      <c r="G547" s="1"/>
      <c r="H547" s="1"/>
      <c r="I547" s="349"/>
      <c r="J547" s="349"/>
      <c r="K547" s="349"/>
      <c r="L547" s="350"/>
      <c r="M547" s="350"/>
      <c r="N547" s="351"/>
      <c r="O547" s="349"/>
      <c r="P547" s="347"/>
      <c r="Q547" s="151"/>
    </row>
    <row r="548" ht="12.0" customHeight="1">
      <c r="B548" s="1"/>
      <c r="C548" s="347"/>
      <c r="D548" s="161"/>
      <c r="E548" s="348"/>
      <c r="F548" s="1"/>
      <c r="G548" s="1"/>
      <c r="H548" s="1"/>
      <c r="I548" s="349"/>
      <c r="J548" s="349"/>
      <c r="K548" s="349"/>
      <c r="L548" s="350"/>
      <c r="M548" s="350"/>
      <c r="N548" s="351"/>
      <c r="O548" s="349"/>
      <c r="P548" s="347"/>
      <c r="Q548" s="151"/>
    </row>
    <row r="549" ht="12.0" customHeight="1">
      <c r="B549" s="1"/>
      <c r="C549" s="347"/>
      <c r="D549" s="161"/>
      <c r="E549" s="348"/>
      <c r="F549" s="1"/>
      <c r="G549" s="1"/>
      <c r="H549" s="1"/>
      <c r="I549" s="349"/>
      <c r="J549" s="349"/>
      <c r="K549" s="349"/>
      <c r="L549" s="350"/>
      <c r="M549" s="350"/>
      <c r="N549" s="351"/>
      <c r="O549" s="349"/>
      <c r="P549" s="347"/>
      <c r="Q549" s="151"/>
    </row>
    <row r="550" ht="12.0" customHeight="1">
      <c r="B550" s="1"/>
      <c r="C550" s="347"/>
      <c r="D550" s="161"/>
      <c r="E550" s="348"/>
      <c r="F550" s="1"/>
      <c r="G550" s="1"/>
      <c r="H550" s="1"/>
      <c r="I550" s="349"/>
      <c r="J550" s="349"/>
      <c r="K550" s="349"/>
      <c r="L550" s="350"/>
      <c r="M550" s="350"/>
      <c r="N550" s="351"/>
      <c r="O550" s="349"/>
      <c r="P550" s="347"/>
      <c r="Q550" s="151"/>
    </row>
    <row r="551" ht="12.0" customHeight="1">
      <c r="B551" s="1"/>
      <c r="C551" s="347"/>
      <c r="D551" s="161"/>
      <c r="E551" s="348"/>
      <c r="F551" s="1"/>
      <c r="G551" s="1"/>
      <c r="H551" s="1"/>
      <c r="I551" s="349"/>
      <c r="J551" s="349"/>
      <c r="K551" s="349"/>
      <c r="L551" s="350"/>
      <c r="M551" s="350"/>
      <c r="N551" s="351"/>
      <c r="O551" s="349"/>
      <c r="P551" s="347"/>
      <c r="Q551" s="151"/>
    </row>
    <row r="552" ht="12.0" customHeight="1">
      <c r="B552" s="1"/>
      <c r="C552" s="347"/>
      <c r="D552" s="161"/>
      <c r="E552" s="348"/>
      <c r="F552" s="1"/>
      <c r="G552" s="1"/>
      <c r="H552" s="1"/>
      <c r="I552" s="349"/>
      <c r="J552" s="349"/>
      <c r="K552" s="349"/>
      <c r="L552" s="350"/>
      <c r="M552" s="350"/>
      <c r="N552" s="351"/>
      <c r="O552" s="349"/>
      <c r="P552" s="347"/>
      <c r="Q552" s="151"/>
    </row>
    <row r="553" ht="12.0" customHeight="1">
      <c r="B553" s="1"/>
      <c r="C553" s="347"/>
      <c r="D553" s="161"/>
      <c r="E553" s="348"/>
      <c r="F553" s="1"/>
      <c r="G553" s="1"/>
      <c r="H553" s="1"/>
      <c r="I553" s="349"/>
      <c r="J553" s="349"/>
      <c r="K553" s="349"/>
      <c r="L553" s="350"/>
      <c r="M553" s="350"/>
      <c r="N553" s="351"/>
      <c r="O553" s="349"/>
      <c r="P553" s="347"/>
      <c r="Q553" s="151"/>
    </row>
    <row r="554" ht="12.0" customHeight="1">
      <c r="B554" s="1"/>
      <c r="C554" s="347"/>
      <c r="D554" s="161"/>
      <c r="E554" s="348"/>
      <c r="F554" s="1"/>
      <c r="G554" s="1"/>
      <c r="H554" s="1"/>
      <c r="I554" s="349"/>
      <c r="J554" s="349"/>
      <c r="K554" s="349"/>
      <c r="L554" s="350"/>
      <c r="M554" s="350"/>
      <c r="N554" s="351"/>
      <c r="O554" s="349"/>
      <c r="P554" s="347"/>
      <c r="Q554" s="151"/>
    </row>
    <row r="555" ht="12.0" customHeight="1">
      <c r="B555" s="1"/>
      <c r="C555" s="347"/>
      <c r="D555" s="161"/>
      <c r="E555" s="348"/>
      <c r="F555" s="1"/>
      <c r="G555" s="1"/>
      <c r="H555" s="1"/>
      <c r="I555" s="349"/>
      <c r="J555" s="349"/>
      <c r="K555" s="349"/>
      <c r="L555" s="350"/>
      <c r="M555" s="350"/>
      <c r="N555" s="351"/>
      <c r="O555" s="349"/>
      <c r="P555" s="347"/>
      <c r="Q555" s="151"/>
    </row>
    <row r="556" ht="12.0" customHeight="1">
      <c r="B556" s="1"/>
      <c r="C556" s="347"/>
      <c r="D556" s="161"/>
      <c r="E556" s="348"/>
      <c r="F556" s="1"/>
      <c r="G556" s="1"/>
      <c r="H556" s="1"/>
      <c r="I556" s="349"/>
      <c r="J556" s="349"/>
      <c r="K556" s="349"/>
      <c r="L556" s="350"/>
      <c r="M556" s="350"/>
      <c r="N556" s="351"/>
      <c r="O556" s="349"/>
      <c r="P556" s="347"/>
      <c r="Q556" s="151"/>
    </row>
    <row r="557" ht="12.0" customHeight="1">
      <c r="B557" s="1"/>
      <c r="C557" s="347"/>
      <c r="D557" s="161"/>
      <c r="E557" s="348"/>
      <c r="F557" s="1"/>
      <c r="G557" s="1"/>
      <c r="H557" s="1"/>
      <c r="I557" s="349"/>
      <c r="J557" s="349"/>
      <c r="K557" s="349"/>
      <c r="L557" s="350"/>
      <c r="M557" s="350"/>
      <c r="N557" s="351"/>
      <c r="O557" s="349"/>
      <c r="P557" s="347"/>
      <c r="Q557" s="151"/>
    </row>
    <row r="558" ht="12.0" customHeight="1">
      <c r="B558" s="1"/>
      <c r="C558" s="347"/>
      <c r="D558" s="161"/>
      <c r="E558" s="348"/>
      <c r="F558" s="1"/>
      <c r="G558" s="1"/>
      <c r="H558" s="1"/>
      <c r="I558" s="349"/>
      <c r="J558" s="349"/>
      <c r="K558" s="349"/>
      <c r="L558" s="350"/>
      <c r="M558" s="350"/>
      <c r="N558" s="351"/>
      <c r="O558" s="349"/>
      <c r="P558" s="347"/>
      <c r="Q558" s="151"/>
    </row>
    <row r="559" ht="12.0" customHeight="1">
      <c r="B559" s="1"/>
      <c r="C559" s="347"/>
      <c r="D559" s="161"/>
      <c r="E559" s="348"/>
      <c r="F559" s="1"/>
      <c r="G559" s="1"/>
      <c r="H559" s="1"/>
      <c r="I559" s="349"/>
      <c r="J559" s="349"/>
      <c r="K559" s="349"/>
      <c r="L559" s="350"/>
      <c r="M559" s="350"/>
      <c r="N559" s="351"/>
      <c r="O559" s="349"/>
      <c r="P559" s="347"/>
      <c r="Q559" s="151"/>
    </row>
    <row r="560" ht="12.0" customHeight="1">
      <c r="B560" s="1"/>
      <c r="C560" s="347"/>
      <c r="D560" s="161"/>
      <c r="E560" s="348"/>
      <c r="F560" s="1"/>
      <c r="G560" s="1"/>
      <c r="H560" s="1"/>
      <c r="I560" s="349"/>
      <c r="J560" s="349"/>
      <c r="K560" s="349"/>
      <c r="L560" s="350"/>
      <c r="M560" s="350"/>
      <c r="N560" s="351"/>
      <c r="O560" s="349"/>
      <c r="P560" s="347"/>
      <c r="Q560" s="151"/>
    </row>
    <row r="561" ht="12.0" customHeight="1">
      <c r="B561" s="1"/>
      <c r="C561" s="347"/>
      <c r="D561" s="161"/>
      <c r="E561" s="348"/>
      <c r="F561" s="1"/>
      <c r="G561" s="1"/>
      <c r="H561" s="1"/>
      <c r="I561" s="349"/>
      <c r="J561" s="349"/>
      <c r="K561" s="349"/>
      <c r="L561" s="350"/>
      <c r="M561" s="350"/>
      <c r="N561" s="351"/>
      <c r="O561" s="349"/>
      <c r="P561" s="347"/>
      <c r="Q561" s="151"/>
    </row>
    <row r="562" ht="12.0" customHeight="1">
      <c r="B562" s="1"/>
      <c r="C562" s="347"/>
      <c r="D562" s="161"/>
      <c r="E562" s="348"/>
      <c r="F562" s="1"/>
      <c r="G562" s="1"/>
      <c r="H562" s="1"/>
      <c r="I562" s="349"/>
      <c r="J562" s="349"/>
      <c r="K562" s="349"/>
      <c r="L562" s="350"/>
      <c r="M562" s="350"/>
      <c r="N562" s="351"/>
      <c r="O562" s="349"/>
      <c r="P562" s="347"/>
      <c r="Q562" s="151"/>
    </row>
    <row r="563" ht="12.0" customHeight="1">
      <c r="B563" s="1"/>
      <c r="C563" s="347"/>
      <c r="D563" s="161"/>
      <c r="E563" s="348"/>
      <c r="F563" s="1"/>
      <c r="G563" s="1"/>
      <c r="H563" s="1"/>
      <c r="I563" s="349"/>
      <c r="J563" s="349"/>
      <c r="K563" s="349"/>
      <c r="L563" s="350"/>
      <c r="M563" s="350"/>
      <c r="N563" s="351"/>
      <c r="O563" s="349"/>
      <c r="P563" s="347"/>
      <c r="Q563" s="151"/>
    </row>
    <row r="564" ht="12.0" customHeight="1">
      <c r="B564" s="1"/>
      <c r="C564" s="347"/>
      <c r="D564" s="161"/>
      <c r="E564" s="348"/>
      <c r="F564" s="1"/>
      <c r="G564" s="1"/>
      <c r="H564" s="1"/>
      <c r="I564" s="349"/>
      <c r="J564" s="349"/>
      <c r="K564" s="349"/>
      <c r="L564" s="350"/>
      <c r="M564" s="350"/>
      <c r="N564" s="351"/>
      <c r="O564" s="349"/>
      <c r="P564" s="347"/>
      <c r="Q564" s="151"/>
    </row>
    <row r="565" ht="12.0" customHeight="1">
      <c r="B565" s="1"/>
      <c r="C565" s="347"/>
      <c r="D565" s="161"/>
      <c r="E565" s="348"/>
      <c r="F565" s="1"/>
      <c r="G565" s="1"/>
      <c r="H565" s="1"/>
      <c r="I565" s="349"/>
      <c r="J565" s="349"/>
      <c r="K565" s="349"/>
      <c r="L565" s="350"/>
      <c r="M565" s="350"/>
      <c r="N565" s="351"/>
      <c r="O565" s="349"/>
      <c r="P565" s="347"/>
      <c r="Q565" s="151"/>
    </row>
    <row r="566" ht="12.0" customHeight="1">
      <c r="B566" s="1"/>
      <c r="C566" s="347"/>
      <c r="D566" s="161"/>
      <c r="E566" s="348"/>
      <c r="F566" s="1"/>
      <c r="G566" s="1"/>
      <c r="H566" s="1"/>
      <c r="I566" s="349"/>
      <c r="J566" s="349"/>
      <c r="K566" s="349"/>
      <c r="L566" s="350"/>
      <c r="M566" s="350"/>
      <c r="N566" s="351"/>
      <c r="O566" s="349"/>
      <c r="P566" s="347"/>
      <c r="Q566" s="151"/>
    </row>
    <row r="567" ht="12.0" customHeight="1">
      <c r="B567" s="1"/>
      <c r="C567" s="347"/>
      <c r="D567" s="161"/>
      <c r="E567" s="348"/>
      <c r="F567" s="1"/>
      <c r="G567" s="1"/>
      <c r="H567" s="1"/>
      <c r="I567" s="349"/>
      <c r="J567" s="349"/>
      <c r="K567" s="349"/>
      <c r="L567" s="350"/>
      <c r="M567" s="350"/>
      <c r="N567" s="351"/>
      <c r="O567" s="349"/>
      <c r="P567" s="347"/>
      <c r="Q567" s="151"/>
    </row>
    <row r="568" ht="12.0" customHeight="1">
      <c r="B568" s="1"/>
      <c r="C568" s="347"/>
      <c r="D568" s="161"/>
      <c r="E568" s="348"/>
      <c r="F568" s="1"/>
      <c r="G568" s="1"/>
      <c r="H568" s="1"/>
      <c r="I568" s="349"/>
      <c r="J568" s="349"/>
      <c r="K568" s="349"/>
      <c r="L568" s="350"/>
      <c r="M568" s="350"/>
      <c r="N568" s="351"/>
      <c r="O568" s="349"/>
      <c r="P568" s="347"/>
      <c r="Q568" s="151"/>
    </row>
    <row r="569" ht="12.0" customHeight="1">
      <c r="B569" s="1"/>
      <c r="C569" s="347"/>
      <c r="D569" s="161"/>
      <c r="E569" s="348"/>
      <c r="F569" s="1"/>
      <c r="G569" s="1"/>
      <c r="H569" s="1"/>
      <c r="I569" s="349"/>
      <c r="J569" s="349"/>
      <c r="K569" s="349"/>
      <c r="L569" s="350"/>
      <c r="M569" s="350"/>
      <c r="N569" s="351"/>
      <c r="O569" s="349"/>
      <c r="P569" s="347"/>
      <c r="Q569" s="151"/>
    </row>
    <row r="570" ht="12.0" customHeight="1">
      <c r="B570" s="1"/>
      <c r="C570" s="347"/>
      <c r="D570" s="161"/>
      <c r="E570" s="348"/>
      <c r="F570" s="1"/>
      <c r="G570" s="1"/>
      <c r="H570" s="1"/>
      <c r="I570" s="349"/>
      <c r="J570" s="349"/>
      <c r="K570" s="349"/>
      <c r="L570" s="350"/>
      <c r="M570" s="350"/>
      <c r="N570" s="351"/>
      <c r="O570" s="349"/>
      <c r="P570" s="347"/>
      <c r="Q570" s="151"/>
    </row>
    <row r="571" ht="12.0" customHeight="1">
      <c r="B571" s="1"/>
      <c r="C571" s="347"/>
      <c r="D571" s="161"/>
      <c r="E571" s="348"/>
      <c r="F571" s="1"/>
      <c r="G571" s="1"/>
      <c r="H571" s="1"/>
      <c r="I571" s="349"/>
      <c r="J571" s="349"/>
      <c r="K571" s="349"/>
      <c r="L571" s="350"/>
      <c r="M571" s="350"/>
      <c r="N571" s="351"/>
      <c r="O571" s="349"/>
      <c r="P571" s="347"/>
      <c r="Q571" s="151"/>
    </row>
    <row r="572" ht="12.0" customHeight="1">
      <c r="B572" s="1"/>
      <c r="C572" s="347"/>
      <c r="D572" s="161"/>
      <c r="E572" s="348"/>
      <c r="F572" s="1"/>
      <c r="G572" s="1"/>
      <c r="H572" s="1"/>
      <c r="I572" s="349"/>
      <c r="J572" s="349"/>
      <c r="K572" s="349"/>
      <c r="L572" s="350"/>
      <c r="M572" s="350"/>
      <c r="N572" s="351"/>
      <c r="O572" s="349"/>
      <c r="P572" s="347"/>
      <c r="Q572" s="151"/>
    </row>
    <row r="573" ht="12.0" customHeight="1">
      <c r="B573" s="1"/>
      <c r="C573" s="347"/>
      <c r="D573" s="161"/>
      <c r="E573" s="348"/>
      <c r="F573" s="1"/>
      <c r="G573" s="1"/>
      <c r="H573" s="1"/>
      <c r="I573" s="349"/>
      <c r="J573" s="349"/>
      <c r="K573" s="349"/>
      <c r="L573" s="350"/>
      <c r="M573" s="350"/>
      <c r="N573" s="351"/>
      <c r="O573" s="349"/>
      <c r="P573" s="347"/>
      <c r="Q573" s="151"/>
    </row>
    <row r="574" ht="12.0" customHeight="1">
      <c r="B574" s="1"/>
      <c r="C574" s="347"/>
      <c r="D574" s="161"/>
      <c r="E574" s="348"/>
      <c r="F574" s="1"/>
      <c r="G574" s="1"/>
      <c r="H574" s="1"/>
      <c r="I574" s="349"/>
      <c r="J574" s="349"/>
      <c r="K574" s="349"/>
      <c r="L574" s="350"/>
      <c r="M574" s="350"/>
      <c r="N574" s="351"/>
      <c r="O574" s="349"/>
      <c r="P574" s="347"/>
      <c r="Q574" s="151"/>
    </row>
    <row r="575" ht="12.0" customHeight="1">
      <c r="B575" s="1"/>
      <c r="C575" s="347"/>
      <c r="D575" s="161"/>
      <c r="E575" s="348"/>
      <c r="F575" s="1"/>
      <c r="G575" s="1"/>
      <c r="H575" s="1"/>
      <c r="I575" s="349"/>
      <c r="J575" s="349"/>
      <c r="K575" s="349"/>
      <c r="L575" s="350"/>
      <c r="M575" s="350"/>
      <c r="N575" s="351"/>
      <c r="O575" s="349"/>
      <c r="P575" s="347"/>
      <c r="Q575" s="151"/>
    </row>
    <row r="576" ht="12.0" customHeight="1">
      <c r="B576" s="1"/>
      <c r="C576" s="347"/>
      <c r="D576" s="161"/>
      <c r="E576" s="348"/>
      <c r="F576" s="1"/>
      <c r="G576" s="1"/>
      <c r="H576" s="1"/>
      <c r="I576" s="349"/>
      <c r="J576" s="349"/>
      <c r="K576" s="349"/>
      <c r="L576" s="350"/>
      <c r="M576" s="350"/>
      <c r="N576" s="351"/>
      <c r="O576" s="349"/>
      <c r="P576" s="347"/>
      <c r="Q576" s="151"/>
    </row>
    <row r="577" ht="12.0" customHeight="1">
      <c r="B577" s="1"/>
      <c r="C577" s="347"/>
      <c r="D577" s="161"/>
      <c r="E577" s="348"/>
      <c r="F577" s="1"/>
      <c r="G577" s="1"/>
      <c r="H577" s="1"/>
      <c r="I577" s="349"/>
      <c r="J577" s="349"/>
      <c r="K577" s="349"/>
      <c r="L577" s="350"/>
      <c r="M577" s="350"/>
      <c r="N577" s="351"/>
      <c r="O577" s="349"/>
      <c r="P577" s="347"/>
      <c r="Q577" s="151"/>
    </row>
    <row r="578" ht="12.0" customHeight="1">
      <c r="B578" s="1"/>
      <c r="C578" s="347"/>
      <c r="D578" s="161"/>
      <c r="E578" s="348"/>
      <c r="F578" s="1"/>
      <c r="G578" s="1"/>
      <c r="H578" s="1"/>
      <c r="I578" s="349"/>
      <c r="J578" s="349"/>
      <c r="K578" s="349"/>
      <c r="L578" s="350"/>
      <c r="M578" s="350"/>
      <c r="N578" s="351"/>
      <c r="O578" s="349"/>
      <c r="P578" s="347"/>
      <c r="Q578" s="151"/>
    </row>
    <row r="579" ht="12.0" customHeight="1">
      <c r="B579" s="1"/>
      <c r="C579" s="347"/>
      <c r="D579" s="161"/>
      <c r="E579" s="348"/>
      <c r="F579" s="1"/>
      <c r="G579" s="1"/>
      <c r="H579" s="1"/>
      <c r="I579" s="349"/>
      <c r="J579" s="349"/>
      <c r="K579" s="349"/>
      <c r="L579" s="350"/>
      <c r="M579" s="350"/>
      <c r="N579" s="351"/>
      <c r="O579" s="349"/>
      <c r="P579" s="347"/>
      <c r="Q579" s="151"/>
    </row>
    <row r="580" ht="12.0" customHeight="1">
      <c r="B580" s="1"/>
      <c r="C580" s="347"/>
      <c r="D580" s="161"/>
      <c r="E580" s="348"/>
      <c r="F580" s="1"/>
      <c r="G580" s="1"/>
      <c r="H580" s="1"/>
      <c r="I580" s="349"/>
      <c r="J580" s="349"/>
      <c r="K580" s="349"/>
      <c r="L580" s="350"/>
      <c r="M580" s="350"/>
      <c r="N580" s="351"/>
      <c r="O580" s="349"/>
      <c r="P580" s="347"/>
      <c r="Q580" s="151"/>
    </row>
    <row r="581" ht="12.0" customHeight="1">
      <c r="B581" s="1"/>
      <c r="C581" s="347"/>
      <c r="D581" s="161"/>
      <c r="E581" s="348"/>
      <c r="F581" s="1"/>
      <c r="G581" s="1"/>
      <c r="H581" s="1"/>
      <c r="I581" s="349"/>
      <c r="J581" s="349"/>
      <c r="K581" s="349"/>
      <c r="L581" s="350"/>
      <c r="M581" s="350"/>
      <c r="N581" s="351"/>
      <c r="O581" s="349"/>
      <c r="P581" s="347"/>
      <c r="Q581" s="151"/>
    </row>
    <row r="582" ht="12.0" customHeight="1">
      <c r="B582" s="1"/>
      <c r="C582" s="347"/>
      <c r="D582" s="161"/>
      <c r="E582" s="348"/>
      <c r="F582" s="1"/>
      <c r="G582" s="1"/>
      <c r="H582" s="1"/>
      <c r="I582" s="349"/>
      <c r="J582" s="349"/>
      <c r="K582" s="349"/>
      <c r="L582" s="350"/>
      <c r="M582" s="350"/>
      <c r="N582" s="351"/>
      <c r="O582" s="349"/>
      <c r="P582" s="347"/>
      <c r="Q582" s="151"/>
    </row>
    <row r="583" ht="12.0" customHeight="1">
      <c r="B583" s="1"/>
      <c r="C583" s="347"/>
      <c r="D583" s="161"/>
      <c r="E583" s="348"/>
      <c r="F583" s="1"/>
      <c r="G583" s="1"/>
      <c r="H583" s="1"/>
      <c r="I583" s="349"/>
      <c r="J583" s="349"/>
      <c r="K583" s="349"/>
      <c r="L583" s="350"/>
      <c r="M583" s="350"/>
      <c r="N583" s="351"/>
      <c r="O583" s="349"/>
      <c r="P583" s="347"/>
      <c r="Q583" s="151"/>
    </row>
    <row r="584" ht="12.0" customHeight="1">
      <c r="B584" s="1"/>
      <c r="C584" s="347"/>
      <c r="D584" s="161"/>
      <c r="E584" s="348"/>
      <c r="F584" s="1"/>
      <c r="G584" s="1"/>
      <c r="H584" s="1"/>
      <c r="I584" s="349"/>
      <c r="J584" s="349"/>
      <c r="K584" s="349"/>
      <c r="L584" s="350"/>
      <c r="M584" s="350"/>
      <c r="N584" s="351"/>
      <c r="O584" s="349"/>
      <c r="P584" s="347"/>
      <c r="Q584" s="151"/>
    </row>
    <row r="585" ht="12.0" customHeight="1">
      <c r="B585" s="1"/>
      <c r="C585" s="347"/>
      <c r="D585" s="161"/>
      <c r="E585" s="348"/>
      <c r="F585" s="1"/>
      <c r="G585" s="1"/>
      <c r="H585" s="1"/>
      <c r="I585" s="349"/>
      <c r="J585" s="349"/>
      <c r="K585" s="349"/>
      <c r="L585" s="350"/>
      <c r="M585" s="350"/>
      <c r="N585" s="351"/>
      <c r="O585" s="349"/>
      <c r="P585" s="347"/>
      <c r="Q585" s="151"/>
    </row>
    <row r="586" ht="12.0" customHeight="1">
      <c r="B586" s="1"/>
      <c r="C586" s="347"/>
      <c r="D586" s="161"/>
      <c r="E586" s="348"/>
      <c r="F586" s="1"/>
      <c r="G586" s="1"/>
      <c r="H586" s="1"/>
      <c r="I586" s="349"/>
      <c r="J586" s="349"/>
      <c r="K586" s="349"/>
      <c r="L586" s="350"/>
      <c r="M586" s="350"/>
      <c r="N586" s="351"/>
      <c r="O586" s="349"/>
      <c r="P586" s="347"/>
      <c r="Q586" s="151"/>
    </row>
    <row r="587" ht="12.0" customHeight="1">
      <c r="B587" s="1"/>
      <c r="C587" s="347"/>
      <c r="D587" s="161"/>
      <c r="E587" s="348"/>
      <c r="F587" s="1"/>
      <c r="G587" s="1"/>
      <c r="H587" s="1"/>
      <c r="I587" s="349"/>
      <c r="J587" s="349"/>
      <c r="K587" s="349"/>
      <c r="L587" s="350"/>
      <c r="M587" s="350"/>
      <c r="N587" s="351"/>
      <c r="O587" s="349"/>
      <c r="P587" s="347"/>
      <c r="Q587" s="151"/>
    </row>
    <row r="588" ht="12.0" customHeight="1">
      <c r="B588" s="1"/>
      <c r="C588" s="347"/>
      <c r="D588" s="161"/>
      <c r="E588" s="348"/>
      <c r="F588" s="1"/>
      <c r="G588" s="1"/>
      <c r="H588" s="1"/>
      <c r="I588" s="349"/>
      <c r="J588" s="349"/>
      <c r="K588" s="349"/>
      <c r="L588" s="350"/>
      <c r="M588" s="350"/>
      <c r="N588" s="351"/>
      <c r="O588" s="349"/>
      <c r="P588" s="347"/>
      <c r="Q588" s="151"/>
    </row>
    <row r="589" ht="12.0" customHeight="1">
      <c r="B589" s="1"/>
      <c r="C589" s="347"/>
      <c r="D589" s="161"/>
      <c r="E589" s="348"/>
      <c r="F589" s="1"/>
      <c r="G589" s="1"/>
      <c r="H589" s="1"/>
      <c r="I589" s="349"/>
      <c r="J589" s="349"/>
      <c r="K589" s="349"/>
      <c r="L589" s="350"/>
      <c r="M589" s="350"/>
      <c r="N589" s="351"/>
      <c r="O589" s="349"/>
      <c r="P589" s="347"/>
      <c r="Q589" s="151"/>
    </row>
    <row r="590" ht="12.0" customHeight="1">
      <c r="B590" s="1"/>
      <c r="C590" s="347"/>
      <c r="D590" s="161"/>
      <c r="E590" s="348"/>
      <c r="F590" s="1"/>
      <c r="G590" s="1"/>
      <c r="H590" s="1"/>
      <c r="I590" s="349"/>
      <c r="J590" s="349"/>
      <c r="K590" s="349"/>
      <c r="L590" s="350"/>
      <c r="M590" s="350"/>
      <c r="N590" s="351"/>
      <c r="O590" s="349"/>
      <c r="P590" s="347"/>
      <c r="Q590" s="151"/>
    </row>
    <row r="591" ht="12.0" customHeight="1">
      <c r="B591" s="1"/>
      <c r="C591" s="347"/>
      <c r="D591" s="161"/>
      <c r="E591" s="348"/>
      <c r="F591" s="1"/>
      <c r="G591" s="1"/>
      <c r="H591" s="1"/>
      <c r="I591" s="349"/>
      <c r="J591" s="349"/>
      <c r="K591" s="349"/>
      <c r="L591" s="350"/>
      <c r="M591" s="350"/>
      <c r="N591" s="351"/>
      <c r="O591" s="349"/>
      <c r="P591" s="347"/>
      <c r="Q591" s="151"/>
    </row>
    <row r="592" ht="12.0" customHeight="1">
      <c r="B592" s="1"/>
      <c r="C592" s="347"/>
      <c r="D592" s="161"/>
      <c r="E592" s="348"/>
      <c r="F592" s="1"/>
      <c r="G592" s="1"/>
      <c r="H592" s="1"/>
      <c r="I592" s="349"/>
      <c r="J592" s="349"/>
      <c r="K592" s="349"/>
      <c r="L592" s="350"/>
      <c r="M592" s="350"/>
      <c r="N592" s="351"/>
      <c r="O592" s="349"/>
      <c r="P592" s="347"/>
      <c r="Q592" s="151"/>
    </row>
    <row r="593" ht="12.0" customHeight="1">
      <c r="B593" s="1"/>
      <c r="C593" s="347"/>
      <c r="D593" s="161"/>
      <c r="E593" s="348"/>
      <c r="F593" s="1"/>
      <c r="G593" s="1"/>
      <c r="H593" s="1"/>
      <c r="I593" s="349"/>
      <c r="J593" s="349"/>
      <c r="K593" s="349"/>
      <c r="L593" s="350"/>
      <c r="M593" s="350"/>
      <c r="N593" s="351"/>
      <c r="O593" s="349"/>
      <c r="P593" s="347"/>
      <c r="Q593" s="151"/>
    </row>
    <row r="594" ht="12.0" customHeight="1">
      <c r="B594" s="1"/>
      <c r="C594" s="347"/>
      <c r="D594" s="161"/>
      <c r="E594" s="348"/>
      <c r="F594" s="1"/>
      <c r="G594" s="1"/>
      <c r="H594" s="1"/>
      <c r="I594" s="349"/>
      <c r="J594" s="349"/>
      <c r="K594" s="349"/>
      <c r="L594" s="350"/>
      <c r="M594" s="350"/>
      <c r="N594" s="351"/>
      <c r="O594" s="349"/>
      <c r="P594" s="347"/>
      <c r="Q594" s="151"/>
    </row>
    <row r="595" ht="12.0" customHeight="1">
      <c r="B595" s="1"/>
      <c r="C595" s="347"/>
      <c r="D595" s="161"/>
      <c r="E595" s="348"/>
      <c r="F595" s="1"/>
      <c r="G595" s="1"/>
      <c r="H595" s="1"/>
      <c r="I595" s="349"/>
      <c r="J595" s="349"/>
      <c r="K595" s="349"/>
      <c r="L595" s="350"/>
      <c r="M595" s="350"/>
      <c r="N595" s="351"/>
      <c r="O595" s="349"/>
      <c r="P595" s="347"/>
      <c r="Q595" s="151"/>
    </row>
    <row r="596" ht="12.0" customHeight="1">
      <c r="B596" s="1"/>
      <c r="C596" s="347"/>
      <c r="D596" s="161"/>
      <c r="E596" s="348"/>
      <c r="F596" s="1"/>
      <c r="G596" s="1"/>
      <c r="H596" s="1"/>
      <c r="I596" s="349"/>
      <c r="J596" s="349"/>
      <c r="K596" s="349"/>
      <c r="L596" s="350"/>
      <c r="M596" s="350"/>
      <c r="N596" s="351"/>
      <c r="O596" s="349"/>
      <c r="P596" s="347"/>
      <c r="Q596" s="151"/>
    </row>
    <row r="597" ht="12.0" customHeight="1">
      <c r="B597" s="1"/>
      <c r="C597" s="347"/>
      <c r="D597" s="161"/>
      <c r="E597" s="348"/>
      <c r="F597" s="1"/>
      <c r="G597" s="1"/>
      <c r="H597" s="1"/>
      <c r="I597" s="349"/>
      <c r="J597" s="349"/>
      <c r="K597" s="349"/>
      <c r="L597" s="350"/>
      <c r="M597" s="350"/>
      <c r="N597" s="351"/>
      <c r="O597" s="349"/>
      <c r="P597" s="347"/>
      <c r="Q597" s="151"/>
    </row>
    <row r="598" ht="12.0" customHeight="1">
      <c r="B598" s="1"/>
      <c r="C598" s="347"/>
      <c r="D598" s="161"/>
      <c r="E598" s="348"/>
      <c r="F598" s="1"/>
      <c r="G598" s="1"/>
      <c r="H598" s="1"/>
      <c r="I598" s="349"/>
      <c r="J598" s="349"/>
      <c r="K598" s="349"/>
      <c r="L598" s="350"/>
      <c r="M598" s="350"/>
      <c r="N598" s="351"/>
      <c r="O598" s="349"/>
      <c r="P598" s="347"/>
      <c r="Q598" s="151"/>
    </row>
    <row r="599" ht="12.0" customHeight="1">
      <c r="B599" s="1"/>
      <c r="C599" s="347"/>
      <c r="D599" s="161"/>
      <c r="E599" s="348"/>
      <c r="F599" s="1"/>
      <c r="G599" s="1"/>
      <c r="H599" s="1"/>
      <c r="I599" s="349"/>
      <c r="J599" s="349"/>
      <c r="K599" s="349"/>
      <c r="L599" s="350"/>
      <c r="M599" s="350"/>
      <c r="N599" s="351"/>
      <c r="O599" s="349"/>
      <c r="P599" s="347"/>
      <c r="Q599" s="151"/>
    </row>
    <row r="600" ht="12.0" customHeight="1">
      <c r="B600" s="1"/>
      <c r="C600" s="347"/>
      <c r="D600" s="161"/>
      <c r="E600" s="348"/>
      <c r="F600" s="1"/>
      <c r="G600" s="1"/>
      <c r="H600" s="1"/>
      <c r="I600" s="349"/>
      <c r="J600" s="349"/>
      <c r="K600" s="349"/>
      <c r="L600" s="350"/>
      <c r="M600" s="350"/>
      <c r="N600" s="351"/>
      <c r="O600" s="349"/>
      <c r="P600" s="347"/>
      <c r="Q600" s="151"/>
    </row>
    <row r="601" ht="12.0" customHeight="1">
      <c r="B601" s="1"/>
      <c r="C601" s="347"/>
      <c r="D601" s="161"/>
      <c r="E601" s="348"/>
      <c r="F601" s="1"/>
      <c r="G601" s="1"/>
      <c r="H601" s="1"/>
      <c r="I601" s="349"/>
      <c r="J601" s="349"/>
      <c r="K601" s="349"/>
      <c r="L601" s="350"/>
      <c r="M601" s="350"/>
      <c r="N601" s="351"/>
      <c r="O601" s="349"/>
      <c r="P601" s="347"/>
      <c r="Q601" s="151"/>
    </row>
    <row r="602" ht="12.0" customHeight="1">
      <c r="B602" s="1"/>
      <c r="C602" s="347"/>
      <c r="D602" s="161"/>
      <c r="E602" s="348"/>
      <c r="F602" s="1"/>
      <c r="G602" s="1"/>
      <c r="H602" s="1"/>
      <c r="I602" s="349"/>
      <c r="J602" s="349"/>
      <c r="K602" s="349"/>
      <c r="L602" s="350"/>
      <c r="M602" s="350"/>
      <c r="N602" s="351"/>
      <c r="O602" s="349"/>
      <c r="P602" s="347"/>
      <c r="Q602" s="151"/>
    </row>
    <row r="603" ht="12.0" customHeight="1">
      <c r="B603" s="1"/>
      <c r="C603" s="347"/>
      <c r="D603" s="161"/>
      <c r="E603" s="348"/>
      <c r="F603" s="1"/>
      <c r="G603" s="1"/>
      <c r="H603" s="1"/>
      <c r="I603" s="349"/>
      <c r="J603" s="349"/>
      <c r="K603" s="349"/>
      <c r="L603" s="350"/>
      <c r="M603" s="350"/>
      <c r="N603" s="351"/>
      <c r="O603" s="349"/>
      <c r="P603" s="347"/>
      <c r="Q603" s="151"/>
    </row>
    <row r="604" ht="12.0" customHeight="1">
      <c r="B604" s="1"/>
      <c r="C604" s="347"/>
      <c r="D604" s="161"/>
      <c r="E604" s="348"/>
      <c r="F604" s="1"/>
      <c r="G604" s="1"/>
      <c r="H604" s="1"/>
      <c r="I604" s="349"/>
      <c r="J604" s="349"/>
      <c r="K604" s="349"/>
      <c r="L604" s="350"/>
      <c r="M604" s="350"/>
      <c r="N604" s="351"/>
      <c r="O604" s="349"/>
      <c r="P604" s="347"/>
      <c r="Q604" s="151"/>
    </row>
    <row r="605" ht="12.0" customHeight="1">
      <c r="B605" s="1"/>
      <c r="C605" s="347"/>
      <c r="D605" s="161"/>
      <c r="E605" s="348"/>
      <c r="F605" s="1"/>
      <c r="G605" s="1"/>
      <c r="H605" s="1"/>
      <c r="I605" s="349"/>
      <c r="J605" s="349"/>
      <c r="K605" s="349"/>
      <c r="L605" s="350"/>
      <c r="M605" s="350"/>
      <c r="N605" s="351"/>
      <c r="O605" s="349"/>
      <c r="P605" s="347"/>
      <c r="Q605" s="151"/>
    </row>
    <row r="606" ht="12.0" customHeight="1">
      <c r="B606" s="1"/>
      <c r="C606" s="347"/>
      <c r="D606" s="161"/>
      <c r="E606" s="348"/>
      <c r="F606" s="1"/>
      <c r="G606" s="1"/>
      <c r="H606" s="1"/>
      <c r="I606" s="349"/>
      <c r="J606" s="349"/>
      <c r="K606" s="349"/>
      <c r="L606" s="350"/>
      <c r="M606" s="350"/>
      <c r="N606" s="351"/>
      <c r="O606" s="349"/>
      <c r="P606" s="347"/>
      <c r="Q606" s="151"/>
    </row>
    <row r="607" ht="12.0" customHeight="1">
      <c r="B607" s="1"/>
      <c r="C607" s="347"/>
      <c r="D607" s="161"/>
      <c r="E607" s="348"/>
      <c r="F607" s="1"/>
      <c r="G607" s="1"/>
      <c r="H607" s="1"/>
      <c r="I607" s="349"/>
      <c r="J607" s="349"/>
      <c r="K607" s="349"/>
      <c r="L607" s="350"/>
      <c r="M607" s="350"/>
      <c r="N607" s="351"/>
      <c r="O607" s="349"/>
      <c r="P607" s="347"/>
      <c r="Q607" s="151"/>
    </row>
    <row r="608" ht="12.0" customHeight="1">
      <c r="B608" s="1"/>
      <c r="C608" s="347"/>
      <c r="D608" s="161"/>
      <c r="E608" s="348"/>
      <c r="F608" s="1"/>
      <c r="G608" s="1"/>
      <c r="H608" s="1"/>
      <c r="I608" s="349"/>
      <c r="J608" s="349"/>
      <c r="K608" s="349"/>
      <c r="L608" s="350"/>
      <c r="M608" s="350"/>
      <c r="N608" s="351"/>
      <c r="O608" s="349"/>
      <c r="P608" s="347"/>
      <c r="Q608" s="151"/>
    </row>
    <row r="609" ht="12.0" customHeight="1">
      <c r="B609" s="1"/>
      <c r="C609" s="347"/>
      <c r="D609" s="161"/>
      <c r="E609" s="348"/>
      <c r="F609" s="1"/>
      <c r="G609" s="1"/>
      <c r="H609" s="1"/>
      <c r="I609" s="349"/>
      <c r="J609" s="349"/>
      <c r="K609" s="349"/>
      <c r="L609" s="350"/>
      <c r="M609" s="350"/>
      <c r="N609" s="351"/>
      <c r="O609" s="349"/>
      <c r="P609" s="347"/>
      <c r="Q609" s="151"/>
    </row>
    <row r="610" ht="12.0" customHeight="1">
      <c r="B610" s="1"/>
      <c r="C610" s="347"/>
      <c r="D610" s="161"/>
      <c r="E610" s="348"/>
      <c r="F610" s="1"/>
      <c r="G610" s="1"/>
      <c r="H610" s="1"/>
      <c r="I610" s="349"/>
      <c r="J610" s="349"/>
      <c r="K610" s="349"/>
      <c r="L610" s="350"/>
      <c r="M610" s="350"/>
      <c r="N610" s="351"/>
      <c r="O610" s="349"/>
      <c r="P610" s="347"/>
      <c r="Q610" s="151"/>
    </row>
    <row r="611" ht="12.0" customHeight="1">
      <c r="B611" s="1"/>
      <c r="C611" s="347"/>
      <c r="D611" s="161"/>
      <c r="E611" s="348"/>
      <c r="F611" s="1"/>
      <c r="G611" s="1"/>
      <c r="H611" s="1"/>
      <c r="I611" s="349"/>
      <c r="J611" s="349"/>
      <c r="K611" s="349"/>
      <c r="L611" s="350"/>
      <c r="M611" s="350"/>
      <c r="N611" s="351"/>
      <c r="O611" s="349"/>
      <c r="P611" s="347"/>
      <c r="Q611" s="151"/>
    </row>
    <row r="612" ht="12.0" customHeight="1">
      <c r="B612" s="1"/>
      <c r="C612" s="347"/>
      <c r="D612" s="161"/>
      <c r="E612" s="348"/>
      <c r="F612" s="1"/>
      <c r="G612" s="1"/>
      <c r="H612" s="1"/>
      <c r="I612" s="349"/>
      <c r="J612" s="349"/>
      <c r="K612" s="349"/>
      <c r="L612" s="350"/>
      <c r="M612" s="350"/>
      <c r="N612" s="351"/>
      <c r="O612" s="349"/>
      <c r="P612" s="347"/>
      <c r="Q612" s="151"/>
    </row>
    <row r="613" ht="12.0" customHeight="1">
      <c r="B613" s="1"/>
      <c r="C613" s="347"/>
      <c r="D613" s="161"/>
      <c r="E613" s="348"/>
      <c r="F613" s="1"/>
      <c r="G613" s="1"/>
      <c r="H613" s="1"/>
      <c r="I613" s="349"/>
      <c r="J613" s="349"/>
      <c r="K613" s="349"/>
      <c r="L613" s="350"/>
      <c r="M613" s="350"/>
      <c r="N613" s="351"/>
      <c r="O613" s="349"/>
      <c r="P613" s="347"/>
      <c r="Q613" s="151"/>
    </row>
    <row r="614" ht="12.0" customHeight="1">
      <c r="B614" s="1"/>
      <c r="C614" s="347"/>
      <c r="D614" s="161"/>
      <c r="E614" s="348"/>
      <c r="F614" s="1"/>
      <c r="G614" s="1"/>
      <c r="H614" s="1"/>
      <c r="I614" s="349"/>
      <c r="J614" s="349"/>
      <c r="K614" s="349"/>
      <c r="L614" s="350"/>
      <c r="M614" s="350"/>
      <c r="N614" s="351"/>
      <c r="O614" s="349"/>
      <c r="P614" s="347"/>
      <c r="Q614" s="151"/>
    </row>
    <row r="615" ht="12.0" customHeight="1">
      <c r="B615" s="1"/>
      <c r="C615" s="347"/>
      <c r="D615" s="161"/>
      <c r="E615" s="348"/>
      <c r="F615" s="1"/>
      <c r="G615" s="1"/>
      <c r="H615" s="1"/>
      <c r="I615" s="349"/>
      <c r="J615" s="349"/>
      <c r="K615" s="349"/>
      <c r="L615" s="350"/>
      <c r="M615" s="350"/>
      <c r="N615" s="351"/>
      <c r="O615" s="349"/>
      <c r="P615" s="347"/>
      <c r="Q615" s="151"/>
    </row>
    <row r="616" ht="12.0" customHeight="1">
      <c r="B616" s="1"/>
      <c r="C616" s="347"/>
      <c r="D616" s="161"/>
      <c r="E616" s="348"/>
      <c r="F616" s="1"/>
      <c r="G616" s="1"/>
      <c r="H616" s="1"/>
      <c r="I616" s="349"/>
      <c r="J616" s="349"/>
      <c r="K616" s="349"/>
      <c r="L616" s="350"/>
      <c r="M616" s="350"/>
      <c r="N616" s="351"/>
      <c r="O616" s="349"/>
      <c r="P616" s="347"/>
      <c r="Q616" s="151"/>
    </row>
    <row r="617" ht="12.0" customHeight="1">
      <c r="B617" s="1"/>
      <c r="C617" s="347"/>
      <c r="D617" s="161"/>
      <c r="E617" s="348"/>
      <c r="F617" s="1"/>
      <c r="G617" s="1"/>
      <c r="H617" s="1"/>
      <c r="I617" s="349"/>
      <c r="J617" s="349"/>
      <c r="K617" s="349"/>
      <c r="L617" s="350"/>
      <c r="M617" s="350"/>
      <c r="N617" s="351"/>
      <c r="O617" s="349"/>
      <c r="P617" s="347"/>
      <c r="Q617" s="151"/>
    </row>
    <row r="618" ht="12.0" customHeight="1">
      <c r="B618" s="1"/>
      <c r="C618" s="347"/>
      <c r="D618" s="161"/>
      <c r="E618" s="348"/>
      <c r="F618" s="1"/>
      <c r="G618" s="1"/>
      <c r="H618" s="1"/>
      <c r="I618" s="349"/>
      <c r="J618" s="349"/>
      <c r="K618" s="349"/>
      <c r="L618" s="350"/>
      <c r="M618" s="350"/>
      <c r="N618" s="351"/>
      <c r="O618" s="349"/>
      <c r="P618" s="347"/>
      <c r="Q618" s="151"/>
    </row>
    <row r="619" ht="12.0" customHeight="1">
      <c r="B619" s="1"/>
      <c r="C619" s="347"/>
      <c r="D619" s="161"/>
      <c r="E619" s="348"/>
      <c r="F619" s="1"/>
      <c r="G619" s="1"/>
      <c r="H619" s="1"/>
      <c r="I619" s="349"/>
      <c r="J619" s="349"/>
      <c r="K619" s="349"/>
      <c r="L619" s="350"/>
      <c r="M619" s="350"/>
      <c r="N619" s="351"/>
      <c r="O619" s="349"/>
      <c r="P619" s="347"/>
      <c r="Q619" s="151"/>
    </row>
    <row r="620" ht="12.0" customHeight="1">
      <c r="B620" s="1"/>
      <c r="C620" s="347"/>
      <c r="D620" s="161"/>
      <c r="E620" s="348"/>
      <c r="F620" s="1"/>
      <c r="G620" s="1"/>
      <c r="H620" s="1"/>
      <c r="I620" s="349"/>
      <c r="J620" s="349"/>
      <c r="K620" s="349"/>
      <c r="L620" s="350"/>
      <c r="M620" s="350"/>
      <c r="N620" s="351"/>
      <c r="O620" s="349"/>
      <c r="P620" s="347"/>
      <c r="Q620" s="151"/>
    </row>
    <row r="621" ht="12.0" customHeight="1">
      <c r="B621" s="1"/>
      <c r="C621" s="347"/>
      <c r="D621" s="161"/>
      <c r="E621" s="348"/>
      <c r="F621" s="1"/>
      <c r="G621" s="1"/>
      <c r="H621" s="1"/>
      <c r="I621" s="349"/>
      <c r="J621" s="349"/>
      <c r="K621" s="349"/>
      <c r="L621" s="350"/>
      <c r="M621" s="350"/>
      <c r="N621" s="351"/>
      <c r="O621" s="349"/>
      <c r="P621" s="347"/>
      <c r="Q621" s="151"/>
    </row>
    <row r="622" ht="12.0" customHeight="1">
      <c r="B622" s="1"/>
      <c r="C622" s="347"/>
      <c r="D622" s="161"/>
      <c r="E622" s="348"/>
      <c r="F622" s="1"/>
      <c r="G622" s="1"/>
      <c r="H622" s="1"/>
      <c r="I622" s="349"/>
      <c r="J622" s="349"/>
      <c r="K622" s="349"/>
      <c r="L622" s="350"/>
      <c r="M622" s="350"/>
      <c r="N622" s="351"/>
      <c r="O622" s="349"/>
      <c r="P622" s="347"/>
      <c r="Q622" s="151"/>
    </row>
    <row r="623" ht="12.0" customHeight="1">
      <c r="B623" s="1"/>
      <c r="C623" s="347"/>
      <c r="D623" s="161"/>
      <c r="E623" s="348"/>
      <c r="F623" s="1"/>
      <c r="G623" s="1"/>
      <c r="H623" s="1"/>
      <c r="I623" s="349"/>
      <c r="J623" s="349"/>
      <c r="K623" s="349"/>
      <c r="L623" s="350"/>
      <c r="M623" s="350"/>
      <c r="N623" s="351"/>
      <c r="O623" s="349"/>
      <c r="P623" s="347"/>
      <c r="Q623" s="151"/>
    </row>
    <row r="624" ht="12.0" customHeight="1">
      <c r="B624" s="1"/>
      <c r="C624" s="347"/>
      <c r="D624" s="161"/>
      <c r="E624" s="348"/>
      <c r="F624" s="1"/>
      <c r="G624" s="1"/>
      <c r="H624" s="1"/>
      <c r="I624" s="349"/>
      <c r="J624" s="349"/>
      <c r="K624" s="349"/>
      <c r="L624" s="350"/>
      <c r="M624" s="350"/>
      <c r="N624" s="351"/>
      <c r="O624" s="349"/>
      <c r="P624" s="347"/>
      <c r="Q624" s="151"/>
    </row>
    <row r="625" ht="12.0" customHeight="1">
      <c r="B625" s="1"/>
      <c r="C625" s="347"/>
      <c r="D625" s="161"/>
      <c r="E625" s="348"/>
      <c r="F625" s="1"/>
      <c r="G625" s="1"/>
      <c r="H625" s="1"/>
      <c r="I625" s="349"/>
      <c r="J625" s="349"/>
      <c r="K625" s="349"/>
      <c r="L625" s="350"/>
      <c r="M625" s="350"/>
      <c r="N625" s="351"/>
      <c r="O625" s="349"/>
      <c r="P625" s="347"/>
      <c r="Q625" s="151"/>
    </row>
    <row r="626" ht="12.0" customHeight="1">
      <c r="B626" s="1"/>
      <c r="C626" s="347"/>
      <c r="D626" s="161"/>
      <c r="E626" s="348"/>
      <c r="F626" s="1"/>
      <c r="G626" s="1"/>
      <c r="H626" s="1"/>
      <c r="I626" s="349"/>
      <c r="J626" s="349"/>
      <c r="K626" s="349"/>
      <c r="L626" s="350"/>
      <c r="M626" s="350"/>
      <c r="N626" s="351"/>
      <c r="O626" s="349"/>
      <c r="P626" s="347"/>
      <c r="Q626" s="151"/>
    </row>
    <row r="627" ht="12.0" customHeight="1">
      <c r="B627" s="1"/>
      <c r="C627" s="347"/>
      <c r="D627" s="161"/>
      <c r="E627" s="348"/>
      <c r="F627" s="1"/>
      <c r="G627" s="1"/>
      <c r="H627" s="1"/>
      <c r="I627" s="349"/>
      <c r="J627" s="349"/>
      <c r="K627" s="349"/>
      <c r="L627" s="350"/>
      <c r="M627" s="350"/>
      <c r="N627" s="351"/>
      <c r="O627" s="349"/>
      <c r="P627" s="347"/>
      <c r="Q627" s="151"/>
    </row>
    <row r="628" ht="12.0" customHeight="1">
      <c r="B628" s="1"/>
      <c r="C628" s="347"/>
      <c r="D628" s="161"/>
      <c r="E628" s="348"/>
      <c r="F628" s="1"/>
      <c r="G628" s="1"/>
      <c r="H628" s="1"/>
      <c r="I628" s="349"/>
      <c r="J628" s="349"/>
      <c r="K628" s="349"/>
      <c r="L628" s="350"/>
      <c r="M628" s="350"/>
      <c r="N628" s="351"/>
      <c r="O628" s="349"/>
      <c r="P628" s="347"/>
      <c r="Q628" s="151"/>
    </row>
    <row r="629" ht="12.0" customHeight="1">
      <c r="B629" s="1"/>
      <c r="C629" s="347"/>
      <c r="D629" s="161"/>
      <c r="E629" s="348"/>
      <c r="F629" s="1"/>
      <c r="G629" s="1"/>
      <c r="H629" s="1"/>
      <c r="I629" s="349"/>
      <c r="J629" s="349"/>
      <c r="K629" s="349"/>
      <c r="L629" s="350"/>
      <c r="M629" s="350"/>
      <c r="N629" s="351"/>
      <c r="O629" s="349"/>
      <c r="P629" s="347"/>
      <c r="Q629" s="151"/>
    </row>
    <row r="630" ht="12.0" customHeight="1">
      <c r="B630" s="1"/>
      <c r="C630" s="347"/>
      <c r="D630" s="161"/>
      <c r="E630" s="348"/>
      <c r="F630" s="1"/>
      <c r="G630" s="1"/>
      <c r="H630" s="1"/>
      <c r="I630" s="349"/>
      <c r="J630" s="349"/>
      <c r="K630" s="349"/>
      <c r="L630" s="350"/>
      <c r="M630" s="350"/>
      <c r="N630" s="351"/>
      <c r="O630" s="349"/>
      <c r="P630" s="347"/>
      <c r="Q630" s="151"/>
    </row>
    <row r="631" ht="12.0" customHeight="1">
      <c r="B631" s="1"/>
      <c r="C631" s="347"/>
      <c r="D631" s="161"/>
      <c r="E631" s="348"/>
      <c r="F631" s="1"/>
      <c r="G631" s="1"/>
      <c r="H631" s="1"/>
      <c r="I631" s="349"/>
      <c r="J631" s="349"/>
      <c r="K631" s="349"/>
      <c r="L631" s="350"/>
      <c r="M631" s="350"/>
      <c r="N631" s="351"/>
      <c r="O631" s="349"/>
      <c r="P631" s="347"/>
      <c r="Q631" s="151"/>
    </row>
    <row r="632" ht="12.0" customHeight="1">
      <c r="B632" s="1"/>
      <c r="C632" s="347"/>
      <c r="D632" s="161"/>
      <c r="E632" s="348"/>
      <c r="F632" s="1"/>
      <c r="G632" s="1"/>
      <c r="H632" s="1"/>
      <c r="I632" s="349"/>
      <c r="J632" s="349"/>
      <c r="K632" s="349"/>
      <c r="L632" s="350"/>
      <c r="M632" s="350"/>
      <c r="N632" s="351"/>
      <c r="O632" s="349"/>
      <c r="P632" s="347"/>
      <c r="Q632" s="151"/>
    </row>
    <row r="633" ht="12.0" customHeight="1">
      <c r="B633" s="1"/>
      <c r="C633" s="347"/>
      <c r="D633" s="161"/>
      <c r="E633" s="348"/>
      <c r="F633" s="1"/>
      <c r="G633" s="1"/>
      <c r="H633" s="1"/>
      <c r="I633" s="349"/>
      <c r="J633" s="349"/>
      <c r="K633" s="349"/>
      <c r="L633" s="350"/>
      <c r="M633" s="350"/>
      <c r="N633" s="351"/>
      <c r="O633" s="349"/>
      <c r="P633" s="347"/>
      <c r="Q633" s="151"/>
    </row>
    <row r="634" ht="12.0" customHeight="1">
      <c r="B634" s="1"/>
      <c r="C634" s="347"/>
      <c r="D634" s="161"/>
      <c r="E634" s="348"/>
      <c r="F634" s="1"/>
      <c r="G634" s="1"/>
      <c r="H634" s="1"/>
      <c r="I634" s="349"/>
      <c r="J634" s="349"/>
      <c r="K634" s="349"/>
      <c r="L634" s="350"/>
      <c r="M634" s="350"/>
      <c r="N634" s="351"/>
      <c r="O634" s="349"/>
      <c r="P634" s="347"/>
      <c r="Q634" s="151"/>
    </row>
    <row r="635" ht="12.0" customHeight="1">
      <c r="B635" s="1"/>
      <c r="C635" s="347"/>
      <c r="D635" s="161"/>
      <c r="E635" s="348"/>
      <c r="F635" s="1"/>
      <c r="G635" s="1"/>
      <c r="H635" s="1"/>
      <c r="I635" s="349"/>
      <c r="J635" s="349"/>
      <c r="K635" s="349"/>
      <c r="L635" s="350"/>
      <c r="M635" s="350"/>
      <c r="N635" s="351"/>
      <c r="O635" s="349"/>
      <c r="P635" s="347"/>
      <c r="Q635" s="151"/>
    </row>
    <row r="636" ht="12.0" customHeight="1">
      <c r="B636" s="1"/>
      <c r="C636" s="347"/>
      <c r="D636" s="161"/>
      <c r="E636" s="348"/>
      <c r="F636" s="1"/>
      <c r="G636" s="1"/>
      <c r="H636" s="1"/>
      <c r="I636" s="349"/>
      <c r="J636" s="349"/>
      <c r="K636" s="349"/>
      <c r="L636" s="350"/>
      <c r="M636" s="350"/>
      <c r="N636" s="351"/>
      <c r="O636" s="349"/>
      <c r="P636" s="347"/>
      <c r="Q636" s="151"/>
    </row>
    <row r="637" ht="12.0" customHeight="1">
      <c r="B637" s="1"/>
      <c r="C637" s="347"/>
      <c r="D637" s="161"/>
      <c r="E637" s="348"/>
      <c r="F637" s="1"/>
      <c r="G637" s="1"/>
      <c r="H637" s="1"/>
      <c r="I637" s="349"/>
      <c r="J637" s="349"/>
      <c r="K637" s="349"/>
      <c r="L637" s="350"/>
      <c r="M637" s="350"/>
      <c r="N637" s="351"/>
      <c r="O637" s="349"/>
      <c r="P637" s="347"/>
      <c r="Q637" s="151"/>
    </row>
    <row r="638" ht="12.0" customHeight="1">
      <c r="B638" s="1"/>
      <c r="C638" s="347"/>
      <c r="D638" s="161"/>
      <c r="E638" s="348"/>
      <c r="F638" s="1"/>
      <c r="G638" s="1"/>
      <c r="H638" s="1"/>
      <c r="I638" s="349"/>
      <c r="J638" s="349"/>
      <c r="K638" s="349"/>
      <c r="L638" s="350"/>
      <c r="M638" s="350"/>
      <c r="N638" s="351"/>
      <c r="O638" s="349"/>
      <c r="P638" s="347"/>
      <c r="Q638" s="151"/>
    </row>
    <row r="639" ht="12.0" customHeight="1">
      <c r="B639" s="1"/>
      <c r="C639" s="347"/>
      <c r="D639" s="161"/>
      <c r="E639" s="348"/>
      <c r="F639" s="1"/>
      <c r="G639" s="1"/>
      <c r="H639" s="1"/>
      <c r="I639" s="349"/>
      <c r="J639" s="349"/>
      <c r="K639" s="349"/>
      <c r="L639" s="350"/>
      <c r="M639" s="350"/>
      <c r="N639" s="351"/>
      <c r="O639" s="349"/>
      <c r="P639" s="347"/>
      <c r="Q639" s="151"/>
    </row>
    <row r="640" ht="12.0" customHeight="1">
      <c r="B640" s="1"/>
      <c r="C640" s="347"/>
      <c r="D640" s="161"/>
      <c r="E640" s="348"/>
      <c r="F640" s="1"/>
      <c r="G640" s="1"/>
      <c r="H640" s="1"/>
      <c r="I640" s="349"/>
      <c r="J640" s="349"/>
      <c r="K640" s="349"/>
      <c r="L640" s="350"/>
      <c r="M640" s="350"/>
      <c r="N640" s="351"/>
      <c r="O640" s="349"/>
      <c r="P640" s="347"/>
      <c r="Q640" s="151"/>
    </row>
    <row r="641" ht="12.0" customHeight="1">
      <c r="B641" s="1"/>
      <c r="C641" s="347"/>
      <c r="D641" s="161"/>
      <c r="E641" s="348"/>
      <c r="F641" s="1"/>
      <c r="G641" s="1"/>
      <c r="H641" s="1"/>
      <c r="I641" s="349"/>
      <c r="J641" s="349"/>
      <c r="K641" s="349"/>
      <c r="L641" s="350"/>
      <c r="M641" s="350"/>
      <c r="N641" s="351"/>
      <c r="O641" s="349"/>
      <c r="P641" s="347"/>
      <c r="Q641" s="151"/>
    </row>
    <row r="642" ht="12.0" customHeight="1">
      <c r="B642" s="1"/>
      <c r="C642" s="347"/>
      <c r="D642" s="161"/>
      <c r="E642" s="348"/>
      <c r="F642" s="1"/>
      <c r="G642" s="1"/>
      <c r="H642" s="1"/>
      <c r="I642" s="349"/>
      <c r="J642" s="349"/>
      <c r="K642" s="349"/>
      <c r="L642" s="350"/>
      <c r="M642" s="350"/>
      <c r="N642" s="351"/>
      <c r="O642" s="349"/>
      <c r="P642" s="347"/>
      <c r="Q642" s="151"/>
    </row>
    <row r="643" ht="12.0" customHeight="1">
      <c r="B643" s="1"/>
      <c r="C643" s="347"/>
      <c r="D643" s="161"/>
      <c r="E643" s="348"/>
      <c r="F643" s="1"/>
      <c r="G643" s="1"/>
      <c r="H643" s="1"/>
      <c r="I643" s="349"/>
      <c r="J643" s="349"/>
      <c r="K643" s="349"/>
      <c r="L643" s="350"/>
      <c r="M643" s="350"/>
      <c r="N643" s="351"/>
      <c r="O643" s="349"/>
      <c r="P643" s="347"/>
      <c r="Q643" s="151"/>
    </row>
    <row r="644" ht="12.0" customHeight="1">
      <c r="B644" s="1"/>
      <c r="C644" s="347"/>
      <c r="D644" s="161"/>
      <c r="E644" s="348"/>
      <c r="F644" s="1"/>
      <c r="G644" s="1"/>
      <c r="H644" s="1"/>
      <c r="I644" s="349"/>
      <c r="J644" s="349"/>
      <c r="K644" s="349"/>
      <c r="L644" s="350"/>
      <c r="M644" s="350"/>
      <c r="N644" s="351"/>
      <c r="O644" s="349"/>
      <c r="P644" s="347"/>
      <c r="Q644" s="151"/>
    </row>
    <row r="645" ht="12.0" customHeight="1">
      <c r="B645" s="1"/>
      <c r="C645" s="347"/>
      <c r="D645" s="161"/>
      <c r="E645" s="348"/>
      <c r="F645" s="1"/>
      <c r="G645" s="1"/>
      <c r="H645" s="1"/>
      <c r="I645" s="349"/>
      <c r="J645" s="349"/>
      <c r="K645" s="349"/>
      <c r="L645" s="350"/>
      <c r="M645" s="350"/>
      <c r="N645" s="351"/>
      <c r="O645" s="349"/>
      <c r="P645" s="347"/>
      <c r="Q645" s="151"/>
    </row>
    <row r="646" ht="12.0" customHeight="1">
      <c r="B646" s="1"/>
      <c r="C646" s="347"/>
      <c r="D646" s="161"/>
      <c r="E646" s="348"/>
      <c r="F646" s="1"/>
      <c r="G646" s="1"/>
      <c r="H646" s="1"/>
      <c r="I646" s="349"/>
      <c r="J646" s="349"/>
      <c r="K646" s="349"/>
      <c r="L646" s="350"/>
      <c r="M646" s="350"/>
      <c r="N646" s="351"/>
      <c r="O646" s="349"/>
      <c r="P646" s="347"/>
      <c r="Q646" s="151"/>
    </row>
    <row r="647" ht="12.0" customHeight="1">
      <c r="B647" s="1"/>
      <c r="C647" s="347"/>
      <c r="D647" s="161"/>
      <c r="E647" s="348"/>
      <c r="F647" s="1"/>
      <c r="G647" s="1"/>
      <c r="H647" s="1"/>
      <c r="I647" s="349"/>
      <c r="J647" s="349"/>
      <c r="K647" s="349"/>
      <c r="L647" s="350"/>
      <c r="M647" s="350"/>
      <c r="N647" s="351"/>
      <c r="O647" s="349"/>
      <c r="P647" s="347"/>
      <c r="Q647" s="151"/>
    </row>
    <row r="648" ht="12.0" customHeight="1">
      <c r="B648" s="1"/>
      <c r="C648" s="347"/>
      <c r="D648" s="161"/>
      <c r="E648" s="348"/>
      <c r="F648" s="1"/>
      <c r="G648" s="1"/>
      <c r="H648" s="1"/>
      <c r="I648" s="349"/>
      <c r="J648" s="349"/>
      <c r="K648" s="349"/>
      <c r="L648" s="350"/>
      <c r="M648" s="350"/>
      <c r="N648" s="351"/>
      <c r="O648" s="349"/>
      <c r="P648" s="347"/>
      <c r="Q648" s="151"/>
    </row>
    <row r="649" ht="12.0" customHeight="1">
      <c r="B649" s="1"/>
      <c r="C649" s="347"/>
      <c r="D649" s="161"/>
      <c r="E649" s="348"/>
      <c r="F649" s="1"/>
      <c r="G649" s="1"/>
      <c r="H649" s="1"/>
      <c r="I649" s="349"/>
      <c r="J649" s="349"/>
      <c r="K649" s="349"/>
      <c r="L649" s="350"/>
      <c r="M649" s="350"/>
      <c r="N649" s="351"/>
      <c r="O649" s="349"/>
      <c r="P649" s="347"/>
      <c r="Q649" s="151"/>
    </row>
    <row r="650" ht="12.0" customHeight="1">
      <c r="B650" s="1"/>
      <c r="C650" s="347"/>
      <c r="D650" s="161"/>
      <c r="E650" s="348"/>
      <c r="F650" s="1"/>
      <c r="G650" s="1"/>
      <c r="H650" s="1"/>
      <c r="I650" s="349"/>
      <c r="J650" s="349"/>
      <c r="K650" s="349"/>
      <c r="L650" s="350"/>
      <c r="M650" s="350"/>
      <c r="N650" s="351"/>
      <c r="O650" s="349"/>
      <c r="P650" s="347"/>
      <c r="Q650" s="151"/>
    </row>
    <row r="651" ht="12.0" customHeight="1">
      <c r="B651" s="1"/>
      <c r="C651" s="347"/>
      <c r="D651" s="161"/>
      <c r="E651" s="348"/>
      <c r="F651" s="1"/>
      <c r="G651" s="1"/>
      <c r="H651" s="1"/>
      <c r="I651" s="349"/>
      <c r="J651" s="349"/>
      <c r="K651" s="349"/>
      <c r="L651" s="350"/>
      <c r="M651" s="350"/>
      <c r="N651" s="351"/>
      <c r="O651" s="349"/>
      <c r="P651" s="347"/>
      <c r="Q651" s="151"/>
    </row>
    <row r="652" ht="12.0" customHeight="1">
      <c r="B652" s="1"/>
      <c r="C652" s="347"/>
      <c r="D652" s="161"/>
      <c r="E652" s="348"/>
      <c r="F652" s="1"/>
      <c r="G652" s="1"/>
      <c r="H652" s="1"/>
      <c r="I652" s="349"/>
      <c r="J652" s="349"/>
      <c r="K652" s="349"/>
      <c r="L652" s="350"/>
      <c r="M652" s="350"/>
      <c r="N652" s="351"/>
      <c r="O652" s="349"/>
      <c r="P652" s="347"/>
      <c r="Q652" s="151"/>
    </row>
    <row r="653" ht="12.0" customHeight="1">
      <c r="B653" s="1"/>
      <c r="C653" s="347"/>
      <c r="D653" s="161"/>
      <c r="E653" s="348"/>
      <c r="F653" s="1"/>
      <c r="G653" s="1"/>
      <c r="H653" s="1"/>
      <c r="I653" s="349"/>
      <c r="J653" s="349"/>
      <c r="K653" s="349"/>
      <c r="L653" s="350"/>
      <c r="M653" s="350"/>
      <c r="N653" s="351"/>
      <c r="O653" s="349"/>
      <c r="P653" s="347"/>
      <c r="Q653" s="151"/>
    </row>
    <row r="654" ht="12.0" customHeight="1">
      <c r="B654" s="1"/>
      <c r="C654" s="347"/>
      <c r="D654" s="161"/>
      <c r="E654" s="348"/>
      <c r="F654" s="1"/>
      <c r="G654" s="1"/>
      <c r="H654" s="1"/>
      <c r="I654" s="349"/>
      <c r="J654" s="349"/>
      <c r="K654" s="349"/>
      <c r="L654" s="350"/>
      <c r="M654" s="350"/>
      <c r="N654" s="351"/>
      <c r="O654" s="349"/>
      <c r="P654" s="347"/>
      <c r="Q654" s="151"/>
    </row>
    <row r="655" ht="12.0" customHeight="1">
      <c r="B655" s="1"/>
      <c r="C655" s="347"/>
      <c r="D655" s="161"/>
      <c r="E655" s="348"/>
      <c r="F655" s="1"/>
      <c r="G655" s="1"/>
      <c r="H655" s="1"/>
      <c r="I655" s="349"/>
      <c r="J655" s="349"/>
      <c r="K655" s="349"/>
      <c r="L655" s="350"/>
      <c r="M655" s="350"/>
      <c r="N655" s="351"/>
      <c r="O655" s="349"/>
      <c r="P655" s="347"/>
      <c r="Q655" s="151"/>
    </row>
    <row r="656" ht="12.0" customHeight="1">
      <c r="B656" s="1"/>
      <c r="C656" s="347"/>
      <c r="D656" s="161"/>
      <c r="E656" s="348"/>
      <c r="F656" s="1"/>
      <c r="G656" s="1"/>
      <c r="H656" s="1"/>
      <c r="I656" s="349"/>
      <c r="J656" s="349"/>
      <c r="K656" s="349"/>
      <c r="L656" s="350"/>
      <c r="M656" s="350"/>
      <c r="N656" s="351"/>
      <c r="O656" s="349"/>
      <c r="P656" s="347"/>
      <c r="Q656" s="151"/>
    </row>
    <row r="657" ht="12.0" customHeight="1">
      <c r="B657" s="1"/>
      <c r="C657" s="347"/>
      <c r="D657" s="161"/>
      <c r="E657" s="348"/>
      <c r="F657" s="1"/>
      <c r="G657" s="1"/>
      <c r="H657" s="1"/>
      <c r="I657" s="349"/>
      <c r="J657" s="349"/>
      <c r="K657" s="349"/>
      <c r="L657" s="350"/>
      <c r="M657" s="350"/>
      <c r="N657" s="351"/>
      <c r="O657" s="349"/>
      <c r="P657" s="347"/>
      <c r="Q657" s="151"/>
    </row>
    <row r="658" ht="12.0" customHeight="1">
      <c r="B658" s="1"/>
      <c r="C658" s="347"/>
      <c r="D658" s="161"/>
      <c r="E658" s="348"/>
      <c r="F658" s="1"/>
      <c r="G658" s="1"/>
      <c r="H658" s="1"/>
      <c r="I658" s="349"/>
      <c r="J658" s="349"/>
      <c r="K658" s="349"/>
      <c r="L658" s="350"/>
      <c r="M658" s="350"/>
      <c r="N658" s="351"/>
      <c r="O658" s="349"/>
      <c r="P658" s="347"/>
      <c r="Q658" s="151"/>
    </row>
    <row r="659" ht="12.0" customHeight="1">
      <c r="B659" s="1"/>
      <c r="C659" s="347"/>
      <c r="D659" s="161"/>
      <c r="E659" s="348"/>
      <c r="F659" s="1"/>
      <c r="G659" s="1"/>
      <c r="H659" s="1"/>
      <c r="I659" s="349"/>
      <c r="J659" s="349"/>
      <c r="K659" s="349"/>
      <c r="L659" s="350"/>
      <c r="M659" s="350"/>
      <c r="N659" s="351"/>
      <c r="O659" s="349"/>
      <c r="P659" s="347"/>
      <c r="Q659" s="151"/>
    </row>
    <row r="660" ht="12.0" customHeight="1">
      <c r="B660" s="1"/>
      <c r="C660" s="347"/>
      <c r="D660" s="161"/>
      <c r="E660" s="348"/>
      <c r="F660" s="1"/>
      <c r="G660" s="1"/>
      <c r="H660" s="1"/>
      <c r="I660" s="349"/>
      <c r="J660" s="349"/>
      <c r="K660" s="349"/>
      <c r="L660" s="350"/>
      <c r="M660" s="350"/>
      <c r="N660" s="351"/>
      <c r="O660" s="349"/>
      <c r="P660" s="347"/>
      <c r="Q660" s="151"/>
    </row>
    <row r="661" ht="12.0" customHeight="1">
      <c r="B661" s="1"/>
      <c r="C661" s="347"/>
      <c r="D661" s="161"/>
      <c r="E661" s="348"/>
      <c r="F661" s="1"/>
      <c r="G661" s="1"/>
      <c r="H661" s="1"/>
      <c r="I661" s="349"/>
      <c r="J661" s="349"/>
      <c r="K661" s="349"/>
      <c r="L661" s="350"/>
      <c r="M661" s="350"/>
      <c r="N661" s="351"/>
      <c r="O661" s="349"/>
      <c r="P661" s="347"/>
      <c r="Q661" s="151"/>
    </row>
    <row r="662" ht="12.0" customHeight="1">
      <c r="B662" s="1"/>
      <c r="C662" s="347"/>
      <c r="D662" s="161"/>
      <c r="E662" s="348"/>
      <c r="F662" s="1"/>
      <c r="G662" s="1"/>
      <c r="H662" s="1"/>
      <c r="I662" s="349"/>
      <c r="J662" s="349"/>
      <c r="K662" s="349"/>
      <c r="L662" s="350"/>
      <c r="M662" s="350"/>
      <c r="N662" s="351"/>
      <c r="O662" s="349"/>
      <c r="P662" s="347"/>
      <c r="Q662" s="151"/>
    </row>
    <row r="663" ht="12.0" customHeight="1">
      <c r="B663" s="1"/>
      <c r="C663" s="347"/>
      <c r="D663" s="161"/>
      <c r="E663" s="348"/>
      <c r="F663" s="1"/>
      <c r="G663" s="1"/>
      <c r="H663" s="1"/>
      <c r="I663" s="349"/>
      <c r="J663" s="349"/>
      <c r="K663" s="349"/>
      <c r="L663" s="350"/>
      <c r="M663" s="350"/>
      <c r="N663" s="351"/>
      <c r="O663" s="349"/>
      <c r="P663" s="347"/>
      <c r="Q663" s="151"/>
    </row>
    <row r="664" ht="12.0" customHeight="1">
      <c r="B664" s="1"/>
      <c r="C664" s="347"/>
      <c r="D664" s="161"/>
      <c r="E664" s="348"/>
      <c r="F664" s="1"/>
      <c r="G664" s="1"/>
      <c r="H664" s="1"/>
      <c r="I664" s="349"/>
      <c r="J664" s="349"/>
      <c r="K664" s="349"/>
      <c r="L664" s="350"/>
      <c r="M664" s="350"/>
      <c r="N664" s="351"/>
      <c r="O664" s="349"/>
      <c r="P664" s="347"/>
      <c r="Q664" s="151"/>
    </row>
    <row r="665" ht="12.0" customHeight="1">
      <c r="B665" s="1"/>
      <c r="C665" s="347"/>
      <c r="D665" s="161"/>
      <c r="E665" s="348"/>
      <c r="F665" s="1"/>
      <c r="G665" s="1"/>
      <c r="H665" s="1"/>
      <c r="I665" s="349"/>
      <c r="J665" s="349"/>
      <c r="K665" s="349"/>
      <c r="L665" s="350"/>
      <c r="M665" s="350"/>
      <c r="N665" s="351"/>
      <c r="O665" s="349"/>
      <c r="P665" s="347"/>
      <c r="Q665" s="151"/>
    </row>
    <row r="666" ht="12.0" customHeight="1">
      <c r="B666" s="1"/>
      <c r="C666" s="347"/>
      <c r="D666" s="161"/>
      <c r="E666" s="348"/>
      <c r="F666" s="1"/>
      <c r="G666" s="1"/>
      <c r="H666" s="1"/>
      <c r="I666" s="349"/>
      <c r="J666" s="349"/>
      <c r="K666" s="349"/>
      <c r="L666" s="350"/>
      <c r="M666" s="350"/>
      <c r="N666" s="351"/>
      <c r="O666" s="349"/>
      <c r="P666" s="347"/>
      <c r="Q666" s="151"/>
    </row>
    <row r="667" ht="12.0" customHeight="1">
      <c r="B667" s="1"/>
      <c r="C667" s="347"/>
      <c r="D667" s="161"/>
      <c r="E667" s="348"/>
      <c r="F667" s="1"/>
      <c r="G667" s="1"/>
      <c r="H667" s="1"/>
      <c r="I667" s="349"/>
      <c r="J667" s="349"/>
      <c r="K667" s="349"/>
      <c r="L667" s="350"/>
      <c r="M667" s="350"/>
      <c r="N667" s="351"/>
      <c r="O667" s="349"/>
      <c r="P667" s="347"/>
      <c r="Q667" s="151"/>
    </row>
    <row r="668" ht="12.0" customHeight="1">
      <c r="B668" s="1"/>
      <c r="C668" s="347"/>
      <c r="D668" s="161"/>
      <c r="E668" s="348"/>
      <c r="F668" s="1"/>
      <c r="G668" s="1"/>
      <c r="H668" s="1"/>
      <c r="I668" s="349"/>
      <c r="J668" s="349"/>
      <c r="K668" s="349"/>
      <c r="L668" s="350"/>
      <c r="M668" s="350"/>
      <c r="N668" s="351"/>
      <c r="O668" s="349"/>
      <c r="P668" s="347"/>
      <c r="Q668" s="151"/>
    </row>
    <row r="669" ht="12.0" customHeight="1">
      <c r="B669" s="1"/>
      <c r="C669" s="347"/>
      <c r="D669" s="161"/>
      <c r="E669" s="348"/>
      <c r="F669" s="1"/>
      <c r="G669" s="1"/>
      <c r="H669" s="1"/>
      <c r="I669" s="349"/>
      <c r="J669" s="349"/>
      <c r="K669" s="349"/>
      <c r="L669" s="350"/>
      <c r="M669" s="350"/>
      <c r="N669" s="351"/>
      <c r="O669" s="349"/>
      <c r="P669" s="347"/>
      <c r="Q669" s="151"/>
    </row>
    <row r="670" ht="12.0" customHeight="1">
      <c r="B670" s="1"/>
      <c r="C670" s="347"/>
      <c r="D670" s="161"/>
      <c r="E670" s="348"/>
      <c r="F670" s="1"/>
      <c r="G670" s="1"/>
      <c r="H670" s="1"/>
      <c r="I670" s="349"/>
      <c r="J670" s="349"/>
      <c r="K670" s="349"/>
      <c r="L670" s="350"/>
      <c r="M670" s="350"/>
      <c r="N670" s="351"/>
      <c r="O670" s="349"/>
      <c r="P670" s="347"/>
      <c r="Q670" s="151"/>
    </row>
    <row r="671" ht="12.0" customHeight="1">
      <c r="B671" s="1"/>
      <c r="C671" s="347"/>
      <c r="D671" s="161"/>
      <c r="E671" s="348"/>
      <c r="F671" s="1"/>
      <c r="G671" s="1"/>
      <c r="H671" s="1"/>
      <c r="I671" s="349"/>
      <c r="J671" s="349"/>
      <c r="K671" s="349"/>
      <c r="L671" s="350"/>
      <c r="M671" s="350"/>
      <c r="N671" s="351"/>
      <c r="O671" s="349"/>
      <c r="P671" s="347"/>
      <c r="Q671" s="151"/>
    </row>
    <row r="672" ht="12.0" customHeight="1">
      <c r="B672" s="1"/>
      <c r="C672" s="347"/>
      <c r="D672" s="161"/>
      <c r="E672" s="348"/>
      <c r="F672" s="1"/>
      <c r="G672" s="1"/>
      <c r="H672" s="1"/>
      <c r="I672" s="349"/>
      <c r="J672" s="349"/>
      <c r="K672" s="349"/>
      <c r="L672" s="350"/>
      <c r="M672" s="350"/>
      <c r="N672" s="351"/>
      <c r="O672" s="349"/>
      <c r="P672" s="347"/>
      <c r="Q672" s="151"/>
    </row>
    <row r="673" ht="12.0" customHeight="1">
      <c r="B673" s="1"/>
      <c r="C673" s="347"/>
      <c r="D673" s="161"/>
      <c r="E673" s="348"/>
      <c r="F673" s="1"/>
      <c r="G673" s="1"/>
      <c r="H673" s="1"/>
      <c r="I673" s="349"/>
      <c r="J673" s="349"/>
      <c r="K673" s="349"/>
      <c r="L673" s="350"/>
      <c r="M673" s="350"/>
      <c r="N673" s="351"/>
      <c r="O673" s="349"/>
      <c r="P673" s="347"/>
      <c r="Q673" s="151"/>
    </row>
    <row r="674" ht="12.0" customHeight="1">
      <c r="B674" s="1"/>
      <c r="C674" s="347"/>
      <c r="D674" s="161"/>
      <c r="E674" s="348"/>
      <c r="F674" s="1"/>
      <c r="G674" s="1"/>
      <c r="H674" s="1"/>
      <c r="I674" s="349"/>
      <c r="J674" s="349"/>
      <c r="K674" s="349"/>
      <c r="L674" s="350"/>
      <c r="M674" s="350"/>
      <c r="N674" s="351"/>
      <c r="O674" s="349"/>
      <c r="P674" s="347"/>
      <c r="Q674" s="151"/>
    </row>
    <row r="675" ht="12.0" customHeight="1">
      <c r="B675" s="1"/>
      <c r="C675" s="347"/>
      <c r="D675" s="161"/>
      <c r="E675" s="348"/>
      <c r="F675" s="1"/>
      <c r="G675" s="1"/>
      <c r="H675" s="1"/>
      <c r="I675" s="349"/>
      <c r="J675" s="349"/>
      <c r="K675" s="349"/>
      <c r="L675" s="350"/>
      <c r="M675" s="350"/>
      <c r="N675" s="351"/>
      <c r="O675" s="349"/>
      <c r="P675" s="347"/>
      <c r="Q675" s="151"/>
    </row>
    <row r="676" ht="12.0" customHeight="1">
      <c r="B676" s="1"/>
      <c r="C676" s="347"/>
      <c r="D676" s="161"/>
      <c r="E676" s="348"/>
      <c r="F676" s="1"/>
      <c r="G676" s="1"/>
      <c r="H676" s="1"/>
      <c r="I676" s="349"/>
      <c r="J676" s="349"/>
      <c r="K676" s="349"/>
      <c r="L676" s="350"/>
      <c r="M676" s="350"/>
      <c r="N676" s="351"/>
      <c r="O676" s="349"/>
      <c r="P676" s="347"/>
      <c r="Q676" s="151"/>
    </row>
    <row r="677" ht="12.0" customHeight="1">
      <c r="B677" s="1"/>
      <c r="C677" s="347"/>
      <c r="D677" s="161"/>
      <c r="E677" s="348"/>
      <c r="F677" s="1"/>
      <c r="G677" s="1"/>
      <c r="H677" s="1"/>
      <c r="I677" s="349"/>
      <c r="J677" s="349"/>
      <c r="K677" s="349"/>
      <c r="L677" s="350"/>
      <c r="M677" s="350"/>
      <c r="N677" s="351"/>
      <c r="O677" s="349"/>
      <c r="P677" s="347"/>
      <c r="Q677" s="151"/>
    </row>
    <row r="678" ht="12.0" customHeight="1">
      <c r="B678" s="1"/>
      <c r="C678" s="347"/>
      <c r="D678" s="161"/>
      <c r="E678" s="348"/>
      <c r="F678" s="1"/>
      <c r="G678" s="1"/>
      <c r="H678" s="1"/>
      <c r="I678" s="349"/>
      <c r="J678" s="349"/>
      <c r="K678" s="349"/>
      <c r="L678" s="350"/>
      <c r="M678" s="350"/>
      <c r="N678" s="351"/>
      <c r="O678" s="349"/>
      <c r="P678" s="347"/>
      <c r="Q678" s="151"/>
    </row>
    <row r="679" ht="12.0" customHeight="1">
      <c r="B679" s="1"/>
      <c r="C679" s="347"/>
      <c r="D679" s="161"/>
      <c r="E679" s="348"/>
      <c r="F679" s="1"/>
      <c r="G679" s="1"/>
      <c r="H679" s="1"/>
      <c r="I679" s="349"/>
      <c r="J679" s="349"/>
      <c r="K679" s="349"/>
      <c r="L679" s="350"/>
      <c r="M679" s="350"/>
      <c r="N679" s="351"/>
      <c r="O679" s="349"/>
      <c r="P679" s="347"/>
      <c r="Q679" s="151"/>
    </row>
    <row r="680" ht="12.0" customHeight="1">
      <c r="B680" s="1"/>
      <c r="C680" s="347"/>
      <c r="D680" s="161"/>
      <c r="E680" s="348"/>
      <c r="F680" s="1"/>
      <c r="G680" s="1"/>
      <c r="H680" s="1"/>
      <c r="I680" s="349"/>
      <c r="J680" s="349"/>
      <c r="K680" s="349"/>
      <c r="L680" s="350"/>
      <c r="M680" s="350"/>
      <c r="N680" s="351"/>
      <c r="O680" s="349"/>
      <c r="P680" s="347"/>
      <c r="Q680" s="151"/>
    </row>
    <row r="681" ht="12.0" customHeight="1">
      <c r="B681" s="1"/>
      <c r="C681" s="347"/>
      <c r="D681" s="161"/>
      <c r="E681" s="348"/>
      <c r="F681" s="1"/>
      <c r="G681" s="1"/>
      <c r="H681" s="1"/>
      <c r="I681" s="349"/>
      <c r="J681" s="349"/>
      <c r="K681" s="349"/>
      <c r="L681" s="350"/>
      <c r="M681" s="350"/>
      <c r="N681" s="351"/>
      <c r="O681" s="349"/>
      <c r="P681" s="347"/>
      <c r="Q681" s="151"/>
    </row>
    <row r="682" ht="12.0" customHeight="1">
      <c r="B682" s="1"/>
      <c r="C682" s="347"/>
      <c r="D682" s="161"/>
      <c r="E682" s="348"/>
      <c r="F682" s="1"/>
      <c r="G682" s="1"/>
      <c r="H682" s="1"/>
      <c r="I682" s="349"/>
      <c r="J682" s="349"/>
      <c r="K682" s="349"/>
      <c r="L682" s="350"/>
      <c r="M682" s="350"/>
      <c r="N682" s="351"/>
      <c r="O682" s="349"/>
      <c r="P682" s="347"/>
      <c r="Q682" s="151"/>
    </row>
    <row r="683" ht="12.0" customHeight="1">
      <c r="B683" s="1"/>
      <c r="C683" s="347"/>
      <c r="D683" s="161"/>
      <c r="E683" s="348"/>
      <c r="F683" s="1"/>
      <c r="G683" s="1"/>
      <c r="H683" s="1"/>
      <c r="I683" s="349"/>
      <c r="J683" s="349"/>
      <c r="K683" s="349"/>
      <c r="L683" s="350"/>
      <c r="M683" s="350"/>
      <c r="N683" s="351"/>
      <c r="O683" s="349"/>
      <c r="P683" s="347"/>
      <c r="Q683" s="151"/>
    </row>
    <row r="684" ht="12.0" customHeight="1">
      <c r="B684" s="1"/>
      <c r="C684" s="347"/>
      <c r="D684" s="161"/>
      <c r="E684" s="348"/>
      <c r="F684" s="1"/>
      <c r="G684" s="1"/>
      <c r="H684" s="1"/>
      <c r="I684" s="349"/>
      <c r="J684" s="349"/>
      <c r="K684" s="349"/>
      <c r="L684" s="350"/>
      <c r="M684" s="350"/>
      <c r="N684" s="351"/>
      <c r="O684" s="349"/>
      <c r="P684" s="347"/>
      <c r="Q684" s="151"/>
    </row>
    <row r="685" ht="12.0" customHeight="1">
      <c r="B685" s="1"/>
      <c r="C685" s="347"/>
      <c r="D685" s="161"/>
      <c r="E685" s="348"/>
      <c r="F685" s="1"/>
      <c r="G685" s="1"/>
      <c r="H685" s="1"/>
      <c r="I685" s="349"/>
      <c r="J685" s="349"/>
      <c r="K685" s="349"/>
      <c r="L685" s="350"/>
      <c r="M685" s="350"/>
      <c r="N685" s="351"/>
      <c r="O685" s="349"/>
      <c r="P685" s="347"/>
      <c r="Q685" s="151"/>
    </row>
    <row r="686" ht="12.0" customHeight="1">
      <c r="B686" s="1"/>
      <c r="C686" s="347"/>
      <c r="D686" s="161"/>
      <c r="E686" s="348"/>
      <c r="F686" s="1"/>
      <c r="G686" s="1"/>
      <c r="H686" s="1"/>
      <c r="I686" s="349"/>
      <c r="J686" s="349"/>
      <c r="K686" s="349"/>
      <c r="L686" s="350"/>
      <c r="M686" s="350"/>
      <c r="N686" s="351"/>
      <c r="O686" s="349"/>
      <c r="P686" s="347"/>
      <c r="Q686" s="151"/>
    </row>
    <row r="687" ht="12.0" customHeight="1">
      <c r="B687" s="1"/>
      <c r="C687" s="347"/>
      <c r="D687" s="161"/>
      <c r="E687" s="348"/>
      <c r="F687" s="1"/>
      <c r="G687" s="1"/>
      <c r="H687" s="1"/>
      <c r="I687" s="349"/>
      <c r="J687" s="349"/>
      <c r="K687" s="349"/>
      <c r="L687" s="350"/>
      <c r="M687" s="350"/>
      <c r="N687" s="351"/>
      <c r="O687" s="349"/>
      <c r="P687" s="347"/>
      <c r="Q687" s="151"/>
    </row>
    <row r="688" ht="12.0" customHeight="1">
      <c r="B688" s="1"/>
      <c r="C688" s="347"/>
      <c r="D688" s="161"/>
      <c r="E688" s="348"/>
      <c r="F688" s="1"/>
      <c r="G688" s="1"/>
      <c r="H688" s="1"/>
      <c r="I688" s="349"/>
      <c r="J688" s="349"/>
      <c r="K688" s="349"/>
      <c r="L688" s="350"/>
      <c r="M688" s="350"/>
      <c r="N688" s="351"/>
      <c r="O688" s="349"/>
      <c r="P688" s="347"/>
      <c r="Q688" s="151"/>
    </row>
    <row r="689" ht="12.0" customHeight="1">
      <c r="B689" s="1"/>
      <c r="C689" s="347"/>
      <c r="D689" s="161"/>
      <c r="E689" s="348"/>
      <c r="F689" s="1"/>
      <c r="G689" s="1"/>
      <c r="H689" s="1"/>
      <c r="I689" s="349"/>
      <c r="J689" s="349"/>
      <c r="K689" s="349"/>
      <c r="L689" s="350"/>
      <c r="M689" s="350"/>
      <c r="N689" s="351"/>
      <c r="O689" s="349"/>
      <c r="P689" s="347"/>
      <c r="Q689" s="151"/>
    </row>
    <row r="690" ht="12.0" customHeight="1">
      <c r="B690" s="1"/>
      <c r="C690" s="347"/>
      <c r="D690" s="161"/>
      <c r="E690" s="348"/>
      <c r="F690" s="1"/>
      <c r="G690" s="1"/>
      <c r="H690" s="1"/>
      <c r="I690" s="349"/>
      <c r="J690" s="349"/>
      <c r="K690" s="349"/>
      <c r="L690" s="350"/>
      <c r="M690" s="350"/>
      <c r="N690" s="351"/>
      <c r="O690" s="349"/>
      <c r="P690" s="347"/>
      <c r="Q690" s="151"/>
    </row>
    <row r="691" ht="12.0" customHeight="1">
      <c r="B691" s="1"/>
      <c r="C691" s="347"/>
      <c r="D691" s="161"/>
      <c r="E691" s="348"/>
      <c r="F691" s="1"/>
      <c r="G691" s="1"/>
      <c r="H691" s="1"/>
      <c r="I691" s="349"/>
      <c r="J691" s="349"/>
      <c r="K691" s="349"/>
      <c r="L691" s="350"/>
      <c r="M691" s="350"/>
      <c r="N691" s="351"/>
      <c r="O691" s="349"/>
      <c r="P691" s="347"/>
      <c r="Q691" s="151"/>
    </row>
    <row r="692" ht="12.0" customHeight="1">
      <c r="B692" s="1"/>
      <c r="C692" s="347"/>
      <c r="D692" s="161"/>
      <c r="E692" s="348"/>
      <c r="F692" s="1"/>
      <c r="G692" s="1"/>
      <c r="H692" s="1"/>
      <c r="I692" s="349"/>
      <c r="J692" s="349"/>
      <c r="K692" s="349"/>
      <c r="L692" s="350"/>
      <c r="M692" s="350"/>
      <c r="N692" s="351"/>
      <c r="O692" s="349"/>
      <c r="P692" s="347"/>
      <c r="Q692" s="151"/>
    </row>
    <row r="693" ht="12.0" customHeight="1">
      <c r="B693" s="1"/>
      <c r="C693" s="347"/>
      <c r="D693" s="161"/>
      <c r="E693" s="348"/>
      <c r="F693" s="1"/>
      <c r="G693" s="1"/>
      <c r="H693" s="1"/>
      <c r="I693" s="349"/>
      <c r="J693" s="349"/>
      <c r="K693" s="349"/>
      <c r="L693" s="350"/>
      <c r="M693" s="350"/>
      <c r="N693" s="351"/>
      <c r="O693" s="349"/>
      <c r="P693" s="347"/>
      <c r="Q693" s="151"/>
    </row>
    <row r="694" ht="12.0" customHeight="1">
      <c r="B694" s="1"/>
      <c r="C694" s="347"/>
      <c r="D694" s="161"/>
      <c r="E694" s="348"/>
      <c r="F694" s="1"/>
      <c r="G694" s="1"/>
      <c r="H694" s="1"/>
      <c r="I694" s="349"/>
      <c r="J694" s="349"/>
      <c r="K694" s="349"/>
      <c r="L694" s="350"/>
      <c r="M694" s="350"/>
      <c r="N694" s="351"/>
      <c r="O694" s="349"/>
      <c r="P694" s="347"/>
      <c r="Q694" s="151"/>
    </row>
    <row r="695" ht="12.0" customHeight="1">
      <c r="B695" s="1"/>
      <c r="C695" s="347"/>
      <c r="D695" s="161"/>
      <c r="E695" s="348"/>
      <c r="F695" s="1"/>
      <c r="G695" s="1"/>
      <c r="H695" s="1"/>
      <c r="I695" s="349"/>
      <c r="J695" s="349"/>
      <c r="K695" s="349"/>
      <c r="L695" s="350"/>
      <c r="M695" s="350"/>
      <c r="N695" s="351"/>
      <c r="O695" s="349"/>
      <c r="P695" s="347"/>
      <c r="Q695" s="151"/>
    </row>
    <row r="696" ht="12.0" customHeight="1">
      <c r="B696" s="1"/>
      <c r="C696" s="347"/>
      <c r="D696" s="161"/>
      <c r="E696" s="348"/>
      <c r="F696" s="1"/>
      <c r="G696" s="1"/>
      <c r="H696" s="1"/>
      <c r="I696" s="349"/>
      <c r="J696" s="349"/>
      <c r="K696" s="349"/>
      <c r="L696" s="350"/>
      <c r="M696" s="350"/>
      <c r="N696" s="351"/>
      <c r="O696" s="349"/>
      <c r="P696" s="347"/>
      <c r="Q696" s="151"/>
    </row>
    <row r="697" ht="12.0" customHeight="1">
      <c r="B697" s="1"/>
      <c r="C697" s="347"/>
      <c r="D697" s="161"/>
      <c r="E697" s="348"/>
      <c r="F697" s="1"/>
      <c r="G697" s="1"/>
      <c r="H697" s="1"/>
      <c r="I697" s="349"/>
      <c r="J697" s="349"/>
      <c r="K697" s="349"/>
      <c r="L697" s="350"/>
      <c r="M697" s="350"/>
      <c r="N697" s="351"/>
      <c r="O697" s="349"/>
      <c r="P697" s="347"/>
      <c r="Q697" s="151"/>
    </row>
    <row r="698" ht="12.0" customHeight="1">
      <c r="B698" s="1"/>
      <c r="C698" s="347"/>
      <c r="D698" s="161"/>
      <c r="E698" s="348"/>
      <c r="F698" s="1"/>
      <c r="G698" s="1"/>
      <c r="H698" s="1"/>
      <c r="I698" s="349"/>
      <c r="J698" s="349"/>
      <c r="K698" s="349"/>
      <c r="L698" s="350"/>
      <c r="M698" s="350"/>
      <c r="N698" s="351"/>
      <c r="O698" s="349"/>
      <c r="P698" s="347"/>
      <c r="Q698" s="151"/>
    </row>
    <row r="699" ht="12.0" customHeight="1">
      <c r="B699" s="1"/>
      <c r="C699" s="347"/>
      <c r="D699" s="161"/>
      <c r="E699" s="348"/>
      <c r="F699" s="1"/>
      <c r="G699" s="1"/>
      <c r="H699" s="1"/>
      <c r="I699" s="349"/>
      <c r="J699" s="349"/>
      <c r="K699" s="349"/>
      <c r="L699" s="350"/>
      <c r="M699" s="350"/>
      <c r="N699" s="351"/>
      <c r="O699" s="349"/>
      <c r="P699" s="347"/>
      <c r="Q699" s="151"/>
    </row>
    <row r="700" ht="12.0" customHeight="1">
      <c r="B700" s="1"/>
      <c r="C700" s="347"/>
      <c r="D700" s="161"/>
      <c r="E700" s="348"/>
      <c r="F700" s="1"/>
      <c r="G700" s="1"/>
      <c r="H700" s="1"/>
      <c r="I700" s="349"/>
      <c r="J700" s="349"/>
      <c r="K700" s="349"/>
      <c r="L700" s="350"/>
      <c r="M700" s="350"/>
      <c r="N700" s="351"/>
      <c r="O700" s="349"/>
      <c r="P700" s="347"/>
      <c r="Q700" s="151"/>
    </row>
    <row r="701" ht="12.0" customHeight="1">
      <c r="B701" s="1"/>
      <c r="C701" s="347"/>
      <c r="D701" s="161"/>
      <c r="E701" s="348"/>
      <c r="F701" s="1"/>
      <c r="G701" s="1"/>
      <c r="H701" s="1"/>
      <c r="I701" s="349"/>
      <c r="J701" s="349"/>
      <c r="K701" s="349"/>
      <c r="L701" s="350"/>
      <c r="M701" s="350"/>
      <c r="N701" s="351"/>
      <c r="O701" s="349"/>
      <c r="P701" s="347"/>
      <c r="Q701" s="151"/>
    </row>
    <row r="702" ht="12.0" customHeight="1">
      <c r="B702" s="1"/>
      <c r="C702" s="347"/>
      <c r="D702" s="161"/>
      <c r="E702" s="348"/>
      <c r="F702" s="1"/>
      <c r="G702" s="1"/>
      <c r="H702" s="1"/>
      <c r="I702" s="349"/>
      <c r="J702" s="349"/>
      <c r="K702" s="349"/>
      <c r="L702" s="350"/>
      <c r="M702" s="350"/>
      <c r="N702" s="351"/>
      <c r="O702" s="349"/>
      <c r="P702" s="347"/>
      <c r="Q702" s="151"/>
    </row>
    <row r="703" ht="12.0" customHeight="1">
      <c r="B703" s="1"/>
      <c r="C703" s="347"/>
      <c r="D703" s="161"/>
      <c r="E703" s="348"/>
      <c r="F703" s="1"/>
      <c r="G703" s="1"/>
      <c r="H703" s="1"/>
      <c r="I703" s="349"/>
      <c r="J703" s="349"/>
      <c r="K703" s="349"/>
      <c r="L703" s="350"/>
      <c r="M703" s="350"/>
      <c r="N703" s="351"/>
      <c r="O703" s="349"/>
      <c r="P703" s="347"/>
      <c r="Q703" s="151"/>
    </row>
    <row r="704" ht="12.0" customHeight="1">
      <c r="B704" s="1"/>
      <c r="C704" s="347"/>
      <c r="D704" s="161"/>
      <c r="E704" s="348"/>
      <c r="F704" s="1"/>
      <c r="G704" s="1"/>
      <c r="H704" s="1"/>
      <c r="I704" s="349"/>
      <c r="J704" s="349"/>
      <c r="K704" s="349"/>
      <c r="L704" s="350"/>
      <c r="M704" s="350"/>
      <c r="N704" s="351"/>
      <c r="O704" s="349"/>
      <c r="P704" s="347"/>
      <c r="Q704" s="151"/>
    </row>
    <row r="705" ht="12.0" customHeight="1">
      <c r="B705" s="1"/>
      <c r="C705" s="347"/>
      <c r="D705" s="161"/>
      <c r="E705" s="348"/>
      <c r="F705" s="1"/>
      <c r="G705" s="1"/>
      <c r="H705" s="1"/>
      <c r="I705" s="349"/>
      <c r="J705" s="349"/>
      <c r="K705" s="349"/>
      <c r="L705" s="350"/>
      <c r="M705" s="350"/>
      <c r="N705" s="351"/>
      <c r="O705" s="349"/>
      <c r="P705" s="347"/>
      <c r="Q705" s="151"/>
    </row>
    <row r="706" ht="12.0" customHeight="1">
      <c r="B706" s="1"/>
      <c r="C706" s="347"/>
      <c r="D706" s="161"/>
      <c r="E706" s="348"/>
      <c r="F706" s="1"/>
      <c r="G706" s="1"/>
      <c r="H706" s="1"/>
      <c r="I706" s="349"/>
      <c r="J706" s="349"/>
      <c r="K706" s="349"/>
      <c r="L706" s="350"/>
      <c r="M706" s="350"/>
      <c r="N706" s="351"/>
      <c r="O706" s="349"/>
      <c r="P706" s="347"/>
      <c r="Q706" s="151"/>
    </row>
    <row r="707" ht="12.0" customHeight="1">
      <c r="B707" s="1"/>
      <c r="C707" s="347"/>
      <c r="D707" s="161"/>
      <c r="E707" s="348"/>
      <c r="F707" s="1"/>
      <c r="G707" s="1"/>
      <c r="H707" s="1"/>
      <c r="I707" s="349"/>
      <c r="J707" s="349"/>
      <c r="K707" s="349"/>
      <c r="L707" s="350"/>
      <c r="M707" s="350"/>
      <c r="N707" s="351"/>
      <c r="O707" s="349"/>
      <c r="P707" s="347"/>
      <c r="Q707" s="151"/>
    </row>
    <row r="708" ht="12.0" customHeight="1">
      <c r="B708" s="1"/>
      <c r="C708" s="347"/>
      <c r="D708" s="161"/>
      <c r="E708" s="348"/>
      <c r="F708" s="1"/>
      <c r="G708" s="1"/>
      <c r="H708" s="1"/>
      <c r="I708" s="349"/>
      <c r="J708" s="349"/>
      <c r="K708" s="349"/>
      <c r="L708" s="350"/>
      <c r="M708" s="350"/>
      <c r="N708" s="351"/>
      <c r="O708" s="349"/>
      <c r="P708" s="347"/>
      <c r="Q708" s="151"/>
    </row>
    <row r="709" ht="12.0" customHeight="1">
      <c r="B709" s="1"/>
      <c r="C709" s="347"/>
      <c r="D709" s="161"/>
      <c r="E709" s="348"/>
      <c r="F709" s="1"/>
      <c r="G709" s="1"/>
      <c r="H709" s="1"/>
      <c r="I709" s="349"/>
      <c r="J709" s="349"/>
      <c r="K709" s="349"/>
      <c r="L709" s="350"/>
      <c r="M709" s="350"/>
      <c r="N709" s="351"/>
      <c r="O709" s="349"/>
      <c r="P709" s="347"/>
      <c r="Q709" s="151"/>
    </row>
    <row r="710" ht="12.0" customHeight="1">
      <c r="B710" s="1"/>
      <c r="C710" s="347"/>
      <c r="D710" s="161"/>
      <c r="E710" s="348"/>
      <c r="F710" s="1"/>
      <c r="G710" s="1"/>
      <c r="H710" s="1"/>
      <c r="I710" s="349"/>
      <c r="J710" s="349"/>
      <c r="K710" s="349"/>
      <c r="L710" s="350"/>
      <c r="M710" s="350"/>
      <c r="N710" s="351"/>
      <c r="O710" s="349"/>
      <c r="P710" s="347"/>
      <c r="Q710" s="151"/>
    </row>
    <row r="711" ht="12.0" customHeight="1">
      <c r="B711" s="1"/>
      <c r="C711" s="347"/>
      <c r="D711" s="161"/>
      <c r="E711" s="348"/>
      <c r="F711" s="1"/>
      <c r="G711" s="1"/>
      <c r="H711" s="1"/>
      <c r="I711" s="349"/>
      <c r="J711" s="349"/>
      <c r="K711" s="349"/>
      <c r="L711" s="350"/>
      <c r="M711" s="350"/>
      <c r="N711" s="351"/>
      <c r="O711" s="349"/>
      <c r="P711" s="347"/>
      <c r="Q711" s="151"/>
    </row>
    <row r="712" ht="12.0" customHeight="1">
      <c r="B712" s="1"/>
      <c r="C712" s="347"/>
      <c r="D712" s="161"/>
      <c r="E712" s="348"/>
      <c r="F712" s="1"/>
      <c r="G712" s="1"/>
      <c r="H712" s="1"/>
      <c r="I712" s="349"/>
      <c r="J712" s="349"/>
      <c r="K712" s="349"/>
      <c r="L712" s="350"/>
      <c r="M712" s="350"/>
      <c r="N712" s="351"/>
      <c r="O712" s="349"/>
      <c r="P712" s="347"/>
      <c r="Q712" s="151"/>
    </row>
    <row r="713" ht="12.0" customHeight="1">
      <c r="B713" s="1"/>
      <c r="C713" s="347"/>
      <c r="D713" s="161"/>
      <c r="E713" s="348"/>
      <c r="F713" s="1"/>
      <c r="G713" s="1"/>
      <c r="H713" s="1"/>
      <c r="I713" s="349"/>
      <c r="J713" s="349"/>
      <c r="K713" s="349"/>
      <c r="L713" s="350"/>
      <c r="M713" s="350"/>
      <c r="N713" s="351"/>
      <c r="O713" s="349"/>
      <c r="P713" s="347"/>
      <c r="Q713" s="151"/>
    </row>
    <row r="714" ht="12.0" customHeight="1">
      <c r="B714" s="1"/>
      <c r="C714" s="347"/>
      <c r="D714" s="161"/>
      <c r="E714" s="348"/>
      <c r="F714" s="1"/>
      <c r="G714" s="1"/>
      <c r="H714" s="1"/>
      <c r="I714" s="349"/>
      <c r="J714" s="349"/>
      <c r="K714" s="349"/>
      <c r="L714" s="350"/>
      <c r="M714" s="350"/>
      <c r="N714" s="351"/>
      <c r="O714" s="349"/>
      <c r="P714" s="347"/>
      <c r="Q714" s="151"/>
    </row>
    <row r="715" ht="12.0" customHeight="1">
      <c r="B715" s="1"/>
      <c r="C715" s="347"/>
      <c r="D715" s="161"/>
      <c r="E715" s="348"/>
      <c r="F715" s="1"/>
      <c r="G715" s="1"/>
      <c r="H715" s="1"/>
      <c r="I715" s="349"/>
      <c r="J715" s="349"/>
      <c r="K715" s="349"/>
      <c r="L715" s="350"/>
      <c r="M715" s="350"/>
      <c r="N715" s="351"/>
      <c r="O715" s="349"/>
      <c r="P715" s="347"/>
      <c r="Q715" s="151"/>
    </row>
    <row r="716" ht="12.0" customHeight="1">
      <c r="B716" s="1"/>
      <c r="C716" s="347"/>
      <c r="D716" s="161"/>
      <c r="E716" s="348"/>
      <c r="F716" s="1"/>
      <c r="G716" s="1"/>
      <c r="H716" s="1"/>
      <c r="I716" s="349"/>
      <c r="J716" s="349"/>
      <c r="K716" s="349"/>
      <c r="L716" s="350"/>
      <c r="M716" s="350"/>
      <c r="N716" s="351"/>
      <c r="O716" s="349"/>
      <c r="P716" s="347"/>
      <c r="Q716" s="151"/>
    </row>
    <row r="717" ht="12.0" customHeight="1">
      <c r="B717" s="1"/>
      <c r="C717" s="347"/>
      <c r="D717" s="161"/>
      <c r="E717" s="348"/>
      <c r="F717" s="1"/>
      <c r="G717" s="1"/>
      <c r="H717" s="1"/>
      <c r="I717" s="349"/>
      <c r="J717" s="349"/>
      <c r="K717" s="349"/>
      <c r="L717" s="350"/>
      <c r="M717" s="350"/>
      <c r="N717" s="351"/>
      <c r="O717" s="349"/>
      <c r="P717" s="347"/>
      <c r="Q717" s="151"/>
    </row>
    <row r="718" ht="12.0" customHeight="1">
      <c r="B718" s="1"/>
      <c r="C718" s="347"/>
      <c r="D718" s="161"/>
      <c r="E718" s="348"/>
      <c r="F718" s="1"/>
      <c r="G718" s="1"/>
      <c r="H718" s="1"/>
      <c r="I718" s="349"/>
      <c r="J718" s="349"/>
      <c r="K718" s="349"/>
      <c r="L718" s="350"/>
      <c r="M718" s="350"/>
      <c r="N718" s="351"/>
      <c r="O718" s="349"/>
      <c r="P718" s="347"/>
      <c r="Q718" s="151"/>
    </row>
    <row r="719" ht="12.0" customHeight="1">
      <c r="B719" s="1"/>
      <c r="C719" s="347"/>
      <c r="D719" s="161"/>
      <c r="E719" s="348"/>
      <c r="F719" s="1"/>
      <c r="G719" s="1"/>
      <c r="H719" s="1"/>
      <c r="I719" s="349"/>
      <c r="J719" s="349"/>
      <c r="K719" s="349"/>
      <c r="L719" s="350"/>
      <c r="M719" s="350"/>
      <c r="N719" s="351"/>
      <c r="O719" s="349"/>
      <c r="P719" s="347"/>
      <c r="Q719" s="151"/>
    </row>
    <row r="720" ht="12.0" customHeight="1">
      <c r="B720" s="1"/>
      <c r="C720" s="347"/>
      <c r="D720" s="161"/>
      <c r="E720" s="348"/>
      <c r="F720" s="1"/>
      <c r="G720" s="1"/>
      <c r="H720" s="1"/>
      <c r="I720" s="349"/>
      <c r="J720" s="349"/>
      <c r="K720" s="349"/>
      <c r="L720" s="350"/>
      <c r="M720" s="350"/>
      <c r="N720" s="351"/>
      <c r="O720" s="349"/>
      <c r="P720" s="347"/>
      <c r="Q720" s="151"/>
    </row>
    <row r="721" ht="12.0" customHeight="1">
      <c r="B721" s="1"/>
      <c r="C721" s="347"/>
      <c r="D721" s="161"/>
      <c r="E721" s="348"/>
      <c r="F721" s="1"/>
      <c r="G721" s="1"/>
      <c r="H721" s="1"/>
      <c r="I721" s="349"/>
      <c r="J721" s="349"/>
      <c r="K721" s="349"/>
      <c r="L721" s="350"/>
      <c r="M721" s="350"/>
      <c r="N721" s="351"/>
      <c r="O721" s="349"/>
      <c r="P721" s="347"/>
      <c r="Q721" s="151"/>
    </row>
    <row r="722" ht="12.0" customHeight="1">
      <c r="B722" s="1"/>
      <c r="C722" s="347"/>
      <c r="D722" s="161"/>
      <c r="E722" s="348"/>
      <c r="F722" s="1"/>
      <c r="G722" s="1"/>
      <c r="H722" s="1"/>
      <c r="I722" s="349"/>
      <c r="J722" s="349"/>
      <c r="K722" s="349"/>
      <c r="L722" s="350"/>
      <c r="M722" s="350"/>
      <c r="N722" s="351"/>
      <c r="O722" s="349"/>
      <c r="P722" s="347"/>
      <c r="Q722" s="151"/>
    </row>
    <row r="723" ht="12.0" customHeight="1">
      <c r="B723" s="1"/>
      <c r="C723" s="347"/>
      <c r="D723" s="161"/>
      <c r="E723" s="348"/>
      <c r="F723" s="1"/>
      <c r="G723" s="1"/>
      <c r="H723" s="1"/>
      <c r="I723" s="349"/>
      <c r="J723" s="349"/>
      <c r="K723" s="349"/>
      <c r="L723" s="350"/>
      <c r="M723" s="350"/>
      <c r="N723" s="351"/>
      <c r="O723" s="349"/>
      <c r="P723" s="347"/>
      <c r="Q723" s="151"/>
    </row>
    <row r="724" ht="12.0" customHeight="1">
      <c r="B724" s="1"/>
      <c r="C724" s="347"/>
      <c r="D724" s="161"/>
      <c r="E724" s="348"/>
      <c r="F724" s="1"/>
      <c r="G724" s="1"/>
      <c r="H724" s="1"/>
      <c r="I724" s="349"/>
      <c r="J724" s="349"/>
      <c r="K724" s="349"/>
      <c r="L724" s="350"/>
      <c r="M724" s="350"/>
      <c r="N724" s="351"/>
      <c r="O724" s="349"/>
      <c r="P724" s="347"/>
      <c r="Q724" s="151"/>
    </row>
    <row r="725" ht="12.0" customHeight="1">
      <c r="B725" s="1"/>
      <c r="C725" s="347"/>
      <c r="D725" s="161"/>
      <c r="E725" s="348"/>
      <c r="F725" s="1"/>
      <c r="G725" s="1"/>
      <c r="H725" s="1"/>
      <c r="I725" s="349"/>
      <c r="J725" s="349"/>
      <c r="K725" s="349"/>
      <c r="L725" s="350"/>
      <c r="M725" s="350"/>
      <c r="N725" s="351"/>
      <c r="O725" s="349"/>
      <c r="P725" s="347"/>
      <c r="Q725" s="151"/>
    </row>
    <row r="726" ht="12.0" customHeight="1">
      <c r="B726" s="1"/>
      <c r="C726" s="347"/>
      <c r="D726" s="161"/>
      <c r="E726" s="348"/>
      <c r="F726" s="1"/>
      <c r="G726" s="1"/>
      <c r="H726" s="1"/>
      <c r="I726" s="349"/>
      <c r="J726" s="349"/>
      <c r="K726" s="349"/>
      <c r="L726" s="350"/>
      <c r="M726" s="350"/>
      <c r="N726" s="351"/>
      <c r="O726" s="349"/>
      <c r="P726" s="347"/>
      <c r="Q726" s="151"/>
    </row>
    <row r="727" ht="12.0" customHeight="1">
      <c r="B727" s="1"/>
      <c r="C727" s="347"/>
      <c r="D727" s="161"/>
      <c r="E727" s="348"/>
      <c r="F727" s="1"/>
      <c r="G727" s="1"/>
      <c r="H727" s="1"/>
      <c r="I727" s="349"/>
      <c r="J727" s="349"/>
      <c r="K727" s="349"/>
      <c r="L727" s="350"/>
      <c r="M727" s="350"/>
      <c r="N727" s="351"/>
      <c r="O727" s="349"/>
      <c r="P727" s="347"/>
      <c r="Q727" s="151"/>
    </row>
    <row r="728" ht="12.0" customHeight="1">
      <c r="B728" s="1"/>
      <c r="C728" s="347"/>
      <c r="D728" s="161"/>
      <c r="E728" s="348"/>
      <c r="F728" s="1"/>
      <c r="G728" s="1"/>
      <c r="H728" s="1"/>
      <c r="I728" s="349"/>
      <c r="J728" s="349"/>
      <c r="K728" s="349"/>
      <c r="L728" s="350"/>
      <c r="M728" s="350"/>
      <c r="N728" s="351"/>
      <c r="O728" s="349"/>
      <c r="P728" s="347"/>
      <c r="Q728" s="151"/>
    </row>
    <row r="729" ht="12.0" customHeight="1">
      <c r="B729" s="1"/>
      <c r="C729" s="347"/>
      <c r="D729" s="161"/>
      <c r="E729" s="348"/>
      <c r="F729" s="1"/>
      <c r="G729" s="1"/>
      <c r="H729" s="1"/>
      <c r="I729" s="349"/>
      <c r="J729" s="349"/>
      <c r="K729" s="349"/>
      <c r="L729" s="350"/>
      <c r="M729" s="350"/>
      <c r="N729" s="351"/>
      <c r="O729" s="349"/>
      <c r="P729" s="347"/>
      <c r="Q729" s="151"/>
    </row>
    <row r="730" ht="12.0" customHeight="1">
      <c r="B730" s="1"/>
      <c r="C730" s="347"/>
      <c r="D730" s="161"/>
      <c r="E730" s="348"/>
      <c r="F730" s="1"/>
      <c r="G730" s="1"/>
      <c r="H730" s="1"/>
      <c r="I730" s="349"/>
      <c r="J730" s="349"/>
      <c r="K730" s="349"/>
      <c r="L730" s="350"/>
      <c r="M730" s="350"/>
      <c r="N730" s="351"/>
      <c r="O730" s="349"/>
      <c r="P730" s="347"/>
      <c r="Q730" s="151"/>
    </row>
    <row r="731" ht="12.0" customHeight="1">
      <c r="B731" s="1"/>
      <c r="C731" s="347"/>
      <c r="D731" s="161"/>
      <c r="E731" s="348"/>
      <c r="F731" s="1"/>
      <c r="G731" s="1"/>
      <c r="H731" s="1"/>
      <c r="I731" s="349"/>
      <c r="J731" s="349"/>
      <c r="K731" s="349"/>
      <c r="L731" s="350"/>
      <c r="M731" s="350"/>
      <c r="N731" s="351"/>
      <c r="O731" s="349"/>
      <c r="P731" s="347"/>
      <c r="Q731" s="151"/>
    </row>
    <row r="732" ht="12.0" customHeight="1">
      <c r="B732" s="1"/>
      <c r="C732" s="347"/>
      <c r="D732" s="161"/>
      <c r="E732" s="348"/>
      <c r="F732" s="1"/>
      <c r="G732" s="1"/>
      <c r="H732" s="1"/>
      <c r="I732" s="349"/>
      <c r="J732" s="349"/>
      <c r="K732" s="349"/>
      <c r="L732" s="350"/>
      <c r="M732" s="350"/>
      <c r="N732" s="351"/>
      <c r="O732" s="349"/>
      <c r="P732" s="347"/>
      <c r="Q732" s="151"/>
    </row>
    <row r="733" ht="12.0" customHeight="1">
      <c r="B733" s="1"/>
      <c r="C733" s="347"/>
      <c r="D733" s="161"/>
      <c r="E733" s="348"/>
      <c r="F733" s="1"/>
      <c r="G733" s="1"/>
      <c r="H733" s="1"/>
      <c r="I733" s="349"/>
      <c r="J733" s="349"/>
      <c r="K733" s="349"/>
      <c r="L733" s="350"/>
      <c r="M733" s="350"/>
      <c r="N733" s="351"/>
      <c r="O733" s="349"/>
      <c r="P733" s="347"/>
      <c r="Q733" s="151"/>
    </row>
    <row r="734" ht="12.0" customHeight="1">
      <c r="B734" s="1"/>
      <c r="C734" s="347"/>
      <c r="D734" s="161"/>
      <c r="E734" s="348"/>
      <c r="F734" s="1"/>
      <c r="G734" s="1"/>
      <c r="H734" s="1"/>
      <c r="I734" s="349"/>
      <c r="J734" s="349"/>
      <c r="K734" s="349"/>
      <c r="L734" s="350"/>
      <c r="M734" s="350"/>
      <c r="N734" s="351"/>
      <c r="O734" s="349"/>
      <c r="P734" s="347"/>
      <c r="Q734" s="151"/>
    </row>
    <row r="735" ht="12.0" customHeight="1">
      <c r="B735" s="1"/>
      <c r="C735" s="347"/>
      <c r="D735" s="161"/>
      <c r="E735" s="348"/>
      <c r="F735" s="1"/>
      <c r="G735" s="1"/>
      <c r="H735" s="1"/>
      <c r="I735" s="349"/>
      <c r="J735" s="349"/>
      <c r="K735" s="349"/>
      <c r="L735" s="350"/>
      <c r="M735" s="350"/>
      <c r="N735" s="351"/>
      <c r="O735" s="349"/>
      <c r="P735" s="347"/>
      <c r="Q735" s="151"/>
    </row>
    <row r="736" ht="12.0" customHeight="1">
      <c r="B736" s="1"/>
      <c r="C736" s="347"/>
      <c r="D736" s="161"/>
      <c r="E736" s="348"/>
      <c r="F736" s="1"/>
      <c r="G736" s="1"/>
      <c r="H736" s="1"/>
      <c r="I736" s="349"/>
      <c r="J736" s="349"/>
      <c r="K736" s="349"/>
      <c r="L736" s="350"/>
      <c r="M736" s="350"/>
      <c r="N736" s="351"/>
      <c r="O736" s="349"/>
      <c r="P736" s="347"/>
      <c r="Q736" s="151"/>
    </row>
    <row r="737" ht="12.0" customHeight="1">
      <c r="B737" s="1"/>
      <c r="C737" s="347"/>
      <c r="D737" s="161"/>
      <c r="E737" s="348"/>
      <c r="F737" s="1"/>
      <c r="G737" s="1"/>
      <c r="H737" s="1"/>
      <c r="I737" s="349"/>
      <c r="J737" s="349"/>
      <c r="K737" s="349"/>
      <c r="L737" s="350"/>
      <c r="M737" s="350"/>
      <c r="N737" s="351"/>
      <c r="O737" s="349"/>
      <c r="P737" s="347"/>
      <c r="Q737" s="151"/>
    </row>
    <row r="738" ht="12.0" customHeight="1">
      <c r="B738" s="1"/>
      <c r="C738" s="347"/>
      <c r="D738" s="161"/>
      <c r="E738" s="348"/>
      <c r="F738" s="1"/>
      <c r="G738" s="1"/>
      <c r="H738" s="1"/>
      <c r="I738" s="349"/>
      <c r="J738" s="349"/>
      <c r="K738" s="349"/>
      <c r="L738" s="350"/>
      <c r="M738" s="350"/>
      <c r="N738" s="351"/>
      <c r="O738" s="349"/>
      <c r="P738" s="347"/>
      <c r="Q738" s="151"/>
    </row>
    <row r="739" ht="12.0" customHeight="1">
      <c r="B739" s="1"/>
      <c r="C739" s="347"/>
      <c r="D739" s="161"/>
      <c r="E739" s="348"/>
      <c r="F739" s="1"/>
      <c r="G739" s="1"/>
      <c r="H739" s="1"/>
      <c r="I739" s="349"/>
      <c r="J739" s="349"/>
      <c r="K739" s="349"/>
      <c r="L739" s="350"/>
      <c r="M739" s="350"/>
      <c r="N739" s="351"/>
      <c r="O739" s="349"/>
      <c r="P739" s="347"/>
      <c r="Q739" s="151"/>
    </row>
    <row r="740" ht="12.0" customHeight="1">
      <c r="B740" s="1"/>
      <c r="C740" s="347"/>
      <c r="D740" s="161"/>
      <c r="E740" s="348"/>
      <c r="F740" s="1"/>
      <c r="G740" s="1"/>
      <c r="H740" s="1"/>
      <c r="I740" s="349"/>
      <c r="J740" s="349"/>
      <c r="K740" s="349"/>
      <c r="L740" s="350"/>
      <c r="M740" s="350"/>
      <c r="N740" s="351"/>
      <c r="O740" s="349"/>
      <c r="P740" s="347"/>
      <c r="Q740" s="151"/>
    </row>
    <row r="741" ht="12.0" customHeight="1">
      <c r="B741" s="1"/>
      <c r="C741" s="347"/>
      <c r="D741" s="161"/>
      <c r="E741" s="348"/>
      <c r="F741" s="1"/>
      <c r="G741" s="1"/>
      <c r="H741" s="1"/>
      <c r="I741" s="349"/>
      <c r="J741" s="349"/>
      <c r="K741" s="349"/>
      <c r="L741" s="350"/>
      <c r="M741" s="350"/>
      <c r="N741" s="351"/>
      <c r="O741" s="349"/>
      <c r="P741" s="347"/>
      <c r="Q741" s="151"/>
    </row>
    <row r="742" ht="12.0" customHeight="1">
      <c r="B742" s="1"/>
      <c r="C742" s="347"/>
      <c r="D742" s="161"/>
      <c r="E742" s="348"/>
      <c r="F742" s="1"/>
      <c r="G742" s="1"/>
      <c r="H742" s="1"/>
      <c r="I742" s="349"/>
      <c r="J742" s="349"/>
      <c r="K742" s="349"/>
      <c r="L742" s="350"/>
      <c r="M742" s="350"/>
      <c r="N742" s="351"/>
      <c r="O742" s="349"/>
      <c r="P742" s="347"/>
      <c r="Q742" s="151"/>
    </row>
    <row r="743" ht="12.0" customHeight="1">
      <c r="B743" s="1"/>
      <c r="C743" s="347"/>
      <c r="D743" s="161"/>
      <c r="E743" s="348"/>
      <c r="F743" s="1"/>
      <c r="G743" s="1"/>
      <c r="H743" s="1"/>
      <c r="I743" s="349"/>
      <c r="J743" s="349"/>
      <c r="K743" s="349"/>
      <c r="L743" s="350"/>
      <c r="M743" s="350"/>
      <c r="N743" s="351"/>
      <c r="O743" s="349"/>
      <c r="P743" s="347"/>
      <c r="Q743" s="151"/>
    </row>
    <row r="744" ht="12.0" customHeight="1">
      <c r="B744" s="1"/>
      <c r="C744" s="347"/>
      <c r="D744" s="161"/>
      <c r="E744" s="348"/>
      <c r="F744" s="1"/>
      <c r="G744" s="1"/>
      <c r="H744" s="1"/>
      <c r="I744" s="349"/>
      <c r="J744" s="349"/>
      <c r="K744" s="349"/>
      <c r="L744" s="350"/>
      <c r="M744" s="350"/>
      <c r="N744" s="351"/>
      <c r="O744" s="349"/>
      <c r="P744" s="347"/>
      <c r="Q744" s="151"/>
    </row>
    <row r="745" ht="12.0" customHeight="1">
      <c r="B745" s="1"/>
      <c r="C745" s="347"/>
      <c r="D745" s="161"/>
      <c r="E745" s="348"/>
      <c r="F745" s="1"/>
      <c r="G745" s="1"/>
      <c r="H745" s="1"/>
      <c r="I745" s="349"/>
      <c r="J745" s="349"/>
      <c r="K745" s="349"/>
      <c r="L745" s="350"/>
      <c r="M745" s="350"/>
      <c r="N745" s="351"/>
      <c r="O745" s="349"/>
      <c r="P745" s="347"/>
      <c r="Q745" s="151"/>
    </row>
    <row r="746" ht="12.0" customHeight="1">
      <c r="B746" s="1"/>
      <c r="C746" s="347"/>
      <c r="D746" s="161"/>
      <c r="E746" s="348"/>
      <c r="F746" s="1"/>
      <c r="G746" s="1"/>
      <c r="H746" s="1"/>
      <c r="I746" s="349"/>
      <c r="J746" s="349"/>
      <c r="K746" s="349"/>
      <c r="L746" s="350"/>
      <c r="M746" s="350"/>
      <c r="N746" s="351"/>
      <c r="O746" s="349"/>
      <c r="P746" s="347"/>
      <c r="Q746" s="151"/>
    </row>
    <row r="747" ht="12.0" customHeight="1">
      <c r="B747" s="1"/>
      <c r="C747" s="347"/>
      <c r="D747" s="161"/>
      <c r="E747" s="348"/>
      <c r="F747" s="1"/>
      <c r="G747" s="1"/>
      <c r="H747" s="1"/>
      <c r="I747" s="349"/>
      <c r="J747" s="349"/>
      <c r="K747" s="349"/>
      <c r="L747" s="350"/>
      <c r="M747" s="350"/>
      <c r="N747" s="351"/>
      <c r="O747" s="349"/>
      <c r="P747" s="347"/>
      <c r="Q747" s="151"/>
    </row>
    <row r="748" ht="12.0" customHeight="1">
      <c r="B748" s="1"/>
      <c r="C748" s="347"/>
      <c r="D748" s="161"/>
      <c r="E748" s="348"/>
      <c r="F748" s="1"/>
      <c r="G748" s="1"/>
      <c r="H748" s="1"/>
      <c r="I748" s="349"/>
      <c r="J748" s="349"/>
      <c r="K748" s="349"/>
      <c r="L748" s="350"/>
      <c r="M748" s="350"/>
      <c r="N748" s="351"/>
      <c r="O748" s="349"/>
      <c r="P748" s="347"/>
      <c r="Q748" s="151"/>
    </row>
    <row r="749" ht="12.0" customHeight="1">
      <c r="B749" s="1"/>
      <c r="C749" s="347"/>
      <c r="D749" s="161"/>
      <c r="E749" s="348"/>
      <c r="F749" s="1"/>
      <c r="G749" s="1"/>
      <c r="H749" s="1"/>
      <c r="I749" s="349"/>
      <c r="J749" s="349"/>
      <c r="K749" s="349"/>
      <c r="L749" s="350"/>
      <c r="M749" s="350"/>
      <c r="N749" s="351"/>
      <c r="O749" s="349"/>
      <c r="P749" s="347"/>
      <c r="Q749" s="151"/>
    </row>
    <row r="750" ht="12.0" customHeight="1">
      <c r="B750" s="1"/>
      <c r="C750" s="347"/>
      <c r="D750" s="161"/>
      <c r="E750" s="348"/>
      <c r="F750" s="1"/>
      <c r="G750" s="1"/>
      <c r="H750" s="1"/>
      <c r="I750" s="349"/>
      <c r="J750" s="349"/>
      <c r="K750" s="349"/>
      <c r="L750" s="350"/>
      <c r="M750" s="350"/>
      <c r="N750" s="351"/>
      <c r="O750" s="349"/>
      <c r="P750" s="347"/>
      <c r="Q750" s="151"/>
    </row>
    <row r="751" ht="12.0" customHeight="1">
      <c r="B751" s="1"/>
      <c r="C751" s="347"/>
      <c r="D751" s="161"/>
      <c r="E751" s="348"/>
      <c r="F751" s="1"/>
      <c r="G751" s="1"/>
      <c r="H751" s="1"/>
      <c r="I751" s="349"/>
      <c r="J751" s="349"/>
      <c r="K751" s="349"/>
      <c r="L751" s="350"/>
      <c r="M751" s="350"/>
      <c r="N751" s="351"/>
      <c r="O751" s="349"/>
      <c r="P751" s="347"/>
      <c r="Q751" s="151"/>
    </row>
    <row r="752" ht="12.0" customHeight="1">
      <c r="B752" s="1"/>
      <c r="C752" s="347"/>
      <c r="D752" s="161"/>
      <c r="E752" s="348"/>
      <c r="F752" s="1"/>
      <c r="G752" s="1"/>
      <c r="H752" s="1"/>
      <c r="I752" s="349"/>
      <c r="J752" s="349"/>
      <c r="K752" s="349"/>
      <c r="L752" s="350"/>
      <c r="M752" s="350"/>
      <c r="N752" s="351"/>
      <c r="O752" s="349"/>
      <c r="P752" s="347"/>
      <c r="Q752" s="151"/>
    </row>
    <row r="753" ht="12.0" customHeight="1">
      <c r="B753" s="1"/>
      <c r="C753" s="347"/>
      <c r="D753" s="161"/>
      <c r="E753" s="348"/>
      <c r="F753" s="1"/>
      <c r="G753" s="1"/>
      <c r="H753" s="1"/>
      <c r="I753" s="349"/>
      <c r="J753" s="349"/>
      <c r="K753" s="349"/>
      <c r="L753" s="350"/>
      <c r="M753" s="350"/>
      <c r="N753" s="351"/>
      <c r="O753" s="349"/>
      <c r="P753" s="347"/>
      <c r="Q753" s="151"/>
    </row>
    <row r="754" ht="12.0" customHeight="1">
      <c r="B754" s="1"/>
      <c r="C754" s="347"/>
      <c r="D754" s="161"/>
      <c r="E754" s="348"/>
      <c r="F754" s="1"/>
      <c r="G754" s="1"/>
      <c r="H754" s="1"/>
      <c r="I754" s="349"/>
      <c r="J754" s="349"/>
      <c r="K754" s="349"/>
      <c r="L754" s="350"/>
      <c r="M754" s="350"/>
      <c r="N754" s="351"/>
      <c r="O754" s="349"/>
      <c r="P754" s="347"/>
      <c r="Q754" s="151"/>
    </row>
    <row r="755" ht="12.0" customHeight="1">
      <c r="B755" s="1"/>
      <c r="C755" s="347"/>
      <c r="D755" s="161"/>
      <c r="E755" s="348"/>
      <c r="F755" s="1"/>
      <c r="G755" s="1"/>
      <c r="H755" s="1"/>
      <c r="I755" s="349"/>
      <c r="J755" s="349"/>
      <c r="K755" s="349"/>
      <c r="L755" s="350"/>
      <c r="M755" s="350"/>
      <c r="N755" s="351"/>
      <c r="O755" s="349"/>
      <c r="P755" s="347"/>
      <c r="Q755" s="151"/>
    </row>
    <row r="756" ht="12.0" customHeight="1">
      <c r="B756" s="1"/>
      <c r="C756" s="347"/>
      <c r="D756" s="161"/>
      <c r="E756" s="348"/>
      <c r="F756" s="1"/>
      <c r="G756" s="1"/>
      <c r="H756" s="1"/>
      <c r="I756" s="349"/>
      <c r="J756" s="349"/>
      <c r="K756" s="349"/>
      <c r="L756" s="350"/>
      <c r="M756" s="350"/>
      <c r="N756" s="351"/>
      <c r="O756" s="349"/>
      <c r="P756" s="347"/>
      <c r="Q756" s="151"/>
    </row>
    <row r="757" ht="12.0" customHeight="1">
      <c r="B757" s="1"/>
      <c r="C757" s="347"/>
      <c r="D757" s="161"/>
      <c r="E757" s="348"/>
      <c r="F757" s="1"/>
      <c r="G757" s="1"/>
      <c r="H757" s="1"/>
      <c r="I757" s="349"/>
      <c r="J757" s="349"/>
      <c r="K757" s="349"/>
      <c r="L757" s="350"/>
      <c r="M757" s="350"/>
      <c r="N757" s="351"/>
      <c r="O757" s="349"/>
      <c r="P757" s="347"/>
      <c r="Q757" s="151"/>
    </row>
    <row r="758" ht="12.0" customHeight="1">
      <c r="B758" s="1"/>
      <c r="C758" s="347"/>
      <c r="D758" s="161"/>
      <c r="E758" s="348"/>
      <c r="F758" s="1"/>
      <c r="G758" s="1"/>
      <c r="H758" s="1"/>
      <c r="I758" s="349"/>
      <c r="J758" s="349"/>
      <c r="K758" s="349"/>
      <c r="L758" s="350"/>
      <c r="M758" s="350"/>
      <c r="N758" s="351"/>
      <c r="O758" s="349"/>
      <c r="P758" s="347"/>
      <c r="Q758" s="151"/>
    </row>
    <row r="759" ht="12.0" customHeight="1">
      <c r="B759" s="1"/>
      <c r="C759" s="347"/>
      <c r="D759" s="161"/>
      <c r="E759" s="348"/>
      <c r="F759" s="1"/>
      <c r="G759" s="1"/>
      <c r="H759" s="1"/>
      <c r="I759" s="349"/>
      <c r="J759" s="349"/>
      <c r="K759" s="349"/>
      <c r="L759" s="350"/>
      <c r="M759" s="350"/>
      <c r="N759" s="351"/>
      <c r="O759" s="349"/>
      <c r="P759" s="347"/>
      <c r="Q759" s="151"/>
    </row>
    <row r="760" ht="12.0" customHeight="1">
      <c r="B760" s="1"/>
      <c r="C760" s="347"/>
      <c r="D760" s="161"/>
      <c r="E760" s="348"/>
      <c r="F760" s="1"/>
      <c r="G760" s="1"/>
      <c r="H760" s="1"/>
      <c r="I760" s="349"/>
      <c r="J760" s="349"/>
      <c r="K760" s="349"/>
      <c r="L760" s="350"/>
      <c r="M760" s="350"/>
      <c r="N760" s="351"/>
      <c r="O760" s="349"/>
      <c r="P760" s="347"/>
      <c r="Q760" s="151"/>
    </row>
    <row r="761" ht="12.0" customHeight="1">
      <c r="B761" s="1"/>
      <c r="C761" s="347"/>
      <c r="D761" s="161"/>
      <c r="E761" s="348"/>
      <c r="F761" s="1"/>
      <c r="G761" s="1"/>
      <c r="H761" s="1"/>
      <c r="I761" s="349"/>
      <c r="J761" s="349"/>
      <c r="K761" s="349"/>
      <c r="L761" s="350"/>
      <c r="M761" s="350"/>
      <c r="N761" s="351"/>
      <c r="O761" s="349"/>
      <c r="P761" s="347"/>
      <c r="Q761" s="151"/>
    </row>
    <row r="762" ht="12.0" customHeight="1">
      <c r="B762" s="1"/>
      <c r="C762" s="347"/>
      <c r="D762" s="161"/>
      <c r="E762" s="348"/>
      <c r="F762" s="1"/>
      <c r="G762" s="1"/>
      <c r="H762" s="1"/>
      <c r="I762" s="349"/>
      <c r="J762" s="349"/>
      <c r="K762" s="349"/>
      <c r="L762" s="350"/>
      <c r="M762" s="350"/>
      <c r="N762" s="351"/>
      <c r="O762" s="349"/>
      <c r="P762" s="347"/>
      <c r="Q762" s="151"/>
    </row>
    <row r="763" ht="12.0" customHeight="1">
      <c r="B763" s="1"/>
      <c r="C763" s="347"/>
      <c r="D763" s="161"/>
      <c r="E763" s="348"/>
      <c r="F763" s="1"/>
      <c r="G763" s="1"/>
      <c r="H763" s="1"/>
      <c r="I763" s="349"/>
      <c r="J763" s="349"/>
      <c r="K763" s="349"/>
      <c r="L763" s="350"/>
      <c r="M763" s="350"/>
      <c r="N763" s="351"/>
      <c r="O763" s="349"/>
      <c r="P763" s="347"/>
      <c r="Q763" s="151"/>
    </row>
    <row r="764" ht="12.0" customHeight="1">
      <c r="B764" s="1"/>
      <c r="C764" s="347"/>
      <c r="D764" s="161"/>
      <c r="E764" s="348"/>
      <c r="F764" s="1"/>
      <c r="G764" s="1"/>
      <c r="H764" s="1"/>
      <c r="I764" s="349"/>
      <c r="J764" s="349"/>
      <c r="K764" s="349"/>
      <c r="L764" s="350"/>
      <c r="M764" s="350"/>
      <c r="N764" s="351"/>
      <c r="O764" s="349"/>
      <c r="P764" s="347"/>
      <c r="Q764" s="151"/>
    </row>
    <row r="765" ht="12.0" customHeight="1">
      <c r="B765" s="1"/>
      <c r="C765" s="347"/>
      <c r="D765" s="161"/>
      <c r="E765" s="348"/>
      <c r="F765" s="1"/>
      <c r="G765" s="1"/>
      <c r="H765" s="1"/>
      <c r="I765" s="349"/>
      <c r="J765" s="349"/>
      <c r="K765" s="349"/>
      <c r="L765" s="350"/>
      <c r="M765" s="350"/>
      <c r="N765" s="351"/>
      <c r="O765" s="349"/>
      <c r="P765" s="347"/>
      <c r="Q765" s="151"/>
    </row>
    <row r="766" ht="12.0" customHeight="1">
      <c r="B766" s="1"/>
      <c r="C766" s="347"/>
      <c r="D766" s="161"/>
      <c r="E766" s="348"/>
      <c r="F766" s="1"/>
      <c r="G766" s="1"/>
      <c r="H766" s="1"/>
      <c r="I766" s="349"/>
      <c r="J766" s="349"/>
      <c r="K766" s="349"/>
      <c r="L766" s="350"/>
      <c r="M766" s="350"/>
      <c r="N766" s="351"/>
      <c r="O766" s="349"/>
      <c r="P766" s="347"/>
      <c r="Q766" s="151"/>
    </row>
    <row r="767" ht="12.0" customHeight="1">
      <c r="B767" s="1"/>
      <c r="C767" s="347"/>
      <c r="D767" s="161"/>
      <c r="E767" s="348"/>
      <c r="F767" s="1"/>
      <c r="G767" s="1"/>
      <c r="H767" s="1"/>
      <c r="I767" s="349"/>
      <c r="J767" s="349"/>
      <c r="K767" s="349"/>
      <c r="L767" s="350"/>
      <c r="M767" s="350"/>
      <c r="N767" s="351"/>
      <c r="O767" s="349"/>
      <c r="P767" s="347"/>
      <c r="Q767" s="151"/>
    </row>
    <row r="768" ht="12.0" customHeight="1">
      <c r="B768" s="1"/>
      <c r="C768" s="347"/>
      <c r="D768" s="161"/>
      <c r="E768" s="348"/>
      <c r="F768" s="1"/>
      <c r="G768" s="1"/>
      <c r="H768" s="1"/>
      <c r="I768" s="349"/>
      <c r="J768" s="349"/>
      <c r="K768" s="349"/>
      <c r="L768" s="350"/>
      <c r="M768" s="350"/>
      <c r="N768" s="351"/>
      <c r="O768" s="349"/>
      <c r="P768" s="347"/>
      <c r="Q768" s="151"/>
    </row>
    <row r="769" ht="12.0" customHeight="1">
      <c r="B769" s="1"/>
      <c r="C769" s="347"/>
      <c r="D769" s="161"/>
      <c r="E769" s="348"/>
      <c r="F769" s="1"/>
      <c r="G769" s="1"/>
      <c r="H769" s="1"/>
      <c r="I769" s="349"/>
      <c r="J769" s="349"/>
      <c r="K769" s="349"/>
      <c r="L769" s="350"/>
      <c r="M769" s="350"/>
      <c r="N769" s="351"/>
      <c r="O769" s="349"/>
      <c r="P769" s="347"/>
      <c r="Q769" s="151"/>
    </row>
    <row r="770" ht="12.0" customHeight="1">
      <c r="B770" s="1"/>
      <c r="C770" s="347"/>
      <c r="D770" s="161"/>
      <c r="E770" s="348"/>
      <c r="F770" s="1"/>
      <c r="G770" s="1"/>
      <c r="H770" s="1"/>
      <c r="I770" s="349"/>
      <c r="J770" s="349"/>
      <c r="K770" s="349"/>
      <c r="L770" s="350"/>
      <c r="M770" s="350"/>
      <c r="N770" s="351"/>
      <c r="O770" s="349"/>
      <c r="P770" s="347"/>
      <c r="Q770" s="151"/>
    </row>
    <row r="771" ht="12.0" customHeight="1">
      <c r="B771" s="1"/>
      <c r="C771" s="347"/>
      <c r="D771" s="161"/>
      <c r="E771" s="348"/>
      <c r="F771" s="1"/>
      <c r="G771" s="1"/>
      <c r="H771" s="1"/>
      <c r="I771" s="349"/>
      <c r="J771" s="349"/>
      <c r="K771" s="349"/>
      <c r="L771" s="350"/>
      <c r="M771" s="350"/>
      <c r="N771" s="351"/>
      <c r="O771" s="349"/>
      <c r="P771" s="347"/>
      <c r="Q771" s="151"/>
    </row>
    <row r="772" ht="12.0" customHeight="1">
      <c r="B772" s="1"/>
      <c r="C772" s="347"/>
      <c r="D772" s="161"/>
      <c r="E772" s="348"/>
      <c r="F772" s="1"/>
      <c r="G772" s="1"/>
      <c r="H772" s="1"/>
      <c r="I772" s="349"/>
      <c r="J772" s="349"/>
      <c r="K772" s="349"/>
      <c r="L772" s="350"/>
      <c r="M772" s="350"/>
      <c r="N772" s="351"/>
      <c r="O772" s="349"/>
      <c r="P772" s="347"/>
      <c r="Q772" s="151"/>
    </row>
    <row r="773" ht="12.0" customHeight="1">
      <c r="B773" s="1"/>
      <c r="C773" s="347"/>
      <c r="D773" s="161"/>
      <c r="E773" s="348"/>
      <c r="F773" s="1"/>
      <c r="G773" s="1"/>
      <c r="H773" s="1"/>
      <c r="I773" s="349"/>
      <c r="J773" s="349"/>
      <c r="K773" s="349"/>
      <c r="L773" s="350"/>
      <c r="M773" s="350"/>
      <c r="N773" s="351"/>
      <c r="O773" s="349"/>
      <c r="P773" s="347"/>
      <c r="Q773" s="151"/>
    </row>
    <row r="774" ht="12.0" customHeight="1">
      <c r="B774" s="1"/>
      <c r="C774" s="347"/>
      <c r="D774" s="161"/>
      <c r="E774" s="348"/>
      <c r="F774" s="1"/>
      <c r="G774" s="1"/>
      <c r="H774" s="1"/>
      <c r="I774" s="349"/>
      <c r="J774" s="349"/>
      <c r="K774" s="349"/>
      <c r="L774" s="350"/>
      <c r="M774" s="350"/>
      <c r="N774" s="351"/>
      <c r="O774" s="349"/>
      <c r="P774" s="347"/>
      <c r="Q774" s="151"/>
    </row>
    <row r="775" ht="12.0" customHeight="1">
      <c r="B775" s="1"/>
      <c r="C775" s="347"/>
      <c r="D775" s="161"/>
      <c r="E775" s="348"/>
      <c r="F775" s="1"/>
      <c r="G775" s="1"/>
      <c r="H775" s="1"/>
      <c r="I775" s="349"/>
      <c r="J775" s="349"/>
      <c r="K775" s="349"/>
      <c r="L775" s="350"/>
      <c r="M775" s="350"/>
      <c r="N775" s="351"/>
      <c r="O775" s="349"/>
      <c r="P775" s="347"/>
      <c r="Q775" s="151"/>
    </row>
    <row r="776" ht="12.0" customHeight="1">
      <c r="B776" s="1"/>
      <c r="C776" s="347"/>
      <c r="D776" s="161"/>
      <c r="E776" s="348"/>
      <c r="F776" s="1"/>
      <c r="G776" s="1"/>
      <c r="H776" s="1"/>
      <c r="I776" s="349"/>
      <c r="J776" s="349"/>
      <c r="K776" s="349"/>
      <c r="L776" s="350"/>
      <c r="M776" s="350"/>
      <c r="N776" s="351"/>
      <c r="O776" s="349"/>
      <c r="P776" s="347"/>
      <c r="Q776" s="151"/>
    </row>
    <row r="777" ht="12.0" customHeight="1">
      <c r="B777" s="1"/>
      <c r="C777" s="347"/>
      <c r="D777" s="161"/>
      <c r="E777" s="348"/>
      <c r="F777" s="1"/>
      <c r="G777" s="1"/>
      <c r="H777" s="1"/>
      <c r="I777" s="349"/>
      <c r="J777" s="349"/>
      <c r="K777" s="349"/>
      <c r="L777" s="350"/>
      <c r="M777" s="350"/>
      <c r="N777" s="351"/>
      <c r="O777" s="349"/>
      <c r="P777" s="347"/>
      <c r="Q777" s="151"/>
    </row>
    <row r="778" ht="12.0" customHeight="1">
      <c r="B778" s="1"/>
      <c r="C778" s="347"/>
      <c r="D778" s="161"/>
      <c r="E778" s="348"/>
      <c r="F778" s="1"/>
      <c r="G778" s="1"/>
      <c r="H778" s="1"/>
      <c r="I778" s="349"/>
      <c r="J778" s="349"/>
      <c r="K778" s="349"/>
      <c r="L778" s="350"/>
      <c r="M778" s="350"/>
      <c r="N778" s="351"/>
      <c r="O778" s="349"/>
      <c r="P778" s="347"/>
      <c r="Q778" s="151"/>
    </row>
    <row r="779" ht="12.0" customHeight="1">
      <c r="B779" s="1"/>
      <c r="C779" s="347"/>
      <c r="D779" s="161"/>
      <c r="E779" s="348"/>
      <c r="F779" s="1"/>
      <c r="G779" s="1"/>
      <c r="H779" s="1"/>
      <c r="I779" s="349"/>
      <c r="J779" s="349"/>
      <c r="K779" s="349"/>
      <c r="L779" s="350"/>
      <c r="M779" s="350"/>
      <c r="N779" s="351"/>
      <c r="O779" s="349"/>
      <c r="P779" s="347"/>
      <c r="Q779" s="151"/>
    </row>
    <row r="780" ht="12.0" customHeight="1">
      <c r="B780" s="1"/>
      <c r="C780" s="347"/>
      <c r="D780" s="161"/>
      <c r="E780" s="348"/>
      <c r="F780" s="1"/>
      <c r="G780" s="1"/>
      <c r="H780" s="1"/>
      <c r="I780" s="349"/>
      <c r="J780" s="349"/>
      <c r="K780" s="349"/>
      <c r="L780" s="350"/>
      <c r="M780" s="350"/>
      <c r="N780" s="351"/>
      <c r="O780" s="349"/>
      <c r="P780" s="347"/>
      <c r="Q780" s="151"/>
    </row>
    <row r="781" ht="12.0" customHeight="1">
      <c r="B781" s="1"/>
      <c r="C781" s="347"/>
      <c r="D781" s="161"/>
      <c r="E781" s="348"/>
      <c r="F781" s="1"/>
      <c r="G781" s="1"/>
      <c r="H781" s="1"/>
      <c r="I781" s="349"/>
      <c r="J781" s="349"/>
      <c r="K781" s="349"/>
      <c r="L781" s="350"/>
      <c r="M781" s="350"/>
      <c r="N781" s="351"/>
      <c r="O781" s="349"/>
      <c r="P781" s="347"/>
      <c r="Q781" s="151"/>
    </row>
    <row r="782" ht="12.0" customHeight="1">
      <c r="B782" s="1"/>
      <c r="C782" s="347"/>
      <c r="D782" s="161"/>
      <c r="E782" s="348"/>
      <c r="F782" s="1"/>
      <c r="G782" s="1"/>
      <c r="H782" s="1"/>
      <c r="I782" s="349"/>
      <c r="J782" s="349"/>
      <c r="K782" s="349"/>
      <c r="L782" s="350"/>
      <c r="M782" s="350"/>
      <c r="N782" s="351"/>
      <c r="O782" s="349"/>
      <c r="P782" s="347"/>
      <c r="Q782" s="151"/>
    </row>
    <row r="783" ht="12.0" customHeight="1">
      <c r="B783" s="1"/>
      <c r="C783" s="347"/>
      <c r="D783" s="161"/>
      <c r="E783" s="348"/>
      <c r="F783" s="1"/>
      <c r="G783" s="1"/>
      <c r="H783" s="1"/>
      <c r="I783" s="349"/>
      <c r="J783" s="349"/>
      <c r="K783" s="349"/>
      <c r="L783" s="350"/>
      <c r="M783" s="350"/>
      <c r="N783" s="351"/>
      <c r="O783" s="349"/>
      <c r="P783" s="347"/>
      <c r="Q783" s="151"/>
    </row>
    <row r="784" ht="12.0" customHeight="1">
      <c r="B784" s="1"/>
      <c r="C784" s="347"/>
      <c r="D784" s="161"/>
      <c r="E784" s="348"/>
      <c r="F784" s="1"/>
      <c r="G784" s="1"/>
      <c r="H784" s="1"/>
      <c r="I784" s="349"/>
      <c r="J784" s="349"/>
      <c r="K784" s="349"/>
      <c r="L784" s="350"/>
      <c r="M784" s="350"/>
      <c r="N784" s="351"/>
      <c r="O784" s="349"/>
      <c r="P784" s="347"/>
      <c r="Q784" s="151"/>
    </row>
    <row r="785" ht="12.0" customHeight="1">
      <c r="B785" s="1"/>
      <c r="C785" s="347"/>
      <c r="D785" s="161"/>
      <c r="E785" s="348"/>
      <c r="F785" s="1"/>
      <c r="G785" s="1"/>
      <c r="H785" s="1"/>
      <c r="I785" s="349"/>
      <c r="J785" s="349"/>
      <c r="K785" s="349"/>
      <c r="L785" s="350"/>
      <c r="M785" s="350"/>
      <c r="N785" s="351"/>
      <c r="O785" s="349"/>
      <c r="P785" s="347"/>
      <c r="Q785" s="151"/>
    </row>
    <row r="786" ht="12.0" customHeight="1">
      <c r="B786" s="1"/>
      <c r="C786" s="347"/>
      <c r="D786" s="161"/>
      <c r="E786" s="348"/>
      <c r="F786" s="1"/>
      <c r="G786" s="1"/>
      <c r="H786" s="1"/>
      <c r="I786" s="349"/>
      <c r="J786" s="349"/>
      <c r="K786" s="349"/>
      <c r="L786" s="350"/>
      <c r="M786" s="350"/>
      <c r="N786" s="351"/>
      <c r="O786" s="349"/>
      <c r="P786" s="347"/>
      <c r="Q786" s="151"/>
    </row>
    <row r="787" ht="12.0" customHeight="1">
      <c r="B787" s="1"/>
      <c r="C787" s="347"/>
      <c r="D787" s="161"/>
      <c r="E787" s="348"/>
      <c r="F787" s="1"/>
      <c r="G787" s="1"/>
      <c r="H787" s="1"/>
      <c r="I787" s="349"/>
      <c r="J787" s="349"/>
      <c r="K787" s="349"/>
      <c r="L787" s="350"/>
      <c r="M787" s="350"/>
      <c r="N787" s="351"/>
      <c r="O787" s="349"/>
      <c r="P787" s="347"/>
      <c r="Q787" s="151"/>
    </row>
    <row r="788" ht="12.0" customHeight="1">
      <c r="B788" s="1"/>
      <c r="C788" s="347"/>
      <c r="D788" s="161"/>
      <c r="E788" s="348"/>
      <c r="F788" s="1"/>
      <c r="G788" s="1"/>
      <c r="H788" s="1"/>
      <c r="I788" s="349"/>
      <c r="J788" s="349"/>
      <c r="K788" s="349"/>
      <c r="L788" s="350"/>
      <c r="M788" s="350"/>
      <c r="N788" s="351"/>
      <c r="O788" s="349"/>
      <c r="P788" s="347"/>
      <c r="Q788" s="151"/>
    </row>
    <row r="789" ht="12.0" customHeight="1">
      <c r="B789" s="1"/>
      <c r="C789" s="347"/>
      <c r="D789" s="161"/>
      <c r="E789" s="348"/>
      <c r="F789" s="1"/>
      <c r="G789" s="1"/>
      <c r="H789" s="1"/>
      <c r="I789" s="349"/>
      <c r="J789" s="349"/>
      <c r="K789" s="349"/>
      <c r="L789" s="350"/>
      <c r="M789" s="350"/>
      <c r="N789" s="351"/>
      <c r="O789" s="349"/>
      <c r="P789" s="347"/>
      <c r="Q789" s="151"/>
    </row>
    <row r="790" ht="12.0" customHeight="1">
      <c r="B790" s="1"/>
      <c r="C790" s="347"/>
      <c r="D790" s="161"/>
      <c r="E790" s="348"/>
      <c r="F790" s="1"/>
      <c r="G790" s="1"/>
      <c r="H790" s="1"/>
      <c r="I790" s="349"/>
      <c r="J790" s="349"/>
      <c r="K790" s="349"/>
      <c r="L790" s="350"/>
      <c r="M790" s="350"/>
      <c r="N790" s="351"/>
      <c r="O790" s="349"/>
      <c r="P790" s="347"/>
      <c r="Q790" s="151"/>
    </row>
    <row r="791" ht="12.0" customHeight="1">
      <c r="B791" s="1"/>
      <c r="C791" s="347"/>
      <c r="D791" s="161"/>
      <c r="E791" s="348"/>
      <c r="F791" s="1"/>
      <c r="G791" s="1"/>
      <c r="H791" s="1"/>
      <c r="I791" s="349"/>
      <c r="J791" s="349"/>
      <c r="K791" s="349"/>
      <c r="L791" s="350"/>
      <c r="M791" s="350"/>
      <c r="N791" s="351"/>
      <c r="O791" s="349"/>
      <c r="P791" s="347"/>
      <c r="Q791" s="151"/>
    </row>
    <row r="792" ht="12.0" customHeight="1">
      <c r="B792" s="1"/>
      <c r="C792" s="347"/>
      <c r="D792" s="161"/>
      <c r="E792" s="348"/>
      <c r="F792" s="1"/>
      <c r="G792" s="1"/>
      <c r="H792" s="1"/>
      <c r="I792" s="349"/>
      <c r="J792" s="349"/>
      <c r="K792" s="349"/>
      <c r="L792" s="350"/>
      <c r="M792" s="350"/>
      <c r="N792" s="351"/>
      <c r="O792" s="349"/>
      <c r="P792" s="347"/>
      <c r="Q792" s="151"/>
    </row>
    <row r="793" ht="12.0" customHeight="1">
      <c r="B793" s="1"/>
      <c r="C793" s="347"/>
      <c r="D793" s="161"/>
      <c r="E793" s="348"/>
      <c r="F793" s="1"/>
      <c r="G793" s="1"/>
      <c r="H793" s="1"/>
      <c r="I793" s="349"/>
      <c r="J793" s="349"/>
      <c r="K793" s="349"/>
      <c r="L793" s="350"/>
      <c r="M793" s="350"/>
      <c r="N793" s="351"/>
      <c r="O793" s="349"/>
      <c r="P793" s="347"/>
      <c r="Q793" s="151"/>
    </row>
    <row r="794" ht="12.0" customHeight="1">
      <c r="B794" s="1"/>
      <c r="C794" s="347"/>
      <c r="D794" s="161"/>
      <c r="E794" s="348"/>
      <c r="F794" s="1"/>
      <c r="G794" s="1"/>
      <c r="H794" s="1"/>
      <c r="I794" s="349"/>
      <c r="J794" s="349"/>
      <c r="K794" s="349"/>
      <c r="L794" s="350"/>
      <c r="M794" s="350"/>
      <c r="N794" s="351"/>
      <c r="O794" s="349"/>
      <c r="P794" s="347"/>
      <c r="Q794" s="151"/>
    </row>
    <row r="795" ht="12.0" customHeight="1">
      <c r="B795" s="1"/>
      <c r="C795" s="347"/>
      <c r="D795" s="161"/>
      <c r="E795" s="348"/>
      <c r="F795" s="1"/>
      <c r="G795" s="1"/>
      <c r="H795" s="1"/>
      <c r="I795" s="349"/>
      <c r="J795" s="349"/>
      <c r="K795" s="349"/>
      <c r="L795" s="350"/>
      <c r="M795" s="350"/>
      <c r="N795" s="351"/>
      <c r="O795" s="349"/>
      <c r="P795" s="347"/>
      <c r="Q795" s="151"/>
    </row>
    <row r="796" ht="12.0" customHeight="1">
      <c r="B796" s="1"/>
      <c r="C796" s="347"/>
      <c r="D796" s="161"/>
      <c r="E796" s="348"/>
      <c r="F796" s="1"/>
      <c r="G796" s="1"/>
      <c r="H796" s="1"/>
      <c r="I796" s="349"/>
      <c r="J796" s="349"/>
      <c r="K796" s="349"/>
      <c r="L796" s="350"/>
      <c r="M796" s="350"/>
      <c r="N796" s="351"/>
      <c r="O796" s="349"/>
      <c r="P796" s="347"/>
      <c r="Q796" s="151"/>
    </row>
    <row r="797" ht="12.0" customHeight="1">
      <c r="B797" s="1"/>
      <c r="C797" s="347"/>
      <c r="D797" s="161"/>
      <c r="E797" s="348"/>
      <c r="F797" s="1"/>
      <c r="G797" s="1"/>
      <c r="H797" s="1"/>
      <c r="I797" s="349"/>
      <c r="J797" s="349"/>
      <c r="K797" s="349"/>
      <c r="L797" s="350"/>
      <c r="M797" s="350"/>
      <c r="N797" s="351"/>
      <c r="O797" s="349"/>
      <c r="P797" s="347"/>
      <c r="Q797" s="151"/>
    </row>
    <row r="798" ht="12.0" customHeight="1">
      <c r="B798" s="1"/>
      <c r="C798" s="347"/>
      <c r="D798" s="161"/>
      <c r="E798" s="348"/>
      <c r="F798" s="1"/>
      <c r="G798" s="1"/>
      <c r="H798" s="1"/>
      <c r="I798" s="349"/>
      <c r="J798" s="349"/>
      <c r="K798" s="349"/>
      <c r="L798" s="350"/>
      <c r="M798" s="350"/>
      <c r="N798" s="351"/>
      <c r="O798" s="349"/>
      <c r="P798" s="347"/>
      <c r="Q798" s="151"/>
    </row>
    <row r="799" ht="12.0" customHeight="1">
      <c r="B799" s="1"/>
      <c r="C799" s="347"/>
      <c r="D799" s="161"/>
      <c r="E799" s="348"/>
      <c r="F799" s="1"/>
      <c r="G799" s="1"/>
      <c r="H799" s="1"/>
      <c r="I799" s="349"/>
      <c r="J799" s="349"/>
      <c r="K799" s="349"/>
      <c r="L799" s="350"/>
      <c r="M799" s="350"/>
      <c r="N799" s="351"/>
      <c r="O799" s="349"/>
      <c r="P799" s="347"/>
      <c r="Q799" s="151"/>
    </row>
    <row r="800" ht="12.0" customHeight="1">
      <c r="B800" s="1"/>
      <c r="C800" s="347"/>
      <c r="D800" s="161"/>
      <c r="E800" s="348"/>
      <c r="F800" s="1"/>
      <c r="G800" s="1"/>
      <c r="H800" s="1"/>
      <c r="I800" s="349"/>
      <c r="J800" s="349"/>
      <c r="K800" s="349"/>
      <c r="L800" s="350"/>
      <c r="M800" s="350"/>
      <c r="N800" s="351"/>
      <c r="O800" s="349"/>
      <c r="P800" s="347"/>
      <c r="Q800" s="151"/>
    </row>
    <row r="801" ht="12.0" customHeight="1">
      <c r="B801" s="1"/>
      <c r="C801" s="347"/>
      <c r="D801" s="161"/>
      <c r="E801" s="348"/>
      <c r="F801" s="1"/>
      <c r="G801" s="1"/>
      <c r="H801" s="1"/>
      <c r="I801" s="349"/>
      <c r="J801" s="349"/>
      <c r="K801" s="349"/>
      <c r="L801" s="350"/>
      <c r="M801" s="350"/>
      <c r="N801" s="351"/>
      <c r="O801" s="349"/>
      <c r="P801" s="347"/>
      <c r="Q801" s="151"/>
    </row>
    <row r="802" ht="12.0" customHeight="1">
      <c r="B802" s="1"/>
      <c r="C802" s="347"/>
      <c r="D802" s="161"/>
      <c r="E802" s="348"/>
      <c r="F802" s="1"/>
      <c r="G802" s="1"/>
      <c r="H802" s="1"/>
      <c r="I802" s="349"/>
      <c r="J802" s="349"/>
      <c r="K802" s="349"/>
      <c r="L802" s="350"/>
      <c r="M802" s="350"/>
      <c r="N802" s="351"/>
      <c r="O802" s="349"/>
      <c r="P802" s="347"/>
      <c r="Q802" s="151"/>
    </row>
    <row r="803" ht="12.0" customHeight="1">
      <c r="B803" s="1"/>
      <c r="C803" s="347"/>
      <c r="D803" s="161"/>
      <c r="E803" s="348"/>
      <c r="F803" s="1"/>
      <c r="G803" s="1"/>
      <c r="H803" s="1"/>
      <c r="I803" s="349"/>
      <c r="J803" s="349"/>
      <c r="K803" s="349"/>
      <c r="L803" s="350"/>
      <c r="M803" s="350"/>
      <c r="N803" s="351"/>
      <c r="O803" s="349"/>
      <c r="P803" s="347"/>
      <c r="Q803" s="151"/>
    </row>
    <row r="804" ht="12.0" customHeight="1">
      <c r="B804" s="1"/>
      <c r="C804" s="347"/>
      <c r="D804" s="161"/>
      <c r="E804" s="348"/>
      <c r="F804" s="1"/>
      <c r="G804" s="1"/>
      <c r="H804" s="1"/>
      <c r="I804" s="349"/>
      <c r="J804" s="349"/>
      <c r="K804" s="349"/>
      <c r="L804" s="350"/>
      <c r="M804" s="350"/>
      <c r="N804" s="351"/>
      <c r="O804" s="349"/>
      <c r="P804" s="347"/>
      <c r="Q804" s="151"/>
    </row>
    <row r="805" ht="12.0" customHeight="1">
      <c r="B805" s="1"/>
      <c r="C805" s="347"/>
      <c r="D805" s="161"/>
      <c r="E805" s="348"/>
      <c r="F805" s="1"/>
      <c r="G805" s="1"/>
      <c r="H805" s="1"/>
      <c r="I805" s="349"/>
      <c r="J805" s="349"/>
      <c r="K805" s="349"/>
      <c r="L805" s="350"/>
      <c r="M805" s="350"/>
      <c r="N805" s="351"/>
      <c r="O805" s="349"/>
      <c r="P805" s="347"/>
      <c r="Q805" s="151"/>
    </row>
    <row r="806" ht="12.0" customHeight="1">
      <c r="B806" s="1"/>
      <c r="C806" s="347"/>
      <c r="D806" s="161"/>
      <c r="E806" s="348"/>
      <c r="F806" s="1"/>
      <c r="G806" s="1"/>
      <c r="H806" s="1"/>
      <c r="I806" s="349"/>
      <c r="J806" s="349"/>
      <c r="K806" s="349"/>
      <c r="L806" s="350"/>
      <c r="M806" s="350"/>
      <c r="N806" s="351"/>
      <c r="O806" s="349"/>
      <c r="P806" s="347"/>
      <c r="Q806" s="151"/>
    </row>
    <row r="807" ht="12.0" customHeight="1">
      <c r="B807" s="1"/>
      <c r="C807" s="347"/>
      <c r="D807" s="161"/>
      <c r="E807" s="348"/>
      <c r="F807" s="1"/>
      <c r="G807" s="1"/>
      <c r="H807" s="1"/>
      <c r="I807" s="349"/>
      <c r="J807" s="349"/>
      <c r="K807" s="349"/>
      <c r="L807" s="350"/>
      <c r="M807" s="350"/>
      <c r="N807" s="351"/>
      <c r="O807" s="349"/>
      <c r="P807" s="347"/>
      <c r="Q807" s="151"/>
    </row>
    <row r="808" ht="12.0" customHeight="1">
      <c r="B808" s="1"/>
      <c r="C808" s="347"/>
      <c r="D808" s="161"/>
      <c r="E808" s="348"/>
      <c r="F808" s="1"/>
      <c r="G808" s="1"/>
      <c r="H808" s="1"/>
      <c r="I808" s="349"/>
      <c r="J808" s="349"/>
      <c r="K808" s="349"/>
      <c r="L808" s="350"/>
      <c r="M808" s="350"/>
      <c r="N808" s="351"/>
      <c r="O808" s="349"/>
      <c r="P808" s="347"/>
      <c r="Q808" s="151"/>
    </row>
    <row r="809" ht="12.0" customHeight="1">
      <c r="B809" s="1"/>
      <c r="C809" s="347"/>
      <c r="D809" s="161"/>
      <c r="E809" s="348"/>
      <c r="F809" s="1"/>
      <c r="G809" s="1"/>
      <c r="H809" s="1"/>
      <c r="I809" s="349"/>
      <c r="J809" s="349"/>
      <c r="K809" s="349"/>
      <c r="L809" s="350"/>
      <c r="M809" s="350"/>
      <c r="N809" s="351"/>
      <c r="O809" s="349"/>
      <c r="P809" s="347"/>
      <c r="Q809" s="151"/>
    </row>
    <row r="810" ht="12.0" customHeight="1">
      <c r="B810" s="1"/>
      <c r="C810" s="347"/>
      <c r="D810" s="161"/>
      <c r="E810" s="348"/>
      <c r="F810" s="1"/>
      <c r="G810" s="1"/>
      <c r="H810" s="1"/>
      <c r="I810" s="349"/>
      <c r="J810" s="349"/>
      <c r="K810" s="349"/>
      <c r="L810" s="350"/>
      <c r="M810" s="350"/>
      <c r="N810" s="351"/>
      <c r="O810" s="349"/>
      <c r="P810" s="347"/>
      <c r="Q810" s="151"/>
    </row>
    <row r="811" ht="12.0" customHeight="1">
      <c r="B811" s="1"/>
      <c r="C811" s="347"/>
      <c r="D811" s="161"/>
      <c r="E811" s="348"/>
      <c r="F811" s="1"/>
      <c r="G811" s="1"/>
      <c r="H811" s="1"/>
      <c r="I811" s="349"/>
      <c r="J811" s="349"/>
      <c r="K811" s="349"/>
      <c r="L811" s="350"/>
      <c r="M811" s="350"/>
      <c r="N811" s="351"/>
      <c r="O811" s="349"/>
      <c r="P811" s="347"/>
      <c r="Q811" s="151"/>
    </row>
    <row r="812" ht="12.0" customHeight="1">
      <c r="B812" s="1"/>
      <c r="C812" s="347"/>
      <c r="D812" s="161"/>
      <c r="E812" s="348"/>
      <c r="F812" s="1"/>
      <c r="G812" s="1"/>
      <c r="H812" s="1"/>
      <c r="I812" s="349"/>
      <c r="J812" s="349"/>
      <c r="K812" s="349"/>
      <c r="L812" s="350"/>
      <c r="M812" s="350"/>
      <c r="N812" s="351"/>
      <c r="O812" s="349"/>
      <c r="P812" s="347"/>
      <c r="Q812" s="151"/>
    </row>
    <row r="813" ht="12.0" customHeight="1">
      <c r="B813" s="1"/>
      <c r="C813" s="347"/>
      <c r="D813" s="161"/>
      <c r="E813" s="348"/>
      <c r="F813" s="1"/>
      <c r="G813" s="1"/>
      <c r="H813" s="1"/>
      <c r="I813" s="349"/>
      <c r="J813" s="349"/>
      <c r="K813" s="349"/>
      <c r="L813" s="350"/>
      <c r="M813" s="350"/>
      <c r="N813" s="351"/>
      <c r="O813" s="349"/>
      <c r="P813" s="347"/>
      <c r="Q813" s="151"/>
    </row>
    <row r="814" ht="12.0" customHeight="1">
      <c r="B814" s="1"/>
      <c r="C814" s="347"/>
      <c r="D814" s="161"/>
      <c r="E814" s="348"/>
      <c r="F814" s="1"/>
      <c r="G814" s="1"/>
      <c r="H814" s="1"/>
      <c r="I814" s="349"/>
      <c r="J814" s="349"/>
      <c r="K814" s="349"/>
      <c r="L814" s="350"/>
      <c r="M814" s="350"/>
      <c r="N814" s="351"/>
      <c r="O814" s="349"/>
      <c r="P814" s="347"/>
      <c r="Q814" s="151"/>
    </row>
    <row r="815" ht="12.0" customHeight="1">
      <c r="B815" s="1"/>
      <c r="C815" s="347"/>
      <c r="D815" s="161"/>
      <c r="E815" s="348"/>
      <c r="F815" s="1"/>
      <c r="G815" s="1"/>
      <c r="H815" s="1"/>
      <c r="I815" s="349"/>
      <c r="J815" s="349"/>
      <c r="K815" s="349"/>
      <c r="L815" s="350"/>
      <c r="M815" s="350"/>
      <c r="N815" s="351"/>
      <c r="O815" s="349"/>
      <c r="P815" s="347"/>
      <c r="Q815" s="151"/>
    </row>
    <row r="816" ht="12.0" customHeight="1">
      <c r="B816" s="1"/>
      <c r="C816" s="347"/>
      <c r="D816" s="161"/>
      <c r="E816" s="348"/>
      <c r="F816" s="1"/>
      <c r="G816" s="1"/>
      <c r="H816" s="1"/>
      <c r="I816" s="349"/>
      <c r="J816" s="349"/>
      <c r="K816" s="349"/>
      <c r="L816" s="350"/>
      <c r="M816" s="350"/>
      <c r="N816" s="351"/>
      <c r="O816" s="349"/>
      <c r="P816" s="347"/>
      <c r="Q816" s="151"/>
    </row>
    <row r="817" ht="12.0" customHeight="1">
      <c r="B817" s="1"/>
      <c r="C817" s="347"/>
      <c r="D817" s="161"/>
      <c r="E817" s="348"/>
      <c r="F817" s="1"/>
      <c r="G817" s="1"/>
      <c r="H817" s="1"/>
      <c r="I817" s="349"/>
      <c r="J817" s="349"/>
      <c r="K817" s="349"/>
      <c r="L817" s="350"/>
      <c r="M817" s="350"/>
      <c r="N817" s="351"/>
      <c r="O817" s="349"/>
      <c r="P817" s="347"/>
      <c r="Q817" s="151"/>
    </row>
    <row r="818" ht="12.0" customHeight="1">
      <c r="B818" s="1"/>
      <c r="C818" s="347"/>
      <c r="D818" s="161"/>
      <c r="E818" s="348"/>
      <c r="F818" s="1"/>
      <c r="G818" s="1"/>
      <c r="H818" s="1"/>
      <c r="I818" s="349"/>
      <c r="J818" s="349"/>
      <c r="K818" s="349"/>
      <c r="L818" s="350"/>
      <c r="M818" s="350"/>
      <c r="N818" s="351"/>
      <c r="O818" s="349"/>
      <c r="P818" s="347"/>
      <c r="Q818" s="151"/>
    </row>
    <row r="819" ht="12.0" customHeight="1">
      <c r="B819" s="1"/>
      <c r="C819" s="347"/>
      <c r="D819" s="161"/>
      <c r="E819" s="348"/>
      <c r="F819" s="1"/>
      <c r="G819" s="1"/>
      <c r="H819" s="1"/>
      <c r="I819" s="349"/>
      <c r="J819" s="349"/>
      <c r="K819" s="349"/>
      <c r="L819" s="350"/>
      <c r="M819" s="350"/>
      <c r="N819" s="351"/>
      <c r="O819" s="349"/>
      <c r="P819" s="347"/>
      <c r="Q819" s="151"/>
    </row>
    <row r="820" ht="12.0" customHeight="1">
      <c r="B820" s="1"/>
      <c r="C820" s="347"/>
      <c r="D820" s="161"/>
      <c r="E820" s="348"/>
      <c r="F820" s="1"/>
      <c r="G820" s="1"/>
      <c r="H820" s="1"/>
      <c r="I820" s="349"/>
      <c r="J820" s="349"/>
      <c r="K820" s="349"/>
      <c r="L820" s="350"/>
      <c r="M820" s="350"/>
      <c r="N820" s="351"/>
      <c r="O820" s="349"/>
      <c r="P820" s="347"/>
      <c r="Q820" s="151"/>
    </row>
    <row r="821" ht="12.0" customHeight="1">
      <c r="B821" s="1"/>
      <c r="C821" s="347"/>
      <c r="D821" s="161"/>
      <c r="E821" s="348"/>
      <c r="F821" s="1"/>
      <c r="G821" s="1"/>
      <c r="H821" s="1"/>
      <c r="I821" s="349"/>
      <c r="J821" s="349"/>
      <c r="K821" s="349"/>
      <c r="L821" s="350"/>
      <c r="M821" s="350"/>
      <c r="N821" s="351"/>
      <c r="O821" s="349"/>
      <c r="P821" s="347"/>
      <c r="Q821" s="151"/>
    </row>
    <row r="822" ht="12.0" customHeight="1">
      <c r="B822" s="1"/>
      <c r="C822" s="347"/>
      <c r="D822" s="161"/>
      <c r="E822" s="348"/>
      <c r="F822" s="1"/>
      <c r="G822" s="1"/>
      <c r="H822" s="1"/>
      <c r="I822" s="349"/>
      <c r="J822" s="349"/>
      <c r="K822" s="349"/>
      <c r="L822" s="350"/>
      <c r="M822" s="350"/>
      <c r="N822" s="351"/>
      <c r="O822" s="349"/>
      <c r="P822" s="347"/>
      <c r="Q822" s="151"/>
    </row>
    <row r="823" ht="12.0" customHeight="1">
      <c r="B823" s="1"/>
      <c r="C823" s="347"/>
      <c r="D823" s="161"/>
      <c r="E823" s="348"/>
      <c r="F823" s="1"/>
      <c r="G823" s="1"/>
      <c r="H823" s="1"/>
      <c r="I823" s="349"/>
      <c r="J823" s="349"/>
      <c r="K823" s="349"/>
      <c r="L823" s="350"/>
      <c r="M823" s="350"/>
      <c r="N823" s="351"/>
      <c r="O823" s="349"/>
      <c r="P823" s="347"/>
      <c r="Q823" s="151"/>
    </row>
    <row r="824" ht="12.0" customHeight="1">
      <c r="B824" s="1"/>
      <c r="C824" s="347"/>
      <c r="D824" s="161"/>
      <c r="E824" s="348"/>
      <c r="F824" s="1"/>
      <c r="G824" s="1"/>
      <c r="H824" s="1"/>
      <c r="I824" s="349"/>
      <c r="J824" s="349"/>
      <c r="K824" s="349"/>
      <c r="L824" s="350"/>
      <c r="M824" s="350"/>
      <c r="N824" s="351"/>
      <c r="O824" s="349"/>
      <c r="P824" s="347"/>
      <c r="Q824" s="151"/>
    </row>
    <row r="825" ht="12.0" customHeight="1">
      <c r="B825" s="1"/>
      <c r="C825" s="347"/>
      <c r="D825" s="161"/>
      <c r="E825" s="348"/>
      <c r="F825" s="1"/>
      <c r="G825" s="1"/>
      <c r="H825" s="1"/>
      <c r="I825" s="349"/>
      <c r="J825" s="349"/>
      <c r="K825" s="349"/>
      <c r="L825" s="350"/>
      <c r="M825" s="350"/>
      <c r="N825" s="351"/>
      <c r="O825" s="349"/>
      <c r="P825" s="347"/>
      <c r="Q825" s="151"/>
    </row>
    <row r="826" ht="12.0" customHeight="1">
      <c r="B826" s="1"/>
      <c r="C826" s="347"/>
      <c r="D826" s="161"/>
      <c r="E826" s="348"/>
      <c r="F826" s="1"/>
      <c r="G826" s="1"/>
      <c r="H826" s="1"/>
      <c r="I826" s="349"/>
      <c r="J826" s="349"/>
      <c r="K826" s="349"/>
      <c r="L826" s="350"/>
      <c r="M826" s="350"/>
      <c r="N826" s="351"/>
      <c r="O826" s="349"/>
      <c r="P826" s="347"/>
      <c r="Q826" s="151"/>
    </row>
    <row r="827" ht="12.0" customHeight="1">
      <c r="B827" s="1"/>
      <c r="C827" s="347"/>
      <c r="D827" s="161"/>
      <c r="E827" s="348"/>
      <c r="F827" s="1"/>
      <c r="G827" s="1"/>
      <c r="H827" s="1"/>
      <c r="I827" s="349"/>
      <c r="J827" s="349"/>
      <c r="K827" s="349"/>
      <c r="L827" s="350"/>
      <c r="M827" s="350"/>
      <c r="N827" s="351"/>
      <c r="O827" s="349"/>
      <c r="P827" s="347"/>
      <c r="Q827" s="151"/>
    </row>
    <row r="828" ht="12.0" customHeight="1">
      <c r="B828" s="1"/>
      <c r="C828" s="347"/>
      <c r="D828" s="161"/>
      <c r="E828" s="348"/>
      <c r="F828" s="1"/>
      <c r="G828" s="1"/>
      <c r="H828" s="1"/>
      <c r="I828" s="349"/>
      <c r="J828" s="349"/>
      <c r="K828" s="349"/>
      <c r="L828" s="350"/>
      <c r="M828" s="350"/>
      <c r="N828" s="351"/>
      <c r="O828" s="349"/>
      <c r="P828" s="347"/>
      <c r="Q828" s="151"/>
    </row>
    <row r="829" ht="12.0" customHeight="1">
      <c r="B829" s="1"/>
      <c r="C829" s="347"/>
      <c r="D829" s="161"/>
      <c r="E829" s="348"/>
      <c r="F829" s="1"/>
      <c r="G829" s="1"/>
      <c r="H829" s="1"/>
      <c r="I829" s="349"/>
      <c r="J829" s="349"/>
      <c r="K829" s="349"/>
      <c r="L829" s="350"/>
      <c r="M829" s="350"/>
      <c r="N829" s="351"/>
      <c r="O829" s="349"/>
      <c r="P829" s="347"/>
      <c r="Q829" s="151"/>
    </row>
    <row r="830" ht="12.0" customHeight="1">
      <c r="B830" s="1"/>
      <c r="C830" s="347"/>
      <c r="D830" s="161"/>
      <c r="E830" s="348"/>
      <c r="F830" s="1"/>
      <c r="G830" s="1"/>
      <c r="H830" s="1"/>
      <c r="I830" s="349"/>
      <c r="J830" s="349"/>
      <c r="K830" s="349"/>
      <c r="L830" s="350"/>
      <c r="M830" s="350"/>
      <c r="N830" s="351"/>
      <c r="O830" s="349"/>
      <c r="P830" s="347"/>
      <c r="Q830" s="151"/>
    </row>
    <row r="831" ht="12.0" customHeight="1">
      <c r="B831" s="1"/>
      <c r="C831" s="347"/>
      <c r="D831" s="161"/>
      <c r="E831" s="348"/>
      <c r="F831" s="1"/>
      <c r="G831" s="1"/>
      <c r="H831" s="1"/>
      <c r="I831" s="349"/>
      <c r="J831" s="349"/>
      <c r="K831" s="349"/>
      <c r="L831" s="350"/>
      <c r="M831" s="350"/>
      <c r="N831" s="351"/>
      <c r="O831" s="349"/>
      <c r="P831" s="347"/>
      <c r="Q831" s="151"/>
    </row>
    <row r="832" ht="12.0" customHeight="1">
      <c r="B832" s="1"/>
      <c r="C832" s="347"/>
      <c r="D832" s="161"/>
      <c r="E832" s="348"/>
      <c r="F832" s="1"/>
      <c r="G832" s="1"/>
      <c r="H832" s="1"/>
      <c r="I832" s="349"/>
      <c r="J832" s="349"/>
      <c r="K832" s="349"/>
      <c r="L832" s="350"/>
      <c r="M832" s="350"/>
      <c r="N832" s="351"/>
      <c r="O832" s="349"/>
      <c r="P832" s="347"/>
      <c r="Q832" s="151"/>
    </row>
    <row r="833" ht="12.0" customHeight="1">
      <c r="B833" s="1"/>
      <c r="C833" s="347"/>
      <c r="D833" s="161"/>
      <c r="E833" s="348"/>
      <c r="F833" s="1"/>
      <c r="G833" s="1"/>
      <c r="H833" s="1"/>
      <c r="I833" s="349"/>
      <c r="J833" s="349"/>
      <c r="K833" s="349"/>
      <c r="L833" s="350"/>
      <c r="M833" s="350"/>
      <c r="N833" s="351"/>
      <c r="O833" s="349"/>
      <c r="P833" s="347"/>
      <c r="Q833" s="151"/>
    </row>
    <row r="834" ht="12.0" customHeight="1">
      <c r="B834" s="1"/>
      <c r="C834" s="347"/>
      <c r="D834" s="161"/>
      <c r="E834" s="348"/>
      <c r="F834" s="1"/>
      <c r="G834" s="1"/>
      <c r="H834" s="1"/>
      <c r="I834" s="349"/>
      <c r="J834" s="349"/>
      <c r="K834" s="349"/>
      <c r="L834" s="350"/>
      <c r="M834" s="350"/>
      <c r="N834" s="351"/>
      <c r="O834" s="349"/>
      <c r="P834" s="347"/>
      <c r="Q834" s="151"/>
    </row>
    <row r="835" ht="12.0" customHeight="1">
      <c r="B835" s="1"/>
      <c r="C835" s="347"/>
      <c r="D835" s="161"/>
      <c r="E835" s="348"/>
      <c r="F835" s="1"/>
      <c r="G835" s="1"/>
      <c r="H835" s="1"/>
      <c r="I835" s="349"/>
      <c r="J835" s="349"/>
      <c r="K835" s="349"/>
      <c r="L835" s="350"/>
      <c r="M835" s="350"/>
      <c r="N835" s="351"/>
      <c r="O835" s="349"/>
      <c r="P835" s="347"/>
      <c r="Q835" s="151"/>
    </row>
    <row r="836" ht="12.0" customHeight="1">
      <c r="B836" s="1"/>
      <c r="C836" s="347"/>
      <c r="D836" s="161"/>
      <c r="E836" s="348"/>
      <c r="F836" s="1"/>
      <c r="G836" s="1"/>
      <c r="H836" s="1"/>
      <c r="I836" s="349"/>
      <c r="J836" s="349"/>
      <c r="K836" s="349"/>
      <c r="L836" s="350"/>
      <c r="M836" s="350"/>
      <c r="N836" s="351"/>
      <c r="O836" s="349"/>
      <c r="P836" s="347"/>
      <c r="Q836" s="151"/>
    </row>
    <row r="837" ht="12.0" customHeight="1">
      <c r="B837" s="1"/>
      <c r="C837" s="347"/>
      <c r="D837" s="161"/>
      <c r="E837" s="348"/>
      <c r="F837" s="1"/>
      <c r="G837" s="1"/>
      <c r="H837" s="1"/>
      <c r="I837" s="349"/>
      <c r="J837" s="349"/>
      <c r="K837" s="349"/>
      <c r="L837" s="350"/>
      <c r="M837" s="350"/>
      <c r="N837" s="351"/>
      <c r="O837" s="349"/>
      <c r="P837" s="347"/>
      <c r="Q837" s="151"/>
    </row>
    <row r="838" ht="12.0" customHeight="1">
      <c r="B838" s="1"/>
      <c r="C838" s="347"/>
      <c r="D838" s="161"/>
      <c r="E838" s="348"/>
      <c r="F838" s="1"/>
      <c r="G838" s="1"/>
      <c r="H838" s="1"/>
      <c r="I838" s="349"/>
      <c r="J838" s="349"/>
      <c r="K838" s="349"/>
      <c r="L838" s="350"/>
      <c r="M838" s="350"/>
      <c r="N838" s="351"/>
      <c r="O838" s="349"/>
      <c r="P838" s="347"/>
      <c r="Q838" s="151"/>
    </row>
    <row r="839" ht="12.0" customHeight="1">
      <c r="B839" s="1"/>
      <c r="C839" s="347"/>
      <c r="D839" s="161"/>
      <c r="E839" s="348"/>
      <c r="F839" s="1"/>
      <c r="G839" s="1"/>
      <c r="H839" s="1"/>
      <c r="I839" s="349"/>
      <c r="J839" s="349"/>
      <c r="K839" s="349"/>
      <c r="L839" s="350"/>
      <c r="M839" s="350"/>
      <c r="N839" s="351"/>
      <c r="O839" s="349"/>
      <c r="P839" s="347"/>
      <c r="Q839" s="151"/>
    </row>
    <row r="840" ht="12.0" customHeight="1">
      <c r="B840" s="1"/>
      <c r="C840" s="347"/>
      <c r="D840" s="161"/>
      <c r="E840" s="348"/>
      <c r="F840" s="1"/>
      <c r="G840" s="1"/>
      <c r="H840" s="1"/>
      <c r="I840" s="349"/>
      <c r="J840" s="349"/>
      <c r="K840" s="349"/>
      <c r="L840" s="350"/>
      <c r="M840" s="350"/>
      <c r="N840" s="351"/>
      <c r="O840" s="349"/>
      <c r="P840" s="347"/>
      <c r="Q840" s="151"/>
    </row>
    <row r="841" ht="12.0" customHeight="1">
      <c r="B841" s="1"/>
      <c r="C841" s="347"/>
      <c r="D841" s="161"/>
      <c r="E841" s="348"/>
      <c r="F841" s="1"/>
      <c r="G841" s="1"/>
      <c r="H841" s="1"/>
      <c r="I841" s="349"/>
      <c r="J841" s="349"/>
      <c r="K841" s="349"/>
      <c r="L841" s="350"/>
      <c r="M841" s="350"/>
      <c r="N841" s="351"/>
      <c r="O841" s="349"/>
      <c r="P841" s="347"/>
      <c r="Q841" s="151"/>
    </row>
    <row r="842" ht="12.0" customHeight="1">
      <c r="B842" s="1"/>
      <c r="C842" s="347"/>
      <c r="D842" s="161"/>
      <c r="E842" s="348"/>
      <c r="F842" s="1"/>
      <c r="G842" s="1"/>
      <c r="H842" s="1"/>
      <c r="I842" s="349"/>
      <c r="J842" s="349"/>
      <c r="K842" s="349"/>
      <c r="L842" s="350"/>
      <c r="M842" s="350"/>
      <c r="N842" s="351"/>
      <c r="O842" s="349"/>
      <c r="P842" s="347"/>
      <c r="Q842" s="151"/>
    </row>
    <row r="843" ht="12.0" customHeight="1">
      <c r="B843" s="1"/>
      <c r="C843" s="347"/>
      <c r="D843" s="161"/>
      <c r="E843" s="348"/>
      <c r="F843" s="1"/>
      <c r="G843" s="1"/>
      <c r="H843" s="1"/>
      <c r="I843" s="349"/>
      <c r="J843" s="349"/>
      <c r="K843" s="349"/>
      <c r="L843" s="350"/>
      <c r="M843" s="350"/>
      <c r="N843" s="351"/>
      <c r="O843" s="349"/>
      <c r="P843" s="347"/>
      <c r="Q843" s="151"/>
    </row>
    <row r="844" ht="12.0" customHeight="1">
      <c r="B844" s="1"/>
      <c r="C844" s="347"/>
      <c r="D844" s="161"/>
      <c r="E844" s="348"/>
      <c r="F844" s="1"/>
      <c r="G844" s="1"/>
      <c r="H844" s="1"/>
      <c r="I844" s="349"/>
      <c r="J844" s="349"/>
      <c r="K844" s="349"/>
      <c r="L844" s="350"/>
      <c r="M844" s="350"/>
      <c r="N844" s="351"/>
      <c r="O844" s="349"/>
      <c r="P844" s="347"/>
      <c r="Q844" s="151"/>
    </row>
    <row r="845" ht="12.0" customHeight="1">
      <c r="B845" s="1"/>
      <c r="C845" s="347"/>
      <c r="D845" s="161"/>
      <c r="E845" s="348"/>
      <c r="F845" s="1"/>
      <c r="G845" s="1"/>
      <c r="H845" s="1"/>
      <c r="I845" s="349"/>
      <c r="J845" s="349"/>
      <c r="K845" s="349"/>
      <c r="L845" s="350"/>
      <c r="M845" s="350"/>
      <c r="N845" s="351"/>
      <c r="O845" s="349"/>
      <c r="P845" s="347"/>
      <c r="Q845" s="151"/>
    </row>
    <row r="846" ht="12.0" customHeight="1">
      <c r="B846" s="1"/>
      <c r="C846" s="347"/>
      <c r="D846" s="161"/>
      <c r="E846" s="348"/>
      <c r="F846" s="1"/>
      <c r="G846" s="1"/>
      <c r="H846" s="1"/>
      <c r="I846" s="349"/>
      <c r="J846" s="349"/>
      <c r="K846" s="349"/>
      <c r="L846" s="350"/>
      <c r="M846" s="350"/>
      <c r="N846" s="351"/>
      <c r="O846" s="349"/>
      <c r="P846" s="347"/>
      <c r="Q846" s="151"/>
    </row>
    <row r="847" ht="12.0" customHeight="1">
      <c r="B847" s="1"/>
      <c r="C847" s="347"/>
      <c r="D847" s="161"/>
      <c r="E847" s="348"/>
      <c r="F847" s="1"/>
      <c r="G847" s="1"/>
      <c r="H847" s="1"/>
      <c r="I847" s="349"/>
      <c r="J847" s="349"/>
      <c r="K847" s="349"/>
      <c r="L847" s="350"/>
      <c r="M847" s="350"/>
      <c r="N847" s="351"/>
      <c r="O847" s="349"/>
      <c r="P847" s="347"/>
      <c r="Q847" s="151"/>
    </row>
    <row r="848" ht="12.0" customHeight="1">
      <c r="B848" s="1"/>
      <c r="C848" s="347"/>
      <c r="D848" s="161"/>
      <c r="E848" s="348"/>
      <c r="F848" s="1"/>
      <c r="G848" s="1"/>
      <c r="H848" s="1"/>
      <c r="I848" s="349"/>
      <c r="J848" s="349"/>
      <c r="K848" s="349"/>
      <c r="L848" s="350"/>
      <c r="M848" s="350"/>
      <c r="N848" s="351"/>
      <c r="O848" s="349"/>
      <c r="P848" s="347"/>
      <c r="Q848" s="151"/>
    </row>
    <row r="849" ht="12.0" customHeight="1">
      <c r="B849" s="1"/>
      <c r="C849" s="347"/>
      <c r="D849" s="161"/>
      <c r="E849" s="348"/>
      <c r="F849" s="1"/>
      <c r="G849" s="1"/>
      <c r="H849" s="1"/>
      <c r="I849" s="349"/>
      <c r="J849" s="349"/>
      <c r="K849" s="349"/>
      <c r="L849" s="350"/>
      <c r="M849" s="350"/>
      <c r="N849" s="351"/>
      <c r="O849" s="349"/>
      <c r="P849" s="347"/>
      <c r="Q849" s="151"/>
    </row>
    <row r="850" ht="12.0" customHeight="1">
      <c r="B850" s="1"/>
      <c r="C850" s="347"/>
      <c r="D850" s="161"/>
      <c r="E850" s="348"/>
      <c r="F850" s="1"/>
      <c r="G850" s="1"/>
      <c r="H850" s="1"/>
      <c r="I850" s="349"/>
      <c r="J850" s="349"/>
      <c r="K850" s="349"/>
      <c r="L850" s="350"/>
      <c r="M850" s="350"/>
      <c r="N850" s="351"/>
      <c r="O850" s="349"/>
      <c r="P850" s="347"/>
      <c r="Q850" s="151"/>
    </row>
    <row r="851" ht="12.0" customHeight="1">
      <c r="B851" s="1"/>
      <c r="C851" s="347"/>
      <c r="D851" s="161"/>
      <c r="E851" s="348"/>
      <c r="F851" s="1"/>
      <c r="G851" s="1"/>
      <c r="H851" s="1"/>
      <c r="I851" s="349"/>
      <c r="J851" s="349"/>
      <c r="K851" s="349"/>
      <c r="L851" s="350"/>
      <c r="M851" s="350"/>
      <c r="N851" s="351"/>
      <c r="O851" s="349"/>
      <c r="P851" s="347"/>
      <c r="Q851" s="151"/>
    </row>
    <row r="852" ht="12.0" customHeight="1">
      <c r="B852" s="1"/>
      <c r="C852" s="347"/>
      <c r="D852" s="161"/>
      <c r="E852" s="348"/>
      <c r="F852" s="1"/>
      <c r="G852" s="1"/>
      <c r="H852" s="1"/>
      <c r="I852" s="349"/>
      <c r="J852" s="349"/>
      <c r="K852" s="349"/>
      <c r="L852" s="350"/>
      <c r="M852" s="350"/>
      <c r="N852" s="351"/>
      <c r="O852" s="349"/>
      <c r="P852" s="347"/>
      <c r="Q852" s="151"/>
    </row>
    <row r="853" ht="12.0" customHeight="1">
      <c r="B853" s="1"/>
      <c r="C853" s="347"/>
      <c r="D853" s="161"/>
      <c r="E853" s="348"/>
      <c r="F853" s="1"/>
      <c r="G853" s="1"/>
      <c r="H853" s="1"/>
      <c r="I853" s="349"/>
      <c r="J853" s="349"/>
      <c r="K853" s="349"/>
      <c r="L853" s="350"/>
      <c r="M853" s="350"/>
      <c r="N853" s="351"/>
      <c r="O853" s="349"/>
      <c r="P853" s="347"/>
      <c r="Q853" s="151"/>
    </row>
    <row r="854" ht="12.0" customHeight="1">
      <c r="B854" s="1"/>
      <c r="C854" s="347"/>
      <c r="D854" s="161"/>
      <c r="E854" s="348"/>
      <c r="F854" s="1"/>
      <c r="G854" s="1"/>
      <c r="H854" s="1"/>
      <c r="I854" s="349"/>
      <c r="J854" s="349"/>
      <c r="K854" s="349"/>
      <c r="L854" s="350"/>
      <c r="M854" s="350"/>
      <c r="N854" s="351"/>
      <c r="O854" s="349"/>
      <c r="P854" s="347"/>
      <c r="Q854" s="151"/>
    </row>
    <row r="855" ht="12.0" customHeight="1">
      <c r="B855" s="1"/>
      <c r="C855" s="347"/>
      <c r="D855" s="161"/>
      <c r="E855" s="348"/>
      <c r="F855" s="1"/>
      <c r="G855" s="1"/>
      <c r="H855" s="1"/>
      <c r="I855" s="349"/>
      <c r="J855" s="349"/>
      <c r="K855" s="349"/>
      <c r="L855" s="350"/>
      <c r="M855" s="350"/>
      <c r="N855" s="351"/>
      <c r="O855" s="349"/>
      <c r="P855" s="347"/>
      <c r="Q855" s="151"/>
    </row>
    <row r="856" ht="12.0" customHeight="1">
      <c r="B856" s="1"/>
      <c r="C856" s="347"/>
      <c r="D856" s="161"/>
      <c r="E856" s="348"/>
      <c r="F856" s="1"/>
      <c r="G856" s="1"/>
      <c r="H856" s="1"/>
      <c r="I856" s="349"/>
      <c r="J856" s="349"/>
      <c r="K856" s="349"/>
      <c r="L856" s="350"/>
      <c r="M856" s="350"/>
      <c r="N856" s="351"/>
      <c r="O856" s="349"/>
      <c r="P856" s="347"/>
      <c r="Q856" s="151"/>
    </row>
    <row r="857" ht="12.0" customHeight="1">
      <c r="B857" s="1"/>
      <c r="C857" s="347"/>
      <c r="D857" s="161"/>
      <c r="E857" s="348"/>
      <c r="F857" s="1"/>
      <c r="G857" s="1"/>
      <c r="H857" s="1"/>
      <c r="I857" s="349"/>
      <c r="J857" s="349"/>
      <c r="K857" s="349"/>
      <c r="L857" s="350"/>
      <c r="M857" s="350"/>
      <c r="N857" s="351"/>
      <c r="O857" s="349"/>
      <c r="P857" s="347"/>
      <c r="Q857" s="151"/>
    </row>
    <row r="858" ht="12.0" customHeight="1">
      <c r="B858" s="1"/>
      <c r="C858" s="347"/>
      <c r="D858" s="161"/>
      <c r="E858" s="348"/>
      <c r="F858" s="1"/>
      <c r="G858" s="1"/>
      <c r="H858" s="1"/>
      <c r="I858" s="349"/>
      <c r="J858" s="349"/>
      <c r="K858" s="349"/>
      <c r="L858" s="350"/>
      <c r="M858" s="350"/>
      <c r="N858" s="351"/>
      <c r="O858" s="349"/>
      <c r="P858" s="347"/>
      <c r="Q858" s="151"/>
    </row>
    <row r="859" ht="12.0" customHeight="1">
      <c r="B859" s="1"/>
      <c r="C859" s="347"/>
      <c r="D859" s="161"/>
      <c r="E859" s="348"/>
      <c r="F859" s="1"/>
      <c r="G859" s="1"/>
      <c r="H859" s="1"/>
      <c r="I859" s="349"/>
      <c r="J859" s="349"/>
      <c r="K859" s="349"/>
      <c r="L859" s="350"/>
      <c r="M859" s="350"/>
      <c r="N859" s="351"/>
      <c r="O859" s="349"/>
      <c r="P859" s="347"/>
      <c r="Q859" s="151"/>
    </row>
    <row r="860" ht="12.0" customHeight="1">
      <c r="B860" s="1"/>
      <c r="C860" s="347"/>
      <c r="D860" s="161"/>
      <c r="E860" s="348"/>
      <c r="F860" s="1"/>
      <c r="G860" s="1"/>
      <c r="H860" s="1"/>
      <c r="I860" s="349"/>
      <c r="J860" s="349"/>
      <c r="K860" s="349"/>
      <c r="L860" s="350"/>
      <c r="M860" s="350"/>
      <c r="N860" s="351"/>
      <c r="O860" s="349"/>
      <c r="P860" s="347"/>
      <c r="Q860" s="151"/>
    </row>
    <row r="861" ht="12.0" customHeight="1">
      <c r="B861" s="1"/>
      <c r="C861" s="347"/>
      <c r="D861" s="161"/>
      <c r="E861" s="348"/>
      <c r="F861" s="1"/>
      <c r="G861" s="1"/>
      <c r="H861" s="1"/>
      <c r="I861" s="349"/>
      <c r="J861" s="349"/>
      <c r="K861" s="349"/>
      <c r="L861" s="350"/>
      <c r="M861" s="350"/>
      <c r="N861" s="351"/>
      <c r="O861" s="349"/>
      <c r="P861" s="347"/>
      <c r="Q861" s="151"/>
    </row>
    <row r="862" ht="12.0" customHeight="1">
      <c r="B862" s="1"/>
      <c r="C862" s="347"/>
      <c r="D862" s="161"/>
      <c r="E862" s="348"/>
      <c r="F862" s="1"/>
      <c r="G862" s="1"/>
      <c r="H862" s="1"/>
      <c r="I862" s="349"/>
      <c r="J862" s="349"/>
      <c r="K862" s="349"/>
      <c r="L862" s="350"/>
      <c r="M862" s="350"/>
      <c r="N862" s="351"/>
      <c r="O862" s="349"/>
      <c r="P862" s="347"/>
      <c r="Q862" s="151"/>
    </row>
    <row r="863" ht="12.0" customHeight="1">
      <c r="B863" s="1"/>
      <c r="C863" s="347"/>
      <c r="D863" s="161"/>
      <c r="E863" s="348"/>
      <c r="F863" s="1"/>
      <c r="G863" s="1"/>
      <c r="H863" s="1"/>
      <c r="I863" s="349"/>
      <c r="J863" s="349"/>
      <c r="K863" s="349"/>
      <c r="L863" s="350"/>
      <c r="M863" s="350"/>
      <c r="N863" s="351"/>
      <c r="O863" s="349"/>
      <c r="P863" s="347"/>
      <c r="Q863" s="151"/>
    </row>
    <row r="864" ht="12.0" customHeight="1">
      <c r="B864" s="1"/>
      <c r="C864" s="347"/>
      <c r="D864" s="161"/>
      <c r="E864" s="348"/>
      <c r="F864" s="1"/>
      <c r="G864" s="1"/>
      <c r="H864" s="1"/>
      <c r="I864" s="349"/>
      <c r="J864" s="349"/>
      <c r="K864" s="349"/>
      <c r="L864" s="350"/>
      <c r="M864" s="350"/>
      <c r="N864" s="351"/>
      <c r="O864" s="349"/>
      <c r="P864" s="347"/>
      <c r="Q864" s="151"/>
    </row>
    <row r="865" ht="12.0" customHeight="1">
      <c r="B865" s="1"/>
      <c r="C865" s="347"/>
      <c r="D865" s="161"/>
      <c r="E865" s="348"/>
      <c r="F865" s="1"/>
      <c r="G865" s="1"/>
      <c r="H865" s="1"/>
      <c r="I865" s="349"/>
      <c r="J865" s="349"/>
      <c r="K865" s="349"/>
      <c r="L865" s="350"/>
      <c r="M865" s="350"/>
      <c r="N865" s="351"/>
      <c r="O865" s="349"/>
      <c r="P865" s="347"/>
      <c r="Q865" s="151"/>
    </row>
    <row r="866" ht="12.0" customHeight="1">
      <c r="B866" s="1"/>
      <c r="C866" s="347"/>
      <c r="D866" s="161"/>
      <c r="E866" s="348"/>
      <c r="F866" s="1"/>
      <c r="G866" s="1"/>
      <c r="H866" s="1"/>
      <c r="I866" s="349"/>
      <c r="J866" s="349"/>
      <c r="K866" s="349"/>
      <c r="L866" s="350"/>
      <c r="M866" s="350"/>
      <c r="N866" s="351"/>
      <c r="O866" s="349"/>
      <c r="P866" s="347"/>
      <c r="Q866" s="151"/>
    </row>
    <row r="867" ht="12.0" customHeight="1">
      <c r="B867" s="1"/>
      <c r="C867" s="347"/>
      <c r="D867" s="161"/>
      <c r="E867" s="348"/>
      <c r="F867" s="1"/>
      <c r="G867" s="1"/>
      <c r="H867" s="1"/>
      <c r="I867" s="349"/>
      <c r="J867" s="349"/>
      <c r="K867" s="349"/>
      <c r="L867" s="350"/>
      <c r="M867" s="350"/>
      <c r="N867" s="351"/>
      <c r="O867" s="349"/>
      <c r="P867" s="347"/>
      <c r="Q867" s="151"/>
    </row>
    <row r="868" ht="12.0" customHeight="1">
      <c r="B868" s="1"/>
      <c r="C868" s="347"/>
      <c r="D868" s="161"/>
      <c r="E868" s="348"/>
      <c r="F868" s="1"/>
      <c r="G868" s="1"/>
      <c r="H868" s="1"/>
      <c r="I868" s="349"/>
      <c r="J868" s="349"/>
      <c r="K868" s="349"/>
      <c r="L868" s="350"/>
      <c r="M868" s="350"/>
      <c r="N868" s="351"/>
      <c r="O868" s="349"/>
      <c r="P868" s="347"/>
      <c r="Q868" s="151"/>
    </row>
    <row r="869" ht="12.0" customHeight="1">
      <c r="B869" s="1"/>
      <c r="C869" s="347"/>
      <c r="D869" s="161"/>
      <c r="E869" s="348"/>
      <c r="F869" s="1"/>
      <c r="G869" s="1"/>
      <c r="H869" s="1"/>
      <c r="I869" s="349"/>
      <c r="J869" s="349"/>
      <c r="K869" s="349"/>
      <c r="L869" s="350"/>
      <c r="M869" s="350"/>
      <c r="N869" s="351"/>
      <c r="O869" s="349"/>
      <c r="P869" s="347"/>
      <c r="Q869" s="151"/>
    </row>
    <row r="870" ht="12.0" customHeight="1">
      <c r="B870" s="1"/>
      <c r="C870" s="347"/>
      <c r="D870" s="161"/>
      <c r="E870" s="348"/>
      <c r="F870" s="1"/>
      <c r="G870" s="1"/>
      <c r="H870" s="1"/>
      <c r="I870" s="349"/>
      <c r="J870" s="349"/>
      <c r="K870" s="349"/>
      <c r="L870" s="350"/>
      <c r="M870" s="350"/>
      <c r="N870" s="351"/>
      <c r="O870" s="349"/>
      <c r="P870" s="347"/>
      <c r="Q870" s="151"/>
    </row>
    <row r="871" ht="12.0" customHeight="1">
      <c r="B871" s="1"/>
      <c r="C871" s="347"/>
      <c r="D871" s="161"/>
      <c r="E871" s="348"/>
      <c r="F871" s="1"/>
      <c r="G871" s="1"/>
      <c r="H871" s="1"/>
      <c r="I871" s="349"/>
      <c r="J871" s="349"/>
      <c r="K871" s="349"/>
      <c r="L871" s="350"/>
      <c r="M871" s="350"/>
      <c r="N871" s="351"/>
      <c r="O871" s="349"/>
      <c r="P871" s="347"/>
      <c r="Q871" s="151"/>
    </row>
    <row r="872" ht="12.0" customHeight="1">
      <c r="B872" s="1"/>
      <c r="C872" s="347"/>
      <c r="D872" s="161"/>
      <c r="E872" s="348"/>
      <c r="F872" s="1"/>
      <c r="G872" s="1"/>
      <c r="H872" s="1"/>
      <c r="I872" s="349"/>
      <c r="J872" s="349"/>
      <c r="K872" s="349"/>
      <c r="L872" s="350"/>
      <c r="M872" s="350"/>
      <c r="N872" s="351"/>
      <c r="O872" s="349"/>
      <c r="P872" s="347"/>
      <c r="Q872" s="151"/>
    </row>
    <row r="873" ht="12.0" customHeight="1">
      <c r="B873" s="1"/>
      <c r="C873" s="347"/>
      <c r="D873" s="161"/>
      <c r="E873" s="348"/>
      <c r="F873" s="1"/>
      <c r="G873" s="1"/>
      <c r="H873" s="1"/>
      <c r="I873" s="349"/>
      <c r="J873" s="349"/>
      <c r="K873" s="349"/>
      <c r="L873" s="350"/>
      <c r="M873" s="350"/>
      <c r="N873" s="351"/>
      <c r="O873" s="349"/>
      <c r="P873" s="347"/>
      <c r="Q873" s="151"/>
    </row>
    <row r="874" ht="12.0" customHeight="1">
      <c r="B874" s="1"/>
      <c r="C874" s="347"/>
      <c r="D874" s="161"/>
      <c r="E874" s="348"/>
      <c r="F874" s="1"/>
      <c r="G874" s="1"/>
      <c r="H874" s="1"/>
      <c r="I874" s="349"/>
      <c r="J874" s="349"/>
      <c r="K874" s="349"/>
      <c r="L874" s="350"/>
      <c r="M874" s="350"/>
      <c r="N874" s="351"/>
      <c r="O874" s="349"/>
      <c r="P874" s="347"/>
      <c r="Q874" s="151"/>
    </row>
    <row r="875" ht="12.0" customHeight="1">
      <c r="B875" s="1"/>
      <c r="C875" s="347"/>
      <c r="D875" s="161"/>
      <c r="E875" s="348"/>
      <c r="F875" s="1"/>
      <c r="G875" s="1"/>
      <c r="H875" s="1"/>
      <c r="I875" s="349"/>
      <c r="J875" s="349"/>
      <c r="K875" s="349"/>
      <c r="L875" s="350"/>
      <c r="M875" s="350"/>
      <c r="N875" s="351"/>
      <c r="O875" s="349"/>
      <c r="P875" s="347"/>
      <c r="Q875" s="151"/>
    </row>
    <row r="876" ht="12.0" customHeight="1">
      <c r="B876" s="1"/>
      <c r="C876" s="347"/>
      <c r="D876" s="161"/>
      <c r="E876" s="348"/>
      <c r="F876" s="1"/>
      <c r="G876" s="1"/>
      <c r="H876" s="1"/>
      <c r="I876" s="349"/>
      <c r="J876" s="349"/>
      <c r="K876" s="349"/>
      <c r="L876" s="350"/>
      <c r="M876" s="350"/>
      <c r="N876" s="351"/>
      <c r="O876" s="349"/>
      <c r="P876" s="347"/>
      <c r="Q876" s="151"/>
    </row>
    <row r="877" ht="12.0" customHeight="1">
      <c r="B877" s="1"/>
      <c r="C877" s="347"/>
      <c r="D877" s="161"/>
      <c r="E877" s="348"/>
      <c r="F877" s="1"/>
      <c r="G877" s="1"/>
      <c r="H877" s="1"/>
      <c r="I877" s="349"/>
      <c r="J877" s="349"/>
      <c r="K877" s="349"/>
      <c r="L877" s="350"/>
      <c r="M877" s="350"/>
      <c r="N877" s="351"/>
      <c r="O877" s="349"/>
      <c r="P877" s="347"/>
      <c r="Q877" s="151"/>
    </row>
    <row r="878" ht="12.0" customHeight="1">
      <c r="B878" s="1"/>
      <c r="C878" s="347"/>
      <c r="D878" s="161"/>
      <c r="E878" s="348"/>
      <c r="F878" s="1"/>
      <c r="G878" s="1"/>
      <c r="H878" s="1"/>
      <c r="I878" s="349"/>
      <c r="J878" s="349"/>
      <c r="K878" s="349"/>
      <c r="L878" s="350"/>
      <c r="M878" s="350"/>
      <c r="N878" s="351"/>
      <c r="O878" s="349"/>
      <c r="P878" s="347"/>
      <c r="Q878" s="151"/>
    </row>
    <row r="879" ht="12.0" customHeight="1">
      <c r="B879" s="1"/>
      <c r="C879" s="347"/>
      <c r="D879" s="161"/>
      <c r="E879" s="348"/>
      <c r="F879" s="1"/>
      <c r="G879" s="1"/>
      <c r="H879" s="1"/>
      <c r="I879" s="349"/>
      <c r="J879" s="349"/>
      <c r="K879" s="349"/>
      <c r="L879" s="350"/>
      <c r="M879" s="350"/>
      <c r="N879" s="351"/>
      <c r="O879" s="349"/>
      <c r="P879" s="347"/>
      <c r="Q879" s="151"/>
    </row>
    <row r="880" ht="12.0" customHeight="1">
      <c r="B880" s="1"/>
      <c r="C880" s="347"/>
      <c r="D880" s="161"/>
      <c r="E880" s="348"/>
      <c r="F880" s="1"/>
      <c r="G880" s="1"/>
      <c r="H880" s="1"/>
      <c r="I880" s="349"/>
      <c r="J880" s="349"/>
      <c r="K880" s="349"/>
      <c r="L880" s="350"/>
      <c r="M880" s="350"/>
      <c r="N880" s="351"/>
      <c r="O880" s="349"/>
      <c r="P880" s="347"/>
      <c r="Q880" s="151"/>
    </row>
    <row r="881" ht="12.0" customHeight="1">
      <c r="B881" s="1"/>
      <c r="C881" s="347"/>
      <c r="D881" s="161"/>
      <c r="E881" s="348"/>
      <c r="F881" s="1"/>
      <c r="G881" s="1"/>
      <c r="H881" s="1"/>
      <c r="I881" s="349"/>
      <c r="J881" s="349"/>
      <c r="K881" s="349"/>
      <c r="L881" s="350"/>
      <c r="M881" s="350"/>
      <c r="N881" s="351"/>
      <c r="O881" s="349"/>
      <c r="P881" s="347"/>
      <c r="Q881" s="151"/>
    </row>
    <row r="882" ht="12.0" customHeight="1">
      <c r="B882" s="1"/>
      <c r="C882" s="347"/>
      <c r="D882" s="161"/>
      <c r="E882" s="348"/>
      <c r="F882" s="1"/>
      <c r="G882" s="1"/>
      <c r="H882" s="1"/>
      <c r="I882" s="349"/>
      <c r="J882" s="349"/>
      <c r="K882" s="349"/>
      <c r="L882" s="350"/>
      <c r="M882" s="350"/>
      <c r="N882" s="351"/>
      <c r="O882" s="349"/>
      <c r="P882" s="347"/>
      <c r="Q882" s="151"/>
    </row>
    <row r="883" ht="12.0" customHeight="1">
      <c r="B883" s="1"/>
      <c r="C883" s="347"/>
      <c r="D883" s="161"/>
      <c r="E883" s="348"/>
      <c r="F883" s="1"/>
      <c r="G883" s="1"/>
      <c r="H883" s="1"/>
      <c r="I883" s="349"/>
      <c r="J883" s="349"/>
      <c r="K883" s="349"/>
      <c r="L883" s="350"/>
      <c r="M883" s="350"/>
      <c r="N883" s="351"/>
      <c r="O883" s="349"/>
      <c r="P883" s="347"/>
      <c r="Q883" s="151"/>
    </row>
    <row r="884" ht="12.0" customHeight="1">
      <c r="B884" s="1"/>
      <c r="C884" s="347"/>
      <c r="D884" s="161"/>
      <c r="E884" s="348"/>
      <c r="F884" s="1"/>
      <c r="G884" s="1"/>
      <c r="H884" s="1"/>
      <c r="I884" s="349"/>
      <c r="J884" s="349"/>
      <c r="K884" s="349"/>
      <c r="L884" s="350"/>
      <c r="M884" s="350"/>
      <c r="N884" s="351"/>
      <c r="O884" s="349"/>
      <c r="P884" s="347"/>
      <c r="Q884" s="151"/>
    </row>
    <row r="885" ht="12.0" customHeight="1">
      <c r="B885" s="1"/>
      <c r="C885" s="347"/>
      <c r="D885" s="161"/>
      <c r="E885" s="348"/>
      <c r="F885" s="1"/>
      <c r="G885" s="1"/>
      <c r="H885" s="1"/>
      <c r="I885" s="349"/>
      <c r="J885" s="349"/>
      <c r="K885" s="349"/>
      <c r="L885" s="350"/>
      <c r="M885" s="350"/>
      <c r="N885" s="351"/>
      <c r="O885" s="349"/>
      <c r="P885" s="347"/>
      <c r="Q885" s="151"/>
    </row>
    <row r="886" ht="12.0" customHeight="1">
      <c r="B886" s="1"/>
      <c r="C886" s="347"/>
      <c r="D886" s="161"/>
      <c r="E886" s="348"/>
      <c r="F886" s="1"/>
      <c r="G886" s="1"/>
      <c r="H886" s="1"/>
      <c r="I886" s="349"/>
      <c r="J886" s="349"/>
      <c r="K886" s="349"/>
      <c r="L886" s="350"/>
      <c r="M886" s="350"/>
      <c r="N886" s="351"/>
      <c r="O886" s="349"/>
      <c r="P886" s="347"/>
      <c r="Q886" s="151"/>
    </row>
    <row r="887" ht="12.0" customHeight="1">
      <c r="B887" s="1"/>
      <c r="C887" s="347"/>
      <c r="D887" s="161"/>
      <c r="E887" s="348"/>
      <c r="F887" s="1"/>
      <c r="G887" s="1"/>
      <c r="H887" s="1"/>
      <c r="I887" s="349"/>
      <c r="J887" s="349"/>
      <c r="K887" s="349"/>
      <c r="L887" s="350"/>
      <c r="M887" s="350"/>
      <c r="N887" s="351"/>
      <c r="O887" s="349"/>
      <c r="P887" s="347"/>
      <c r="Q887" s="151"/>
    </row>
    <row r="888" ht="12.0" customHeight="1">
      <c r="B888" s="1"/>
      <c r="C888" s="347"/>
      <c r="D888" s="161"/>
      <c r="E888" s="348"/>
      <c r="F888" s="1"/>
      <c r="G888" s="1"/>
      <c r="H888" s="1"/>
      <c r="I888" s="349"/>
      <c r="J888" s="349"/>
      <c r="K888" s="349"/>
      <c r="L888" s="350"/>
      <c r="M888" s="350"/>
      <c r="N888" s="351"/>
      <c r="O888" s="349"/>
      <c r="P888" s="347"/>
      <c r="Q888" s="151"/>
    </row>
    <row r="889" ht="12.0" customHeight="1">
      <c r="B889" s="1"/>
      <c r="C889" s="347"/>
      <c r="D889" s="161"/>
      <c r="E889" s="348"/>
      <c r="F889" s="1"/>
      <c r="G889" s="1"/>
      <c r="H889" s="1"/>
      <c r="I889" s="349"/>
      <c r="J889" s="349"/>
      <c r="K889" s="349"/>
      <c r="L889" s="350"/>
      <c r="M889" s="350"/>
      <c r="N889" s="351"/>
      <c r="O889" s="349"/>
      <c r="P889" s="347"/>
      <c r="Q889" s="151"/>
    </row>
    <row r="890" ht="12.0" customHeight="1">
      <c r="B890" s="1"/>
      <c r="C890" s="347"/>
      <c r="D890" s="161"/>
      <c r="E890" s="348"/>
      <c r="F890" s="1"/>
      <c r="G890" s="1"/>
      <c r="H890" s="1"/>
      <c r="I890" s="349"/>
      <c r="J890" s="349"/>
      <c r="K890" s="349"/>
      <c r="L890" s="350"/>
      <c r="M890" s="350"/>
      <c r="N890" s="351"/>
      <c r="O890" s="349"/>
      <c r="P890" s="347"/>
      <c r="Q890" s="151"/>
    </row>
    <row r="891" ht="12.0" customHeight="1">
      <c r="B891" s="1"/>
      <c r="C891" s="347"/>
      <c r="D891" s="161"/>
      <c r="E891" s="348"/>
      <c r="F891" s="1"/>
      <c r="G891" s="1"/>
      <c r="H891" s="1"/>
      <c r="I891" s="349"/>
      <c r="J891" s="349"/>
      <c r="K891" s="349"/>
      <c r="L891" s="350"/>
      <c r="M891" s="350"/>
      <c r="N891" s="351"/>
      <c r="O891" s="349"/>
      <c r="P891" s="347"/>
      <c r="Q891" s="151"/>
    </row>
    <row r="892" ht="12.0" customHeight="1">
      <c r="B892" s="1"/>
      <c r="C892" s="347"/>
      <c r="D892" s="161"/>
      <c r="E892" s="348"/>
      <c r="F892" s="1"/>
      <c r="G892" s="1"/>
      <c r="H892" s="1"/>
      <c r="I892" s="349"/>
      <c r="J892" s="349"/>
      <c r="K892" s="349"/>
      <c r="L892" s="350"/>
      <c r="M892" s="350"/>
      <c r="N892" s="351"/>
      <c r="O892" s="349"/>
      <c r="P892" s="347"/>
      <c r="Q892" s="151"/>
    </row>
    <row r="893" ht="12.0" customHeight="1">
      <c r="B893" s="1"/>
      <c r="C893" s="347"/>
      <c r="D893" s="161"/>
      <c r="E893" s="348"/>
      <c r="F893" s="1"/>
      <c r="G893" s="1"/>
      <c r="H893" s="1"/>
      <c r="I893" s="349"/>
      <c r="J893" s="349"/>
      <c r="K893" s="349"/>
      <c r="L893" s="350"/>
      <c r="M893" s="350"/>
      <c r="N893" s="351"/>
      <c r="O893" s="349"/>
      <c r="P893" s="347"/>
      <c r="Q893" s="151"/>
    </row>
    <row r="894" ht="12.0" customHeight="1">
      <c r="B894" s="1"/>
      <c r="C894" s="347"/>
      <c r="D894" s="161"/>
      <c r="E894" s="348"/>
      <c r="F894" s="1"/>
      <c r="G894" s="1"/>
      <c r="H894" s="1"/>
      <c r="I894" s="349"/>
      <c r="J894" s="349"/>
      <c r="K894" s="349"/>
      <c r="L894" s="350"/>
      <c r="M894" s="350"/>
      <c r="N894" s="351"/>
      <c r="O894" s="349"/>
      <c r="P894" s="347"/>
      <c r="Q894" s="151"/>
    </row>
    <row r="895" ht="12.0" customHeight="1">
      <c r="B895" s="1"/>
      <c r="C895" s="347"/>
      <c r="D895" s="161"/>
      <c r="E895" s="348"/>
      <c r="F895" s="1"/>
      <c r="G895" s="1"/>
      <c r="H895" s="1"/>
      <c r="I895" s="349"/>
      <c r="J895" s="349"/>
      <c r="K895" s="349"/>
      <c r="L895" s="350"/>
      <c r="M895" s="350"/>
      <c r="N895" s="351"/>
      <c r="O895" s="349"/>
      <c r="P895" s="347"/>
      <c r="Q895" s="151"/>
    </row>
    <row r="896" ht="12.0" customHeight="1">
      <c r="B896" s="1"/>
      <c r="C896" s="347"/>
      <c r="D896" s="161"/>
      <c r="E896" s="348"/>
      <c r="F896" s="1"/>
      <c r="G896" s="1"/>
      <c r="H896" s="1"/>
      <c r="I896" s="349"/>
      <c r="J896" s="349"/>
      <c r="K896" s="349"/>
      <c r="L896" s="350"/>
      <c r="M896" s="350"/>
      <c r="N896" s="351"/>
      <c r="O896" s="349"/>
      <c r="P896" s="347"/>
      <c r="Q896" s="151"/>
    </row>
    <row r="897" ht="12.0" customHeight="1">
      <c r="B897" s="1"/>
      <c r="C897" s="347"/>
      <c r="D897" s="161"/>
      <c r="E897" s="348"/>
      <c r="F897" s="1"/>
      <c r="G897" s="1"/>
      <c r="H897" s="1"/>
      <c r="I897" s="349"/>
      <c r="J897" s="349"/>
      <c r="K897" s="349"/>
      <c r="L897" s="350"/>
      <c r="M897" s="350"/>
      <c r="N897" s="351"/>
      <c r="O897" s="349"/>
      <c r="P897" s="347"/>
      <c r="Q897" s="151"/>
    </row>
    <row r="898" ht="12.0" customHeight="1">
      <c r="B898" s="1"/>
      <c r="C898" s="347"/>
      <c r="D898" s="161"/>
      <c r="E898" s="348"/>
      <c r="F898" s="1"/>
      <c r="G898" s="1"/>
      <c r="H898" s="1"/>
      <c r="I898" s="349"/>
      <c r="J898" s="349"/>
      <c r="K898" s="349"/>
      <c r="L898" s="350"/>
      <c r="M898" s="350"/>
      <c r="N898" s="351"/>
      <c r="O898" s="349"/>
      <c r="P898" s="347"/>
      <c r="Q898" s="151"/>
    </row>
    <row r="899" ht="12.0" customHeight="1">
      <c r="B899" s="1"/>
      <c r="C899" s="347"/>
      <c r="D899" s="161"/>
      <c r="E899" s="348"/>
      <c r="F899" s="1"/>
      <c r="G899" s="1"/>
      <c r="H899" s="1"/>
      <c r="I899" s="349"/>
      <c r="J899" s="349"/>
      <c r="K899" s="349"/>
      <c r="L899" s="350"/>
      <c r="M899" s="350"/>
      <c r="N899" s="351"/>
      <c r="O899" s="349"/>
      <c r="P899" s="347"/>
      <c r="Q899" s="151"/>
    </row>
    <row r="900" ht="12.0" customHeight="1">
      <c r="B900" s="1"/>
      <c r="C900" s="347"/>
      <c r="D900" s="161"/>
      <c r="E900" s="348"/>
      <c r="F900" s="1"/>
      <c r="G900" s="1"/>
      <c r="H900" s="1"/>
      <c r="I900" s="349"/>
      <c r="J900" s="349"/>
      <c r="K900" s="349"/>
      <c r="L900" s="350"/>
      <c r="M900" s="350"/>
      <c r="N900" s="351"/>
      <c r="O900" s="349"/>
      <c r="P900" s="347"/>
      <c r="Q900" s="151"/>
    </row>
    <row r="901" ht="12.0" customHeight="1">
      <c r="B901" s="1"/>
      <c r="C901" s="347"/>
      <c r="D901" s="161"/>
      <c r="E901" s="348"/>
      <c r="F901" s="1"/>
      <c r="G901" s="1"/>
      <c r="H901" s="1"/>
      <c r="I901" s="349"/>
      <c r="J901" s="349"/>
      <c r="K901" s="349"/>
      <c r="L901" s="350"/>
      <c r="M901" s="350"/>
      <c r="N901" s="351"/>
      <c r="O901" s="349"/>
      <c r="P901" s="347"/>
      <c r="Q901" s="151"/>
    </row>
    <row r="902" ht="12.0" customHeight="1">
      <c r="B902" s="1"/>
      <c r="C902" s="347"/>
      <c r="D902" s="161"/>
      <c r="E902" s="348"/>
      <c r="F902" s="1"/>
      <c r="G902" s="1"/>
      <c r="H902" s="1"/>
      <c r="I902" s="349"/>
      <c r="J902" s="349"/>
      <c r="K902" s="349"/>
      <c r="L902" s="350"/>
      <c r="M902" s="350"/>
      <c r="N902" s="351"/>
      <c r="O902" s="349"/>
      <c r="P902" s="347"/>
      <c r="Q902" s="151"/>
    </row>
    <row r="903" ht="12.0" customHeight="1">
      <c r="B903" s="1"/>
      <c r="C903" s="347"/>
      <c r="D903" s="161"/>
      <c r="E903" s="348"/>
      <c r="F903" s="1"/>
      <c r="G903" s="1"/>
      <c r="H903" s="1"/>
      <c r="I903" s="349"/>
      <c r="J903" s="349"/>
      <c r="K903" s="349"/>
      <c r="L903" s="350"/>
      <c r="M903" s="350"/>
      <c r="N903" s="351"/>
      <c r="O903" s="349"/>
      <c r="P903" s="347"/>
      <c r="Q903" s="151"/>
    </row>
    <row r="904" ht="12.0" customHeight="1">
      <c r="B904" s="1"/>
      <c r="C904" s="347"/>
      <c r="D904" s="161"/>
      <c r="E904" s="348"/>
      <c r="F904" s="1"/>
      <c r="G904" s="1"/>
      <c r="H904" s="1"/>
      <c r="I904" s="349"/>
      <c r="J904" s="349"/>
      <c r="K904" s="349"/>
      <c r="L904" s="350"/>
      <c r="M904" s="350"/>
      <c r="N904" s="351"/>
      <c r="O904" s="349"/>
      <c r="P904" s="347"/>
      <c r="Q904" s="151"/>
    </row>
    <row r="905" ht="12.0" customHeight="1">
      <c r="B905" s="1"/>
      <c r="C905" s="347"/>
      <c r="D905" s="161"/>
      <c r="E905" s="348"/>
      <c r="F905" s="1"/>
      <c r="G905" s="1"/>
      <c r="H905" s="1"/>
      <c r="I905" s="349"/>
      <c r="J905" s="349"/>
      <c r="K905" s="349"/>
      <c r="L905" s="350"/>
      <c r="M905" s="350"/>
      <c r="N905" s="351"/>
      <c r="O905" s="349"/>
      <c r="P905" s="347"/>
      <c r="Q905" s="151"/>
    </row>
    <row r="906" ht="12.0" customHeight="1">
      <c r="B906" s="1"/>
      <c r="C906" s="347"/>
      <c r="D906" s="161"/>
      <c r="E906" s="348"/>
      <c r="F906" s="1"/>
      <c r="G906" s="1"/>
      <c r="H906" s="1"/>
      <c r="I906" s="349"/>
      <c r="J906" s="349"/>
      <c r="K906" s="349"/>
      <c r="L906" s="350"/>
      <c r="M906" s="350"/>
      <c r="N906" s="351"/>
      <c r="O906" s="349"/>
      <c r="P906" s="347"/>
      <c r="Q906" s="151"/>
    </row>
    <row r="907" ht="12.0" customHeight="1">
      <c r="B907" s="1"/>
      <c r="C907" s="347"/>
      <c r="D907" s="161"/>
      <c r="E907" s="348"/>
      <c r="F907" s="1"/>
      <c r="G907" s="1"/>
      <c r="H907" s="1"/>
      <c r="I907" s="349"/>
      <c r="J907" s="349"/>
      <c r="K907" s="349"/>
      <c r="L907" s="350"/>
      <c r="M907" s="350"/>
      <c r="N907" s="351"/>
      <c r="O907" s="349"/>
      <c r="P907" s="347"/>
      <c r="Q907" s="151"/>
    </row>
    <row r="908" ht="12.0" customHeight="1">
      <c r="B908" s="1"/>
      <c r="C908" s="347"/>
      <c r="D908" s="161"/>
      <c r="E908" s="348"/>
      <c r="F908" s="1"/>
      <c r="G908" s="1"/>
      <c r="H908" s="1"/>
      <c r="I908" s="349"/>
      <c r="J908" s="349"/>
      <c r="K908" s="349"/>
      <c r="L908" s="350"/>
      <c r="M908" s="350"/>
      <c r="N908" s="351"/>
      <c r="O908" s="349"/>
      <c r="P908" s="347"/>
      <c r="Q908" s="151"/>
    </row>
    <row r="909" ht="12.0" customHeight="1">
      <c r="B909" s="1"/>
      <c r="C909" s="347"/>
      <c r="D909" s="161"/>
      <c r="E909" s="348"/>
      <c r="F909" s="1"/>
      <c r="G909" s="1"/>
      <c r="H909" s="1"/>
      <c r="I909" s="349"/>
      <c r="J909" s="349"/>
      <c r="K909" s="349"/>
      <c r="L909" s="350"/>
      <c r="M909" s="350"/>
      <c r="N909" s="351"/>
      <c r="O909" s="349"/>
      <c r="P909" s="347"/>
      <c r="Q909" s="151"/>
    </row>
    <row r="910" ht="12.0" customHeight="1">
      <c r="B910" s="1"/>
      <c r="C910" s="347"/>
      <c r="D910" s="161"/>
      <c r="E910" s="348"/>
      <c r="F910" s="1"/>
      <c r="G910" s="1"/>
      <c r="H910" s="1"/>
      <c r="I910" s="349"/>
      <c r="J910" s="349"/>
      <c r="K910" s="349"/>
      <c r="L910" s="350"/>
      <c r="M910" s="350"/>
      <c r="N910" s="351"/>
      <c r="O910" s="349"/>
      <c r="P910" s="347"/>
      <c r="Q910" s="151"/>
    </row>
    <row r="911" ht="12.0" customHeight="1">
      <c r="B911" s="1"/>
      <c r="C911" s="347"/>
      <c r="D911" s="161"/>
      <c r="E911" s="348"/>
      <c r="F911" s="1"/>
      <c r="G911" s="1"/>
      <c r="H911" s="1"/>
      <c r="I911" s="349"/>
      <c r="J911" s="349"/>
      <c r="K911" s="349"/>
      <c r="L911" s="350"/>
      <c r="M911" s="350"/>
      <c r="N911" s="351"/>
      <c r="O911" s="349"/>
      <c r="P911" s="347"/>
      <c r="Q911" s="151"/>
    </row>
    <row r="912" ht="12.0" customHeight="1">
      <c r="B912" s="1"/>
      <c r="C912" s="347"/>
      <c r="D912" s="161"/>
      <c r="E912" s="348"/>
      <c r="F912" s="1"/>
      <c r="G912" s="1"/>
      <c r="H912" s="1"/>
      <c r="I912" s="349"/>
      <c r="J912" s="349"/>
      <c r="K912" s="349"/>
      <c r="L912" s="350"/>
      <c r="M912" s="350"/>
      <c r="N912" s="351"/>
      <c r="O912" s="349"/>
      <c r="P912" s="347"/>
      <c r="Q912" s="151"/>
    </row>
    <row r="913" ht="12.0" customHeight="1">
      <c r="B913" s="1"/>
      <c r="C913" s="347"/>
      <c r="D913" s="161"/>
      <c r="E913" s="348"/>
      <c r="F913" s="1"/>
      <c r="G913" s="1"/>
      <c r="H913" s="1"/>
      <c r="I913" s="349"/>
      <c r="J913" s="349"/>
      <c r="K913" s="349"/>
      <c r="L913" s="350"/>
      <c r="M913" s="350"/>
      <c r="N913" s="351"/>
      <c r="O913" s="349"/>
      <c r="P913" s="347"/>
      <c r="Q913" s="151"/>
    </row>
    <row r="914" ht="12.0" customHeight="1">
      <c r="B914" s="1"/>
      <c r="C914" s="347"/>
      <c r="D914" s="161"/>
      <c r="E914" s="348"/>
      <c r="F914" s="1"/>
      <c r="G914" s="1"/>
      <c r="H914" s="1"/>
      <c r="I914" s="349"/>
      <c r="J914" s="349"/>
      <c r="K914" s="349"/>
      <c r="L914" s="350"/>
      <c r="M914" s="350"/>
      <c r="N914" s="351"/>
      <c r="O914" s="349"/>
      <c r="P914" s="347"/>
      <c r="Q914" s="151"/>
    </row>
    <row r="915" ht="12.0" customHeight="1">
      <c r="B915" s="1"/>
      <c r="C915" s="347"/>
      <c r="D915" s="161"/>
      <c r="E915" s="348"/>
      <c r="F915" s="1"/>
      <c r="G915" s="1"/>
      <c r="H915" s="1"/>
      <c r="I915" s="349"/>
      <c r="J915" s="349"/>
      <c r="K915" s="349"/>
      <c r="L915" s="350"/>
      <c r="M915" s="350"/>
      <c r="N915" s="351"/>
      <c r="O915" s="349"/>
      <c r="P915" s="347"/>
      <c r="Q915" s="151"/>
    </row>
    <row r="916" ht="12.0" customHeight="1">
      <c r="B916" s="1"/>
      <c r="C916" s="347"/>
      <c r="D916" s="161"/>
      <c r="E916" s="348"/>
      <c r="F916" s="1"/>
      <c r="G916" s="1"/>
      <c r="H916" s="1"/>
      <c r="I916" s="349"/>
      <c r="J916" s="349"/>
      <c r="K916" s="349"/>
      <c r="L916" s="350"/>
      <c r="M916" s="350"/>
      <c r="N916" s="351"/>
      <c r="O916" s="349"/>
      <c r="P916" s="347"/>
      <c r="Q916" s="151"/>
    </row>
    <row r="917" ht="12.0" customHeight="1">
      <c r="B917" s="1"/>
      <c r="C917" s="347"/>
      <c r="D917" s="161"/>
      <c r="E917" s="348"/>
      <c r="F917" s="1"/>
      <c r="G917" s="1"/>
      <c r="H917" s="1"/>
      <c r="I917" s="349"/>
      <c r="J917" s="349"/>
      <c r="K917" s="349"/>
      <c r="L917" s="350"/>
      <c r="M917" s="350"/>
      <c r="N917" s="351"/>
      <c r="O917" s="349"/>
      <c r="P917" s="347"/>
      <c r="Q917" s="151"/>
    </row>
    <row r="918" ht="12.0" customHeight="1">
      <c r="B918" s="1"/>
      <c r="C918" s="347"/>
      <c r="D918" s="161"/>
      <c r="E918" s="348"/>
      <c r="F918" s="1"/>
      <c r="G918" s="1"/>
      <c r="H918" s="1"/>
      <c r="I918" s="349"/>
      <c r="J918" s="349"/>
      <c r="K918" s="349"/>
      <c r="L918" s="350"/>
      <c r="M918" s="350"/>
      <c r="N918" s="351"/>
      <c r="O918" s="349"/>
      <c r="P918" s="347"/>
      <c r="Q918" s="151"/>
    </row>
    <row r="919" ht="12.0" customHeight="1">
      <c r="B919" s="1"/>
      <c r="C919" s="347"/>
      <c r="D919" s="161"/>
      <c r="E919" s="348"/>
      <c r="F919" s="1"/>
      <c r="G919" s="1"/>
      <c r="H919" s="1"/>
      <c r="I919" s="349"/>
      <c r="J919" s="349"/>
      <c r="K919" s="349"/>
      <c r="L919" s="350"/>
      <c r="M919" s="350"/>
      <c r="N919" s="351"/>
      <c r="O919" s="349"/>
      <c r="P919" s="347"/>
      <c r="Q919" s="151"/>
    </row>
    <row r="920" ht="12.0" customHeight="1">
      <c r="B920" s="1"/>
      <c r="C920" s="347"/>
      <c r="D920" s="161"/>
      <c r="E920" s="348"/>
      <c r="F920" s="1"/>
      <c r="G920" s="1"/>
      <c r="H920" s="1"/>
      <c r="I920" s="349"/>
      <c r="J920" s="349"/>
      <c r="K920" s="349"/>
      <c r="L920" s="350"/>
      <c r="M920" s="350"/>
      <c r="N920" s="351"/>
      <c r="O920" s="349"/>
      <c r="P920" s="347"/>
      <c r="Q920" s="151"/>
    </row>
    <row r="921" ht="12.0" customHeight="1">
      <c r="B921" s="1"/>
      <c r="C921" s="347"/>
      <c r="D921" s="161"/>
      <c r="E921" s="348"/>
      <c r="F921" s="1"/>
      <c r="G921" s="1"/>
      <c r="H921" s="1"/>
      <c r="I921" s="349"/>
      <c r="J921" s="349"/>
      <c r="K921" s="349"/>
      <c r="L921" s="350"/>
      <c r="M921" s="350"/>
      <c r="N921" s="351"/>
      <c r="O921" s="349"/>
      <c r="P921" s="347"/>
      <c r="Q921" s="151"/>
    </row>
    <row r="922" ht="12.0" customHeight="1">
      <c r="B922" s="1"/>
      <c r="C922" s="347"/>
      <c r="D922" s="161"/>
      <c r="E922" s="348"/>
      <c r="F922" s="1"/>
      <c r="G922" s="1"/>
      <c r="H922" s="1"/>
      <c r="I922" s="349"/>
      <c r="J922" s="349"/>
      <c r="K922" s="349"/>
      <c r="L922" s="350"/>
      <c r="M922" s="350"/>
      <c r="N922" s="351"/>
      <c r="O922" s="349"/>
      <c r="P922" s="347"/>
      <c r="Q922" s="151"/>
    </row>
    <row r="923" ht="12.0" customHeight="1">
      <c r="B923" s="1"/>
      <c r="C923" s="347"/>
      <c r="D923" s="161"/>
      <c r="E923" s="348"/>
      <c r="F923" s="1"/>
      <c r="G923" s="1"/>
      <c r="H923" s="1"/>
      <c r="I923" s="349"/>
      <c r="J923" s="349"/>
      <c r="K923" s="349"/>
      <c r="L923" s="350"/>
      <c r="M923" s="350"/>
      <c r="N923" s="351"/>
      <c r="O923" s="349"/>
      <c r="P923" s="347"/>
      <c r="Q923" s="151"/>
    </row>
    <row r="924" ht="12.0" customHeight="1">
      <c r="B924" s="1"/>
      <c r="C924" s="347"/>
      <c r="D924" s="161"/>
      <c r="E924" s="348"/>
      <c r="F924" s="1"/>
      <c r="G924" s="1"/>
      <c r="H924" s="1"/>
      <c r="I924" s="349"/>
      <c r="J924" s="349"/>
      <c r="K924" s="349"/>
      <c r="L924" s="350"/>
      <c r="M924" s="350"/>
      <c r="N924" s="351"/>
      <c r="O924" s="349"/>
      <c r="P924" s="347"/>
      <c r="Q924" s="151"/>
    </row>
    <row r="925" ht="12.0" customHeight="1">
      <c r="B925" s="1"/>
      <c r="C925" s="347"/>
      <c r="D925" s="161"/>
      <c r="E925" s="348"/>
      <c r="F925" s="1"/>
      <c r="G925" s="1"/>
      <c r="H925" s="1"/>
      <c r="I925" s="349"/>
      <c r="J925" s="349"/>
      <c r="K925" s="349"/>
      <c r="L925" s="350"/>
      <c r="M925" s="350"/>
      <c r="N925" s="351"/>
      <c r="O925" s="349"/>
      <c r="P925" s="347"/>
      <c r="Q925" s="151"/>
    </row>
    <row r="926" ht="12.0" customHeight="1">
      <c r="B926" s="1"/>
      <c r="C926" s="347"/>
      <c r="D926" s="161"/>
      <c r="E926" s="348"/>
      <c r="F926" s="1"/>
      <c r="G926" s="1"/>
      <c r="H926" s="1"/>
      <c r="I926" s="349"/>
      <c r="J926" s="349"/>
      <c r="K926" s="349"/>
      <c r="L926" s="350"/>
      <c r="M926" s="350"/>
      <c r="N926" s="351"/>
      <c r="O926" s="349"/>
      <c r="P926" s="347"/>
      <c r="Q926" s="151"/>
    </row>
    <row r="927" ht="12.0" customHeight="1">
      <c r="B927" s="1"/>
      <c r="C927" s="347"/>
      <c r="D927" s="161"/>
      <c r="E927" s="348"/>
      <c r="F927" s="1"/>
      <c r="G927" s="1"/>
      <c r="H927" s="1"/>
      <c r="I927" s="349"/>
      <c r="J927" s="349"/>
      <c r="K927" s="349"/>
      <c r="L927" s="350"/>
      <c r="M927" s="350"/>
      <c r="N927" s="351"/>
      <c r="O927" s="349"/>
      <c r="P927" s="347"/>
      <c r="Q927" s="151"/>
    </row>
    <row r="928" ht="12.0" customHeight="1">
      <c r="B928" s="1"/>
      <c r="C928" s="347"/>
      <c r="D928" s="161"/>
      <c r="E928" s="348"/>
      <c r="F928" s="1"/>
      <c r="G928" s="1"/>
      <c r="H928" s="1"/>
      <c r="I928" s="349"/>
      <c r="J928" s="349"/>
      <c r="K928" s="349"/>
      <c r="L928" s="350"/>
      <c r="M928" s="350"/>
      <c r="N928" s="351"/>
      <c r="O928" s="349"/>
      <c r="P928" s="347"/>
      <c r="Q928" s="151"/>
    </row>
    <row r="929" ht="12.0" customHeight="1">
      <c r="B929" s="1"/>
      <c r="C929" s="347"/>
      <c r="D929" s="161"/>
      <c r="E929" s="348"/>
      <c r="F929" s="1"/>
      <c r="G929" s="1"/>
      <c r="H929" s="1"/>
      <c r="I929" s="349"/>
      <c r="J929" s="349"/>
      <c r="K929" s="349"/>
      <c r="L929" s="350"/>
      <c r="M929" s="350"/>
      <c r="N929" s="351"/>
      <c r="O929" s="349"/>
      <c r="P929" s="347"/>
      <c r="Q929" s="151"/>
    </row>
    <row r="930" ht="12.0" customHeight="1">
      <c r="B930" s="1"/>
      <c r="C930" s="347"/>
      <c r="D930" s="161"/>
      <c r="E930" s="348"/>
      <c r="F930" s="1"/>
      <c r="G930" s="1"/>
      <c r="H930" s="1"/>
      <c r="I930" s="349"/>
      <c r="J930" s="349"/>
      <c r="K930" s="349"/>
      <c r="L930" s="350"/>
      <c r="M930" s="350"/>
      <c r="N930" s="351"/>
      <c r="O930" s="349"/>
      <c r="P930" s="347"/>
      <c r="Q930" s="151"/>
    </row>
    <row r="931" ht="12.0" customHeight="1">
      <c r="B931" s="1"/>
      <c r="C931" s="347"/>
      <c r="D931" s="161"/>
      <c r="E931" s="348"/>
      <c r="F931" s="1"/>
      <c r="G931" s="1"/>
      <c r="H931" s="1"/>
      <c r="I931" s="349"/>
      <c r="J931" s="349"/>
      <c r="K931" s="349"/>
      <c r="L931" s="350"/>
      <c r="M931" s="350"/>
      <c r="N931" s="351"/>
      <c r="O931" s="349"/>
      <c r="P931" s="347"/>
      <c r="Q931" s="151"/>
    </row>
    <row r="932" ht="12.0" customHeight="1">
      <c r="B932" s="1"/>
      <c r="C932" s="347"/>
      <c r="D932" s="161"/>
      <c r="E932" s="348"/>
      <c r="F932" s="1"/>
      <c r="G932" s="1"/>
      <c r="H932" s="1"/>
      <c r="I932" s="349"/>
      <c r="J932" s="349"/>
      <c r="K932" s="349"/>
      <c r="L932" s="350"/>
      <c r="M932" s="350"/>
      <c r="N932" s="351"/>
      <c r="O932" s="349"/>
      <c r="P932" s="347"/>
      <c r="Q932" s="151"/>
    </row>
    <row r="933" ht="12.0" customHeight="1">
      <c r="B933" s="1"/>
      <c r="C933" s="347"/>
      <c r="D933" s="161"/>
      <c r="E933" s="348"/>
      <c r="F933" s="1"/>
      <c r="G933" s="1"/>
      <c r="H933" s="1"/>
      <c r="I933" s="349"/>
      <c r="J933" s="349"/>
      <c r="K933" s="349"/>
      <c r="L933" s="350"/>
      <c r="M933" s="350"/>
      <c r="N933" s="351"/>
      <c r="O933" s="349"/>
      <c r="P933" s="347"/>
      <c r="Q933" s="151"/>
    </row>
    <row r="934" ht="12.0" customHeight="1">
      <c r="B934" s="1"/>
      <c r="C934" s="347"/>
      <c r="D934" s="161"/>
      <c r="E934" s="348"/>
      <c r="F934" s="1"/>
      <c r="G934" s="1"/>
      <c r="H934" s="1"/>
      <c r="I934" s="349"/>
      <c r="J934" s="349"/>
      <c r="K934" s="349"/>
      <c r="L934" s="350"/>
      <c r="M934" s="350"/>
      <c r="N934" s="351"/>
      <c r="O934" s="349"/>
      <c r="P934" s="347"/>
      <c r="Q934" s="151"/>
    </row>
    <row r="935" ht="12.0" customHeight="1">
      <c r="B935" s="1"/>
      <c r="C935" s="347"/>
      <c r="D935" s="161"/>
      <c r="E935" s="348"/>
      <c r="F935" s="1"/>
      <c r="G935" s="1"/>
      <c r="H935" s="1"/>
      <c r="I935" s="349"/>
      <c r="J935" s="349"/>
      <c r="K935" s="349"/>
      <c r="L935" s="350"/>
      <c r="M935" s="350"/>
      <c r="N935" s="351"/>
      <c r="O935" s="349"/>
      <c r="P935" s="347"/>
      <c r="Q935" s="151"/>
    </row>
    <row r="936" ht="12.0" customHeight="1">
      <c r="B936" s="1"/>
      <c r="C936" s="347"/>
      <c r="D936" s="161"/>
      <c r="E936" s="348"/>
      <c r="F936" s="1"/>
      <c r="G936" s="1"/>
      <c r="H936" s="1"/>
      <c r="I936" s="349"/>
      <c r="J936" s="349"/>
      <c r="K936" s="349"/>
      <c r="L936" s="350"/>
      <c r="M936" s="350"/>
      <c r="N936" s="351"/>
      <c r="O936" s="349"/>
      <c r="P936" s="347"/>
      <c r="Q936" s="151"/>
    </row>
    <row r="937" ht="12.0" customHeight="1">
      <c r="B937" s="1"/>
      <c r="C937" s="347"/>
      <c r="D937" s="161"/>
      <c r="E937" s="348"/>
      <c r="F937" s="1"/>
      <c r="G937" s="1"/>
      <c r="H937" s="1"/>
      <c r="I937" s="349"/>
      <c r="J937" s="349"/>
      <c r="K937" s="349"/>
      <c r="L937" s="350"/>
      <c r="M937" s="350"/>
      <c r="N937" s="351"/>
      <c r="O937" s="349"/>
      <c r="P937" s="347"/>
      <c r="Q937" s="151"/>
    </row>
    <row r="938" ht="12.0" customHeight="1">
      <c r="B938" s="1"/>
      <c r="C938" s="347"/>
      <c r="D938" s="161"/>
      <c r="E938" s="348"/>
      <c r="F938" s="1"/>
      <c r="G938" s="1"/>
      <c r="H938" s="1"/>
      <c r="I938" s="349"/>
      <c r="J938" s="349"/>
      <c r="K938" s="349"/>
      <c r="L938" s="350"/>
      <c r="M938" s="350"/>
      <c r="N938" s="351"/>
      <c r="O938" s="349"/>
      <c r="P938" s="347"/>
      <c r="Q938" s="151"/>
    </row>
    <row r="939" ht="12.0" customHeight="1">
      <c r="B939" s="1"/>
      <c r="C939" s="347"/>
      <c r="D939" s="161"/>
      <c r="E939" s="348"/>
      <c r="F939" s="1"/>
      <c r="G939" s="1"/>
      <c r="H939" s="1"/>
      <c r="I939" s="349"/>
      <c r="J939" s="349"/>
      <c r="K939" s="349"/>
      <c r="L939" s="350"/>
      <c r="M939" s="350"/>
      <c r="N939" s="351"/>
      <c r="O939" s="349"/>
      <c r="P939" s="347"/>
      <c r="Q939" s="151"/>
    </row>
    <row r="940" ht="12.0" customHeight="1">
      <c r="B940" s="1"/>
      <c r="C940" s="347"/>
      <c r="D940" s="161"/>
      <c r="E940" s="348"/>
      <c r="F940" s="1"/>
      <c r="G940" s="1"/>
      <c r="H940" s="1"/>
      <c r="I940" s="349"/>
      <c r="J940" s="349"/>
      <c r="K940" s="349"/>
      <c r="L940" s="350"/>
      <c r="M940" s="350"/>
      <c r="N940" s="351"/>
      <c r="O940" s="349"/>
      <c r="P940" s="347"/>
      <c r="Q940" s="151"/>
    </row>
    <row r="941" ht="12.0" customHeight="1">
      <c r="B941" s="1"/>
      <c r="C941" s="347"/>
      <c r="D941" s="161"/>
      <c r="E941" s="348"/>
      <c r="F941" s="1"/>
      <c r="G941" s="1"/>
      <c r="H941" s="1"/>
      <c r="I941" s="349"/>
      <c r="J941" s="349"/>
      <c r="K941" s="349"/>
      <c r="L941" s="350"/>
      <c r="M941" s="350"/>
      <c r="N941" s="351"/>
      <c r="O941" s="349"/>
      <c r="P941" s="347"/>
      <c r="Q941" s="151"/>
    </row>
    <row r="942" ht="12.0" customHeight="1">
      <c r="B942" s="1"/>
      <c r="C942" s="347"/>
      <c r="D942" s="161"/>
      <c r="E942" s="348"/>
      <c r="F942" s="1"/>
      <c r="G942" s="1"/>
      <c r="H942" s="1"/>
      <c r="I942" s="349"/>
      <c r="J942" s="349"/>
      <c r="K942" s="349"/>
      <c r="L942" s="350"/>
      <c r="M942" s="350"/>
      <c r="N942" s="351"/>
      <c r="O942" s="349"/>
      <c r="P942" s="347"/>
      <c r="Q942" s="151"/>
    </row>
    <row r="943" ht="12.0" customHeight="1">
      <c r="B943" s="1"/>
      <c r="C943" s="347"/>
      <c r="D943" s="161"/>
      <c r="E943" s="348"/>
      <c r="F943" s="1"/>
      <c r="G943" s="1"/>
      <c r="H943" s="1"/>
      <c r="I943" s="349"/>
      <c r="J943" s="349"/>
      <c r="K943" s="349"/>
      <c r="L943" s="350"/>
      <c r="M943" s="350"/>
      <c r="N943" s="351"/>
      <c r="O943" s="349"/>
      <c r="P943" s="347"/>
      <c r="Q943" s="151"/>
    </row>
    <row r="944" ht="12.0" customHeight="1">
      <c r="B944" s="1"/>
      <c r="C944" s="347"/>
      <c r="D944" s="161"/>
      <c r="E944" s="348"/>
      <c r="F944" s="1"/>
      <c r="G944" s="1"/>
      <c r="H944" s="1"/>
      <c r="I944" s="349"/>
      <c r="J944" s="349"/>
      <c r="K944" s="349"/>
      <c r="L944" s="350"/>
      <c r="M944" s="350"/>
      <c r="N944" s="351"/>
      <c r="O944" s="349"/>
      <c r="P944" s="347"/>
      <c r="Q944" s="151"/>
    </row>
    <row r="945" ht="12.0" customHeight="1">
      <c r="B945" s="1"/>
      <c r="C945" s="347"/>
      <c r="D945" s="161"/>
      <c r="E945" s="348"/>
      <c r="F945" s="1"/>
      <c r="G945" s="1"/>
      <c r="H945" s="1"/>
      <c r="I945" s="349"/>
      <c r="J945" s="349"/>
      <c r="K945" s="349"/>
      <c r="L945" s="350"/>
      <c r="M945" s="350"/>
      <c r="N945" s="351"/>
      <c r="O945" s="349"/>
      <c r="P945" s="347"/>
      <c r="Q945" s="151"/>
    </row>
    <row r="946" ht="12.0" customHeight="1">
      <c r="B946" s="1"/>
      <c r="C946" s="347"/>
      <c r="D946" s="161"/>
      <c r="E946" s="348"/>
      <c r="F946" s="1"/>
      <c r="G946" s="1"/>
      <c r="H946" s="1"/>
      <c r="I946" s="349"/>
      <c r="J946" s="349"/>
      <c r="K946" s="349"/>
      <c r="L946" s="350"/>
      <c r="M946" s="350"/>
      <c r="N946" s="351"/>
      <c r="O946" s="349"/>
      <c r="P946" s="347"/>
      <c r="Q946" s="151"/>
    </row>
    <row r="947" ht="12.0" customHeight="1">
      <c r="B947" s="1"/>
      <c r="C947" s="347"/>
      <c r="D947" s="161"/>
      <c r="E947" s="348"/>
      <c r="F947" s="1"/>
      <c r="G947" s="1"/>
      <c r="H947" s="1"/>
      <c r="I947" s="349"/>
      <c r="J947" s="349"/>
      <c r="K947" s="349"/>
      <c r="L947" s="350"/>
      <c r="M947" s="350"/>
      <c r="N947" s="351"/>
      <c r="O947" s="349"/>
      <c r="P947" s="347"/>
      <c r="Q947" s="151"/>
    </row>
    <row r="948" ht="12.0" customHeight="1">
      <c r="B948" s="1"/>
      <c r="C948" s="347"/>
      <c r="D948" s="161"/>
      <c r="E948" s="348"/>
      <c r="F948" s="1"/>
      <c r="G948" s="1"/>
      <c r="H948" s="1"/>
      <c r="I948" s="349"/>
      <c r="J948" s="349"/>
      <c r="K948" s="349"/>
      <c r="L948" s="350"/>
      <c r="M948" s="350"/>
      <c r="N948" s="351"/>
      <c r="O948" s="349"/>
      <c r="P948" s="347"/>
      <c r="Q948" s="151"/>
    </row>
    <row r="949" ht="12.0" customHeight="1">
      <c r="B949" s="1"/>
      <c r="C949" s="347"/>
      <c r="D949" s="161"/>
      <c r="E949" s="348"/>
      <c r="F949" s="1"/>
      <c r="G949" s="1"/>
      <c r="H949" s="1"/>
      <c r="I949" s="349"/>
      <c r="J949" s="349"/>
      <c r="K949" s="349"/>
      <c r="L949" s="350"/>
      <c r="M949" s="350"/>
      <c r="N949" s="351"/>
      <c r="O949" s="349"/>
      <c r="P949" s="347"/>
      <c r="Q949" s="151"/>
    </row>
    <row r="950" ht="12.0" customHeight="1">
      <c r="B950" s="1"/>
      <c r="C950" s="347"/>
      <c r="D950" s="161"/>
      <c r="E950" s="348"/>
      <c r="F950" s="1"/>
      <c r="G950" s="1"/>
      <c r="H950" s="1"/>
      <c r="I950" s="349"/>
      <c r="J950" s="349"/>
      <c r="K950" s="349"/>
      <c r="L950" s="350"/>
      <c r="M950" s="350"/>
      <c r="N950" s="351"/>
      <c r="O950" s="349"/>
      <c r="P950" s="347"/>
      <c r="Q950" s="151"/>
    </row>
    <row r="951" ht="12.0" customHeight="1">
      <c r="B951" s="1"/>
      <c r="C951" s="347"/>
      <c r="D951" s="161"/>
      <c r="E951" s="348"/>
      <c r="F951" s="1"/>
      <c r="G951" s="1"/>
      <c r="H951" s="1"/>
      <c r="I951" s="349"/>
      <c r="J951" s="349"/>
      <c r="K951" s="349"/>
      <c r="L951" s="350"/>
      <c r="M951" s="350"/>
      <c r="N951" s="351"/>
      <c r="O951" s="349"/>
      <c r="P951" s="347"/>
      <c r="Q951" s="151"/>
    </row>
    <row r="952" ht="12.0" customHeight="1">
      <c r="B952" s="1"/>
      <c r="C952" s="347"/>
      <c r="D952" s="161"/>
      <c r="E952" s="348"/>
      <c r="F952" s="1"/>
      <c r="G952" s="1"/>
      <c r="H952" s="1"/>
      <c r="I952" s="349"/>
      <c r="J952" s="349"/>
      <c r="K952" s="349"/>
      <c r="L952" s="350"/>
      <c r="M952" s="350"/>
      <c r="N952" s="351"/>
      <c r="O952" s="349"/>
      <c r="P952" s="347"/>
      <c r="Q952" s="151"/>
    </row>
    <row r="953" ht="12.0" customHeight="1">
      <c r="B953" s="1"/>
      <c r="C953" s="347"/>
      <c r="D953" s="161"/>
      <c r="E953" s="348"/>
      <c r="F953" s="1"/>
      <c r="G953" s="1"/>
      <c r="H953" s="1"/>
      <c r="I953" s="349"/>
      <c r="J953" s="349"/>
      <c r="K953" s="349"/>
      <c r="L953" s="350"/>
      <c r="M953" s="350"/>
      <c r="N953" s="351"/>
      <c r="O953" s="349"/>
      <c r="P953" s="347"/>
      <c r="Q953" s="151"/>
    </row>
    <row r="954" ht="12.0" customHeight="1">
      <c r="B954" s="1"/>
      <c r="C954" s="347"/>
      <c r="D954" s="161"/>
      <c r="E954" s="348"/>
      <c r="F954" s="1"/>
      <c r="G954" s="1"/>
      <c r="H954" s="1"/>
      <c r="I954" s="349"/>
      <c r="J954" s="349"/>
      <c r="K954" s="349"/>
      <c r="L954" s="350"/>
      <c r="M954" s="350"/>
      <c r="N954" s="351"/>
      <c r="O954" s="349"/>
      <c r="P954" s="347"/>
      <c r="Q954" s="151"/>
    </row>
    <row r="955" ht="12.0" customHeight="1">
      <c r="B955" s="1"/>
      <c r="C955" s="347"/>
      <c r="D955" s="161"/>
      <c r="E955" s="348"/>
      <c r="F955" s="1"/>
      <c r="G955" s="1"/>
      <c r="H955" s="1"/>
      <c r="I955" s="349"/>
      <c r="J955" s="349"/>
      <c r="K955" s="349"/>
      <c r="L955" s="350"/>
      <c r="M955" s="350"/>
      <c r="N955" s="351"/>
      <c r="O955" s="349"/>
      <c r="P955" s="347"/>
      <c r="Q955" s="151"/>
    </row>
    <row r="956" ht="12.0" customHeight="1">
      <c r="B956" s="1"/>
      <c r="C956" s="347"/>
      <c r="D956" s="161"/>
      <c r="E956" s="348"/>
      <c r="F956" s="1"/>
      <c r="G956" s="1"/>
      <c r="H956" s="1"/>
      <c r="I956" s="349"/>
      <c r="J956" s="349"/>
      <c r="K956" s="349"/>
      <c r="L956" s="350"/>
      <c r="M956" s="350"/>
      <c r="N956" s="351"/>
      <c r="O956" s="349"/>
      <c r="P956" s="347"/>
      <c r="Q956" s="151"/>
    </row>
    <row r="957" ht="12.0" customHeight="1">
      <c r="B957" s="1"/>
      <c r="C957" s="347"/>
      <c r="D957" s="161"/>
      <c r="E957" s="348"/>
      <c r="F957" s="1"/>
      <c r="G957" s="1"/>
      <c r="H957" s="1"/>
      <c r="I957" s="349"/>
      <c r="J957" s="349"/>
      <c r="K957" s="349"/>
      <c r="L957" s="350"/>
      <c r="M957" s="350"/>
      <c r="N957" s="351"/>
      <c r="O957" s="349"/>
      <c r="P957" s="347"/>
      <c r="Q957" s="151"/>
    </row>
    <row r="958" ht="12.0" customHeight="1">
      <c r="B958" s="1"/>
      <c r="C958" s="347"/>
      <c r="D958" s="161"/>
      <c r="E958" s="348"/>
      <c r="F958" s="1"/>
      <c r="G958" s="1"/>
      <c r="H958" s="1"/>
      <c r="I958" s="349"/>
      <c r="J958" s="349"/>
      <c r="K958" s="349"/>
      <c r="L958" s="350"/>
      <c r="M958" s="350"/>
      <c r="N958" s="351"/>
      <c r="O958" s="349"/>
      <c r="P958" s="347"/>
      <c r="Q958" s="151"/>
    </row>
    <row r="959" ht="12.0" customHeight="1">
      <c r="B959" s="1"/>
      <c r="C959" s="347"/>
      <c r="D959" s="161"/>
      <c r="E959" s="348"/>
      <c r="F959" s="1"/>
      <c r="G959" s="1"/>
      <c r="H959" s="1"/>
      <c r="I959" s="349"/>
      <c r="J959" s="349"/>
      <c r="K959" s="349"/>
      <c r="L959" s="350"/>
      <c r="M959" s="350"/>
      <c r="N959" s="351"/>
      <c r="O959" s="349"/>
      <c r="P959" s="347"/>
      <c r="Q959" s="151"/>
    </row>
    <row r="960" ht="12.0" customHeight="1">
      <c r="B960" s="1"/>
      <c r="C960" s="347"/>
      <c r="D960" s="161"/>
      <c r="E960" s="348"/>
      <c r="F960" s="1"/>
      <c r="G960" s="1"/>
      <c r="H960" s="1"/>
      <c r="I960" s="349"/>
      <c r="J960" s="349"/>
      <c r="K960" s="349"/>
      <c r="L960" s="350"/>
      <c r="M960" s="350"/>
      <c r="N960" s="351"/>
      <c r="O960" s="349"/>
      <c r="P960" s="347"/>
      <c r="Q960" s="151"/>
    </row>
    <row r="961" ht="12.0" customHeight="1">
      <c r="B961" s="1"/>
      <c r="C961" s="347"/>
      <c r="D961" s="161"/>
      <c r="E961" s="348"/>
      <c r="F961" s="1"/>
      <c r="G961" s="1"/>
      <c r="H961" s="1"/>
      <c r="I961" s="349"/>
      <c r="J961" s="349"/>
      <c r="K961" s="349"/>
      <c r="L961" s="350"/>
      <c r="M961" s="350"/>
      <c r="N961" s="351"/>
      <c r="O961" s="349"/>
      <c r="P961" s="347"/>
      <c r="Q961" s="151"/>
    </row>
    <row r="962" ht="12.0" customHeight="1">
      <c r="B962" s="1"/>
      <c r="C962" s="347"/>
      <c r="D962" s="161"/>
      <c r="E962" s="348"/>
      <c r="F962" s="1"/>
      <c r="G962" s="1"/>
      <c r="H962" s="1"/>
      <c r="I962" s="349"/>
      <c r="J962" s="349"/>
      <c r="K962" s="349"/>
      <c r="L962" s="350"/>
      <c r="M962" s="350"/>
      <c r="N962" s="351"/>
      <c r="O962" s="349"/>
      <c r="P962" s="347"/>
      <c r="Q962" s="151"/>
    </row>
    <row r="963" ht="12.0" customHeight="1">
      <c r="B963" s="1"/>
      <c r="C963" s="347"/>
      <c r="D963" s="161"/>
      <c r="E963" s="348"/>
      <c r="F963" s="1"/>
      <c r="G963" s="1"/>
      <c r="H963" s="1"/>
      <c r="I963" s="349"/>
      <c r="J963" s="349"/>
      <c r="K963" s="349"/>
      <c r="L963" s="350"/>
      <c r="M963" s="350"/>
      <c r="N963" s="351"/>
      <c r="O963" s="349"/>
      <c r="P963" s="347"/>
      <c r="Q963" s="151"/>
    </row>
    <row r="964" ht="12.0" customHeight="1">
      <c r="B964" s="1"/>
      <c r="C964" s="347"/>
      <c r="D964" s="161"/>
      <c r="E964" s="348"/>
      <c r="F964" s="1"/>
      <c r="G964" s="1"/>
      <c r="H964" s="1"/>
      <c r="I964" s="349"/>
      <c r="J964" s="349"/>
      <c r="K964" s="349"/>
      <c r="L964" s="350"/>
      <c r="M964" s="350"/>
      <c r="N964" s="351"/>
      <c r="O964" s="349"/>
      <c r="P964" s="347"/>
      <c r="Q964" s="151"/>
    </row>
    <row r="965" ht="12.0" customHeight="1">
      <c r="B965" s="1"/>
      <c r="C965" s="347"/>
      <c r="D965" s="161"/>
      <c r="E965" s="348"/>
      <c r="F965" s="1"/>
      <c r="G965" s="1"/>
      <c r="H965" s="1"/>
      <c r="I965" s="349"/>
      <c r="J965" s="349"/>
      <c r="K965" s="349"/>
      <c r="L965" s="350"/>
      <c r="M965" s="350"/>
      <c r="N965" s="351"/>
      <c r="O965" s="349"/>
      <c r="P965" s="347"/>
      <c r="Q965" s="151"/>
    </row>
    <row r="966" ht="12.0" customHeight="1">
      <c r="B966" s="1"/>
      <c r="C966" s="347"/>
      <c r="D966" s="161"/>
      <c r="E966" s="348"/>
      <c r="F966" s="1"/>
      <c r="G966" s="1"/>
      <c r="H966" s="1"/>
      <c r="I966" s="349"/>
      <c r="J966" s="349"/>
      <c r="K966" s="349"/>
      <c r="L966" s="350"/>
      <c r="M966" s="350"/>
      <c r="N966" s="351"/>
      <c r="O966" s="349"/>
      <c r="P966" s="347"/>
      <c r="Q966" s="151"/>
    </row>
    <row r="967" ht="12.0" customHeight="1">
      <c r="B967" s="1"/>
      <c r="C967" s="347"/>
      <c r="D967" s="161"/>
      <c r="E967" s="348"/>
      <c r="F967" s="1"/>
      <c r="G967" s="1"/>
      <c r="H967" s="1"/>
      <c r="I967" s="349"/>
      <c r="J967" s="349"/>
      <c r="K967" s="349"/>
      <c r="L967" s="350"/>
      <c r="M967" s="350"/>
      <c r="N967" s="351"/>
      <c r="O967" s="349"/>
      <c r="P967" s="347"/>
      <c r="Q967" s="151"/>
    </row>
    <row r="968" ht="12.0" customHeight="1">
      <c r="B968" s="1"/>
      <c r="C968" s="347"/>
      <c r="D968" s="161"/>
      <c r="E968" s="348"/>
      <c r="F968" s="1"/>
      <c r="G968" s="1"/>
      <c r="H968" s="1"/>
      <c r="I968" s="349"/>
      <c r="J968" s="349"/>
      <c r="K968" s="349"/>
      <c r="L968" s="350"/>
      <c r="M968" s="350"/>
      <c r="N968" s="351"/>
      <c r="O968" s="349"/>
      <c r="P968" s="347"/>
      <c r="Q968" s="151"/>
    </row>
    <row r="969" ht="12.0" customHeight="1">
      <c r="B969" s="1"/>
      <c r="C969" s="347"/>
      <c r="D969" s="161"/>
      <c r="E969" s="348"/>
      <c r="F969" s="1"/>
      <c r="G969" s="1"/>
      <c r="H969" s="1"/>
      <c r="I969" s="349"/>
      <c r="J969" s="349"/>
      <c r="K969" s="349"/>
      <c r="L969" s="350"/>
      <c r="M969" s="350"/>
      <c r="N969" s="351"/>
      <c r="O969" s="349"/>
      <c r="P969" s="347"/>
      <c r="Q969" s="151"/>
    </row>
    <row r="970" ht="12.0" customHeight="1">
      <c r="B970" s="1"/>
      <c r="C970" s="347"/>
      <c r="D970" s="161"/>
      <c r="E970" s="348"/>
      <c r="F970" s="1"/>
      <c r="G970" s="1"/>
      <c r="H970" s="1"/>
      <c r="I970" s="349"/>
      <c r="J970" s="349"/>
      <c r="K970" s="349"/>
      <c r="L970" s="350"/>
      <c r="M970" s="350"/>
      <c r="N970" s="351"/>
      <c r="O970" s="349"/>
      <c r="P970" s="347"/>
      <c r="Q970" s="151"/>
    </row>
    <row r="971" ht="12.0" customHeight="1">
      <c r="B971" s="1"/>
      <c r="C971" s="347"/>
      <c r="D971" s="161"/>
      <c r="E971" s="348"/>
      <c r="F971" s="1"/>
      <c r="G971" s="1"/>
      <c r="H971" s="1"/>
      <c r="I971" s="349"/>
      <c r="J971" s="349"/>
      <c r="K971" s="349"/>
      <c r="L971" s="350"/>
      <c r="M971" s="350"/>
      <c r="N971" s="351"/>
      <c r="O971" s="349"/>
      <c r="P971" s="347"/>
      <c r="Q971" s="151"/>
    </row>
    <row r="972" ht="12.0" customHeight="1">
      <c r="B972" s="1"/>
      <c r="C972" s="347"/>
      <c r="D972" s="161"/>
      <c r="E972" s="348"/>
      <c r="F972" s="1"/>
      <c r="G972" s="1"/>
      <c r="H972" s="1"/>
      <c r="I972" s="349"/>
      <c r="J972" s="349"/>
      <c r="K972" s="349"/>
      <c r="L972" s="350"/>
      <c r="M972" s="350"/>
      <c r="N972" s="351"/>
      <c r="O972" s="349"/>
      <c r="P972" s="347"/>
      <c r="Q972" s="151"/>
    </row>
    <row r="973" ht="12.0" customHeight="1">
      <c r="B973" s="1"/>
      <c r="C973" s="347"/>
      <c r="D973" s="161"/>
      <c r="E973" s="348"/>
      <c r="F973" s="1"/>
      <c r="G973" s="1"/>
      <c r="H973" s="1"/>
      <c r="I973" s="349"/>
      <c r="J973" s="349"/>
      <c r="K973" s="349"/>
      <c r="L973" s="350"/>
      <c r="M973" s="350"/>
      <c r="N973" s="351"/>
      <c r="O973" s="349"/>
      <c r="P973" s="347"/>
      <c r="Q973" s="151"/>
    </row>
    <row r="974" ht="12.0" customHeight="1">
      <c r="B974" s="1"/>
      <c r="C974" s="347"/>
      <c r="D974" s="161"/>
      <c r="E974" s="348"/>
      <c r="F974" s="1"/>
      <c r="G974" s="1"/>
      <c r="H974" s="1"/>
      <c r="I974" s="349"/>
      <c r="J974" s="349"/>
      <c r="K974" s="349"/>
      <c r="L974" s="350"/>
      <c r="M974" s="350"/>
      <c r="N974" s="351"/>
      <c r="O974" s="349"/>
      <c r="P974" s="347"/>
      <c r="Q974" s="151"/>
    </row>
    <row r="975" ht="12.0" customHeight="1">
      <c r="B975" s="1"/>
      <c r="C975" s="347"/>
      <c r="D975" s="161"/>
      <c r="E975" s="348"/>
      <c r="F975" s="1"/>
      <c r="G975" s="1"/>
      <c r="H975" s="1"/>
      <c r="I975" s="349"/>
      <c r="J975" s="349"/>
      <c r="K975" s="349"/>
      <c r="L975" s="350"/>
      <c r="M975" s="350"/>
      <c r="N975" s="351"/>
      <c r="O975" s="349"/>
      <c r="P975" s="347"/>
      <c r="Q975" s="151"/>
    </row>
    <row r="976" ht="12.0" customHeight="1">
      <c r="B976" s="1"/>
      <c r="C976" s="347"/>
      <c r="D976" s="161"/>
      <c r="E976" s="348"/>
      <c r="F976" s="1"/>
      <c r="G976" s="1"/>
      <c r="H976" s="1"/>
      <c r="I976" s="349"/>
      <c r="J976" s="349"/>
      <c r="K976" s="349"/>
      <c r="L976" s="350"/>
      <c r="M976" s="350"/>
      <c r="N976" s="351"/>
      <c r="O976" s="349"/>
      <c r="P976" s="347"/>
      <c r="Q976" s="151"/>
    </row>
    <row r="977" ht="12.0" customHeight="1">
      <c r="B977" s="1"/>
      <c r="C977" s="347"/>
      <c r="D977" s="161"/>
      <c r="E977" s="348"/>
      <c r="F977" s="1"/>
      <c r="G977" s="1"/>
      <c r="H977" s="1"/>
      <c r="I977" s="349"/>
      <c r="J977" s="349"/>
      <c r="K977" s="349"/>
      <c r="L977" s="350"/>
      <c r="M977" s="350"/>
      <c r="N977" s="351"/>
      <c r="O977" s="349"/>
      <c r="P977" s="347"/>
      <c r="Q977" s="151"/>
    </row>
    <row r="978" ht="12.0" customHeight="1">
      <c r="B978" s="1"/>
      <c r="C978" s="347"/>
      <c r="D978" s="161"/>
      <c r="E978" s="348"/>
      <c r="F978" s="1"/>
      <c r="G978" s="1"/>
      <c r="H978" s="1"/>
      <c r="I978" s="349"/>
      <c r="J978" s="349"/>
      <c r="K978" s="349"/>
      <c r="L978" s="350"/>
      <c r="M978" s="350"/>
      <c r="N978" s="351"/>
      <c r="O978" s="349"/>
      <c r="P978" s="347"/>
      <c r="Q978" s="151"/>
    </row>
    <row r="979" ht="12.0" customHeight="1">
      <c r="B979" s="1"/>
      <c r="C979" s="347"/>
      <c r="D979" s="161"/>
      <c r="E979" s="348"/>
      <c r="F979" s="1"/>
      <c r="G979" s="1"/>
      <c r="H979" s="1"/>
      <c r="I979" s="349"/>
      <c r="J979" s="349"/>
      <c r="K979" s="349"/>
      <c r="L979" s="350"/>
      <c r="M979" s="350"/>
      <c r="N979" s="351"/>
      <c r="O979" s="349"/>
      <c r="P979" s="347"/>
      <c r="Q979" s="151"/>
    </row>
    <row r="980" ht="12.0" customHeight="1">
      <c r="B980" s="1"/>
      <c r="C980" s="347"/>
      <c r="D980" s="161"/>
      <c r="E980" s="348"/>
      <c r="F980" s="1"/>
      <c r="G980" s="1"/>
      <c r="H980" s="1"/>
      <c r="I980" s="349"/>
      <c r="J980" s="349"/>
      <c r="K980" s="349"/>
      <c r="L980" s="350"/>
      <c r="M980" s="350"/>
      <c r="N980" s="351"/>
      <c r="O980" s="349"/>
      <c r="P980" s="347"/>
      <c r="Q980" s="151"/>
    </row>
    <row r="981" ht="12.0" customHeight="1">
      <c r="B981" s="1"/>
      <c r="C981" s="347"/>
      <c r="D981" s="161"/>
      <c r="E981" s="348"/>
      <c r="F981" s="1"/>
      <c r="G981" s="1"/>
      <c r="H981" s="1"/>
      <c r="I981" s="349"/>
      <c r="J981" s="349"/>
      <c r="K981" s="349"/>
      <c r="L981" s="350"/>
      <c r="M981" s="350"/>
      <c r="N981" s="351"/>
      <c r="O981" s="349"/>
      <c r="P981" s="347"/>
      <c r="Q981" s="151"/>
    </row>
    <row r="982" ht="12.0" customHeight="1">
      <c r="B982" s="1"/>
      <c r="C982" s="347"/>
      <c r="D982" s="161"/>
      <c r="E982" s="348"/>
      <c r="F982" s="1"/>
      <c r="G982" s="1"/>
      <c r="H982" s="1"/>
      <c r="I982" s="349"/>
      <c r="J982" s="349"/>
      <c r="K982" s="349"/>
      <c r="L982" s="350"/>
      <c r="M982" s="350"/>
      <c r="N982" s="351"/>
      <c r="O982" s="349"/>
      <c r="P982" s="347"/>
      <c r="Q982" s="151"/>
    </row>
    <row r="983" ht="12.0" customHeight="1">
      <c r="B983" s="1"/>
      <c r="C983" s="347"/>
      <c r="D983" s="161"/>
      <c r="E983" s="348"/>
      <c r="F983" s="1"/>
      <c r="G983" s="1"/>
      <c r="H983" s="1"/>
      <c r="I983" s="349"/>
      <c r="J983" s="349"/>
      <c r="K983" s="349"/>
      <c r="L983" s="350"/>
      <c r="M983" s="350"/>
      <c r="N983" s="351"/>
      <c r="O983" s="349"/>
      <c r="P983" s="347"/>
      <c r="Q983" s="151"/>
    </row>
    <row r="984" ht="12.0" customHeight="1">
      <c r="B984" s="1"/>
      <c r="C984" s="347"/>
      <c r="D984" s="161"/>
      <c r="E984" s="348"/>
      <c r="F984" s="1"/>
      <c r="G984" s="1"/>
      <c r="H984" s="1"/>
      <c r="I984" s="349"/>
      <c r="J984" s="349"/>
      <c r="K984" s="349"/>
      <c r="L984" s="350"/>
      <c r="M984" s="350"/>
      <c r="N984" s="351"/>
      <c r="O984" s="349"/>
      <c r="P984" s="347"/>
      <c r="Q984" s="151"/>
    </row>
    <row r="985" ht="12.0" customHeight="1">
      <c r="B985" s="1"/>
      <c r="C985" s="347"/>
      <c r="D985" s="161"/>
      <c r="E985" s="348"/>
      <c r="F985" s="1"/>
      <c r="G985" s="1"/>
      <c r="H985" s="1"/>
      <c r="I985" s="349"/>
      <c r="J985" s="349"/>
      <c r="K985" s="349"/>
      <c r="L985" s="350"/>
      <c r="M985" s="350"/>
      <c r="N985" s="351"/>
      <c r="O985" s="349"/>
      <c r="P985" s="347"/>
      <c r="Q985" s="151"/>
    </row>
    <row r="986" ht="12.0" customHeight="1">
      <c r="B986" s="1"/>
      <c r="C986" s="347"/>
      <c r="D986" s="161"/>
      <c r="E986" s="348"/>
      <c r="F986" s="1"/>
      <c r="G986" s="1"/>
      <c r="H986" s="1"/>
      <c r="I986" s="349"/>
      <c r="J986" s="349"/>
      <c r="K986" s="349"/>
      <c r="L986" s="350"/>
      <c r="M986" s="350"/>
      <c r="N986" s="351"/>
      <c r="O986" s="349"/>
      <c r="P986" s="347"/>
      <c r="Q986" s="151"/>
    </row>
    <row r="987" ht="12.0" customHeight="1">
      <c r="B987" s="1"/>
      <c r="C987" s="347"/>
      <c r="D987" s="161"/>
      <c r="E987" s="348"/>
      <c r="F987" s="1"/>
      <c r="G987" s="1"/>
      <c r="H987" s="1"/>
      <c r="I987" s="349"/>
      <c r="J987" s="349"/>
      <c r="K987" s="349"/>
      <c r="L987" s="350"/>
      <c r="M987" s="350"/>
      <c r="N987" s="351"/>
      <c r="O987" s="349"/>
      <c r="P987" s="347"/>
      <c r="Q987" s="151"/>
    </row>
    <row r="988" ht="12.0" customHeight="1">
      <c r="B988" s="1"/>
      <c r="C988" s="347"/>
      <c r="D988" s="161"/>
      <c r="E988" s="348"/>
      <c r="F988" s="1"/>
      <c r="G988" s="1"/>
      <c r="H988" s="1"/>
      <c r="I988" s="349"/>
      <c r="J988" s="349"/>
      <c r="K988" s="349"/>
      <c r="L988" s="350"/>
      <c r="M988" s="350"/>
      <c r="N988" s="351"/>
      <c r="O988" s="349"/>
      <c r="P988" s="347"/>
      <c r="Q988" s="151"/>
    </row>
    <row r="989" ht="12.0" customHeight="1">
      <c r="B989" s="1"/>
      <c r="C989" s="347"/>
      <c r="D989" s="161"/>
      <c r="E989" s="348"/>
      <c r="F989" s="1"/>
      <c r="G989" s="1"/>
      <c r="H989" s="1"/>
      <c r="I989" s="349"/>
      <c r="J989" s="349"/>
      <c r="K989" s="349"/>
      <c r="L989" s="350"/>
      <c r="M989" s="350"/>
      <c r="N989" s="351"/>
      <c r="O989" s="349"/>
      <c r="P989" s="347"/>
      <c r="Q989" s="151"/>
    </row>
    <row r="990" ht="12.0" customHeight="1">
      <c r="B990" s="1"/>
      <c r="C990" s="347"/>
      <c r="D990" s="161"/>
      <c r="E990" s="348"/>
      <c r="F990" s="1"/>
      <c r="G990" s="1"/>
      <c r="H990" s="1"/>
      <c r="I990" s="349"/>
      <c r="J990" s="349"/>
      <c r="K990" s="349"/>
      <c r="L990" s="350"/>
      <c r="M990" s="350"/>
      <c r="N990" s="351"/>
      <c r="O990" s="349"/>
      <c r="P990" s="347"/>
      <c r="Q990" s="151"/>
    </row>
    <row r="991" ht="12.0" customHeight="1">
      <c r="B991" s="1"/>
      <c r="C991" s="347"/>
      <c r="D991" s="161"/>
      <c r="E991" s="348"/>
      <c r="F991" s="1"/>
      <c r="G991" s="1"/>
      <c r="H991" s="1"/>
      <c r="I991" s="349"/>
      <c r="J991" s="349"/>
      <c r="K991" s="349"/>
      <c r="L991" s="350"/>
      <c r="M991" s="350"/>
      <c r="N991" s="351"/>
      <c r="O991" s="349"/>
      <c r="P991" s="347"/>
      <c r="Q991" s="151"/>
    </row>
    <row r="992" ht="12.0" customHeight="1">
      <c r="B992" s="1"/>
      <c r="C992" s="347"/>
      <c r="D992" s="161"/>
      <c r="E992" s="348"/>
      <c r="F992" s="1"/>
      <c r="G992" s="1"/>
      <c r="H992" s="1"/>
      <c r="I992" s="349"/>
      <c r="J992" s="349"/>
      <c r="K992" s="349"/>
      <c r="L992" s="350"/>
      <c r="M992" s="350"/>
      <c r="N992" s="351"/>
      <c r="O992" s="349"/>
      <c r="P992" s="347"/>
      <c r="Q992" s="151"/>
    </row>
    <row r="993" ht="12.0" customHeight="1">
      <c r="B993" s="1"/>
      <c r="C993" s="347"/>
      <c r="D993" s="161"/>
      <c r="E993" s="348"/>
      <c r="F993" s="1"/>
      <c r="G993" s="1"/>
      <c r="H993" s="1"/>
      <c r="I993" s="349"/>
      <c r="J993" s="349"/>
      <c r="K993" s="349"/>
      <c r="L993" s="350"/>
      <c r="M993" s="350"/>
      <c r="N993" s="351"/>
      <c r="O993" s="349"/>
      <c r="P993" s="347"/>
      <c r="Q993" s="151"/>
    </row>
    <row r="994" ht="12.0" customHeight="1">
      <c r="B994" s="1"/>
      <c r="C994" s="347"/>
      <c r="D994" s="161"/>
      <c r="E994" s="348"/>
      <c r="F994" s="1"/>
      <c r="G994" s="1"/>
      <c r="H994" s="1"/>
      <c r="I994" s="349"/>
      <c r="J994" s="349"/>
      <c r="K994" s="349"/>
      <c r="L994" s="350"/>
      <c r="M994" s="350"/>
      <c r="N994" s="351"/>
      <c r="O994" s="349"/>
      <c r="P994" s="347"/>
      <c r="Q994" s="151"/>
    </row>
    <row r="995" ht="12.0" customHeight="1">
      <c r="B995" s="1"/>
      <c r="C995" s="347"/>
      <c r="D995" s="161"/>
      <c r="E995" s="348"/>
      <c r="F995" s="1"/>
      <c r="G995" s="1"/>
      <c r="H995" s="1"/>
      <c r="I995" s="349"/>
      <c r="J995" s="349"/>
      <c r="K995" s="349"/>
      <c r="L995" s="350"/>
      <c r="M995" s="350"/>
      <c r="N995" s="351"/>
      <c r="O995" s="349"/>
      <c r="P995" s="347"/>
      <c r="Q995" s="151"/>
    </row>
    <row r="996" ht="12.0" customHeight="1">
      <c r="B996" s="1"/>
      <c r="C996" s="347"/>
      <c r="D996" s="161"/>
      <c r="E996" s="348"/>
      <c r="F996" s="1"/>
      <c r="G996" s="1"/>
      <c r="H996" s="1"/>
      <c r="I996" s="349"/>
      <c r="J996" s="349"/>
      <c r="K996" s="349"/>
      <c r="L996" s="350"/>
      <c r="M996" s="350"/>
      <c r="N996" s="351"/>
      <c r="O996" s="349"/>
      <c r="P996" s="347"/>
      <c r="Q996" s="151"/>
    </row>
    <row r="997" ht="12.0" customHeight="1">
      <c r="B997" s="1"/>
      <c r="C997" s="347"/>
      <c r="D997" s="161"/>
      <c r="E997" s="348"/>
      <c r="F997" s="1"/>
      <c r="G997" s="1"/>
      <c r="H997" s="1"/>
      <c r="I997" s="349"/>
      <c r="J997" s="349"/>
      <c r="K997" s="349"/>
      <c r="L997" s="350"/>
      <c r="M997" s="350"/>
      <c r="N997" s="351"/>
      <c r="O997" s="349"/>
      <c r="P997" s="347"/>
      <c r="Q997" s="151"/>
    </row>
    <row r="998" ht="12.0" customHeight="1">
      <c r="B998" s="1"/>
      <c r="C998" s="347"/>
      <c r="D998" s="161"/>
      <c r="E998" s="348"/>
      <c r="F998" s="1"/>
      <c r="G998" s="1"/>
      <c r="H998" s="1"/>
      <c r="I998" s="349"/>
      <c r="J998" s="349"/>
      <c r="K998" s="349"/>
      <c r="L998" s="350"/>
      <c r="M998" s="350"/>
      <c r="N998" s="351"/>
      <c r="O998" s="349"/>
      <c r="P998" s="347"/>
      <c r="Q998" s="151"/>
    </row>
    <row r="999" ht="12.0" customHeight="1">
      <c r="B999" s="1"/>
      <c r="C999" s="347"/>
      <c r="D999" s="161"/>
      <c r="E999" s="348"/>
      <c r="F999" s="1"/>
      <c r="G999" s="1"/>
      <c r="H999" s="1"/>
      <c r="I999" s="349"/>
      <c r="J999" s="349"/>
      <c r="K999" s="349"/>
      <c r="L999" s="350"/>
      <c r="M999" s="350"/>
      <c r="N999" s="351"/>
      <c r="O999" s="349"/>
      <c r="P999" s="347"/>
      <c r="Q999" s="151"/>
    </row>
    <row r="1000" ht="12.0" customHeight="1">
      <c r="B1000" s="1"/>
      <c r="C1000" s="347"/>
      <c r="D1000" s="161"/>
      <c r="E1000" s="348"/>
      <c r="F1000" s="1"/>
      <c r="G1000" s="1"/>
      <c r="H1000" s="1"/>
      <c r="I1000" s="349"/>
      <c r="J1000" s="349"/>
      <c r="K1000" s="349"/>
      <c r="L1000" s="350"/>
      <c r="M1000" s="350"/>
      <c r="N1000" s="351"/>
      <c r="O1000" s="349"/>
      <c r="P1000" s="347"/>
      <c r="Q1000" s="151"/>
    </row>
  </sheetData>
  <mergeCells count="3">
    <mergeCell ref="M4:N4"/>
    <mergeCell ref="P4:Q4"/>
    <mergeCell ref="I5:K5"/>
  </mergeCells>
  <dataValidations>
    <dataValidation type="list" allowBlank="1" showErrorMessage="1" sqref="M31">
      <formula1>"METAL GATE MOTORISED,METAL GATE NOT MOTORISED,DIAMOND MESH,NO GATE"</formula1>
    </dataValidation>
    <dataValidation type="list" allowBlank="1" showErrorMessage="1" sqref="M27">
      <formula1>"YES,NO"</formula1>
    </dataValidation>
    <dataValidation type="list" allowBlank="1" showErrorMessage="1" sqref="P15 P27 P31">
      <formula1>"DELAPIDATED,POOR,FAIR,GOOD,VERY GOOD,EXCELLENT,NOT APPLICABLE"</formula1>
    </dataValidation>
    <dataValidation type="list" allowBlank="1" showErrorMessage="1" sqref="M15">
      <formula1>"BLOCKS,BLOCKS WITH PALISADE,PRE-CAST SLABS,STOCK BRICKS,STOCK BRICKS WITH PALISADE,FACE BRICKS,FACE BRICK WITH PALISADE,CLEAR-VU,PALISADE,DIAMOND MESH"</formula1>
    </dataValidation>
    <dataValidation type="list" allowBlank="1" showErrorMessage="1" sqref="M9">
      <formula1>"2010-2013,2014-2021,2021-2023"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0.75"/>
    <col customWidth="1" min="3" max="3" width="40.25"/>
    <col customWidth="1" min="4" max="4" width="27.63"/>
    <col customWidth="1" min="5" max="5" width="17.88"/>
    <col customWidth="1" min="6" max="8" width="19.13"/>
    <col customWidth="1" min="9" max="9" width="13.13"/>
    <col customWidth="1" min="10" max="10" width="74.5"/>
    <col customWidth="1" min="11" max="11" width="12.0"/>
    <col customWidth="1" min="12" max="12" width="1.75"/>
    <col customWidth="1" min="13" max="13" width="2.75"/>
    <col customWidth="1" min="14" max="14" width="2.0"/>
    <col customWidth="1" min="15" max="15" width="21.88"/>
    <col customWidth="1" min="16" max="16" width="30.75"/>
    <col customWidth="1" min="17" max="29" width="9.0"/>
  </cols>
  <sheetData>
    <row r="1" ht="12.0" customHeight="1">
      <c r="K1" s="151"/>
      <c r="L1" s="151"/>
      <c r="M1" s="151"/>
      <c r="N1" s="151"/>
      <c r="P1" s="151"/>
    </row>
    <row r="2" ht="12.0" customHeight="1">
      <c r="B2" s="4" t="s">
        <v>117</v>
      </c>
      <c r="C2" s="438"/>
      <c r="D2" s="439"/>
      <c r="E2" s="439"/>
      <c r="F2" s="440"/>
      <c r="G2" s="440"/>
      <c r="H2" s="440"/>
      <c r="I2" s="440"/>
      <c r="J2" s="440"/>
      <c r="K2" s="441"/>
      <c r="L2" s="441"/>
      <c r="M2" s="441"/>
      <c r="N2" s="441"/>
      <c r="P2" s="151"/>
    </row>
    <row r="3" ht="33.75" customHeight="1">
      <c r="B3" s="352"/>
      <c r="C3" s="439"/>
      <c r="D3" s="439"/>
      <c r="E3" s="439"/>
      <c r="F3" s="440"/>
      <c r="G3" s="440"/>
      <c r="H3" s="440"/>
      <c r="I3" s="440"/>
      <c r="J3" s="440"/>
      <c r="K3" s="441"/>
      <c r="L3" s="441"/>
      <c r="M3" s="441"/>
      <c r="N3" s="441"/>
      <c r="P3" s="151"/>
    </row>
    <row r="4" ht="33.75" customHeight="1">
      <c r="B4" s="352"/>
      <c r="C4" s="439"/>
      <c r="D4" s="439"/>
      <c r="E4" s="439"/>
      <c r="F4" s="440"/>
      <c r="G4" s="440"/>
      <c r="H4" s="440"/>
      <c r="I4" s="440"/>
      <c r="J4" s="440"/>
      <c r="K4" s="441"/>
      <c r="L4" s="441"/>
      <c r="M4" s="441"/>
      <c r="N4" s="441"/>
      <c r="P4" s="151"/>
    </row>
    <row r="5" ht="33.75" customHeight="1">
      <c r="B5" s="352"/>
      <c r="C5" s="439"/>
      <c r="D5" s="439"/>
      <c r="E5" s="439"/>
      <c r="F5" s="440"/>
      <c r="G5" s="440"/>
      <c r="H5" s="440"/>
      <c r="I5" s="440"/>
      <c r="J5" s="440"/>
      <c r="K5" s="441"/>
      <c r="L5" s="441"/>
      <c r="M5" s="441"/>
      <c r="N5" s="441"/>
      <c r="P5" s="151"/>
    </row>
    <row r="6" ht="12.0" customHeight="1">
      <c r="B6" s="442"/>
      <c r="C6" s="439"/>
      <c r="D6" s="439"/>
      <c r="E6" s="439"/>
      <c r="F6" s="440"/>
      <c r="G6" s="440"/>
      <c r="H6" s="440"/>
      <c r="I6" s="440"/>
      <c r="J6" s="440"/>
      <c r="K6" s="441"/>
      <c r="L6" s="441"/>
      <c r="M6" s="441"/>
      <c r="N6" s="441"/>
      <c r="P6" s="151"/>
    </row>
    <row r="7" ht="30.0" customHeight="1">
      <c r="B7" s="443"/>
      <c r="C7" s="443"/>
      <c r="D7" s="443"/>
      <c r="E7" s="443"/>
      <c r="F7" s="443"/>
      <c r="G7" s="443"/>
      <c r="H7" s="443"/>
      <c r="I7" s="443"/>
      <c r="J7" s="6" t="s">
        <v>2</v>
      </c>
      <c r="K7" s="7"/>
      <c r="L7" s="444"/>
      <c r="M7" s="444"/>
      <c r="N7" s="444"/>
      <c r="O7" s="8" t="s">
        <v>3</v>
      </c>
      <c r="P7" s="7"/>
    </row>
    <row r="8" ht="30.0" customHeight="1">
      <c r="B8" s="443"/>
      <c r="C8" s="443"/>
      <c r="D8" s="443"/>
      <c r="E8" s="443"/>
      <c r="F8" s="445" t="s">
        <v>79</v>
      </c>
      <c r="G8" s="354"/>
      <c r="H8" s="355"/>
      <c r="I8" s="446" t="s">
        <v>118</v>
      </c>
      <c r="J8" s="447"/>
      <c r="K8" s="448"/>
      <c r="L8" s="449"/>
      <c r="M8" s="449"/>
      <c r="N8" s="449"/>
      <c r="P8" s="151"/>
    </row>
    <row r="9" ht="63.0" customHeight="1">
      <c r="B9" s="167" t="s">
        <v>6</v>
      </c>
      <c r="C9" s="167" t="s">
        <v>7</v>
      </c>
      <c r="D9" s="167"/>
      <c r="E9" s="168" t="s">
        <v>8</v>
      </c>
      <c r="F9" s="169" t="s">
        <v>9</v>
      </c>
      <c r="G9" s="169" t="s">
        <v>10</v>
      </c>
      <c r="H9" s="169" t="s">
        <v>11</v>
      </c>
      <c r="I9" s="170" t="s">
        <v>12</v>
      </c>
      <c r="J9" s="26" t="s">
        <v>13</v>
      </c>
      <c r="K9" s="24" t="s">
        <v>14</v>
      </c>
      <c r="L9" s="24"/>
      <c r="M9" s="24"/>
      <c r="N9" s="24"/>
      <c r="O9" s="31" t="s">
        <v>18</v>
      </c>
      <c r="P9" s="24" t="s">
        <v>14</v>
      </c>
    </row>
    <row r="10" ht="30.0" customHeight="1">
      <c r="B10" s="255"/>
      <c r="C10" s="174"/>
      <c r="D10" s="174"/>
      <c r="E10" s="37"/>
      <c r="F10" s="176">
        <v>3.0</v>
      </c>
      <c r="G10" s="176">
        <v>2.0</v>
      </c>
      <c r="H10" s="176">
        <v>1.0</v>
      </c>
      <c r="I10" s="277"/>
      <c r="J10" s="278"/>
      <c r="K10" s="450"/>
      <c r="L10" s="451"/>
      <c r="M10" s="451"/>
      <c r="N10" s="451"/>
      <c r="O10" s="20"/>
      <c r="P10" s="233"/>
    </row>
    <row r="11" ht="30.0" customHeight="1">
      <c r="B11" s="255"/>
      <c r="C11" s="452" t="s">
        <v>19</v>
      </c>
      <c r="D11" s="383"/>
      <c r="E11" s="48"/>
      <c r="F11" s="186"/>
      <c r="G11" s="186"/>
      <c r="H11" s="186"/>
      <c r="I11" s="283"/>
      <c r="J11" s="188">
        <v>40.0</v>
      </c>
      <c r="K11" s="189"/>
      <c r="L11" s="453"/>
      <c r="M11" s="453"/>
      <c r="N11" s="453"/>
      <c r="O11" s="193"/>
      <c r="P11" s="191"/>
    </row>
    <row r="12" ht="30.0" customHeight="1">
      <c r="B12" s="255"/>
      <c r="C12" s="198" t="s">
        <v>20</v>
      </c>
      <c r="D12" s="54" t="s">
        <v>81</v>
      </c>
      <c r="E12" s="54"/>
      <c r="F12" s="186"/>
      <c r="G12" s="186"/>
      <c r="H12" s="186"/>
      <c r="I12" s="56"/>
      <c r="J12" s="196" t="s">
        <v>9</v>
      </c>
      <c r="K12" s="197"/>
      <c r="L12" s="197"/>
      <c r="M12" s="197"/>
      <c r="N12" s="197"/>
      <c r="O12" s="193"/>
      <c r="P12" s="191"/>
    </row>
    <row r="13" ht="30.0" customHeight="1">
      <c r="B13" s="255"/>
      <c r="C13" s="198"/>
      <c r="D13" s="54" t="s">
        <v>11</v>
      </c>
      <c r="E13" s="54"/>
      <c r="F13" s="186"/>
      <c r="G13" s="186"/>
      <c r="H13" s="186"/>
      <c r="I13" s="56"/>
      <c r="J13" s="56"/>
      <c r="K13" s="58"/>
      <c r="L13" s="454"/>
      <c r="M13" s="454"/>
      <c r="N13" s="454"/>
      <c r="O13" s="17"/>
      <c r="P13" s="202"/>
    </row>
    <row r="14" ht="30.0" customHeight="1">
      <c r="B14" s="255"/>
      <c r="C14" s="198"/>
      <c r="D14" s="54" t="s">
        <v>10</v>
      </c>
      <c r="E14" s="54"/>
      <c r="F14" s="186"/>
      <c r="G14" s="186"/>
      <c r="H14" s="186"/>
      <c r="I14" s="56"/>
      <c r="J14" s="56"/>
      <c r="K14" s="58"/>
      <c r="L14" s="454"/>
      <c r="M14" s="454"/>
      <c r="N14" s="454"/>
      <c r="O14" s="17"/>
      <c r="P14" s="202"/>
    </row>
    <row r="15" ht="30.0" customHeight="1">
      <c r="B15" s="255"/>
      <c r="C15" s="198"/>
      <c r="D15" s="54" t="s">
        <v>9</v>
      </c>
      <c r="E15" s="17"/>
      <c r="F15" s="186"/>
      <c r="G15" s="186"/>
      <c r="H15" s="186"/>
      <c r="I15" s="56"/>
      <c r="J15" s="56"/>
      <c r="K15" s="58"/>
      <c r="L15" s="454"/>
      <c r="M15" s="454"/>
      <c r="N15" s="454"/>
      <c r="O15" s="17"/>
      <c r="P15" s="202"/>
    </row>
    <row r="16" ht="30.0" customHeight="1">
      <c r="B16" s="255"/>
      <c r="C16" s="198"/>
      <c r="D16" s="54" t="s">
        <v>21</v>
      </c>
      <c r="E16" s="63">
        <v>1.19</v>
      </c>
      <c r="F16" s="186"/>
      <c r="G16" s="455">
        <v>1.25</v>
      </c>
      <c r="H16" s="455">
        <v>1.32</v>
      </c>
      <c r="I16" s="56"/>
      <c r="J16" s="56"/>
      <c r="K16" s="58"/>
      <c r="L16" s="454"/>
      <c r="M16" s="454"/>
      <c r="N16" s="454"/>
      <c r="O16" s="17"/>
      <c r="P16" s="202"/>
    </row>
    <row r="17" ht="30.0" customHeight="1">
      <c r="B17" s="456">
        <v>1.0</v>
      </c>
      <c r="C17" s="457" t="s">
        <v>22</v>
      </c>
      <c r="D17" s="458"/>
      <c r="E17" s="458"/>
      <c r="F17" s="459">
        <f>875*E16</f>
        <v>1041.25</v>
      </c>
      <c r="G17" s="459">
        <f>F17/$G$16</f>
        <v>833</v>
      </c>
      <c r="H17" s="459">
        <f>F17/$H$16</f>
        <v>788.8257576</v>
      </c>
      <c r="I17" s="460"/>
      <c r="J17" s="461"/>
      <c r="K17" s="462">
        <f>IF(J12="2010-2013",J11*H17,IF(J12="2014-2021",J11*G17,IF(J12="2021-2023",J11*F17,-2)))</f>
        <v>41650</v>
      </c>
      <c r="L17" s="463"/>
      <c r="M17" s="463"/>
      <c r="N17" s="463"/>
      <c r="O17" s="207" t="s">
        <v>23</v>
      </c>
      <c r="P17" s="73">
        <f t="shared" ref="P17:P18" si="1">IF(O17="Delapidated",K17*0.6,IF(O17="Poor",K17*0.7,IF(O17="Fair",K17*0.8,IF(O17="Good",K17*0.85,IF(O17="Very Good",K17*0.9,IF(O17="Excellent",K17*1,IF(O17="Not Applicable",K17*1,0)))))))</f>
        <v>41650</v>
      </c>
    </row>
    <row r="18" ht="30.0" customHeight="1">
      <c r="B18" s="464">
        <v>2.0</v>
      </c>
      <c r="C18" s="465" t="s">
        <v>24</v>
      </c>
      <c r="D18" s="466"/>
      <c r="E18" s="466"/>
      <c r="F18" s="467"/>
      <c r="G18" s="459"/>
      <c r="H18" s="459"/>
      <c r="I18" s="460"/>
      <c r="J18" s="72" t="s">
        <v>25</v>
      </c>
      <c r="K18" s="462">
        <f>IF(J18="YES",IF(J12="2010-2013",H19*$J$11,IF(J12="2014-2021",G19*$J$11,IF(J12="2021-2023",F19*$J$11,0))),0)</f>
        <v>4760</v>
      </c>
      <c r="L18" s="463"/>
      <c r="M18" s="463"/>
      <c r="N18" s="463"/>
      <c r="O18" s="207" t="s">
        <v>23</v>
      </c>
      <c r="P18" s="73">
        <f t="shared" si="1"/>
        <v>4760</v>
      </c>
    </row>
    <row r="19" ht="30.0" customHeight="1">
      <c r="B19" s="84"/>
      <c r="C19" s="468" t="s">
        <v>25</v>
      </c>
      <c r="D19" s="469"/>
      <c r="E19" s="469"/>
      <c r="F19" s="459">
        <f>100*E16</f>
        <v>119</v>
      </c>
      <c r="G19" s="459">
        <f t="shared" ref="G19:G20" si="2">F19/$G$16</f>
        <v>95.2</v>
      </c>
      <c r="H19" s="459">
        <f t="shared" ref="H19:H20" si="3">F19/$H$16</f>
        <v>90.15151515</v>
      </c>
      <c r="I19" s="470">
        <v>1.0</v>
      </c>
      <c r="J19" s="68"/>
      <c r="K19" s="462"/>
      <c r="L19" s="471"/>
      <c r="M19" s="471"/>
      <c r="N19" s="471"/>
      <c r="O19" s="34"/>
      <c r="P19" s="73"/>
    </row>
    <row r="20" ht="30.0" customHeight="1">
      <c r="B20" s="85"/>
      <c r="C20" s="468" t="s">
        <v>26</v>
      </c>
      <c r="D20" s="469"/>
      <c r="E20" s="469"/>
      <c r="F20" s="459">
        <v>0.0</v>
      </c>
      <c r="G20" s="459">
        <f t="shared" si="2"/>
        <v>0</v>
      </c>
      <c r="H20" s="459">
        <f t="shared" si="3"/>
        <v>0</v>
      </c>
      <c r="I20" s="470">
        <v>2.0</v>
      </c>
      <c r="J20" s="68"/>
      <c r="K20" s="462"/>
      <c r="L20" s="471"/>
      <c r="M20" s="471"/>
      <c r="N20" s="471"/>
      <c r="O20" s="34"/>
      <c r="P20" s="73"/>
    </row>
    <row r="21" ht="30.0" customHeight="1">
      <c r="B21" s="464">
        <v>3.0</v>
      </c>
      <c r="C21" s="465" t="s">
        <v>27</v>
      </c>
      <c r="D21" s="466"/>
      <c r="E21" s="466"/>
      <c r="F21" s="459"/>
      <c r="G21" s="459"/>
      <c r="H21" s="459"/>
      <c r="I21" s="460"/>
      <c r="J21" s="72" t="s">
        <v>29</v>
      </c>
      <c r="K21" s="462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24752</v>
      </c>
      <c r="L21" s="463"/>
      <c r="M21" s="463"/>
      <c r="N21" s="463"/>
      <c r="O21" s="207" t="s">
        <v>23</v>
      </c>
      <c r="P21" s="73">
        <f>IF(O21="Delapidated",K21*0.6,IF(O21="Poor",K21*0.7,IF(O21="Fair",K21*0.8,IF(O21="Good",K21*0.85,IF(O21="Very Good",K21*0.9,IF(O21="Excellent",K21*1,IF(O21="Not Applicable",K21*1,0)))))))</f>
        <v>24752</v>
      </c>
    </row>
    <row r="22" ht="30.0" customHeight="1">
      <c r="B22" s="84"/>
      <c r="C22" s="468" t="s">
        <v>28</v>
      </c>
      <c r="D22" s="469"/>
      <c r="E22" s="469"/>
      <c r="F22" s="459">
        <f>650*E16</f>
        <v>773.5</v>
      </c>
      <c r="G22" s="459">
        <f t="shared" ref="G22:G25" si="4">F22/$G$16</f>
        <v>618.8</v>
      </c>
      <c r="H22" s="459">
        <f t="shared" ref="H22:H25" si="5">F22/$H$16</f>
        <v>585.9848485</v>
      </c>
      <c r="I22" s="470">
        <v>1.0</v>
      </c>
      <c r="J22" s="68"/>
      <c r="K22" s="462"/>
      <c r="L22" s="471"/>
      <c r="M22" s="471"/>
      <c r="N22" s="471"/>
      <c r="O22" s="34"/>
      <c r="P22" s="73"/>
    </row>
    <row r="23" ht="30.0" customHeight="1">
      <c r="B23" s="84"/>
      <c r="C23" s="468" t="s">
        <v>29</v>
      </c>
      <c r="D23" s="469"/>
      <c r="E23" s="469"/>
      <c r="F23" s="459">
        <f>F22*0.8</f>
        <v>618.8</v>
      </c>
      <c r="G23" s="459">
        <f t="shared" si="4"/>
        <v>495.04</v>
      </c>
      <c r="H23" s="459">
        <f t="shared" si="5"/>
        <v>468.7878788</v>
      </c>
      <c r="I23" s="470">
        <v>2.0</v>
      </c>
      <c r="J23" s="68"/>
      <c r="K23" s="462"/>
      <c r="L23" s="471"/>
      <c r="M23" s="471"/>
      <c r="N23" s="471"/>
      <c r="O23" s="34"/>
      <c r="P23" s="73"/>
    </row>
    <row r="24" ht="30.0" customHeight="1">
      <c r="B24" s="84"/>
      <c r="C24" s="468" t="s">
        <v>30</v>
      </c>
      <c r="D24" s="469"/>
      <c r="E24" s="469"/>
      <c r="F24" s="459">
        <f>F22*1.3</f>
        <v>1005.55</v>
      </c>
      <c r="G24" s="459">
        <f t="shared" si="4"/>
        <v>804.44</v>
      </c>
      <c r="H24" s="459">
        <f t="shared" si="5"/>
        <v>761.780303</v>
      </c>
      <c r="I24" s="470">
        <v>3.0</v>
      </c>
      <c r="J24" s="68"/>
      <c r="K24" s="462"/>
      <c r="L24" s="471"/>
      <c r="M24" s="471"/>
      <c r="N24" s="471"/>
      <c r="O24" s="34"/>
      <c r="P24" s="73"/>
    </row>
    <row r="25" ht="30.0" customHeight="1">
      <c r="B25" s="85"/>
      <c r="C25" s="468" t="s">
        <v>31</v>
      </c>
      <c r="D25" s="469"/>
      <c r="E25" s="469"/>
      <c r="F25" s="459">
        <v>0.0</v>
      </c>
      <c r="G25" s="459">
        <f t="shared" si="4"/>
        <v>0</v>
      </c>
      <c r="H25" s="459">
        <f t="shared" si="5"/>
        <v>0</v>
      </c>
      <c r="I25" s="470">
        <v>4.0</v>
      </c>
      <c r="J25" s="68"/>
      <c r="K25" s="462"/>
      <c r="L25" s="471"/>
      <c r="M25" s="471"/>
      <c r="N25" s="471"/>
      <c r="O25" s="34"/>
      <c r="P25" s="73"/>
    </row>
    <row r="26" ht="30.0" customHeight="1">
      <c r="B26" s="464">
        <v>4.0</v>
      </c>
      <c r="C26" s="465" t="s">
        <v>85</v>
      </c>
      <c r="D26" s="466"/>
      <c r="E26" s="466"/>
      <c r="F26" s="459"/>
      <c r="G26" s="459"/>
      <c r="H26" s="459"/>
      <c r="I26" s="460"/>
      <c r="J26" s="72" t="s">
        <v>35</v>
      </c>
      <c r="K26" s="462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3712.8</v>
      </c>
      <c r="L26" s="463"/>
      <c r="M26" s="463"/>
      <c r="N26" s="463"/>
      <c r="O26" s="207" t="s">
        <v>82</v>
      </c>
      <c r="P26" s="73">
        <f>IF(O26="Delapidated",K26*0.6,IF(O26="Poor",K26*0.7,IF(O26="Fair",K26*0.8,IF(O26="Good",K26*0.85,IF(O26="Very Good",K26*0.9,IF(O26="Excellent",K26*1,IF(O26="Not Applicable",K26*1,0)))))))</f>
        <v>3341.52</v>
      </c>
    </row>
    <row r="27" ht="30.0" customHeight="1">
      <c r="B27" s="84"/>
      <c r="C27" s="468" t="s">
        <v>33</v>
      </c>
      <c r="D27" s="469"/>
      <c r="E27" s="469"/>
      <c r="F27" s="67">
        <f>130*E16</f>
        <v>154.7</v>
      </c>
      <c r="G27" s="459">
        <f t="shared" ref="G27:G30" si="6">F27/$G$16</f>
        <v>123.76</v>
      </c>
      <c r="H27" s="459">
        <f t="shared" ref="H27:H30" si="7">F27/$H$16</f>
        <v>117.1969697</v>
      </c>
      <c r="I27" s="470">
        <v>1.0</v>
      </c>
      <c r="J27" s="68"/>
      <c r="K27" s="462"/>
      <c r="L27" s="471"/>
      <c r="M27" s="471"/>
      <c r="N27" s="471"/>
      <c r="O27" s="34"/>
      <c r="P27" s="73"/>
    </row>
    <row r="28" ht="30.0" customHeight="1">
      <c r="B28" s="84"/>
      <c r="C28" s="468" t="s">
        <v>34</v>
      </c>
      <c r="D28" s="469"/>
      <c r="E28" s="469"/>
      <c r="F28" s="67">
        <f>F27*1.6</f>
        <v>247.52</v>
      </c>
      <c r="G28" s="459">
        <f t="shared" si="6"/>
        <v>198.016</v>
      </c>
      <c r="H28" s="459">
        <f t="shared" si="7"/>
        <v>187.5151515</v>
      </c>
      <c r="I28" s="470">
        <v>2.0</v>
      </c>
      <c r="J28" s="68"/>
      <c r="K28" s="462"/>
      <c r="L28" s="471"/>
      <c r="M28" s="471"/>
      <c r="N28" s="471"/>
      <c r="O28" s="34"/>
      <c r="P28" s="73"/>
    </row>
    <row r="29" ht="30.0" customHeight="1">
      <c r="B29" s="84"/>
      <c r="C29" s="468" t="s">
        <v>35</v>
      </c>
      <c r="D29" s="469"/>
      <c r="E29" s="469"/>
      <c r="F29" s="67">
        <f>F27*0.6</f>
        <v>92.82</v>
      </c>
      <c r="G29" s="459">
        <f t="shared" si="6"/>
        <v>74.256</v>
      </c>
      <c r="H29" s="459">
        <f t="shared" si="7"/>
        <v>70.31818182</v>
      </c>
      <c r="I29" s="470">
        <v>3.0</v>
      </c>
      <c r="J29" s="68"/>
      <c r="K29" s="462"/>
      <c r="L29" s="471"/>
      <c r="M29" s="471"/>
      <c r="N29" s="471"/>
      <c r="O29" s="34"/>
      <c r="P29" s="73"/>
    </row>
    <row r="30" ht="30.0" customHeight="1">
      <c r="B30" s="85"/>
      <c r="C30" s="468" t="s">
        <v>36</v>
      </c>
      <c r="D30" s="469"/>
      <c r="E30" s="469"/>
      <c r="F30" s="67">
        <v>0.0</v>
      </c>
      <c r="G30" s="459">
        <f t="shared" si="6"/>
        <v>0</v>
      </c>
      <c r="H30" s="459">
        <f t="shared" si="7"/>
        <v>0</v>
      </c>
      <c r="I30" s="470">
        <v>4.0</v>
      </c>
      <c r="J30" s="68"/>
      <c r="K30" s="462"/>
      <c r="L30" s="471"/>
      <c r="M30" s="471"/>
      <c r="N30" s="471"/>
      <c r="O30" s="34"/>
      <c r="P30" s="73"/>
    </row>
    <row r="31" ht="30.0" customHeight="1">
      <c r="B31" s="472">
        <v>5.0</v>
      </c>
      <c r="C31" s="74" t="s">
        <v>37</v>
      </c>
      <c r="D31" s="469"/>
      <c r="E31" s="469"/>
      <c r="F31" s="459"/>
      <c r="G31" s="459"/>
      <c r="H31" s="459"/>
      <c r="I31" s="470"/>
      <c r="J31" s="72" t="s">
        <v>38</v>
      </c>
      <c r="K31" s="462">
        <f>IF(J31="TIMBER ROOF TRUSSES",IF(J12="2010-2013",H32*$J$11,IF(J12="2014-2021",G32*$J$11,IF(J12="2021-2023",F32*$J$11,0))),IF(J31="STRUCTURAL STEEL TRUSSES",IF(J15="2010-2013",#REF!*$I$10,IF(J15="2014-2021",#REF!*$I$10,IF(J15="2021-2023",#REF!*$I$10,0))),0))</f>
        <v>11900</v>
      </c>
      <c r="L31" s="462"/>
      <c r="M31" s="462"/>
      <c r="N31" s="462"/>
      <c r="O31" s="72" t="s">
        <v>23</v>
      </c>
      <c r="P31" s="211">
        <f>IF(O31="Delapidated",K31*0.6,IF(O31="Poor",K31*0.7,IF(O31="Fair",K31*0.8,IF(O31="Good",K31*0.85,IF(O31="Very Good",K31*0.9,IF(O31="Excellent",K31*1,IF(O31="Not Applicable",K31*1,0)))))))</f>
        <v>11900</v>
      </c>
    </row>
    <row r="32" ht="30.0" customHeight="1">
      <c r="B32" s="472"/>
      <c r="C32" s="79" t="s">
        <v>38</v>
      </c>
      <c r="D32" s="469"/>
      <c r="E32" s="469"/>
      <c r="F32" s="67">
        <f>250*E16</f>
        <v>297.5</v>
      </c>
      <c r="G32" s="459">
        <f>F32/$G$16</f>
        <v>238</v>
      </c>
      <c r="H32" s="459">
        <f>F32/$H$16</f>
        <v>225.3787879</v>
      </c>
      <c r="I32" s="470"/>
      <c r="J32" s="68"/>
      <c r="K32" s="462"/>
      <c r="L32" s="471"/>
      <c r="M32" s="471"/>
      <c r="N32" s="471"/>
      <c r="O32" s="34"/>
      <c r="P32" s="73"/>
    </row>
    <row r="33" ht="30.0" customHeight="1">
      <c r="B33" s="472"/>
      <c r="C33" s="79" t="s">
        <v>41</v>
      </c>
      <c r="D33" s="469"/>
      <c r="E33" s="469"/>
      <c r="F33" s="67">
        <v>0.0</v>
      </c>
      <c r="G33" s="459">
        <v>0.0</v>
      </c>
      <c r="H33" s="459">
        <f>F33/$H$17</f>
        <v>0</v>
      </c>
      <c r="I33" s="470"/>
      <c r="J33" s="68"/>
      <c r="K33" s="462"/>
      <c r="L33" s="471"/>
      <c r="M33" s="471"/>
      <c r="N33" s="471"/>
      <c r="O33" s="34"/>
      <c r="P33" s="73"/>
    </row>
    <row r="34" ht="30.0" customHeight="1">
      <c r="B34" s="464">
        <v>6.0</v>
      </c>
      <c r="C34" s="465" t="s">
        <v>119</v>
      </c>
      <c r="D34" s="466"/>
      <c r="E34" s="466"/>
      <c r="F34" s="459"/>
      <c r="G34" s="459"/>
      <c r="H34" s="459"/>
      <c r="I34" s="460"/>
      <c r="J34" s="72" t="s">
        <v>25</v>
      </c>
      <c r="K34" s="462">
        <f>IF(J34="YES",IF(J12="2010-2013",H35*$J$11,IF(J12="2014-2021",G35*$J$11,IF(J12="2021-2023",F35*$J$11,0))),0)</f>
        <v>1312.9984</v>
      </c>
      <c r="L34" s="463"/>
      <c r="M34" s="463"/>
      <c r="N34" s="463"/>
      <c r="O34" s="207" t="s">
        <v>82</v>
      </c>
      <c r="P34" s="73">
        <f>IF(O34="Delapidated",K34*0.6,IF(O34="Poor",K34*0.7,IF(O34="Fair",K34*0.8,IF(O34="Good",K34*0.85,IF(O34="Very Good",K34*0.9,IF(O34="Excellent",K34*1,IF(O34="Not Applicable",K34*1,0)))))))</f>
        <v>1181.69856</v>
      </c>
    </row>
    <row r="35" ht="30.0" customHeight="1">
      <c r="B35" s="84"/>
      <c r="C35" s="468" t="s">
        <v>25</v>
      </c>
      <c r="D35" s="469"/>
      <c r="E35" s="469"/>
      <c r="F35" s="459">
        <f>320*8.62%*E16</f>
        <v>32.82496</v>
      </c>
      <c r="G35" s="459">
        <f t="shared" ref="G35:G36" si="8">F35/$G$16</f>
        <v>26.259968</v>
      </c>
      <c r="H35" s="459">
        <f t="shared" ref="H35:H36" si="9">F35/$H$16</f>
        <v>24.86739394</v>
      </c>
      <c r="I35" s="470">
        <v>1.0</v>
      </c>
      <c r="J35" s="68"/>
      <c r="K35" s="462"/>
      <c r="L35" s="471"/>
      <c r="M35" s="471"/>
      <c r="N35" s="471"/>
      <c r="O35" s="34"/>
      <c r="P35" s="73"/>
    </row>
    <row r="36" ht="30.0" customHeight="1">
      <c r="B36" s="85"/>
      <c r="C36" s="468" t="s">
        <v>26</v>
      </c>
      <c r="D36" s="469"/>
      <c r="E36" s="469"/>
      <c r="F36" s="459">
        <v>0.0</v>
      </c>
      <c r="G36" s="459">
        <f t="shared" si="8"/>
        <v>0</v>
      </c>
      <c r="H36" s="459">
        <f t="shared" si="9"/>
        <v>0</v>
      </c>
      <c r="I36" s="470">
        <v>2.0</v>
      </c>
      <c r="J36" s="68"/>
      <c r="K36" s="462"/>
      <c r="L36" s="471"/>
      <c r="M36" s="471"/>
      <c r="N36" s="471"/>
      <c r="O36" s="34"/>
      <c r="P36" s="73"/>
    </row>
    <row r="37" ht="30.0" customHeight="1">
      <c r="B37" s="464">
        <v>7.0</v>
      </c>
      <c r="C37" s="465" t="s">
        <v>45</v>
      </c>
      <c r="D37" s="466"/>
      <c r="E37" s="466"/>
      <c r="F37" s="459"/>
      <c r="G37" s="459"/>
      <c r="H37" s="459"/>
      <c r="I37" s="460"/>
      <c r="J37" s="72" t="s">
        <v>25</v>
      </c>
      <c r="K37" s="462">
        <f>IF(J37="YES",IF(J12="2010-2013",H38,IF(J12="2014-2021",G38,IF(J12="2021-2023",F38,0))),0)</f>
        <v>7500</v>
      </c>
      <c r="L37" s="463"/>
      <c r="M37" s="463"/>
      <c r="N37" s="463"/>
      <c r="O37" s="207" t="s">
        <v>82</v>
      </c>
      <c r="P37" s="73">
        <f>IF(O37="Delapidated",K37*0.6,IF(O37="Poor",K37*0.7,IF(O37="Fair",K37*0.8,IF(O37="Good",K37*0.85,IF(O37="Very Good",K37*0.9,IF(O37="Excellent",K37*1,IF(O37="Not Applicable",K37*1,0)))))))</f>
        <v>6750</v>
      </c>
    </row>
    <row r="38" ht="30.0" customHeight="1">
      <c r="B38" s="84"/>
      <c r="C38" s="468" t="s">
        <v>25</v>
      </c>
      <c r="D38" s="469"/>
      <c r="E38" s="469"/>
      <c r="F38" s="459">
        <v>7500.0</v>
      </c>
      <c r="G38" s="459">
        <f t="shared" ref="G38:G39" si="10">F38/$G$16</f>
        <v>6000</v>
      </c>
      <c r="H38" s="459">
        <f t="shared" ref="H38:H39" si="11">F38/$H$16</f>
        <v>5681.818182</v>
      </c>
      <c r="I38" s="470">
        <v>1.0</v>
      </c>
      <c r="J38" s="68"/>
      <c r="K38" s="462"/>
      <c r="L38" s="471"/>
      <c r="M38" s="471"/>
      <c r="N38" s="471"/>
      <c r="O38" s="34"/>
      <c r="P38" s="73"/>
    </row>
    <row r="39" ht="30.0" customHeight="1">
      <c r="B39" s="85"/>
      <c r="C39" s="468" t="s">
        <v>26</v>
      </c>
      <c r="D39" s="469"/>
      <c r="E39" s="469"/>
      <c r="F39" s="459">
        <v>0.0</v>
      </c>
      <c r="G39" s="459">
        <f t="shared" si="10"/>
        <v>0</v>
      </c>
      <c r="H39" s="459">
        <f t="shared" si="11"/>
        <v>0</v>
      </c>
      <c r="I39" s="470">
        <v>2.0</v>
      </c>
      <c r="J39" s="68"/>
      <c r="K39" s="462"/>
      <c r="L39" s="471"/>
      <c r="M39" s="471"/>
      <c r="N39" s="471"/>
      <c r="O39" s="34"/>
      <c r="P39" s="73"/>
    </row>
    <row r="40" ht="30.0" customHeight="1">
      <c r="B40" s="472"/>
      <c r="C40" s="214" t="s">
        <v>48</v>
      </c>
      <c r="D40" s="469"/>
      <c r="E40" s="469"/>
      <c r="F40" s="459"/>
      <c r="G40" s="459"/>
      <c r="H40" s="459"/>
      <c r="I40" s="470"/>
      <c r="J40" s="227">
        <v>1.0</v>
      </c>
      <c r="K40" s="34"/>
      <c r="L40" s="34"/>
      <c r="M40" s="34"/>
      <c r="N40" s="34"/>
      <c r="O40" s="34"/>
      <c r="P40" s="34"/>
    </row>
    <row r="41" ht="30.0" customHeight="1">
      <c r="B41" s="464">
        <v>8.0</v>
      </c>
      <c r="C41" s="465" t="s">
        <v>49</v>
      </c>
      <c r="D41" s="466"/>
      <c r="E41" s="466"/>
      <c r="F41" s="459"/>
      <c r="G41" s="459"/>
      <c r="H41" s="459"/>
      <c r="I41" s="460"/>
      <c r="J41" s="72" t="s">
        <v>25</v>
      </c>
      <c r="K41" s="462">
        <f>IF(J41="YES",IF(J12="2010-2013",H42*$J$40,IF(J12="2014-2021",G42*$J$40,IF(J12="2021-2023",F42*$J$40,0))),0)</f>
        <v>2500</v>
      </c>
      <c r="L41" s="463"/>
      <c r="M41" s="463"/>
      <c r="N41" s="463"/>
      <c r="O41" s="207" t="s">
        <v>82</v>
      </c>
      <c r="P41" s="73">
        <f>IF(O41="Delapidated",K41*0.6,IF(O41="Poor",K41*0.7,IF(O41="Fair",K41*0.8,IF(O41="Good",K41*0.85,IF(O41="Very Good",K41*0.9,IF(O41="Excellent",K41*1,IF(O41="Not Applicable",K41*1,0)))))))</f>
        <v>2250</v>
      </c>
    </row>
    <row r="42" ht="30.0" customHeight="1">
      <c r="B42" s="84"/>
      <c r="C42" s="468" t="s">
        <v>25</v>
      </c>
      <c r="D42" s="469"/>
      <c r="E42" s="469"/>
      <c r="F42" s="459">
        <v>2500.0</v>
      </c>
      <c r="G42" s="459">
        <f t="shared" ref="G42:G43" si="12">F42/$G$16</f>
        <v>2000</v>
      </c>
      <c r="H42" s="459">
        <f t="shared" ref="H42:H43" si="13">F42/$H$16</f>
        <v>1893.939394</v>
      </c>
      <c r="I42" s="470">
        <v>1.0</v>
      </c>
      <c r="J42" s="68"/>
      <c r="K42" s="462"/>
      <c r="L42" s="471"/>
      <c r="M42" s="471"/>
      <c r="N42" s="471"/>
      <c r="O42" s="34"/>
      <c r="P42" s="73"/>
    </row>
    <row r="43" ht="30.0" customHeight="1">
      <c r="B43" s="85"/>
      <c r="C43" s="468" t="s">
        <v>26</v>
      </c>
      <c r="D43" s="469"/>
      <c r="E43" s="469"/>
      <c r="F43" s="459">
        <v>0.0</v>
      </c>
      <c r="G43" s="459">
        <f t="shared" si="12"/>
        <v>0</v>
      </c>
      <c r="H43" s="459">
        <f t="shared" si="13"/>
        <v>0</v>
      </c>
      <c r="I43" s="470">
        <v>2.0</v>
      </c>
      <c r="J43" s="68"/>
      <c r="K43" s="462"/>
      <c r="L43" s="471"/>
      <c r="M43" s="471"/>
      <c r="N43" s="471"/>
      <c r="O43" s="34"/>
      <c r="P43" s="73"/>
    </row>
    <row r="44" ht="30.0" customHeight="1">
      <c r="B44" s="464">
        <v>9.0</v>
      </c>
      <c r="C44" s="465" t="s">
        <v>50</v>
      </c>
      <c r="D44" s="466"/>
      <c r="E44" s="466"/>
      <c r="F44" s="459"/>
      <c r="G44" s="459"/>
      <c r="H44" s="459"/>
      <c r="I44" s="460"/>
      <c r="J44" s="72" t="s">
        <v>25</v>
      </c>
      <c r="K44" s="462">
        <f>IF(J44="YES",IF(J12="2010-2013",H45*$J$11,IF(J12="2014-2021",G45*$J$11,IF(J12="2021-2023",F45*$J$11,0))),0)</f>
        <v>8568</v>
      </c>
      <c r="L44" s="463"/>
      <c r="M44" s="463"/>
      <c r="N44" s="463"/>
      <c r="O44" s="207" t="s">
        <v>82</v>
      </c>
      <c r="P44" s="73">
        <f>IF(O44="Delapidated",K44*0.6,IF(O44="Poor",K44*0.7,IF(O44="Fair",K44*0.8,IF(O44="Good",K44*0.85,IF(O44="Very Good",K44*0.9,IF(O44="Excellent",K44*1,IF(O44="Not Applicable",K44*1,0)))))))</f>
        <v>7711.2</v>
      </c>
    </row>
    <row r="45" ht="30.0" customHeight="1">
      <c r="B45" s="84"/>
      <c r="C45" s="468" t="s">
        <v>25</v>
      </c>
      <c r="D45" s="469"/>
      <c r="E45" s="469"/>
      <c r="F45" s="459">
        <f>180*E16</f>
        <v>214.2</v>
      </c>
      <c r="G45" s="459">
        <f t="shared" ref="G45:G46" si="14">F45/$G$16</f>
        <v>171.36</v>
      </c>
      <c r="H45" s="459">
        <f t="shared" ref="H45:H46" si="15">F45/$H$16</f>
        <v>162.2727273</v>
      </c>
      <c r="I45" s="470">
        <v>1.0</v>
      </c>
      <c r="J45" s="68"/>
      <c r="K45" s="462"/>
      <c r="L45" s="471"/>
      <c r="M45" s="471"/>
      <c r="N45" s="471"/>
      <c r="O45" s="34"/>
      <c r="P45" s="73"/>
    </row>
    <row r="46" ht="30.0" customHeight="1">
      <c r="B46" s="85"/>
      <c r="C46" s="468" t="s">
        <v>26</v>
      </c>
      <c r="D46" s="469"/>
      <c r="E46" s="469"/>
      <c r="F46" s="459">
        <v>0.0</v>
      </c>
      <c r="G46" s="459">
        <f t="shared" si="14"/>
        <v>0</v>
      </c>
      <c r="H46" s="459">
        <f t="shared" si="15"/>
        <v>0</v>
      </c>
      <c r="I46" s="470">
        <v>2.0</v>
      </c>
      <c r="J46" s="68"/>
      <c r="K46" s="462"/>
      <c r="L46" s="471"/>
      <c r="M46" s="471"/>
      <c r="N46" s="471"/>
      <c r="O46" s="34"/>
      <c r="P46" s="73"/>
    </row>
    <row r="47" ht="30.0" customHeight="1">
      <c r="B47" s="83">
        <v>10.0</v>
      </c>
      <c r="C47" s="92" t="s">
        <v>51</v>
      </c>
      <c r="D47" s="469"/>
      <c r="E47" s="469"/>
      <c r="F47" s="459"/>
      <c r="G47" s="459"/>
      <c r="H47" s="459"/>
      <c r="I47" s="470"/>
      <c r="J47" s="72" t="s">
        <v>52</v>
      </c>
      <c r="K47" s="462">
        <f>IF(J47="VINYL FLOORING",IF(J12="2010-2013",H48*$J$11,IF(J12="2014-2021",G48*$J$11,IF(J12="2021-2023",F48*$J$11,0))),IF(J47="TILING FLOORING",IF(J12="2010-2013",H49*$J$11,IF(J12="2014-2021",G49*$J$11,IF(J12="2021-2023",F49*$J$11,0))),IF(J47="TIMBER FLOORING",IF(J12="2010-2013",H50*$J$11,IF(J12="2014-2021",G50*$J$11,IF(J12="2021-2023",F50*$J$11,0))),IF(J47="CARPETS FLOORING",IF(J12="2010-2013",H51*$J$11,IF(J12="2014-2021",G51*$J$11,IF(J12="2021-2023",F51*$J$11,0))),0))))</f>
        <v>13899.2</v>
      </c>
      <c r="L47" s="463"/>
      <c r="M47" s="463"/>
      <c r="N47" s="463"/>
      <c r="O47" s="207" t="s">
        <v>82</v>
      </c>
      <c r="P47" s="73">
        <f>IF(O47="Delapidated",K47*0.6,IF(O47="Poor",K47*0.7,IF(O47="Fair",K47*0.8,IF(O47="Good",K47*0.85,IF(O47="Very Good",K47*0.9,IF(O47="Excellent",K47*1,IF(O47="Not Applicable",K47*1,0)))))))</f>
        <v>12509.28</v>
      </c>
    </row>
    <row r="48" ht="30.0" customHeight="1">
      <c r="B48" s="84"/>
      <c r="C48" s="79" t="s">
        <v>53</v>
      </c>
      <c r="D48" s="469"/>
      <c r="E48" s="469"/>
      <c r="F48" s="459">
        <f>F49*0.7</f>
        <v>243.236</v>
      </c>
      <c r="G48" s="459">
        <f t="shared" ref="G48:G52" si="16">F48/$G$16</f>
        <v>194.5888</v>
      </c>
      <c r="H48" s="459">
        <f t="shared" ref="H48:H52" si="17">F48/$H$16</f>
        <v>184.269697</v>
      </c>
      <c r="I48" s="470">
        <v>1.0</v>
      </c>
      <c r="J48" s="68"/>
      <c r="K48" s="462"/>
      <c r="L48" s="471"/>
      <c r="M48" s="471"/>
      <c r="N48" s="471"/>
      <c r="O48" s="34"/>
      <c r="P48" s="73"/>
    </row>
    <row r="49" ht="30.0" customHeight="1">
      <c r="B49" s="84"/>
      <c r="C49" s="79" t="s">
        <v>52</v>
      </c>
      <c r="D49" s="469"/>
      <c r="E49" s="469"/>
      <c r="F49" s="459">
        <f>365*0.8*E16</f>
        <v>347.48</v>
      </c>
      <c r="G49" s="459">
        <f t="shared" si="16"/>
        <v>277.984</v>
      </c>
      <c r="H49" s="459">
        <f t="shared" si="17"/>
        <v>263.2424242</v>
      </c>
      <c r="I49" s="470">
        <v>2.0</v>
      </c>
      <c r="J49" s="68"/>
      <c r="K49" s="462"/>
      <c r="L49" s="471"/>
      <c r="M49" s="471"/>
      <c r="N49" s="471"/>
      <c r="O49" s="34"/>
      <c r="P49" s="73"/>
    </row>
    <row r="50" ht="30.0" customHeight="1">
      <c r="B50" s="84"/>
      <c r="C50" s="79" t="s">
        <v>54</v>
      </c>
      <c r="D50" s="469"/>
      <c r="E50" s="469"/>
      <c r="F50" s="459">
        <f>F49*1.2</f>
        <v>416.976</v>
      </c>
      <c r="G50" s="459">
        <f t="shared" si="16"/>
        <v>333.5808</v>
      </c>
      <c r="H50" s="459">
        <f t="shared" si="17"/>
        <v>315.8909091</v>
      </c>
      <c r="I50" s="470">
        <v>3.0</v>
      </c>
      <c r="J50" s="68"/>
      <c r="K50" s="462"/>
      <c r="L50" s="471"/>
      <c r="M50" s="471"/>
      <c r="N50" s="471"/>
      <c r="O50" s="34"/>
      <c r="P50" s="73"/>
    </row>
    <row r="51" ht="30.0" customHeight="1">
      <c r="B51" s="84"/>
      <c r="C51" s="79" t="s">
        <v>55</v>
      </c>
      <c r="D51" s="469"/>
      <c r="E51" s="469"/>
      <c r="F51" s="459">
        <f>F49*1.3</f>
        <v>451.724</v>
      </c>
      <c r="G51" s="459">
        <f t="shared" si="16"/>
        <v>361.3792</v>
      </c>
      <c r="H51" s="459">
        <f t="shared" si="17"/>
        <v>342.2151515</v>
      </c>
      <c r="I51" s="470">
        <v>4.0</v>
      </c>
      <c r="J51" s="68"/>
      <c r="K51" s="462"/>
      <c r="L51" s="471"/>
      <c r="M51" s="471"/>
      <c r="N51" s="471"/>
      <c r="O51" s="34"/>
      <c r="P51" s="73"/>
    </row>
    <row r="52" ht="30.0" customHeight="1">
      <c r="B52" s="85"/>
      <c r="C52" s="79" t="s">
        <v>56</v>
      </c>
      <c r="D52" s="469"/>
      <c r="E52" s="469"/>
      <c r="F52" s="459">
        <v>0.0</v>
      </c>
      <c r="G52" s="459">
        <f t="shared" si="16"/>
        <v>0</v>
      </c>
      <c r="H52" s="459">
        <f t="shared" si="17"/>
        <v>0</v>
      </c>
      <c r="I52" s="470">
        <v>5.0</v>
      </c>
      <c r="J52" s="68"/>
      <c r="K52" s="462"/>
      <c r="L52" s="471"/>
      <c r="M52" s="471"/>
      <c r="N52" s="471"/>
      <c r="O52" s="34"/>
      <c r="P52" s="73"/>
    </row>
    <row r="53" ht="30.0" customHeight="1">
      <c r="B53" s="464">
        <v>11.0</v>
      </c>
      <c r="C53" s="465" t="s">
        <v>57</v>
      </c>
      <c r="D53" s="466"/>
      <c r="E53" s="466"/>
      <c r="F53" s="459"/>
      <c r="G53" s="459"/>
      <c r="H53" s="459"/>
      <c r="I53" s="460"/>
      <c r="J53" s="72" t="s">
        <v>58</v>
      </c>
      <c r="K53" s="462">
        <f>IF(J53="STEEL WINDOW FRAMES",IF(J12="2010-2013",H54*$J$11,IF(J12="2014-2021",G54*$J$11,IF(J12="2021-2023",F54*$J$11,0))),IF(J53="ALUMINIUM WINDOW FRAMES",IF(J12="2010-2013",H55*$J$11,IF(J12="2014-2021",G55*$J$11,IF(J12="2021-2023",F55*$J$11,0))),0))</f>
        <v>15946</v>
      </c>
      <c r="L53" s="463"/>
      <c r="M53" s="463"/>
      <c r="N53" s="463"/>
      <c r="O53" s="207" t="s">
        <v>82</v>
      </c>
      <c r="P53" s="73">
        <f>IF(O53="Delapidated",K53*0.6,IF(O53="Poor",K53*0.7,IF(O53="Fair",K53*0.8,IF(O53="Good",K53*0.85,IF(O53="Very Good",K53*0.9,IF(O53="Excellent",K53*1,IF(O53="Not Applicable",K53*1,0)))))))</f>
        <v>14351.4</v>
      </c>
    </row>
    <row r="54" ht="30.0" customHeight="1">
      <c r="B54" s="84"/>
      <c r="C54" s="468" t="s">
        <v>59</v>
      </c>
      <c r="D54" s="469"/>
      <c r="E54" s="469"/>
      <c r="F54" s="459">
        <f>F55*0.3</f>
        <v>119.595</v>
      </c>
      <c r="G54" s="459">
        <f t="shared" ref="G54:G56" si="18">F54/$G$16</f>
        <v>95.676</v>
      </c>
      <c r="H54" s="459">
        <f t="shared" ref="H54:H56" si="19">F54/$H$16</f>
        <v>90.60227273</v>
      </c>
      <c r="I54" s="470">
        <v>1.0</v>
      </c>
      <c r="J54" s="68"/>
      <c r="K54" s="462"/>
      <c r="L54" s="471"/>
      <c r="M54" s="471"/>
      <c r="N54" s="471"/>
      <c r="O54" s="34"/>
      <c r="P54" s="73"/>
    </row>
    <row r="55" ht="30.0" customHeight="1">
      <c r="B55" s="84"/>
      <c r="C55" s="468" t="s">
        <v>58</v>
      </c>
      <c r="D55" s="469"/>
      <c r="E55" s="469"/>
      <c r="F55" s="459">
        <f>335*E16</f>
        <v>398.65</v>
      </c>
      <c r="G55" s="459">
        <f t="shared" si="18"/>
        <v>318.92</v>
      </c>
      <c r="H55" s="459">
        <f t="shared" si="19"/>
        <v>302.0075758</v>
      </c>
      <c r="I55" s="470">
        <v>2.0</v>
      </c>
      <c r="J55" s="68"/>
      <c r="K55" s="462"/>
      <c r="L55" s="471"/>
      <c r="M55" s="471"/>
      <c r="N55" s="471"/>
      <c r="O55" s="34"/>
      <c r="P55" s="73"/>
    </row>
    <row r="56" ht="30.0" customHeight="1">
      <c r="B56" s="85"/>
      <c r="C56" s="468" t="s">
        <v>60</v>
      </c>
      <c r="D56" s="469"/>
      <c r="E56" s="469"/>
      <c r="F56" s="459">
        <v>0.0</v>
      </c>
      <c r="G56" s="459">
        <f t="shared" si="18"/>
        <v>0</v>
      </c>
      <c r="H56" s="459">
        <f t="shared" si="19"/>
        <v>0</v>
      </c>
      <c r="I56" s="470">
        <v>3.0</v>
      </c>
      <c r="J56" s="68"/>
      <c r="K56" s="462"/>
      <c r="L56" s="471"/>
      <c r="M56" s="471"/>
      <c r="N56" s="471"/>
      <c r="O56" s="34"/>
      <c r="P56" s="73"/>
    </row>
    <row r="57" ht="30.0" customHeight="1">
      <c r="B57" s="464">
        <f>B53+1</f>
        <v>12</v>
      </c>
      <c r="C57" s="465" t="s">
        <v>61</v>
      </c>
      <c r="D57" s="466"/>
      <c r="E57" s="466"/>
      <c r="F57" s="459"/>
      <c r="G57" s="459"/>
      <c r="H57" s="459"/>
      <c r="I57" s="460"/>
      <c r="J57" s="72" t="s">
        <v>25</v>
      </c>
      <c r="K57" s="462">
        <f>IF(J57="YES",IF(J12="2010-2013",H58*$J$11,IF(J12="2014-2021",G58*$J$11,IF(J12="2021-2023",F58*$J$11,0))),0)</f>
        <v>19992</v>
      </c>
      <c r="L57" s="463"/>
      <c r="M57" s="463"/>
      <c r="N57" s="463"/>
      <c r="O57" s="207" t="s">
        <v>82</v>
      </c>
      <c r="P57" s="73">
        <f>IF(O57="Delapidated",K57*0.6,IF(O57="Poor",K57*0.7,IF(O57="Fair",K57*0.8,IF(O57="Good",K57*0.85,IF(O57="Very Good",K57*0.9,IF(O57="Excellent",K57*1,IF(O57="Not Applicable",K57*1,0)))))))</f>
        <v>17992.8</v>
      </c>
    </row>
    <row r="58" ht="30.0" customHeight="1">
      <c r="B58" s="84"/>
      <c r="C58" s="468" t="s">
        <v>25</v>
      </c>
      <c r="D58" s="469"/>
      <c r="E58" s="469"/>
      <c r="F58" s="459">
        <f>420*E16</f>
        <v>499.8</v>
      </c>
      <c r="G58" s="459">
        <f t="shared" ref="G58:G59" si="20">F58/$G$16</f>
        <v>399.84</v>
      </c>
      <c r="H58" s="459">
        <f t="shared" ref="H58:H59" si="21">F58/$H$16</f>
        <v>378.6363636</v>
      </c>
      <c r="I58" s="470">
        <v>1.0</v>
      </c>
      <c r="J58" s="68"/>
      <c r="K58" s="462"/>
      <c r="L58" s="471"/>
      <c r="M58" s="471"/>
      <c r="N58" s="471"/>
      <c r="O58" s="34"/>
      <c r="P58" s="73"/>
    </row>
    <row r="59" ht="30.0" customHeight="1">
      <c r="B59" s="85"/>
      <c r="C59" s="468" t="s">
        <v>26</v>
      </c>
      <c r="D59" s="469"/>
      <c r="E59" s="469"/>
      <c r="F59" s="459">
        <v>0.0</v>
      </c>
      <c r="G59" s="459">
        <f t="shared" si="20"/>
        <v>0</v>
      </c>
      <c r="H59" s="459">
        <f t="shared" si="21"/>
        <v>0</v>
      </c>
      <c r="I59" s="470">
        <v>2.0</v>
      </c>
      <c r="J59" s="68"/>
      <c r="K59" s="462"/>
      <c r="L59" s="471"/>
      <c r="M59" s="471"/>
      <c r="N59" s="471"/>
      <c r="O59" s="34"/>
      <c r="P59" s="73"/>
    </row>
    <row r="60" ht="30.0" customHeight="1">
      <c r="B60" s="464">
        <f>B57+1</f>
        <v>13</v>
      </c>
      <c r="C60" s="208" t="s">
        <v>62</v>
      </c>
      <c r="D60" s="466"/>
      <c r="E60" s="466"/>
      <c r="F60" s="459"/>
      <c r="G60" s="459"/>
      <c r="H60" s="459"/>
      <c r="I60" s="460"/>
      <c r="J60" s="72" t="s">
        <v>25</v>
      </c>
      <c r="K60" s="462">
        <f>IF(J60="YES",IF(J12="2010-2013",H61*$J$11,IF(J12="2014-2021",G61*$J$11,IF(J12="2021-2023",F61*$J$11,0))),0)</f>
        <v>3474.8</v>
      </c>
      <c r="L60" s="463"/>
      <c r="M60" s="463"/>
      <c r="N60" s="463"/>
      <c r="O60" s="207" t="s">
        <v>82</v>
      </c>
      <c r="P60" s="73">
        <f>IF(O60="Delapidated",K60*0.6,IF(O60="Poor",K60*0.7,IF(O60="Fair",K60*0.8,IF(O60="Good",K60*0.85,IF(O60="Very Good",K60*0.9,IF(O60="Excellent",K60*1,IF(O60="Not Applicable",K60*1,0)))))))</f>
        <v>3127.32</v>
      </c>
    </row>
    <row r="61" ht="30.0" customHeight="1">
      <c r="B61" s="84"/>
      <c r="C61" s="468" t="s">
        <v>25</v>
      </c>
      <c r="D61" s="469"/>
      <c r="E61" s="469"/>
      <c r="F61" s="459">
        <f>365*0.2*E16</f>
        <v>86.87</v>
      </c>
      <c r="G61" s="459">
        <f t="shared" ref="G61:G62" si="22">F61/$G$16</f>
        <v>69.496</v>
      </c>
      <c r="H61" s="459">
        <f t="shared" ref="H61:H62" si="23">F61/$H$16</f>
        <v>65.81060606</v>
      </c>
      <c r="I61" s="470">
        <v>1.0</v>
      </c>
      <c r="J61" s="68"/>
      <c r="K61" s="462"/>
      <c r="L61" s="471"/>
      <c r="M61" s="471"/>
      <c r="N61" s="471"/>
      <c r="O61" s="34"/>
      <c r="P61" s="73"/>
    </row>
    <row r="62" ht="30.0" customHeight="1">
      <c r="B62" s="85"/>
      <c r="C62" s="468" t="s">
        <v>26</v>
      </c>
      <c r="D62" s="469"/>
      <c r="E62" s="469"/>
      <c r="F62" s="459">
        <v>0.0</v>
      </c>
      <c r="G62" s="459">
        <f t="shared" si="22"/>
        <v>0</v>
      </c>
      <c r="H62" s="459">
        <f t="shared" si="23"/>
        <v>0</v>
      </c>
      <c r="I62" s="470">
        <v>2.0</v>
      </c>
      <c r="J62" s="68"/>
      <c r="K62" s="462"/>
      <c r="L62" s="471"/>
      <c r="M62" s="471"/>
      <c r="N62" s="471"/>
      <c r="O62" s="34"/>
      <c r="P62" s="73"/>
    </row>
    <row r="63" ht="30.0" customHeight="1">
      <c r="B63" s="472"/>
      <c r="C63" s="214" t="s">
        <v>63</v>
      </c>
      <c r="D63" s="469"/>
      <c r="E63" s="469"/>
      <c r="F63" s="459"/>
      <c r="G63" s="459"/>
      <c r="H63" s="459"/>
      <c r="I63" s="470"/>
      <c r="J63" s="227">
        <v>1.0</v>
      </c>
      <c r="K63" s="34"/>
      <c r="L63" s="34"/>
      <c r="M63" s="34"/>
      <c r="N63" s="34"/>
      <c r="O63" s="34"/>
      <c r="P63" s="34"/>
    </row>
    <row r="64" ht="30.0" customHeight="1">
      <c r="B64" s="464">
        <f>B60+1</f>
        <v>14</v>
      </c>
      <c r="C64" s="465" t="s">
        <v>93</v>
      </c>
      <c r="D64" s="466"/>
      <c r="E64" s="466"/>
      <c r="F64" s="459"/>
      <c r="G64" s="459"/>
      <c r="H64" s="459"/>
      <c r="I64" s="460"/>
      <c r="J64" s="72" t="s">
        <v>25</v>
      </c>
      <c r="K64" s="462">
        <f>IF(J64="YES",IF(J12="2010-2013",H65*$J$63,IF(J12="2014-2021",G65*$J$63,IF(J12="2021-2023",F65*$J$63,0))),0)</f>
        <v>15000</v>
      </c>
      <c r="L64" s="463"/>
      <c r="M64" s="463"/>
      <c r="N64" s="463"/>
      <c r="O64" s="207" t="s">
        <v>82</v>
      </c>
      <c r="P64" s="73">
        <f>IF(O64="Delapidated",K64*0.6,IF(O64="Poor",K64*0.7,IF(O64="Fair",K64*0.8,IF(O64="Good",K64*0.85,IF(O64="Very Good",K64*0.9,IF(O64="Excellent",K64*1,IF(O64="Not Applicable",K64*1,0)))))))</f>
        <v>13500</v>
      </c>
    </row>
    <row r="65" ht="30.0" customHeight="1">
      <c r="B65" s="84"/>
      <c r="C65" s="468" t="s">
        <v>25</v>
      </c>
      <c r="D65" s="469"/>
      <c r="E65" s="469"/>
      <c r="F65" s="459">
        <v>15000.0</v>
      </c>
      <c r="G65" s="459">
        <f t="shared" ref="G65:G66" si="24">F65/$G$16</f>
        <v>12000</v>
      </c>
      <c r="H65" s="459">
        <f t="shared" ref="H65:H66" si="25">F65/$H$16</f>
        <v>11363.63636</v>
      </c>
      <c r="I65" s="470">
        <v>1.0</v>
      </c>
      <c r="J65" s="68"/>
      <c r="K65" s="462"/>
      <c r="L65" s="471"/>
      <c r="M65" s="471"/>
      <c r="N65" s="471"/>
      <c r="O65" s="34"/>
      <c r="P65" s="73"/>
    </row>
    <row r="66" ht="30.0" customHeight="1">
      <c r="B66" s="85"/>
      <c r="C66" s="468" t="s">
        <v>26</v>
      </c>
      <c r="D66" s="469"/>
      <c r="E66" s="469"/>
      <c r="F66" s="459">
        <v>0.0</v>
      </c>
      <c r="G66" s="459">
        <f t="shared" si="24"/>
        <v>0</v>
      </c>
      <c r="H66" s="459">
        <f t="shared" si="25"/>
        <v>0</v>
      </c>
      <c r="I66" s="470">
        <v>2.0</v>
      </c>
      <c r="J66" s="68"/>
      <c r="K66" s="473"/>
      <c r="L66" s="474"/>
      <c r="M66" s="474"/>
      <c r="N66" s="474"/>
      <c r="O66" s="34"/>
      <c r="P66" s="73"/>
    </row>
    <row r="67" ht="30.0" customHeight="1">
      <c r="B67" s="464">
        <f>B64+1</f>
        <v>15</v>
      </c>
      <c r="C67" s="465" t="s">
        <v>65</v>
      </c>
      <c r="D67" s="466"/>
      <c r="E67" s="466"/>
      <c r="F67" s="467"/>
      <c r="G67" s="459"/>
      <c r="H67" s="459"/>
      <c r="I67" s="460"/>
      <c r="J67" s="72" t="s">
        <v>25</v>
      </c>
      <c r="K67" s="462">
        <f>IF(J67="YES",IF(J12="2010-2013",H68*$J$11,IF(J12="2014-2021",G68*$J$11,IF(J12="2021-2023",F68*$J$11,0))),0)</f>
        <v>10472</v>
      </c>
      <c r="L67" s="463"/>
      <c r="M67" s="463"/>
      <c r="N67" s="463"/>
      <c r="O67" s="207" t="s">
        <v>82</v>
      </c>
      <c r="P67" s="73">
        <f>IF(O67="Delapidated",K67*0.6,IF(O67="Poor",K67*0.7,IF(O67="Fair",K67*0.8,IF(O67="Good",K67*0.85,IF(O67="Very Good",K67*0.9,IF(O67="Excellent",K67*1,IF(O67="Not Applicable",K67*1,0)))))))</f>
        <v>9424.8</v>
      </c>
    </row>
    <row r="68" ht="30.0" customHeight="1">
      <c r="B68" s="84"/>
      <c r="C68" s="468" t="s">
        <v>25</v>
      </c>
      <c r="D68" s="469"/>
      <c r="E68" s="469"/>
      <c r="F68" s="459">
        <f>220*E16</f>
        <v>261.8</v>
      </c>
      <c r="G68" s="459">
        <f t="shared" ref="G68:G69" si="26">F68/$G$16</f>
        <v>209.44</v>
      </c>
      <c r="H68" s="459">
        <f t="shared" ref="H68:H69" si="27">F68/$H$16</f>
        <v>198.3333333</v>
      </c>
      <c r="I68" s="470">
        <v>1.0</v>
      </c>
      <c r="J68" s="68"/>
      <c r="K68" s="462"/>
      <c r="L68" s="471"/>
      <c r="M68" s="471"/>
      <c r="N68" s="471"/>
      <c r="O68" s="34"/>
      <c r="P68" s="73"/>
    </row>
    <row r="69" ht="30.0" customHeight="1">
      <c r="B69" s="85"/>
      <c r="C69" s="468" t="s">
        <v>26</v>
      </c>
      <c r="D69" s="469"/>
      <c r="E69" s="469"/>
      <c r="F69" s="459">
        <v>0.0</v>
      </c>
      <c r="G69" s="459">
        <f t="shared" si="26"/>
        <v>0</v>
      </c>
      <c r="H69" s="459">
        <f t="shared" si="27"/>
        <v>0</v>
      </c>
      <c r="I69" s="470">
        <v>2.0</v>
      </c>
      <c r="J69" s="68"/>
      <c r="K69" s="462"/>
      <c r="L69" s="471"/>
      <c r="M69" s="471"/>
      <c r="N69" s="471"/>
      <c r="O69" s="34"/>
      <c r="P69" s="73"/>
    </row>
    <row r="70" ht="30.0" customHeight="1">
      <c r="B70" s="464">
        <f>B67+1</f>
        <v>16</v>
      </c>
      <c r="C70" s="465" t="s">
        <v>94</v>
      </c>
      <c r="D70" s="466"/>
      <c r="E70" s="466"/>
      <c r="F70" s="459"/>
      <c r="G70" s="459"/>
      <c r="H70" s="459"/>
      <c r="I70" s="460"/>
      <c r="J70" s="72" t="s">
        <v>25</v>
      </c>
      <c r="K70" s="462">
        <f>IF(J70="YES",IF(J12="2010-2013",H71*$J$11,IF(J12="2014-2021",G71*$J$11,IF(J12="2021-2023",F71*$J$11,0))),0)</f>
        <v>6664</v>
      </c>
      <c r="L70" s="463"/>
      <c r="M70" s="463"/>
      <c r="N70" s="463"/>
      <c r="O70" s="207" t="s">
        <v>82</v>
      </c>
      <c r="P70" s="73">
        <f>IF(O70="Delapidated",K70*0.6,IF(O70="Poor",K70*0.7,IF(O70="Fair",K70*0.8,IF(O70="Good",K70*0.85,IF(O70="Very Good",K70*0.9,IF(O70="Excellent",K70*1,IF(O70="Not Applicable",K70*1,0)))))))</f>
        <v>5997.6</v>
      </c>
    </row>
    <row r="71" ht="30.0" customHeight="1">
      <c r="B71" s="84"/>
      <c r="C71" s="468" t="s">
        <v>25</v>
      </c>
      <c r="D71" s="469"/>
      <c r="E71" s="469"/>
      <c r="F71" s="459">
        <f>140*E16</f>
        <v>166.6</v>
      </c>
      <c r="G71" s="459">
        <f t="shared" ref="G71:G72" si="28">F71/$G$16</f>
        <v>133.28</v>
      </c>
      <c r="H71" s="459">
        <f t="shared" ref="H71:H72" si="29">F71/$H$16</f>
        <v>126.2121212</v>
      </c>
      <c r="I71" s="470">
        <v>1.0</v>
      </c>
      <c r="J71" s="68"/>
      <c r="K71" s="462"/>
      <c r="L71" s="471"/>
      <c r="M71" s="471"/>
      <c r="N71" s="471"/>
      <c r="O71" s="34"/>
      <c r="P71" s="73"/>
    </row>
    <row r="72" ht="30.0" customHeight="1">
      <c r="B72" s="85"/>
      <c r="C72" s="468" t="s">
        <v>26</v>
      </c>
      <c r="D72" s="469"/>
      <c r="E72" s="469"/>
      <c r="F72" s="459">
        <v>0.0</v>
      </c>
      <c r="G72" s="459">
        <f t="shared" si="28"/>
        <v>0</v>
      </c>
      <c r="H72" s="459">
        <f t="shared" si="29"/>
        <v>0</v>
      </c>
      <c r="I72" s="470">
        <v>2.0</v>
      </c>
      <c r="J72" s="68"/>
      <c r="K72" s="462"/>
      <c r="L72" s="471"/>
      <c r="M72" s="471"/>
      <c r="N72" s="471"/>
      <c r="O72" s="34"/>
      <c r="P72" s="73"/>
    </row>
    <row r="73" ht="30.0" customHeight="1">
      <c r="B73" s="472"/>
      <c r="C73" s="214" t="s">
        <v>89</v>
      </c>
      <c r="D73" s="469"/>
      <c r="E73" s="469"/>
      <c r="F73" s="459"/>
      <c r="G73" s="459">
        <v>0.0</v>
      </c>
      <c r="H73" s="459"/>
      <c r="I73" s="470"/>
      <c r="J73" s="227">
        <v>0.0</v>
      </c>
      <c r="K73" s="34"/>
      <c r="L73" s="34"/>
      <c r="M73" s="34"/>
      <c r="N73" s="34"/>
      <c r="O73" s="34"/>
      <c r="P73" s="34"/>
    </row>
    <row r="74" ht="30.0" customHeight="1">
      <c r="B74" s="464">
        <f>B70+1</f>
        <v>17</v>
      </c>
      <c r="C74" s="465" t="s">
        <v>68</v>
      </c>
      <c r="D74" s="466"/>
      <c r="E74" s="466"/>
      <c r="F74" s="459"/>
      <c r="G74" s="459"/>
      <c r="H74" s="459"/>
      <c r="I74" s="460"/>
      <c r="J74" s="72" t="s">
        <v>25</v>
      </c>
      <c r="K74" s="462">
        <f>IF(J74="YES",IF(J12="2010-2013",H75*J73,IF(J12="2014-2021",G75*J73,IF(J12="2021-2023",F75*J73,0))),0)</f>
        <v>0</v>
      </c>
      <c r="L74" s="463"/>
      <c r="M74" s="463"/>
      <c r="N74" s="463"/>
      <c r="O74" s="207" t="s">
        <v>82</v>
      </c>
      <c r="P74" s="73">
        <f>IF(O74="Delapidated",K74*0.6,IF(O74="Poor",K74*0.7,IF(O74="Fair",K74*0.8,IF(O74="Good",K74*0.85,IF(O74="Very Good",K74*0.9,IF(O74="Excellent",K74*1,IF(O74="Not Applicable",K74*1,0)))))))</f>
        <v>0</v>
      </c>
    </row>
    <row r="75" ht="30.0" customHeight="1">
      <c r="B75" s="84"/>
      <c r="C75" s="468" t="s">
        <v>25</v>
      </c>
      <c r="D75" s="469"/>
      <c r="E75" s="469"/>
      <c r="F75" s="467">
        <v>7000.0</v>
      </c>
      <c r="G75" s="459">
        <f t="shared" ref="G75:G80" si="30">F75/$G$16</f>
        <v>5600</v>
      </c>
      <c r="H75" s="459">
        <f t="shared" ref="H75:H80" si="31">F75/$H$16</f>
        <v>5303.030303</v>
      </c>
      <c r="I75" s="470">
        <v>1.0</v>
      </c>
      <c r="J75" s="322"/>
      <c r="K75" s="462"/>
      <c r="L75" s="471"/>
      <c r="M75" s="471"/>
      <c r="N75" s="471"/>
      <c r="O75" s="34"/>
      <c r="P75" s="73"/>
    </row>
    <row r="76" ht="30.0" customHeight="1">
      <c r="B76" s="85"/>
      <c r="C76" s="468" t="s">
        <v>26</v>
      </c>
      <c r="D76" s="469"/>
      <c r="E76" s="469"/>
      <c r="F76" s="475">
        <v>0.0</v>
      </c>
      <c r="G76" s="459">
        <f t="shared" si="30"/>
        <v>0</v>
      </c>
      <c r="H76" s="459">
        <f t="shared" si="31"/>
        <v>0</v>
      </c>
      <c r="I76" s="470">
        <v>2.0</v>
      </c>
      <c r="J76" s="322"/>
      <c r="K76" s="476"/>
      <c r="L76" s="477"/>
      <c r="M76" s="477"/>
      <c r="N76" s="477"/>
      <c r="O76" s="17"/>
      <c r="P76" s="99"/>
    </row>
    <row r="77" ht="30.0" customHeight="1">
      <c r="A77" s="386"/>
      <c r="B77" s="193"/>
      <c r="C77" s="220"/>
      <c r="D77" s="469"/>
      <c r="E77" s="469"/>
      <c r="F77" s="478"/>
      <c r="G77" s="459">
        <f t="shared" si="30"/>
        <v>0</v>
      </c>
      <c r="H77" s="459">
        <f t="shared" si="31"/>
        <v>0</v>
      </c>
      <c r="I77" s="479"/>
      <c r="J77" s="480"/>
      <c r="K77" s="481"/>
      <c r="L77" s="482"/>
      <c r="M77" s="482"/>
      <c r="N77" s="482"/>
      <c r="O77" s="250"/>
      <c r="P77" s="197"/>
      <c r="Q77" s="386"/>
      <c r="R77" s="386"/>
      <c r="S77" s="386"/>
      <c r="T77" s="386"/>
      <c r="U77" s="386"/>
      <c r="V77" s="386"/>
      <c r="W77" s="386"/>
      <c r="X77" s="386"/>
      <c r="Y77" s="386"/>
      <c r="Z77" s="386"/>
      <c r="AA77" s="386"/>
      <c r="AB77" s="386"/>
      <c r="AC77" s="386"/>
    </row>
    <row r="78" ht="30.0" customHeight="1">
      <c r="B78" s="219"/>
      <c r="C78" s="483" t="s">
        <v>69</v>
      </c>
      <c r="D78" s="469"/>
      <c r="E78" s="469"/>
      <c r="F78" s="484"/>
      <c r="G78" s="459">
        <f t="shared" si="30"/>
        <v>0</v>
      </c>
      <c r="H78" s="459">
        <f t="shared" si="31"/>
        <v>0</v>
      </c>
      <c r="I78" s="485"/>
      <c r="J78" s="227">
        <v>0.0</v>
      </c>
      <c r="K78" s="486"/>
      <c r="L78" s="487"/>
      <c r="M78" s="487"/>
      <c r="N78" s="487"/>
      <c r="O78" s="193"/>
      <c r="P78" s="197"/>
    </row>
    <row r="79" ht="30.0" customHeight="1">
      <c r="B79" s="44">
        <f>B74+1</f>
        <v>18</v>
      </c>
      <c r="C79" s="74" t="s">
        <v>70</v>
      </c>
      <c r="D79" s="469"/>
      <c r="E79" s="469"/>
      <c r="F79" s="484"/>
      <c r="G79" s="459">
        <f t="shared" si="30"/>
        <v>0</v>
      </c>
      <c r="H79" s="459">
        <f t="shared" si="31"/>
        <v>0</v>
      </c>
      <c r="I79" s="470"/>
      <c r="J79" s="229" t="s">
        <v>25</v>
      </c>
      <c r="K79" s="476">
        <f>IF(J79="YES",IF(J12="2010-2013",H80*J78,IF(J12="2014-2021",G80*J78,IF(J12="2021-2023",F80*J78,0))),0)</f>
        <v>0</v>
      </c>
      <c r="L79" s="488"/>
      <c r="M79" s="488"/>
      <c r="N79" s="488"/>
      <c r="O79" s="207" t="s">
        <v>82</v>
      </c>
      <c r="P79" s="99">
        <f>IF(O79="Delapidated",K79*0.6,IF(O79="Poor",K79*0.7,IF(O79="Fair",K79*0.8,IF(O79="Good",K79*0.85,IF(O79="Very Good",K79*0.9,IF(O79="Excellent",K79*1,IF(O79="Not Applicable",K79*1,0)))))))</f>
        <v>0</v>
      </c>
    </row>
    <row r="80" ht="30.0" customHeight="1">
      <c r="B80" s="219"/>
      <c r="C80" s="79" t="s">
        <v>25</v>
      </c>
      <c r="D80" s="469"/>
      <c r="E80" s="469"/>
      <c r="F80" s="484">
        <f>2900*E16</f>
        <v>3451</v>
      </c>
      <c r="G80" s="459">
        <f t="shared" si="30"/>
        <v>2760.8</v>
      </c>
      <c r="H80" s="459">
        <f t="shared" si="31"/>
        <v>2614.393939</v>
      </c>
      <c r="I80" s="470">
        <v>1.0</v>
      </c>
      <c r="J80" s="489"/>
      <c r="K80" s="490"/>
      <c r="L80" s="491"/>
      <c r="M80" s="491"/>
      <c r="N80" s="491"/>
      <c r="O80" s="17"/>
      <c r="P80" s="234"/>
    </row>
    <row r="81" ht="30.0" customHeight="1">
      <c r="B81" s="219"/>
      <c r="C81" s="79" t="s">
        <v>26</v>
      </c>
      <c r="D81" s="492"/>
      <c r="E81" s="492"/>
      <c r="F81" s="484"/>
      <c r="G81" s="484"/>
      <c r="H81" s="484"/>
      <c r="I81" s="470">
        <v>2.0</v>
      </c>
      <c r="J81" s="493"/>
      <c r="K81" s="490"/>
      <c r="L81" s="491"/>
      <c r="M81" s="491"/>
      <c r="N81" s="491"/>
      <c r="O81" s="17"/>
      <c r="P81" s="234"/>
    </row>
    <row r="82" ht="30.0" customHeight="1">
      <c r="B82" s="494"/>
      <c r="C82" s="495" t="s">
        <v>71</v>
      </c>
      <c r="D82" s="495"/>
      <c r="E82" s="495"/>
      <c r="F82" s="493"/>
      <c r="G82" s="493"/>
      <c r="H82" s="493"/>
      <c r="I82" s="496"/>
      <c r="J82" s="465"/>
      <c r="K82" s="497"/>
      <c r="L82" s="498"/>
      <c r="M82" s="498"/>
      <c r="N82" s="498"/>
      <c r="O82" s="17"/>
      <c r="P82" s="234"/>
    </row>
    <row r="83" ht="30.0" customHeight="1">
      <c r="B83" s="494"/>
      <c r="C83" s="499" t="s">
        <v>72</v>
      </c>
      <c r="D83" s="499"/>
      <c r="E83" s="499"/>
      <c r="F83" s="500"/>
      <c r="G83" s="500"/>
      <c r="H83" s="500"/>
      <c r="I83" s="501"/>
      <c r="J83" s="500"/>
      <c r="K83" s="502"/>
      <c r="L83" s="503"/>
      <c r="M83" s="503"/>
      <c r="N83" s="503"/>
      <c r="O83" s="34"/>
      <c r="P83" s="233"/>
    </row>
    <row r="84" ht="30.0" customHeight="1">
      <c r="B84" s="494"/>
      <c r="C84" s="504"/>
      <c r="D84" s="504"/>
      <c r="E84" s="504"/>
      <c r="F84" s="505"/>
      <c r="G84" s="505"/>
      <c r="H84" s="505"/>
      <c r="I84" s="506"/>
      <c r="J84" s="505"/>
      <c r="K84" s="507"/>
      <c r="L84" s="508"/>
      <c r="M84" s="508"/>
      <c r="N84" s="508"/>
      <c r="O84" s="17"/>
      <c r="P84" s="234"/>
    </row>
    <row r="85" ht="30.0" customHeight="1">
      <c r="B85" s="494"/>
      <c r="C85" s="495" t="s">
        <v>71</v>
      </c>
      <c r="D85" s="495"/>
      <c r="E85" s="495"/>
      <c r="F85" s="493"/>
      <c r="G85" s="493"/>
      <c r="H85" s="493"/>
      <c r="I85" s="509"/>
      <c r="J85" s="493"/>
      <c r="K85" s="497"/>
      <c r="L85" s="498"/>
      <c r="M85" s="498"/>
      <c r="N85" s="498"/>
      <c r="O85" s="17"/>
      <c r="P85" s="234"/>
    </row>
    <row r="86" ht="30.0" customHeight="1">
      <c r="B86" s="510"/>
      <c r="C86" s="511" t="s">
        <v>73</v>
      </c>
      <c r="D86" s="512"/>
      <c r="E86" s="512"/>
      <c r="F86" s="513"/>
      <c r="G86" s="513"/>
      <c r="H86" s="513"/>
      <c r="I86" s="514"/>
      <c r="J86" s="515"/>
      <c r="K86" s="516"/>
      <c r="L86" s="517"/>
      <c r="M86" s="517"/>
      <c r="N86" s="517"/>
      <c r="O86" s="17"/>
      <c r="P86" s="324"/>
    </row>
    <row r="87" ht="30.0" customHeight="1">
      <c r="A87" s="386"/>
      <c r="B87" s="518"/>
      <c r="C87" s="519"/>
      <c r="D87" s="520"/>
      <c r="E87" s="520"/>
      <c r="F87" s="514"/>
      <c r="G87" s="514"/>
      <c r="H87" s="514"/>
      <c r="I87" s="521"/>
      <c r="J87" s="522"/>
      <c r="K87" s="523"/>
      <c r="L87" s="523"/>
      <c r="M87" s="523"/>
      <c r="N87" s="523"/>
      <c r="O87" s="250"/>
      <c r="P87" s="326"/>
      <c r="Q87" s="386"/>
      <c r="R87" s="386"/>
      <c r="S87" s="386"/>
      <c r="T87" s="386"/>
      <c r="U87" s="386"/>
      <c r="V87" s="386"/>
      <c r="W87" s="386"/>
      <c r="X87" s="386"/>
      <c r="Y87" s="386"/>
      <c r="Z87" s="386"/>
      <c r="AA87" s="386"/>
      <c r="AB87" s="386"/>
      <c r="AC87" s="386"/>
    </row>
    <row r="88" ht="30.0" customHeight="1">
      <c r="B88" s="524"/>
      <c r="C88" s="17"/>
      <c r="D88" s="525"/>
      <c r="E88" s="525"/>
      <c r="F88" s="526"/>
      <c r="G88" s="526"/>
      <c r="H88" s="526"/>
      <c r="I88" s="521"/>
      <c r="J88" s="144" t="s">
        <v>74</v>
      </c>
      <c r="K88" s="527">
        <f>SUM(K17:K83)</f>
        <v>192103.7984</v>
      </c>
      <c r="L88" s="528"/>
      <c r="M88" s="528"/>
      <c r="N88" s="528"/>
      <c r="O88" s="17"/>
      <c r="P88" s="266">
        <f>SUM(P17:P79)</f>
        <v>181199.6186</v>
      </c>
    </row>
    <row r="89" ht="30.0" customHeight="1">
      <c r="B89" s="529"/>
      <c r="C89" s="529"/>
      <c r="D89" s="530"/>
      <c r="E89" s="530"/>
      <c r="F89" s="531"/>
      <c r="G89" s="531"/>
      <c r="H89" s="531"/>
      <c r="I89" s="532"/>
      <c r="J89" s="144" t="s">
        <v>75</v>
      </c>
      <c r="K89" s="527">
        <f>K88/J11</f>
        <v>4802.59496</v>
      </c>
      <c r="L89" s="528"/>
      <c r="M89" s="528"/>
      <c r="N89" s="528"/>
      <c r="O89" s="17"/>
      <c r="P89" s="266">
        <f>P88/J11</f>
        <v>4529.990464</v>
      </c>
    </row>
    <row r="90" ht="12.0" customHeight="1">
      <c r="K90" s="151"/>
      <c r="L90" s="151"/>
      <c r="M90" s="151"/>
      <c r="N90" s="151"/>
      <c r="P90" s="151"/>
    </row>
    <row r="91" ht="12.0" customHeight="1">
      <c r="J91" s="144" t="s">
        <v>76</v>
      </c>
      <c r="K91" s="150">
        <f>K88/1.14</f>
        <v>168512.1039</v>
      </c>
      <c r="L91" s="533"/>
      <c r="M91" s="533"/>
      <c r="N91" s="533"/>
      <c r="P91" s="150">
        <f>P88/1.14</f>
        <v>158947.0338</v>
      </c>
    </row>
    <row r="92" ht="12.0" customHeight="1">
      <c r="J92" s="144" t="s">
        <v>77</v>
      </c>
      <c r="K92" s="150">
        <f>K91/J11</f>
        <v>4212.802596</v>
      </c>
      <c r="L92" s="533"/>
      <c r="M92" s="533"/>
      <c r="N92" s="533"/>
      <c r="P92" s="150">
        <f>P91/J11</f>
        <v>3973.675846</v>
      </c>
    </row>
    <row r="93" ht="12.0" customHeight="1">
      <c r="K93" s="151"/>
      <c r="L93" s="151"/>
      <c r="M93" s="151"/>
      <c r="N93" s="151"/>
      <c r="P93" s="151"/>
    </row>
    <row r="94" ht="12.0" customHeight="1">
      <c r="K94" s="151"/>
      <c r="L94" s="151"/>
      <c r="M94" s="151"/>
      <c r="N94" s="151"/>
      <c r="P94" s="151"/>
    </row>
    <row r="95" ht="12.0" customHeight="1">
      <c r="K95" s="151"/>
      <c r="L95" s="151"/>
      <c r="M95" s="151"/>
      <c r="N95" s="151"/>
      <c r="P95" s="151"/>
    </row>
    <row r="96" ht="12.0" customHeight="1">
      <c r="K96" s="151"/>
      <c r="L96" s="151"/>
      <c r="M96" s="151"/>
      <c r="N96" s="151"/>
      <c r="P96" s="151"/>
    </row>
    <row r="97" ht="12.0" customHeight="1">
      <c r="K97" s="151"/>
      <c r="L97" s="151"/>
      <c r="M97" s="151"/>
      <c r="N97" s="151"/>
      <c r="P97" s="151"/>
    </row>
    <row r="98" ht="12.0" customHeight="1">
      <c r="K98" s="151"/>
      <c r="L98" s="151"/>
      <c r="M98" s="151"/>
      <c r="N98" s="151"/>
      <c r="P98" s="151"/>
    </row>
    <row r="99" ht="12.0" customHeight="1">
      <c r="K99" s="151"/>
      <c r="L99" s="151"/>
      <c r="M99" s="151"/>
      <c r="N99" s="151"/>
      <c r="P99" s="151"/>
    </row>
    <row r="100" ht="12.0" customHeight="1">
      <c r="K100" s="151"/>
      <c r="L100" s="151"/>
      <c r="M100" s="151"/>
      <c r="N100" s="151"/>
      <c r="P100" s="151"/>
    </row>
    <row r="101" ht="12.0" customHeight="1">
      <c r="K101" s="151"/>
      <c r="L101" s="151"/>
      <c r="M101" s="151"/>
      <c r="N101" s="151"/>
      <c r="P101" s="151"/>
    </row>
    <row r="102" ht="12.0" customHeight="1">
      <c r="K102" s="151"/>
      <c r="L102" s="151"/>
      <c r="M102" s="151"/>
      <c r="N102" s="151"/>
      <c r="P102" s="151"/>
    </row>
    <row r="103" ht="12.0" customHeight="1">
      <c r="K103" s="151"/>
      <c r="L103" s="151"/>
      <c r="M103" s="151"/>
      <c r="N103" s="151"/>
      <c r="P103" s="151"/>
    </row>
    <row r="104" ht="12.0" customHeight="1">
      <c r="K104" s="151"/>
      <c r="L104" s="151"/>
      <c r="M104" s="151"/>
      <c r="N104" s="151"/>
      <c r="P104" s="151"/>
    </row>
    <row r="105" ht="12.0" customHeight="1">
      <c r="K105" s="151"/>
      <c r="L105" s="151"/>
      <c r="M105" s="151"/>
      <c r="N105" s="151"/>
      <c r="P105" s="151"/>
    </row>
    <row r="106" ht="12.0" customHeight="1">
      <c r="K106" s="151"/>
      <c r="L106" s="151"/>
      <c r="M106" s="151"/>
      <c r="N106" s="151"/>
      <c r="P106" s="151"/>
    </row>
    <row r="107" ht="12.0" customHeight="1">
      <c r="K107" s="151"/>
      <c r="L107" s="151"/>
      <c r="M107" s="151"/>
      <c r="N107" s="151"/>
      <c r="P107" s="151"/>
    </row>
    <row r="108" ht="12.0" customHeight="1">
      <c r="K108" s="151"/>
      <c r="L108" s="151"/>
      <c r="M108" s="151"/>
      <c r="N108" s="151"/>
      <c r="P108" s="151"/>
    </row>
    <row r="109" ht="12.0" customHeight="1">
      <c r="K109" s="151"/>
      <c r="L109" s="151"/>
      <c r="M109" s="151"/>
      <c r="N109" s="151"/>
      <c r="P109" s="151"/>
    </row>
    <row r="110" ht="12.0" customHeight="1">
      <c r="K110" s="151"/>
      <c r="L110" s="151"/>
      <c r="M110" s="151"/>
      <c r="N110" s="151"/>
      <c r="P110" s="151"/>
    </row>
    <row r="111" ht="12.0" customHeight="1">
      <c r="K111" s="151"/>
      <c r="L111" s="151"/>
      <c r="M111" s="151"/>
      <c r="N111" s="151"/>
      <c r="P111" s="151"/>
    </row>
    <row r="112" ht="12.0" customHeight="1">
      <c r="K112" s="151"/>
      <c r="L112" s="151"/>
      <c r="M112" s="151"/>
      <c r="N112" s="151"/>
      <c r="P112" s="151"/>
    </row>
    <row r="113" ht="12.0" customHeight="1">
      <c r="K113" s="151"/>
      <c r="L113" s="151"/>
      <c r="M113" s="151"/>
      <c r="N113" s="151"/>
      <c r="P113" s="151"/>
    </row>
    <row r="114" ht="12.0" customHeight="1">
      <c r="K114" s="151"/>
      <c r="L114" s="151"/>
      <c r="M114" s="151"/>
      <c r="N114" s="151"/>
      <c r="P114" s="151"/>
    </row>
    <row r="115" ht="12.0" customHeight="1">
      <c r="K115" s="151"/>
      <c r="L115" s="151"/>
      <c r="M115" s="151"/>
      <c r="N115" s="151"/>
      <c r="P115" s="151"/>
    </row>
    <row r="116" ht="12.0" customHeight="1">
      <c r="K116" s="151"/>
      <c r="L116" s="151"/>
      <c r="M116" s="151"/>
      <c r="N116" s="151"/>
      <c r="P116" s="151"/>
    </row>
    <row r="117" ht="12.0" customHeight="1">
      <c r="K117" s="151"/>
      <c r="L117" s="151"/>
      <c r="M117" s="151"/>
      <c r="N117" s="151"/>
      <c r="P117" s="151"/>
    </row>
    <row r="118" ht="12.0" customHeight="1">
      <c r="K118" s="151"/>
      <c r="L118" s="151"/>
      <c r="M118" s="151"/>
      <c r="N118" s="151"/>
      <c r="P118" s="151"/>
    </row>
    <row r="119" ht="12.0" customHeight="1">
      <c r="K119" s="151"/>
      <c r="L119" s="151"/>
      <c r="M119" s="151"/>
      <c r="N119" s="151"/>
      <c r="P119" s="151"/>
    </row>
    <row r="120" ht="12.0" customHeight="1">
      <c r="K120" s="151"/>
      <c r="L120" s="151"/>
      <c r="M120" s="151"/>
      <c r="N120" s="151"/>
      <c r="P120" s="151"/>
    </row>
    <row r="121" ht="12.0" customHeight="1">
      <c r="K121" s="151"/>
      <c r="L121" s="151"/>
      <c r="M121" s="151"/>
      <c r="N121" s="151"/>
      <c r="P121" s="151"/>
    </row>
    <row r="122" ht="12.0" customHeight="1">
      <c r="K122" s="151"/>
      <c r="L122" s="151"/>
      <c r="M122" s="151"/>
      <c r="N122" s="151"/>
      <c r="P122" s="151"/>
    </row>
    <row r="123" ht="12.0" customHeight="1">
      <c r="K123" s="151"/>
      <c r="L123" s="151"/>
      <c r="M123" s="151"/>
      <c r="N123" s="151"/>
      <c r="P123" s="151"/>
    </row>
    <row r="124" ht="12.0" customHeight="1">
      <c r="K124" s="151"/>
      <c r="L124" s="151"/>
      <c r="M124" s="151"/>
      <c r="N124" s="151"/>
      <c r="P124" s="151"/>
    </row>
    <row r="125" ht="12.0" customHeight="1">
      <c r="K125" s="151"/>
      <c r="L125" s="151"/>
      <c r="M125" s="151"/>
      <c r="N125" s="151"/>
      <c r="P125" s="151"/>
    </row>
    <row r="126" ht="12.0" customHeight="1">
      <c r="K126" s="151"/>
      <c r="L126" s="151"/>
      <c r="M126" s="151"/>
      <c r="N126" s="151"/>
      <c r="P126" s="151"/>
    </row>
    <row r="127" ht="12.0" customHeight="1">
      <c r="K127" s="151"/>
      <c r="L127" s="151"/>
      <c r="M127" s="151"/>
      <c r="N127" s="151"/>
      <c r="P127" s="151"/>
    </row>
    <row r="128" ht="12.0" customHeight="1">
      <c r="K128" s="151"/>
      <c r="L128" s="151"/>
      <c r="M128" s="151"/>
      <c r="N128" s="151"/>
      <c r="P128" s="151"/>
    </row>
    <row r="129" ht="12.0" customHeight="1">
      <c r="K129" s="151"/>
      <c r="L129" s="151"/>
      <c r="M129" s="151"/>
      <c r="N129" s="151"/>
      <c r="P129" s="151"/>
    </row>
    <row r="130" ht="12.0" customHeight="1">
      <c r="K130" s="151"/>
      <c r="L130" s="151"/>
      <c r="M130" s="151"/>
      <c r="N130" s="151"/>
      <c r="P130" s="151"/>
    </row>
    <row r="131" ht="12.0" customHeight="1">
      <c r="K131" s="151"/>
      <c r="L131" s="151"/>
      <c r="M131" s="151"/>
      <c r="N131" s="151"/>
      <c r="P131" s="151"/>
    </row>
    <row r="132" ht="12.0" customHeight="1">
      <c r="K132" s="151"/>
      <c r="L132" s="151"/>
      <c r="M132" s="151"/>
      <c r="N132" s="151"/>
      <c r="P132" s="151"/>
    </row>
    <row r="133" ht="12.0" customHeight="1">
      <c r="K133" s="151"/>
      <c r="L133" s="151"/>
      <c r="M133" s="151"/>
      <c r="N133" s="151"/>
      <c r="P133" s="151"/>
    </row>
    <row r="134" ht="12.0" customHeight="1">
      <c r="K134" s="151"/>
      <c r="L134" s="151"/>
      <c r="M134" s="151"/>
      <c r="N134" s="151"/>
      <c r="P134" s="151"/>
    </row>
    <row r="135" ht="12.0" customHeight="1">
      <c r="K135" s="151"/>
      <c r="L135" s="151"/>
      <c r="M135" s="151"/>
      <c r="N135" s="151"/>
      <c r="P135" s="151"/>
    </row>
    <row r="136" ht="12.0" customHeight="1">
      <c r="K136" s="151"/>
      <c r="L136" s="151"/>
      <c r="M136" s="151"/>
      <c r="N136" s="151"/>
      <c r="P136" s="151"/>
    </row>
    <row r="137" ht="12.0" customHeight="1">
      <c r="K137" s="151"/>
      <c r="L137" s="151"/>
      <c r="M137" s="151"/>
      <c r="N137" s="151"/>
      <c r="P137" s="151"/>
    </row>
    <row r="138" ht="12.0" customHeight="1">
      <c r="K138" s="151"/>
      <c r="L138" s="151"/>
      <c r="M138" s="151"/>
      <c r="N138" s="151"/>
      <c r="P138" s="151"/>
    </row>
    <row r="139" ht="12.0" customHeight="1">
      <c r="K139" s="151"/>
      <c r="L139" s="151"/>
      <c r="M139" s="151"/>
      <c r="N139" s="151"/>
      <c r="P139" s="151"/>
    </row>
    <row r="140" ht="12.0" customHeight="1">
      <c r="K140" s="151"/>
      <c r="L140" s="151"/>
      <c r="M140" s="151"/>
      <c r="N140" s="151"/>
      <c r="P140" s="151"/>
    </row>
    <row r="141" ht="12.0" customHeight="1">
      <c r="K141" s="151"/>
      <c r="L141" s="151"/>
      <c r="M141" s="151"/>
      <c r="N141" s="151"/>
      <c r="P141" s="151"/>
    </row>
    <row r="142" ht="12.0" customHeight="1">
      <c r="K142" s="151"/>
      <c r="L142" s="151"/>
      <c r="M142" s="151"/>
      <c r="N142" s="151"/>
      <c r="P142" s="151"/>
    </row>
    <row r="143" ht="12.0" customHeight="1">
      <c r="K143" s="151"/>
      <c r="L143" s="151"/>
      <c r="M143" s="151"/>
      <c r="N143" s="151"/>
      <c r="P143" s="151"/>
    </row>
    <row r="144" ht="12.0" customHeight="1">
      <c r="K144" s="151"/>
      <c r="L144" s="151"/>
      <c r="M144" s="151"/>
      <c r="N144" s="151"/>
      <c r="P144" s="151"/>
    </row>
    <row r="145" ht="12.0" customHeight="1">
      <c r="K145" s="151"/>
      <c r="L145" s="151"/>
      <c r="M145" s="151"/>
      <c r="N145" s="151"/>
      <c r="P145" s="151"/>
    </row>
    <row r="146" ht="12.0" customHeight="1">
      <c r="K146" s="151"/>
      <c r="L146" s="151"/>
      <c r="M146" s="151"/>
      <c r="N146" s="151"/>
      <c r="P146" s="151"/>
    </row>
    <row r="147" ht="12.0" customHeight="1">
      <c r="K147" s="151"/>
      <c r="L147" s="151"/>
      <c r="M147" s="151"/>
      <c r="N147" s="151"/>
      <c r="P147" s="151"/>
    </row>
    <row r="148" ht="12.0" customHeight="1">
      <c r="K148" s="151"/>
      <c r="L148" s="151"/>
      <c r="M148" s="151"/>
      <c r="N148" s="151"/>
      <c r="P148" s="151"/>
    </row>
    <row r="149" ht="12.0" customHeight="1">
      <c r="K149" s="151"/>
      <c r="L149" s="151"/>
      <c r="M149" s="151"/>
      <c r="N149" s="151"/>
      <c r="P149" s="151"/>
    </row>
    <row r="150" ht="12.0" customHeight="1">
      <c r="K150" s="151"/>
      <c r="L150" s="151"/>
      <c r="M150" s="151"/>
      <c r="N150" s="151"/>
      <c r="P150" s="151"/>
    </row>
    <row r="151" ht="12.0" customHeight="1">
      <c r="K151" s="151"/>
      <c r="L151" s="151"/>
      <c r="M151" s="151"/>
      <c r="N151" s="151"/>
      <c r="P151" s="151"/>
    </row>
    <row r="152" ht="12.0" customHeight="1">
      <c r="K152" s="151"/>
      <c r="L152" s="151"/>
      <c r="M152" s="151"/>
      <c r="N152" s="151"/>
      <c r="P152" s="151"/>
    </row>
    <row r="153" ht="12.0" customHeight="1">
      <c r="K153" s="151"/>
      <c r="L153" s="151"/>
      <c r="M153" s="151"/>
      <c r="N153" s="151"/>
      <c r="P153" s="151"/>
    </row>
    <row r="154" ht="12.0" customHeight="1">
      <c r="K154" s="151"/>
      <c r="L154" s="151"/>
      <c r="M154" s="151"/>
      <c r="N154" s="151"/>
      <c r="P154" s="151"/>
    </row>
    <row r="155" ht="12.0" customHeight="1">
      <c r="K155" s="151"/>
      <c r="L155" s="151"/>
      <c r="M155" s="151"/>
      <c r="N155" s="151"/>
      <c r="P155" s="151"/>
    </row>
    <row r="156" ht="12.0" customHeight="1">
      <c r="K156" s="151"/>
      <c r="L156" s="151"/>
      <c r="M156" s="151"/>
      <c r="N156" s="151"/>
      <c r="P156" s="151"/>
    </row>
    <row r="157" ht="12.0" customHeight="1">
      <c r="K157" s="151"/>
      <c r="L157" s="151"/>
      <c r="M157" s="151"/>
      <c r="N157" s="151"/>
      <c r="P157" s="151"/>
    </row>
    <row r="158" ht="12.0" customHeight="1">
      <c r="K158" s="151"/>
      <c r="L158" s="151"/>
      <c r="M158" s="151"/>
      <c r="N158" s="151"/>
      <c r="P158" s="151"/>
    </row>
    <row r="159" ht="12.0" customHeight="1">
      <c r="K159" s="151"/>
      <c r="L159" s="151"/>
      <c r="M159" s="151"/>
      <c r="N159" s="151"/>
      <c r="P159" s="151"/>
    </row>
    <row r="160" ht="12.0" customHeight="1">
      <c r="K160" s="151"/>
      <c r="L160" s="151"/>
      <c r="M160" s="151"/>
      <c r="N160" s="151"/>
      <c r="P160" s="151"/>
    </row>
    <row r="161" ht="12.0" customHeight="1">
      <c r="K161" s="151"/>
      <c r="L161" s="151"/>
      <c r="M161" s="151"/>
      <c r="N161" s="151"/>
      <c r="P161" s="151"/>
    </row>
    <row r="162" ht="12.0" customHeight="1">
      <c r="K162" s="151"/>
      <c r="L162" s="151"/>
      <c r="M162" s="151"/>
      <c r="N162" s="151"/>
      <c r="P162" s="151"/>
    </row>
    <row r="163" ht="12.0" customHeight="1">
      <c r="K163" s="151"/>
      <c r="L163" s="151"/>
      <c r="M163" s="151"/>
      <c r="N163" s="151"/>
      <c r="P163" s="151"/>
    </row>
    <row r="164" ht="12.0" customHeight="1">
      <c r="K164" s="151"/>
      <c r="L164" s="151"/>
      <c r="M164" s="151"/>
      <c r="N164" s="151"/>
      <c r="P164" s="151"/>
    </row>
    <row r="165" ht="12.0" customHeight="1">
      <c r="K165" s="151"/>
      <c r="L165" s="151"/>
      <c r="M165" s="151"/>
      <c r="N165" s="151"/>
      <c r="P165" s="151"/>
    </row>
    <row r="166" ht="12.0" customHeight="1">
      <c r="K166" s="151"/>
      <c r="L166" s="151"/>
      <c r="M166" s="151"/>
      <c r="N166" s="151"/>
      <c r="P166" s="151"/>
    </row>
    <row r="167" ht="12.0" customHeight="1">
      <c r="K167" s="151"/>
      <c r="L167" s="151"/>
      <c r="M167" s="151"/>
      <c r="N167" s="151"/>
      <c r="P167" s="151"/>
    </row>
    <row r="168" ht="12.0" customHeight="1">
      <c r="K168" s="151"/>
      <c r="L168" s="151"/>
      <c r="M168" s="151"/>
      <c r="N168" s="151"/>
      <c r="P168" s="151"/>
    </row>
    <row r="169" ht="12.0" customHeight="1">
      <c r="K169" s="151"/>
      <c r="L169" s="151"/>
      <c r="M169" s="151"/>
      <c r="N169" s="151"/>
      <c r="P169" s="151"/>
    </row>
    <row r="170" ht="12.0" customHeight="1">
      <c r="K170" s="151"/>
      <c r="L170" s="151"/>
      <c r="M170" s="151"/>
      <c r="N170" s="151"/>
      <c r="P170" s="151"/>
    </row>
    <row r="171" ht="12.0" customHeight="1">
      <c r="K171" s="151"/>
      <c r="L171" s="151"/>
      <c r="M171" s="151"/>
      <c r="N171" s="151"/>
      <c r="P171" s="151"/>
    </row>
    <row r="172" ht="12.0" customHeight="1">
      <c r="K172" s="151"/>
      <c r="L172" s="151"/>
      <c r="M172" s="151"/>
      <c r="N172" s="151"/>
      <c r="P172" s="151"/>
    </row>
    <row r="173" ht="12.0" customHeight="1">
      <c r="K173" s="151"/>
      <c r="L173" s="151"/>
      <c r="M173" s="151"/>
      <c r="N173" s="151"/>
      <c r="P173" s="151"/>
    </row>
    <row r="174" ht="12.0" customHeight="1">
      <c r="K174" s="151"/>
      <c r="L174" s="151"/>
      <c r="M174" s="151"/>
      <c r="N174" s="151"/>
      <c r="P174" s="151"/>
    </row>
    <row r="175" ht="12.0" customHeight="1">
      <c r="K175" s="151"/>
      <c r="L175" s="151"/>
      <c r="M175" s="151"/>
      <c r="N175" s="151"/>
      <c r="P175" s="151"/>
    </row>
    <row r="176" ht="12.0" customHeight="1">
      <c r="K176" s="151"/>
      <c r="L176" s="151"/>
      <c r="M176" s="151"/>
      <c r="N176" s="151"/>
      <c r="P176" s="151"/>
    </row>
    <row r="177" ht="12.0" customHeight="1">
      <c r="K177" s="151"/>
      <c r="L177" s="151"/>
      <c r="M177" s="151"/>
      <c r="N177" s="151"/>
      <c r="P177" s="151"/>
    </row>
    <row r="178" ht="12.0" customHeight="1">
      <c r="K178" s="151"/>
      <c r="L178" s="151"/>
      <c r="M178" s="151"/>
      <c r="N178" s="151"/>
      <c r="P178" s="151"/>
    </row>
    <row r="179" ht="12.0" customHeight="1">
      <c r="K179" s="151"/>
      <c r="L179" s="151"/>
      <c r="M179" s="151"/>
      <c r="N179" s="151"/>
      <c r="P179" s="151"/>
    </row>
    <row r="180" ht="12.0" customHeight="1">
      <c r="K180" s="151"/>
      <c r="L180" s="151"/>
      <c r="M180" s="151"/>
      <c r="N180" s="151"/>
      <c r="P180" s="151"/>
    </row>
    <row r="181" ht="12.0" customHeight="1">
      <c r="K181" s="151"/>
      <c r="L181" s="151"/>
      <c r="M181" s="151"/>
      <c r="N181" s="151"/>
      <c r="P181" s="151"/>
    </row>
    <row r="182" ht="12.0" customHeight="1">
      <c r="K182" s="151"/>
      <c r="L182" s="151"/>
      <c r="M182" s="151"/>
      <c r="N182" s="151"/>
      <c r="P182" s="151"/>
    </row>
    <row r="183" ht="12.0" customHeight="1">
      <c r="K183" s="151"/>
      <c r="L183" s="151"/>
      <c r="M183" s="151"/>
      <c r="N183" s="151"/>
      <c r="P183" s="151"/>
    </row>
    <row r="184" ht="12.0" customHeight="1">
      <c r="K184" s="151"/>
      <c r="L184" s="151"/>
      <c r="M184" s="151"/>
      <c r="N184" s="151"/>
      <c r="P184" s="151"/>
    </row>
    <row r="185" ht="12.0" customHeight="1">
      <c r="K185" s="151"/>
      <c r="L185" s="151"/>
      <c r="M185" s="151"/>
      <c r="N185" s="151"/>
      <c r="P185" s="151"/>
    </row>
    <row r="186" ht="12.0" customHeight="1">
      <c r="K186" s="151"/>
      <c r="L186" s="151"/>
      <c r="M186" s="151"/>
      <c r="N186" s="151"/>
      <c r="P186" s="151"/>
    </row>
    <row r="187" ht="12.0" customHeight="1">
      <c r="K187" s="151"/>
      <c r="L187" s="151"/>
      <c r="M187" s="151"/>
      <c r="N187" s="151"/>
      <c r="P187" s="151"/>
    </row>
    <row r="188" ht="12.0" customHeight="1">
      <c r="K188" s="151"/>
      <c r="L188" s="151"/>
      <c r="M188" s="151"/>
      <c r="N188" s="151"/>
      <c r="P188" s="151"/>
    </row>
    <row r="189" ht="12.0" customHeight="1">
      <c r="K189" s="151"/>
      <c r="L189" s="151"/>
      <c r="M189" s="151"/>
      <c r="N189" s="151"/>
      <c r="P189" s="151"/>
    </row>
    <row r="190" ht="12.0" customHeight="1">
      <c r="K190" s="151"/>
      <c r="L190" s="151"/>
      <c r="M190" s="151"/>
      <c r="N190" s="151"/>
      <c r="P190" s="151"/>
    </row>
    <row r="191" ht="12.0" customHeight="1">
      <c r="K191" s="151"/>
      <c r="L191" s="151"/>
      <c r="M191" s="151"/>
      <c r="N191" s="151"/>
      <c r="P191" s="151"/>
    </row>
    <row r="192" ht="12.0" customHeight="1">
      <c r="K192" s="151"/>
      <c r="L192" s="151"/>
      <c r="M192" s="151"/>
      <c r="N192" s="151"/>
      <c r="P192" s="151"/>
    </row>
    <row r="193" ht="12.0" customHeight="1">
      <c r="K193" s="151"/>
      <c r="L193" s="151"/>
      <c r="M193" s="151"/>
      <c r="N193" s="151"/>
      <c r="P193" s="151"/>
    </row>
    <row r="194" ht="12.0" customHeight="1">
      <c r="K194" s="151"/>
      <c r="L194" s="151"/>
      <c r="M194" s="151"/>
      <c r="N194" s="151"/>
      <c r="P194" s="151"/>
    </row>
    <row r="195" ht="12.0" customHeight="1">
      <c r="K195" s="151"/>
      <c r="L195" s="151"/>
      <c r="M195" s="151"/>
      <c r="N195" s="151"/>
      <c r="P195" s="151"/>
    </row>
    <row r="196" ht="12.0" customHeight="1">
      <c r="K196" s="151"/>
      <c r="L196" s="151"/>
      <c r="M196" s="151"/>
      <c r="N196" s="151"/>
      <c r="P196" s="151"/>
    </row>
    <row r="197" ht="12.0" customHeight="1">
      <c r="K197" s="151"/>
      <c r="L197" s="151"/>
      <c r="M197" s="151"/>
      <c r="N197" s="151"/>
      <c r="P197" s="151"/>
    </row>
    <row r="198" ht="12.0" customHeight="1">
      <c r="K198" s="151"/>
      <c r="L198" s="151"/>
      <c r="M198" s="151"/>
      <c r="N198" s="151"/>
      <c r="P198" s="151"/>
    </row>
    <row r="199" ht="12.0" customHeight="1">
      <c r="K199" s="151"/>
      <c r="L199" s="151"/>
      <c r="M199" s="151"/>
      <c r="N199" s="151"/>
      <c r="P199" s="151"/>
    </row>
    <row r="200" ht="12.0" customHeight="1">
      <c r="K200" s="151"/>
      <c r="L200" s="151"/>
      <c r="M200" s="151"/>
      <c r="N200" s="151"/>
      <c r="P200" s="151"/>
    </row>
    <row r="201" ht="12.0" customHeight="1">
      <c r="K201" s="151"/>
      <c r="L201" s="151"/>
      <c r="M201" s="151"/>
      <c r="N201" s="151"/>
      <c r="P201" s="151"/>
    </row>
    <row r="202" ht="12.0" customHeight="1">
      <c r="K202" s="151"/>
      <c r="L202" s="151"/>
      <c r="M202" s="151"/>
      <c r="N202" s="151"/>
      <c r="P202" s="151"/>
    </row>
    <row r="203" ht="12.0" customHeight="1">
      <c r="K203" s="151"/>
      <c r="L203" s="151"/>
      <c r="M203" s="151"/>
      <c r="N203" s="151"/>
      <c r="P203" s="151"/>
    </row>
    <row r="204" ht="12.0" customHeight="1">
      <c r="K204" s="151"/>
      <c r="L204" s="151"/>
      <c r="M204" s="151"/>
      <c r="N204" s="151"/>
      <c r="P204" s="151"/>
    </row>
    <row r="205" ht="12.0" customHeight="1">
      <c r="K205" s="151"/>
      <c r="L205" s="151"/>
      <c r="M205" s="151"/>
      <c r="N205" s="151"/>
      <c r="P205" s="151"/>
    </row>
    <row r="206" ht="12.0" customHeight="1">
      <c r="K206" s="151"/>
      <c r="L206" s="151"/>
      <c r="M206" s="151"/>
      <c r="N206" s="151"/>
      <c r="P206" s="151"/>
    </row>
    <row r="207" ht="12.0" customHeight="1">
      <c r="K207" s="151"/>
      <c r="L207" s="151"/>
      <c r="M207" s="151"/>
      <c r="N207" s="151"/>
      <c r="P207" s="151"/>
    </row>
    <row r="208" ht="12.0" customHeight="1">
      <c r="K208" s="151"/>
      <c r="L208" s="151"/>
      <c r="M208" s="151"/>
      <c r="N208" s="151"/>
      <c r="P208" s="151"/>
    </row>
    <row r="209" ht="12.0" customHeight="1">
      <c r="K209" s="151"/>
      <c r="L209" s="151"/>
      <c r="M209" s="151"/>
      <c r="N209" s="151"/>
      <c r="P209" s="151"/>
    </row>
    <row r="210" ht="12.0" customHeight="1">
      <c r="K210" s="151"/>
      <c r="L210" s="151"/>
      <c r="M210" s="151"/>
      <c r="N210" s="151"/>
      <c r="P210" s="151"/>
    </row>
    <row r="211" ht="12.0" customHeight="1">
      <c r="K211" s="151"/>
      <c r="L211" s="151"/>
      <c r="M211" s="151"/>
      <c r="N211" s="151"/>
      <c r="P211" s="151"/>
    </row>
    <row r="212" ht="12.0" customHeight="1">
      <c r="K212" s="151"/>
      <c r="L212" s="151"/>
      <c r="M212" s="151"/>
      <c r="N212" s="151"/>
      <c r="P212" s="151"/>
    </row>
    <row r="213" ht="12.0" customHeight="1">
      <c r="K213" s="151"/>
      <c r="L213" s="151"/>
      <c r="M213" s="151"/>
      <c r="N213" s="151"/>
      <c r="P213" s="151"/>
    </row>
    <row r="214" ht="12.0" customHeight="1">
      <c r="K214" s="151"/>
      <c r="L214" s="151"/>
      <c r="M214" s="151"/>
      <c r="N214" s="151"/>
      <c r="P214" s="151"/>
    </row>
    <row r="215" ht="12.0" customHeight="1">
      <c r="K215" s="151"/>
      <c r="L215" s="151"/>
      <c r="M215" s="151"/>
      <c r="N215" s="151"/>
      <c r="P215" s="151"/>
    </row>
    <row r="216" ht="12.0" customHeight="1">
      <c r="K216" s="151"/>
      <c r="L216" s="151"/>
      <c r="M216" s="151"/>
      <c r="N216" s="151"/>
      <c r="P216" s="151"/>
    </row>
    <row r="217" ht="12.0" customHeight="1">
      <c r="K217" s="151"/>
      <c r="L217" s="151"/>
      <c r="M217" s="151"/>
      <c r="N217" s="151"/>
      <c r="P217" s="151"/>
    </row>
    <row r="218" ht="12.0" customHeight="1">
      <c r="K218" s="151"/>
      <c r="L218" s="151"/>
      <c r="M218" s="151"/>
      <c r="N218" s="151"/>
      <c r="P218" s="151"/>
    </row>
    <row r="219" ht="12.0" customHeight="1">
      <c r="K219" s="151"/>
      <c r="L219" s="151"/>
      <c r="M219" s="151"/>
      <c r="N219" s="151"/>
      <c r="P219" s="151"/>
    </row>
    <row r="220" ht="12.0" customHeight="1">
      <c r="K220" s="151"/>
      <c r="L220" s="151"/>
      <c r="M220" s="151"/>
      <c r="N220" s="151"/>
      <c r="P220" s="151"/>
    </row>
    <row r="221" ht="12.0" customHeight="1">
      <c r="K221" s="151"/>
      <c r="L221" s="151"/>
      <c r="M221" s="151"/>
      <c r="N221" s="151"/>
      <c r="P221" s="151"/>
    </row>
    <row r="222" ht="12.0" customHeight="1">
      <c r="K222" s="151"/>
      <c r="L222" s="151"/>
      <c r="M222" s="151"/>
      <c r="N222" s="151"/>
      <c r="P222" s="151"/>
    </row>
    <row r="223" ht="12.0" customHeight="1">
      <c r="K223" s="151"/>
      <c r="L223" s="151"/>
      <c r="M223" s="151"/>
      <c r="N223" s="151"/>
      <c r="P223" s="151"/>
    </row>
    <row r="224" ht="12.0" customHeight="1">
      <c r="K224" s="151"/>
      <c r="L224" s="151"/>
      <c r="M224" s="151"/>
      <c r="N224" s="151"/>
      <c r="P224" s="151"/>
    </row>
    <row r="225" ht="12.0" customHeight="1">
      <c r="K225" s="151"/>
      <c r="L225" s="151"/>
      <c r="M225" s="151"/>
      <c r="N225" s="151"/>
      <c r="P225" s="151"/>
    </row>
    <row r="226" ht="12.0" customHeight="1">
      <c r="K226" s="151"/>
      <c r="L226" s="151"/>
      <c r="M226" s="151"/>
      <c r="N226" s="151"/>
      <c r="P226" s="151"/>
    </row>
    <row r="227" ht="12.0" customHeight="1">
      <c r="K227" s="151"/>
      <c r="L227" s="151"/>
      <c r="M227" s="151"/>
      <c r="N227" s="151"/>
      <c r="P227" s="151"/>
    </row>
    <row r="228" ht="12.0" customHeight="1">
      <c r="K228" s="151"/>
      <c r="L228" s="151"/>
      <c r="M228" s="151"/>
      <c r="N228" s="151"/>
      <c r="P228" s="151"/>
    </row>
    <row r="229" ht="12.0" customHeight="1">
      <c r="K229" s="151"/>
      <c r="L229" s="151"/>
      <c r="M229" s="151"/>
      <c r="N229" s="151"/>
      <c r="P229" s="151"/>
    </row>
    <row r="230" ht="12.0" customHeight="1">
      <c r="K230" s="151"/>
      <c r="L230" s="151"/>
      <c r="M230" s="151"/>
      <c r="N230" s="151"/>
      <c r="P230" s="151"/>
    </row>
    <row r="231" ht="12.0" customHeight="1">
      <c r="K231" s="151"/>
      <c r="L231" s="151"/>
      <c r="M231" s="151"/>
      <c r="N231" s="151"/>
      <c r="P231" s="151"/>
    </row>
    <row r="232" ht="12.0" customHeight="1">
      <c r="K232" s="151"/>
      <c r="L232" s="151"/>
      <c r="M232" s="151"/>
      <c r="N232" s="151"/>
      <c r="P232" s="151"/>
    </row>
    <row r="233" ht="12.0" customHeight="1">
      <c r="K233" s="151"/>
      <c r="L233" s="151"/>
      <c r="M233" s="151"/>
      <c r="N233" s="151"/>
      <c r="P233" s="151"/>
    </row>
    <row r="234" ht="12.0" customHeight="1">
      <c r="K234" s="151"/>
      <c r="L234" s="151"/>
      <c r="M234" s="151"/>
      <c r="N234" s="151"/>
      <c r="P234" s="151"/>
    </row>
    <row r="235" ht="12.0" customHeight="1">
      <c r="K235" s="151"/>
      <c r="L235" s="151"/>
      <c r="M235" s="151"/>
      <c r="N235" s="151"/>
      <c r="P235" s="151"/>
    </row>
    <row r="236" ht="12.0" customHeight="1">
      <c r="K236" s="151"/>
      <c r="L236" s="151"/>
      <c r="M236" s="151"/>
      <c r="N236" s="151"/>
      <c r="P236" s="151"/>
    </row>
    <row r="237" ht="12.0" customHeight="1">
      <c r="K237" s="151"/>
      <c r="L237" s="151"/>
      <c r="M237" s="151"/>
      <c r="N237" s="151"/>
      <c r="P237" s="151"/>
    </row>
    <row r="238" ht="12.0" customHeight="1">
      <c r="K238" s="151"/>
      <c r="L238" s="151"/>
      <c r="M238" s="151"/>
      <c r="N238" s="151"/>
      <c r="P238" s="151"/>
    </row>
    <row r="239" ht="12.0" customHeight="1">
      <c r="K239" s="151"/>
      <c r="L239" s="151"/>
      <c r="M239" s="151"/>
      <c r="N239" s="151"/>
      <c r="P239" s="151"/>
    </row>
    <row r="240" ht="12.0" customHeight="1">
      <c r="K240" s="151"/>
      <c r="L240" s="151"/>
      <c r="M240" s="151"/>
      <c r="N240" s="151"/>
      <c r="P240" s="151"/>
    </row>
    <row r="241" ht="12.0" customHeight="1">
      <c r="K241" s="151"/>
      <c r="L241" s="151"/>
      <c r="M241" s="151"/>
      <c r="N241" s="151"/>
      <c r="P241" s="151"/>
    </row>
    <row r="242" ht="12.0" customHeight="1">
      <c r="K242" s="151"/>
      <c r="L242" s="151"/>
      <c r="M242" s="151"/>
      <c r="N242" s="151"/>
      <c r="P242" s="151"/>
    </row>
    <row r="243" ht="12.0" customHeight="1">
      <c r="K243" s="151"/>
      <c r="L243" s="151"/>
      <c r="M243" s="151"/>
      <c r="N243" s="151"/>
      <c r="P243" s="151"/>
    </row>
    <row r="244" ht="12.0" customHeight="1">
      <c r="K244" s="151"/>
      <c r="L244" s="151"/>
      <c r="M244" s="151"/>
      <c r="N244" s="151"/>
      <c r="P244" s="151"/>
    </row>
    <row r="245" ht="12.0" customHeight="1">
      <c r="K245" s="151"/>
      <c r="L245" s="151"/>
      <c r="M245" s="151"/>
      <c r="N245" s="151"/>
      <c r="P245" s="151"/>
    </row>
    <row r="246" ht="12.0" customHeight="1">
      <c r="K246" s="151"/>
      <c r="L246" s="151"/>
      <c r="M246" s="151"/>
      <c r="N246" s="151"/>
      <c r="P246" s="151"/>
    </row>
    <row r="247" ht="12.0" customHeight="1">
      <c r="K247" s="151"/>
      <c r="L247" s="151"/>
      <c r="M247" s="151"/>
      <c r="N247" s="151"/>
      <c r="P247" s="151"/>
    </row>
    <row r="248" ht="12.0" customHeight="1">
      <c r="K248" s="151"/>
      <c r="L248" s="151"/>
      <c r="M248" s="151"/>
      <c r="N248" s="151"/>
      <c r="P248" s="151"/>
    </row>
    <row r="249" ht="12.0" customHeight="1">
      <c r="K249" s="151"/>
      <c r="L249" s="151"/>
      <c r="M249" s="151"/>
      <c r="N249" s="151"/>
      <c r="P249" s="151"/>
    </row>
    <row r="250" ht="12.0" customHeight="1">
      <c r="K250" s="151"/>
      <c r="L250" s="151"/>
      <c r="M250" s="151"/>
      <c r="N250" s="151"/>
      <c r="P250" s="151"/>
    </row>
    <row r="251" ht="12.0" customHeight="1">
      <c r="K251" s="151"/>
      <c r="L251" s="151"/>
      <c r="M251" s="151"/>
      <c r="N251" s="151"/>
      <c r="P251" s="151"/>
    </row>
    <row r="252" ht="12.0" customHeight="1">
      <c r="K252" s="151"/>
      <c r="L252" s="151"/>
      <c r="M252" s="151"/>
      <c r="N252" s="151"/>
      <c r="P252" s="151"/>
    </row>
    <row r="253" ht="12.0" customHeight="1">
      <c r="K253" s="151"/>
      <c r="L253" s="151"/>
      <c r="M253" s="151"/>
      <c r="N253" s="151"/>
      <c r="P253" s="151"/>
    </row>
    <row r="254" ht="12.0" customHeight="1">
      <c r="K254" s="151"/>
      <c r="L254" s="151"/>
      <c r="M254" s="151"/>
      <c r="N254" s="151"/>
      <c r="P254" s="151"/>
    </row>
    <row r="255" ht="12.0" customHeight="1">
      <c r="K255" s="151"/>
      <c r="L255" s="151"/>
      <c r="M255" s="151"/>
      <c r="N255" s="151"/>
      <c r="P255" s="151"/>
    </row>
    <row r="256" ht="12.0" customHeight="1">
      <c r="K256" s="151"/>
      <c r="L256" s="151"/>
      <c r="M256" s="151"/>
      <c r="N256" s="151"/>
      <c r="P256" s="151"/>
    </row>
    <row r="257" ht="12.0" customHeight="1">
      <c r="K257" s="151"/>
      <c r="L257" s="151"/>
      <c r="M257" s="151"/>
      <c r="N257" s="151"/>
      <c r="P257" s="151"/>
    </row>
    <row r="258" ht="12.0" customHeight="1">
      <c r="K258" s="151"/>
      <c r="L258" s="151"/>
      <c r="M258" s="151"/>
      <c r="N258" s="151"/>
      <c r="P258" s="151"/>
    </row>
    <row r="259" ht="12.0" customHeight="1">
      <c r="K259" s="151"/>
      <c r="L259" s="151"/>
      <c r="M259" s="151"/>
      <c r="N259" s="151"/>
      <c r="P259" s="151"/>
    </row>
    <row r="260" ht="12.0" customHeight="1">
      <c r="K260" s="151"/>
      <c r="L260" s="151"/>
      <c r="M260" s="151"/>
      <c r="N260" s="151"/>
      <c r="P260" s="151"/>
    </row>
    <row r="261" ht="12.0" customHeight="1">
      <c r="K261" s="151"/>
      <c r="L261" s="151"/>
      <c r="M261" s="151"/>
      <c r="N261" s="151"/>
      <c r="P261" s="151"/>
    </row>
    <row r="262" ht="12.0" customHeight="1">
      <c r="K262" s="151"/>
      <c r="L262" s="151"/>
      <c r="M262" s="151"/>
      <c r="N262" s="151"/>
      <c r="P262" s="151"/>
    </row>
    <row r="263" ht="12.0" customHeight="1">
      <c r="K263" s="151"/>
      <c r="L263" s="151"/>
      <c r="M263" s="151"/>
      <c r="N263" s="151"/>
      <c r="P263" s="151"/>
    </row>
    <row r="264" ht="12.0" customHeight="1">
      <c r="K264" s="151"/>
      <c r="L264" s="151"/>
      <c r="M264" s="151"/>
      <c r="N264" s="151"/>
      <c r="P264" s="151"/>
    </row>
    <row r="265" ht="12.0" customHeight="1">
      <c r="K265" s="151"/>
      <c r="L265" s="151"/>
      <c r="M265" s="151"/>
      <c r="N265" s="151"/>
      <c r="P265" s="151"/>
    </row>
    <row r="266" ht="12.0" customHeight="1">
      <c r="K266" s="151"/>
      <c r="L266" s="151"/>
      <c r="M266" s="151"/>
      <c r="N266" s="151"/>
      <c r="P266" s="151"/>
    </row>
    <row r="267" ht="12.0" customHeight="1">
      <c r="K267" s="151"/>
      <c r="L267" s="151"/>
      <c r="M267" s="151"/>
      <c r="N267" s="151"/>
      <c r="P267" s="151"/>
    </row>
    <row r="268" ht="12.0" customHeight="1">
      <c r="K268" s="151"/>
      <c r="L268" s="151"/>
      <c r="M268" s="151"/>
      <c r="N268" s="151"/>
      <c r="P268" s="151"/>
    </row>
    <row r="269" ht="12.0" customHeight="1">
      <c r="K269" s="151"/>
      <c r="L269" s="151"/>
      <c r="M269" s="151"/>
      <c r="N269" s="151"/>
      <c r="P269" s="151"/>
    </row>
    <row r="270" ht="12.0" customHeight="1">
      <c r="K270" s="151"/>
      <c r="L270" s="151"/>
      <c r="M270" s="151"/>
      <c r="N270" s="151"/>
      <c r="P270" s="151"/>
    </row>
    <row r="271" ht="12.0" customHeight="1">
      <c r="K271" s="151"/>
      <c r="L271" s="151"/>
      <c r="M271" s="151"/>
      <c r="N271" s="151"/>
      <c r="P271" s="151"/>
    </row>
    <row r="272" ht="12.0" customHeight="1">
      <c r="K272" s="151"/>
      <c r="L272" s="151"/>
      <c r="M272" s="151"/>
      <c r="N272" s="151"/>
      <c r="P272" s="151"/>
    </row>
    <row r="273" ht="12.0" customHeight="1">
      <c r="K273" s="151"/>
      <c r="L273" s="151"/>
      <c r="M273" s="151"/>
      <c r="N273" s="151"/>
      <c r="P273" s="151"/>
    </row>
    <row r="274" ht="12.0" customHeight="1">
      <c r="K274" s="151"/>
      <c r="L274" s="151"/>
      <c r="M274" s="151"/>
      <c r="N274" s="151"/>
      <c r="P274" s="151"/>
    </row>
    <row r="275" ht="12.0" customHeight="1">
      <c r="K275" s="151"/>
      <c r="L275" s="151"/>
      <c r="M275" s="151"/>
      <c r="N275" s="151"/>
      <c r="P275" s="151"/>
    </row>
    <row r="276" ht="12.0" customHeight="1">
      <c r="K276" s="151"/>
      <c r="L276" s="151"/>
      <c r="M276" s="151"/>
      <c r="N276" s="151"/>
      <c r="P276" s="151"/>
    </row>
    <row r="277" ht="12.0" customHeight="1">
      <c r="K277" s="151"/>
      <c r="L277" s="151"/>
      <c r="M277" s="151"/>
      <c r="N277" s="151"/>
      <c r="P277" s="151"/>
    </row>
    <row r="278" ht="12.0" customHeight="1">
      <c r="K278" s="151"/>
      <c r="L278" s="151"/>
      <c r="M278" s="151"/>
      <c r="N278" s="151"/>
      <c r="P278" s="151"/>
    </row>
    <row r="279" ht="12.0" customHeight="1">
      <c r="K279" s="151"/>
      <c r="L279" s="151"/>
      <c r="M279" s="151"/>
      <c r="N279" s="151"/>
      <c r="P279" s="151"/>
    </row>
    <row r="280" ht="12.0" customHeight="1">
      <c r="K280" s="151"/>
      <c r="L280" s="151"/>
      <c r="M280" s="151"/>
      <c r="N280" s="151"/>
      <c r="P280" s="151"/>
    </row>
    <row r="281" ht="12.0" customHeight="1">
      <c r="K281" s="151"/>
      <c r="L281" s="151"/>
      <c r="M281" s="151"/>
      <c r="N281" s="151"/>
      <c r="P281" s="151"/>
    </row>
    <row r="282" ht="12.0" customHeight="1">
      <c r="K282" s="151"/>
      <c r="L282" s="151"/>
      <c r="M282" s="151"/>
      <c r="N282" s="151"/>
      <c r="P282" s="151"/>
    </row>
    <row r="283" ht="12.0" customHeight="1">
      <c r="K283" s="151"/>
      <c r="L283" s="151"/>
      <c r="M283" s="151"/>
      <c r="N283" s="151"/>
      <c r="P283" s="151"/>
    </row>
    <row r="284" ht="12.0" customHeight="1">
      <c r="K284" s="151"/>
      <c r="L284" s="151"/>
      <c r="M284" s="151"/>
      <c r="N284" s="151"/>
      <c r="P284" s="151"/>
    </row>
    <row r="285" ht="12.0" customHeight="1">
      <c r="K285" s="151"/>
      <c r="L285" s="151"/>
      <c r="M285" s="151"/>
      <c r="N285" s="151"/>
      <c r="P285" s="151"/>
    </row>
    <row r="286" ht="12.0" customHeight="1">
      <c r="K286" s="151"/>
      <c r="L286" s="151"/>
      <c r="M286" s="151"/>
      <c r="N286" s="151"/>
      <c r="P286" s="151"/>
    </row>
    <row r="287" ht="12.0" customHeight="1">
      <c r="K287" s="151"/>
      <c r="L287" s="151"/>
      <c r="M287" s="151"/>
      <c r="N287" s="151"/>
      <c r="P287" s="151"/>
    </row>
    <row r="288" ht="12.0" customHeight="1">
      <c r="K288" s="151"/>
      <c r="L288" s="151"/>
      <c r="M288" s="151"/>
      <c r="N288" s="151"/>
      <c r="P288" s="151"/>
    </row>
    <row r="289" ht="12.0" customHeight="1">
      <c r="K289" s="151"/>
      <c r="L289" s="151"/>
      <c r="M289" s="151"/>
      <c r="N289" s="151"/>
      <c r="P289" s="151"/>
    </row>
    <row r="290" ht="12.0" customHeight="1">
      <c r="K290" s="151"/>
      <c r="L290" s="151"/>
      <c r="M290" s="151"/>
      <c r="N290" s="151"/>
      <c r="P290" s="151"/>
    </row>
    <row r="291" ht="12.0" customHeight="1">
      <c r="K291" s="151"/>
      <c r="L291" s="151"/>
      <c r="M291" s="151"/>
      <c r="N291" s="151"/>
      <c r="P291" s="151"/>
    </row>
    <row r="292" ht="12.0" customHeight="1">
      <c r="K292" s="151"/>
      <c r="L292" s="151"/>
      <c r="M292" s="151"/>
      <c r="N292" s="151"/>
      <c r="P292" s="151"/>
    </row>
    <row r="293" ht="12.0" customHeight="1">
      <c r="K293" s="151"/>
      <c r="L293" s="151"/>
      <c r="M293" s="151"/>
      <c r="N293" s="151"/>
      <c r="P293" s="151"/>
    </row>
    <row r="294" ht="12.0" customHeight="1">
      <c r="K294" s="151"/>
      <c r="L294" s="151"/>
      <c r="M294" s="151"/>
      <c r="N294" s="151"/>
      <c r="P294" s="151"/>
    </row>
    <row r="295" ht="12.0" customHeight="1">
      <c r="K295" s="151"/>
      <c r="L295" s="151"/>
      <c r="M295" s="151"/>
      <c r="N295" s="151"/>
      <c r="P295" s="151"/>
    </row>
    <row r="296" ht="12.0" customHeight="1">
      <c r="K296" s="151"/>
      <c r="L296" s="151"/>
      <c r="M296" s="151"/>
      <c r="N296" s="151"/>
      <c r="P296" s="151"/>
    </row>
    <row r="297" ht="12.0" customHeight="1">
      <c r="K297" s="151"/>
      <c r="L297" s="151"/>
      <c r="M297" s="151"/>
      <c r="N297" s="151"/>
      <c r="P297" s="151"/>
    </row>
    <row r="298" ht="12.0" customHeight="1">
      <c r="K298" s="151"/>
      <c r="L298" s="151"/>
      <c r="M298" s="151"/>
      <c r="N298" s="151"/>
      <c r="P298" s="151"/>
    </row>
    <row r="299" ht="12.0" customHeight="1">
      <c r="K299" s="151"/>
      <c r="L299" s="151"/>
      <c r="M299" s="151"/>
      <c r="N299" s="151"/>
      <c r="P299" s="151"/>
    </row>
    <row r="300" ht="12.0" customHeight="1">
      <c r="K300" s="151"/>
      <c r="L300" s="151"/>
      <c r="M300" s="151"/>
      <c r="N300" s="151"/>
      <c r="P300" s="151"/>
    </row>
    <row r="301" ht="12.0" customHeight="1">
      <c r="K301" s="151"/>
      <c r="L301" s="151"/>
      <c r="M301" s="151"/>
      <c r="N301" s="151"/>
      <c r="P301" s="151"/>
    </row>
    <row r="302" ht="12.0" customHeight="1">
      <c r="K302" s="151"/>
      <c r="L302" s="151"/>
      <c r="M302" s="151"/>
      <c r="N302" s="151"/>
      <c r="P302" s="151"/>
    </row>
    <row r="303" ht="12.0" customHeight="1">
      <c r="K303" s="151"/>
      <c r="L303" s="151"/>
      <c r="M303" s="151"/>
      <c r="N303" s="151"/>
      <c r="P303" s="151"/>
    </row>
    <row r="304" ht="12.0" customHeight="1">
      <c r="K304" s="151"/>
      <c r="L304" s="151"/>
      <c r="M304" s="151"/>
      <c r="N304" s="151"/>
      <c r="P304" s="151"/>
    </row>
    <row r="305" ht="12.0" customHeight="1">
      <c r="K305" s="151"/>
      <c r="L305" s="151"/>
      <c r="M305" s="151"/>
      <c r="N305" s="151"/>
      <c r="P305" s="151"/>
    </row>
    <row r="306" ht="12.0" customHeight="1">
      <c r="K306" s="151"/>
      <c r="L306" s="151"/>
      <c r="M306" s="151"/>
      <c r="N306" s="151"/>
      <c r="P306" s="151"/>
    </row>
    <row r="307" ht="12.0" customHeight="1">
      <c r="K307" s="151"/>
      <c r="L307" s="151"/>
      <c r="M307" s="151"/>
      <c r="N307" s="151"/>
      <c r="P307" s="151"/>
    </row>
    <row r="308" ht="12.0" customHeight="1">
      <c r="K308" s="151"/>
      <c r="L308" s="151"/>
      <c r="M308" s="151"/>
      <c r="N308" s="151"/>
      <c r="P308" s="151"/>
    </row>
    <row r="309" ht="12.0" customHeight="1">
      <c r="K309" s="151"/>
      <c r="L309" s="151"/>
      <c r="M309" s="151"/>
      <c r="N309" s="151"/>
      <c r="P309" s="151"/>
    </row>
    <row r="310" ht="12.0" customHeight="1">
      <c r="K310" s="151"/>
      <c r="L310" s="151"/>
      <c r="M310" s="151"/>
      <c r="N310" s="151"/>
      <c r="P310" s="151"/>
    </row>
    <row r="311" ht="12.0" customHeight="1">
      <c r="K311" s="151"/>
      <c r="L311" s="151"/>
      <c r="M311" s="151"/>
      <c r="N311" s="151"/>
      <c r="P311" s="151"/>
    </row>
    <row r="312" ht="12.0" customHeight="1">
      <c r="K312" s="151"/>
      <c r="L312" s="151"/>
      <c r="M312" s="151"/>
      <c r="N312" s="151"/>
      <c r="P312" s="151"/>
    </row>
    <row r="313" ht="12.0" customHeight="1">
      <c r="K313" s="151"/>
      <c r="L313" s="151"/>
      <c r="M313" s="151"/>
      <c r="N313" s="151"/>
      <c r="P313" s="151"/>
    </row>
    <row r="314" ht="12.0" customHeight="1">
      <c r="K314" s="151"/>
      <c r="L314" s="151"/>
      <c r="M314" s="151"/>
      <c r="N314" s="151"/>
      <c r="P314" s="151"/>
    </row>
    <row r="315" ht="12.0" customHeight="1">
      <c r="K315" s="151"/>
      <c r="L315" s="151"/>
      <c r="M315" s="151"/>
      <c r="N315" s="151"/>
      <c r="P315" s="151"/>
    </row>
    <row r="316" ht="12.0" customHeight="1">
      <c r="K316" s="151"/>
      <c r="L316" s="151"/>
      <c r="M316" s="151"/>
      <c r="N316" s="151"/>
      <c r="P316" s="151"/>
    </row>
    <row r="317" ht="12.0" customHeight="1">
      <c r="K317" s="151"/>
      <c r="L317" s="151"/>
      <c r="M317" s="151"/>
      <c r="N317" s="151"/>
      <c r="P317" s="151"/>
    </row>
    <row r="318" ht="12.0" customHeight="1">
      <c r="K318" s="151"/>
      <c r="L318" s="151"/>
      <c r="M318" s="151"/>
      <c r="N318" s="151"/>
      <c r="P318" s="151"/>
    </row>
    <row r="319" ht="12.0" customHeight="1">
      <c r="K319" s="151"/>
      <c r="L319" s="151"/>
      <c r="M319" s="151"/>
      <c r="N319" s="151"/>
      <c r="P319" s="151"/>
    </row>
    <row r="320" ht="12.0" customHeight="1">
      <c r="K320" s="151"/>
      <c r="L320" s="151"/>
      <c r="M320" s="151"/>
      <c r="N320" s="151"/>
      <c r="P320" s="151"/>
    </row>
    <row r="321" ht="12.0" customHeight="1">
      <c r="K321" s="151"/>
      <c r="L321" s="151"/>
      <c r="M321" s="151"/>
      <c r="N321" s="151"/>
      <c r="P321" s="151"/>
    </row>
    <row r="322" ht="12.0" customHeight="1">
      <c r="K322" s="151"/>
      <c r="L322" s="151"/>
      <c r="M322" s="151"/>
      <c r="N322" s="151"/>
      <c r="P322" s="151"/>
    </row>
    <row r="323" ht="12.0" customHeight="1">
      <c r="K323" s="151"/>
      <c r="L323" s="151"/>
      <c r="M323" s="151"/>
      <c r="N323" s="151"/>
      <c r="P323" s="151"/>
    </row>
    <row r="324" ht="12.0" customHeight="1">
      <c r="K324" s="151"/>
      <c r="L324" s="151"/>
      <c r="M324" s="151"/>
      <c r="N324" s="151"/>
      <c r="P324" s="151"/>
    </row>
    <row r="325" ht="12.0" customHeight="1">
      <c r="K325" s="151"/>
      <c r="L325" s="151"/>
      <c r="M325" s="151"/>
      <c r="N325" s="151"/>
      <c r="P325" s="151"/>
    </row>
    <row r="326" ht="12.0" customHeight="1">
      <c r="K326" s="151"/>
      <c r="L326" s="151"/>
      <c r="M326" s="151"/>
      <c r="N326" s="151"/>
      <c r="P326" s="151"/>
    </row>
    <row r="327" ht="12.0" customHeight="1">
      <c r="K327" s="151"/>
      <c r="L327" s="151"/>
      <c r="M327" s="151"/>
      <c r="N327" s="151"/>
      <c r="P327" s="151"/>
    </row>
    <row r="328" ht="12.0" customHeight="1">
      <c r="K328" s="151"/>
      <c r="L328" s="151"/>
      <c r="M328" s="151"/>
      <c r="N328" s="151"/>
      <c r="P328" s="151"/>
    </row>
    <row r="329" ht="12.0" customHeight="1">
      <c r="K329" s="151"/>
      <c r="L329" s="151"/>
      <c r="M329" s="151"/>
      <c r="N329" s="151"/>
      <c r="P329" s="151"/>
    </row>
    <row r="330" ht="12.0" customHeight="1">
      <c r="K330" s="151"/>
      <c r="L330" s="151"/>
      <c r="M330" s="151"/>
      <c r="N330" s="151"/>
      <c r="P330" s="151"/>
    </row>
    <row r="331" ht="12.0" customHeight="1">
      <c r="K331" s="151"/>
      <c r="L331" s="151"/>
      <c r="M331" s="151"/>
      <c r="N331" s="151"/>
      <c r="P331" s="151"/>
    </row>
    <row r="332" ht="12.0" customHeight="1">
      <c r="K332" s="151"/>
      <c r="L332" s="151"/>
      <c r="M332" s="151"/>
      <c r="N332" s="151"/>
      <c r="P332" s="151"/>
    </row>
    <row r="333" ht="12.0" customHeight="1">
      <c r="K333" s="151"/>
      <c r="L333" s="151"/>
      <c r="M333" s="151"/>
      <c r="N333" s="151"/>
      <c r="P333" s="151"/>
    </row>
    <row r="334" ht="12.0" customHeight="1">
      <c r="K334" s="151"/>
      <c r="L334" s="151"/>
      <c r="M334" s="151"/>
      <c r="N334" s="151"/>
      <c r="P334" s="151"/>
    </row>
    <row r="335" ht="12.0" customHeight="1">
      <c r="K335" s="151"/>
      <c r="L335" s="151"/>
      <c r="M335" s="151"/>
      <c r="N335" s="151"/>
      <c r="P335" s="151"/>
    </row>
    <row r="336" ht="12.0" customHeight="1">
      <c r="K336" s="151"/>
      <c r="L336" s="151"/>
      <c r="M336" s="151"/>
      <c r="N336" s="151"/>
      <c r="P336" s="151"/>
    </row>
    <row r="337" ht="12.0" customHeight="1">
      <c r="K337" s="151"/>
      <c r="L337" s="151"/>
      <c r="M337" s="151"/>
      <c r="N337" s="151"/>
      <c r="P337" s="151"/>
    </row>
    <row r="338" ht="12.0" customHeight="1">
      <c r="K338" s="151"/>
      <c r="L338" s="151"/>
      <c r="M338" s="151"/>
      <c r="N338" s="151"/>
      <c r="P338" s="151"/>
    </row>
    <row r="339" ht="12.0" customHeight="1">
      <c r="K339" s="151"/>
      <c r="L339" s="151"/>
      <c r="M339" s="151"/>
      <c r="N339" s="151"/>
      <c r="P339" s="151"/>
    </row>
    <row r="340" ht="12.0" customHeight="1">
      <c r="K340" s="151"/>
      <c r="L340" s="151"/>
      <c r="M340" s="151"/>
      <c r="N340" s="151"/>
      <c r="P340" s="151"/>
    </row>
    <row r="341" ht="12.0" customHeight="1">
      <c r="K341" s="151"/>
      <c r="L341" s="151"/>
      <c r="M341" s="151"/>
      <c r="N341" s="151"/>
      <c r="P341" s="151"/>
    </row>
    <row r="342" ht="12.0" customHeight="1">
      <c r="K342" s="151"/>
      <c r="L342" s="151"/>
      <c r="M342" s="151"/>
      <c r="N342" s="151"/>
      <c r="P342" s="151"/>
    </row>
    <row r="343" ht="12.0" customHeight="1">
      <c r="K343" s="151"/>
      <c r="L343" s="151"/>
      <c r="M343" s="151"/>
      <c r="N343" s="151"/>
      <c r="P343" s="151"/>
    </row>
    <row r="344" ht="12.0" customHeight="1">
      <c r="K344" s="151"/>
      <c r="L344" s="151"/>
      <c r="M344" s="151"/>
      <c r="N344" s="151"/>
      <c r="P344" s="151"/>
    </row>
    <row r="345" ht="12.0" customHeight="1">
      <c r="K345" s="151"/>
      <c r="L345" s="151"/>
      <c r="M345" s="151"/>
      <c r="N345" s="151"/>
      <c r="P345" s="151"/>
    </row>
    <row r="346" ht="12.0" customHeight="1">
      <c r="K346" s="151"/>
      <c r="L346" s="151"/>
      <c r="M346" s="151"/>
      <c r="N346" s="151"/>
      <c r="P346" s="151"/>
    </row>
    <row r="347" ht="12.0" customHeight="1">
      <c r="K347" s="151"/>
      <c r="L347" s="151"/>
      <c r="M347" s="151"/>
      <c r="N347" s="151"/>
      <c r="P347" s="151"/>
    </row>
    <row r="348" ht="12.0" customHeight="1">
      <c r="K348" s="151"/>
      <c r="L348" s="151"/>
      <c r="M348" s="151"/>
      <c r="N348" s="151"/>
      <c r="P348" s="151"/>
    </row>
    <row r="349" ht="12.0" customHeight="1">
      <c r="K349" s="151"/>
      <c r="L349" s="151"/>
      <c r="M349" s="151"/>
      <c r="N349" s="151"/>
      <c r="P349" s="151"/>
    </row>
    <row r="350" ht="12.0" customHeight="1">
      <c r="K350" s="151"/>
      <c r="L350" s="151"/>
      <c r="M350" s="151"/>
      <c r="N350" s="151"/>
      <c r="P350" s="151"/>
    </row>
    <row r="351" ht="12.0" customHeight="1">
      <c r="K351" s="151"/>
      <c r="L351" s="151"/>
      <c r="M351" s="151"/>
      <c r="N351" s="151"/>
      <c r="P351" s="151"/>
    </row>
    <row r="352" ht="12.0" customHeight="1">
      <c r="K352" s="151"/>
      <c r="L352" s="151"/>
      <c r="M352" s="151"/>
      <c r="N352" s="151"/>
      <c r="P352" s="151"/>
    </row>
    <row r="353" ht="12.0" customHeight="1">
      <c r="K353" s="151"/>
      <c r="L353" s="151"/>
      <c r="M353" s="151"/>
      <c r="N353" s="151"/>
      <c r="P353" s="151"/>
    </row>
    <row r="354" ht="12.0" customHeight="1">
      <c r="K354" s="151"/>
      <c r="L354" s="151"/>
      <c r="M354" s="151"/>
      <c r="N354" s="151"/>
      <c r="P354" s="151"/>
    </row>
    <row r="355" ht="12.0" customHeight="1">
      <c r="K355" s="151"/>
      <c r="L355" s="151"/>
      <c r="M355" s="151"/>
      <c r="N355" s="151"/>
      <c r="P355" s="151"/>
    </row>
    <row r="356" ht="12.0" customHeight="1">
      <c r="K356" s="151"/>
      <c r="L356" s="151"/>
      <c r="M356" s="151"/>
      <c r="N356" s="151"/>
      <c r="P356" s="151"/>
    </row>
    <row r="357" ht="12.0" customHeight="1">
      <c r="K357" s="151"/>
      <c r="L357" s="151"/>
      <c r="M357" s="151"/>
      <c r="N357" s="151"/>
      <c r="P357" s="151"/>
    </row>
    <row r="358" ht="12.0" customHeight="1">
      <c r="K358" s="151"/>
      <c r="L358" s="151"/>
      <c r="M358" s="151"/>
      <c r="N358" s="151"/>
      <c r="P358" s="151"/>
    </row>
    <row r="359" ht="12.0" customHeight="1">
      <c r="K359" s="151"/>
      <c r="L359" s="151"/>
      <c r="M359" s="151"/>
      <c r="N359" s="151"/>
      <c r="P359" s="151"/>
    </row>
    <row r="360" ht="12.0" customHeight="1">
      <c r="K360" s="151"/>
      <c r="L360" s="151"/>
      <c r="M360" s="151"/>
      <c r="N360" s="151"/>
      <c r="P360" s="151"/>
    </row>
    <row r="361" ht="12.0" customHeight="1">
      <c r="K361" s="151"/>
      <c r="L361" s="151"/>
      <c r="M361" s="151"/>
      <c r="N361" s="151"/>
      <c r="P361" s="151"/>
    </row>
    <row r="362" ht="12.0" customHeight="1">
      <c r="K362" s="151"/>
      <c r="L362" s="151"/>
      <c r="M362" s="151"/>
      <c r="N362" s="151"/>
      <c r="P362" s="151"/>
    </row>
    <row r="363" ht="12.0" customHeight="1">
      <c r="K363" s="151"/>
      <c r="L363" s="151"/>
      <c r="M363" s="151"/>
      <c r="N363" s="151"/>
      <c r="P363" s="151"/>
    </row>
    <row r="364" ht="12.0" customHeight="1">
      <c r="K364" s="151"/>
      <c r="L364" s="151"/>
      <c r="M364" s="151"/>
      <c r="N364" s="151"/>
      <c r="P364" s="151"/>
    </row>
    <row r="365" ht="12.0" customHeight="1">
      <c r="K365" s="151"/>
      <c r="L365" s="151"/>
      <c r="M365" s="151"/>
      <c r="N365" s="151"/>
      <c r="P365" s="151"/>
    </row>
    <row r="366" ht="12.0" customHeight="1">
      <c r="K366" s="151"/>
      <c r="L366" s="151"/>
      <c r="M366" s="151"/>
      <c r="N366" s="151"/>
      <c r="P366" s="151"/>
    </row>
    <row r="367" ht="12.0" customHeight="1">
      <c r="K367" s="151"/>
      <c r="L367" s="151"/>
      <c r="M367" s="151"/>
      <c r="N367" s="151"/>
      <c r="P367" s="151"/>
    </row>
    <row r="368" ht="12.0" customHeight="1">
      <c r="K368" s="151"/>
      <c r="L368" s="151"/>
      <c r="M368" s="151"/>
      <c r="N368" s="151"/>
      <c r="P368" s="151"/>
    </row>
    <row r="369" ht="12.0" customHeight="1">
      <c r="K369" s="151"/>
      <c r="L369" s="151"/>
      <c r="M369" s="151"/>
      <c r="N369" s="151"/>
      <c r="P369" s="151"/>
    </row>
    <row r="370" ht="12.0" customHeight="1">
      <c r="K370" s="151"/>
      <c r="L370" s="151"/>
      <c r="M370" s="151"/>
      <c r="N370" s="151"/>
      <c r="P370" s="151"/>
    </row>
    <row r="371" ht="12.0" customHeight="1">
      <c r="K371" s="151"/>
      <c r="L371" s="151"/>
      <c r="M371" s="151"/>
      <c r="N371" s="151"/>
      <c r="P371" s="151"/>
    </row>
    <row r="372" ht="12.0" customHeight="1">
      <c r="K372" s="151"/>
      <c r="L372" s="151"/>
      <c r="M372" s="151"/>
      <c r="N372" s="151"/>
      <c r="P372" s="151"/>
    </row>
    <row r="373" ht="12.0" customHeight="1">
      <c r="K373" s="151"/>
      <c r="L373" s="151"/>
      <c r="M373" s="151"/>
      <c r="N373" s="151"/>
      <c r="P373" s="151"/>
    </row>
    <row r="374" ht="12.0" customHeight="1">
      <c r="K374" s="151"/>
      <c r="L374" s="151"/>
      <c r="M374" s="151"/>
      <c r="N374" s="151"/>
      <c r="P374" s="151"/>
    </row>
    <row r="375" ht="12.0" customHeight="1">
      <c r="K375" s="151"/>
      <c r="L375" s="151"/>
      <c r="M375" s="151"/>
      <c r="N375" s="151"/>
      <c r="P375" s="151"/>
    </row>
    <row r="376" ht="12.0" customHeight="1">
      <c r="K376" s="151"/>
      <c r="L376" s="151"/>
      <c r="M376" s="151"/>
      <c r="N376" s="151"/>
      <c r="P376" s="151"/>
    </row>
    <row r="377" ht="12.0" customHeight="1">
      <c r="K377" s="151"/>
      <c r="L377" s="151"/>
      <c r="M377" s="151"/>
      <c r="N377" s="151"/>
      <c r="P377" s="151"/>
    </row>
    <row r="378" ht="12.0" customHeight="1">
      <c r="K378" s="151"/>
      <c r="L378" s="151"/>
      <c r="M378" s="151"/>
      <c r="N378" s="151"/>
      <c r="P378" s="151"/>
    </row>
    <row r="379" ht="12.0" customHeight="1">
      <c r="K379" s="151"/>
      <c r="L379" s="151"/>
      <c r="M379" s="151"/>
      <c r="N379" s="151"/>
      <c r="P379" s="151"/>
    </row>
    <row r="380" ht="12.0" customHeight="1">
      <c r="K380" s="151"/>
      <c r="L380" s="151"/>
      <c r="M380" s="151"/>
      <c r="N380" s="151"/>
      <c r="P380" s="151"/>
    </row>
    <row r="381" ht="12.0" customHeight="1">
      <c r="K381" s="151"/>
      <c r="L381" s="151"/>
      <c r="M381" s="151"/>
      <c r="N381" s="151"/>
      <c r="P381" s="151"/>
    </row>
    <row r="382" ht="12.0" customHeight="1">
      <c r="K382" s="151"/>
      <c r="L382" s="151"/>
      <c r="M382" s="151"/>
      <c r="N382" s="151"/>
      <c r="P382" s="151"/>
    </row>
    <row r="383" ht="12.0" customHeight="1">
      <c r="K383" s="151"/>
      <c r="L383" s="151"/>
      <c r="M383" s="151"/>
      <c r="N383" s="151"/>
      <c r="P383" s="151"/>
    </row>
    <row r="384" ht="12.0" customHeight="1">
      <c r="K384" s="151"/>
      <c r="L384" s="151"/>
      <c r="M384" s="151"/>
      <c r="N384" s="151"/>
      <c r="P384" s="151"/>
    </row>
    <row r="385" ht="12.0" customHeight="1">
      <c r="K385" s="151"/>
      <c r="L385" s="151"/>
      <c r="M385" s="151"/>
      <c r="N385" s="151"/>
      <c r="P385" s="151"/>
    </row>
    <row r="386" ht="12.0" customHeight="1">
      <c r="K386" s="151"/>
      <c r="L386" s="151"/>
      <c r="M386" s="151"/>
      <c r="N386" s="151"/>
      <c r="P386" s="151"/>
    </row>
    <row r="387" ht="12.0" customHeight="1">
      <c r="K387" s="151"/>
      <c r="L387" s="151"/>
      <c r="M387" s="151"/>
      <c r="N387" s="151"/>
      <c r="P387" s="151"/>
    </row>
    <row r="388" ht="12.0" customHeight="1">
      <c r="K388" s="151"/>
      <c r="L388" s="151"/>
      <c r="M388" s="151"/>
      <c r="N388" s="151"/>
      <c r="P388" s="151"/>
    </row>
    <row r="389" ht="12.0" customHeight="1">
      <c r="K389" s="151"/>
      <c r="L389" s="151"/>
      <c r="M389" s="151"/>
      <c r="N389" s="151"/>
      <c r="P389" s="151"/>
    </row>
    <row r="390" ht="12.0" customHeight="1">
      <c r="K390" s="151"/>
      <c r="L390" s="151"/>
      <c r="M390" s="151"/>
      <c r="N390" s="151"/>
      <c r="P390" s="151"/>
    </row>
    <row r="391" ht="12.0" customHeight="1">
      <c r="K391" s="151"/>
      <c r="L391" s="151"/>
      <c r="M391" s="151"/>
      <c r="N391" s="151"/>
      <c r="P391" s="151"/>
    </row>
    <row r="392" ht="12.0" customHeight="1">
      <c r="K392" s="151"/>
      <c r="L392" s="151"/>
      <c r="M392" s="151"/>
      <c r="N392" s="151"/>
      <c r="P392" s="151"/>
    </row>
    <row r="393" ht="12.0" customHeight="1">
      <c r="K393" s="151"/>
      <c r="L393" s="151"/>
      <c r="M393" s="151"/>
      <c r="N393" s="151"/>
      <c r="P393" s="151"/>
    </row>
    <row r="394" ht="12.0" customHeight="1">
      <c r="K394" s="151"/>
      <c r="L394" s="151"/>
      <c r="M394" s="151"/>
      <c r="N394" s="151"/>
      <c r="P394" s="151"/>
    </row>
    <row r="395" ht="12.0" customHeight="1">
      <c r="K395" s="151"/>
      <c r="L395" s="151"/>
      <c r="M395" s="151"/>
      <c r="N395" s="151"/>
      <c r="P395" s="151"/>
    </row>
    <row r="396" ht="12.0" customHeight="1">
      <c r="K396" s="151"/>
      <c r="L396" s="151"/>
      <c r="M396" s="151"/>
      <c r="N396" s="151"/>
      <c r="P396" s="151"/>
    </row>
    <row r="397" ht="12.0" customHeight="1">
      <c r="K397" s="151"/>
      <c r="L397" s="151"/>
      <c r="M397" s="151"/>
      <c r="N397" s="151"/>
      <c r="P397" s="151"/>
    </row>
    <row r="398" ht="12.0" customHeight="1">
      <c r="K398" s="151"/>
      <c r="L398" s="151"/>
      <c r="M398" s="151"/>
      <c r="N398" s="151"/>
      <c r="P398" s="151"/>
    </row>
    <row r="399" ht="12.0" customHeight="1">
      <c r="K399" s="151"/>
      <c r="L399" s="151"/>
      <c r="M399" s="151"/>
      <c r="N399" s="151"/>
      <c r="P399" s="151"/>
    </row>
    <row r="400" ht="12.0" customHeight="1">
      <c r="K400" s="151"/>
      <c r="L400" s="151"/>
      <c r="M400" s="151"/>
      <c r="N400" s="151"/>
      <c r="P400" s="151"/>
    </row>
    <row r="401" ht="12.0" customHeight="1">
      <c r="K401" s="151"/>
      <c r="L401" s="151"/>
      <c r="M401" s="151"/>
      <c r="N401" s="151"/>
      <c r="P401" s="151"/>
    </row>
    <row r="402" ht="12.0" customHeight="1">
      <c r="K402" s="151"/>
      <c r="L402" s="151"/>
      <c r="M402" s="151"/>
      <c r="N402" s="151"/>
      <c r="P402" s="151"/>
    </row>
    <row r="403" ht="12.0" customHeight="1">
      <c r="K403" s="151"/>
      <c r="L403" s="151"/>
      <c r="M403" s="151"/>
      <c r="N403" s="151"/>
      <c r="P403" s="151"/>
    </row>
    <row r="404" ht="12.0" customHeight="1">
      <c r="K404" s="151"/>
      <c r="L404" s="151"/>
      <c r="M404" s="151"/>
      <c r="N404" s="151"/>
      <c r="P404" s="151"/>
    </row>
    <row r="405" ht="12.0" customHeight="1">
      <c r="K405" s="151"/>
      <c r="L405" s="151"/>
      <c r="M405" s="151"/>
      <c r="N405" s="151"/>
      <c r="P405" s="151"/>
    </row>
    <row r="406" ht="12.0" customHeight="1">
      <c r="K406" s="151"/>
      <c r="L406" s="151"/>
      <c r="M406" s="151"/>
      <c r="N406" s="151"/>
      <c r="P406" s="151"/>
    </row>
    <row r="407" ht="12.0" customHeight="1">
      <c r="K407" s="151"/>
      <c r="L407" s="151"/>
      <c r="M407" s="151"/>
      <c r="N407" s="151"/>
      <c r="P407" s="151"/>
    </row>
    <row r="408" ht="12.0" customHeight="1">
      <c r="K408" s="151"/>
      <c r="L408" s="151"/>
      <c r="M408" s="151"/>
      <c r="N408" s="151"/>
      <c r="P408" s="151"/>
    </row>
    <row r="409" ht="12.0" customHeight="1">
      <c r="K409" s="151"/>
      <c r="L409" s="151"/>
      <c r="M409" s="151"/>
      <c r="N409" s="151"/>
      <c r="P409" s="151"/>
    </row>
    <row r="410" ht="12.0" customHeight="1">
      <c r="K410" s="151"/>
      <c r="L410" s="151"/>
      <c r="M410" s="151"/>
      <c r="N410" s="151"/>
      <c r="P410" s="151"/>
    </row>
    <row r="411" ht="12.0" customHeight="1">
      <c r="K411" s="151"/>
      <c r="L411" s="151"/>
      <c r="M411" s="151"/>
      <c r="N411" s="151"/>
      <c r="P411" s="151"/>
    </row>
    <row r="412" ht="12.0" customHeight="1">
      <c r="K412" s="151"/>
      <c r="L412" s="151"/>
      <c r="M412" s="151"/>
      <c r="N412" s="151"/>
      <c r="P412" s="151"/>
    </row>
    <row r="413" ht="12.0" customHeight="1">
      <c r="K413" s="151"/>
      <c r="L413" s="151"/>
      <c r="M413" s="151"/>
      <c r="N413" s="151"/>
      <c r="P413" s="151"/>
    </row>
    <row r="414" ht="12.0" customHeight="1">
      <c r="K414" s="151"/>
      <c r="L414" s="151"/>
      <c r="M414" s="151"/>
      <c r="N414" s="151"/>
      <c r="P414" s="151"/>
    </row>
    <row r="415" ht="12.0" customHeight="1">
      <c r="K415" s="151"/>
      <c r="L415" s="151"/>
      <c r="M415" s="151"/>
      <c r="N415" s="151"/>
      <c r="P415" s="151"/>
    </row>
    <row r="416" ht="12.0" customHeight="1">
      <c r="K416" s="151"/>
      <c r="L416" s="151"/>
      <c r="M416" s="151"/>
      <c r="N416" s="151"/>
      <c r="P416" s="151"/>
    </row>
    <row r="417" ht="12.0" customHeight="1">
      <c r="K417" s="151"/>
      <c r="L417" s="151"/>
      <c r="M417" s="151"/>
      <c r="N417" s="151"/>
      <c r="P417" s="151"/>
    </row>
    <row r="418" ht="12.0" customHeight="1">
      <c r="K418" s="151"/>
      <c r="L418" s="151"/>
      <c r="M418" s="151"/>
      <c r="N418" s="151"/>
      <c r="P418" s="151"/>
    </row>
    <row r="419" ht="12.0" customHeight="1">
      <c r="K419" s="151"/>
      <c r="L419" s="151"/>
      <c r="M419" s="151"/>
      <c r="N419" s="151"/>
      <c r="P419" s="151"/>
    </row>
    <row r="420" ht="12.0" customHeight="1">
      <c r="K420" s="151"/>
      <c r="L420" s="151"/>
      <c r="M420" s="151"/>
      <c r="N420" s="151"/>
      <c r="P420" s="151"/>
    </row>
    <row r="421" ht="12.0" customHeight="1">
      <c r="K421" s="151"/>
      <c r="L421" s="151"/>
      <c r="M421" s="151"/>
      <c r="N421" s="151"/>
      <c r="P421" s="151"/>
    </row>
    <row r="422" ht="12.0" customHeight="1">
      <c r="K422" s="151"/>
      <c r="L422" s="151"/>
      <c r="M422" s="151"/>
      <c r="N422" s="151"/>
      <c r="P422" s="151"/>
    </row>
    <row r="423" ht="12.0" customHeight="1">
      <c r="K423" s="151"/>
      <c r="L423" s="151"/>
      <c r="M423" s="151"/>
      <c r="N423" s="151"/>
      <c r="P423" s="151"/>
    </row>
    <row r="424" ht="12.0" customHeight="1">
      <c r="K424" s="151"/>
      <c r="L424" s="151"/>
      <c r="M424" s="151"/>
      <c r="N424" s="151"/>
      <c r="P424" s="151"/>
    </row>
    <row r="425" ht="12.0" customHeight="1">
      <c r="K425" s="151"/>
      <c r="L425" s="151"/>
      <c r="M425" s="151"/>
      <c r="N425" s="151"/>
      <c r="P425" s="151"/>
    </row>
    <row r="426" ht="12.0" customHeight="1">
      <c r="K426" s="151"/>
      <c r="L426" s="151"/>
      <c r="M426" s="151"/>
      <c r="N426" s="151"/>
      <c r="P426" s="151"/>
    </row>
    <row r="427" ht="12.0" customHeight="1">
      <c r="K427" s="151"/>
      <c r="L427" s="151"/>
      <c r="M427" s="151"/>
      <c r="N427" s="151"/>
      <c r="P427" s="151"/>
    </row>
    <row r="428" ht="12.0" customHeight="1">
      <c r="K428" s="151"/>
      <c r="L428" s="151"/>
      <c r="M428" s="151"/>
      <c r="N428" s="151"/>
      <c r="P428" s="151"/>
    </row>
    <row r="429" ht="12.0" customHeight="1">
      <c r="K429" s="151"/>
      <c r="L429" s="151"/>
      <c r="M429" s="151"/>
      <c r="N429" s="151"/>
      <c r="P429" s="151"/>
    </row>
    <row r="430" ht="12.0" customHeight="1">
      <c r="K430" s="151"/>
      <c r="L430" s="151"/>
      <c r="M430" s="151"/>
      <c r="N430" s="151"/>
      <c r="P430" s="151"/>
    </row>
    <row r="431" ht="12.0" customHeight="1">
      <c r="K431" s="151"/>
      <c r="L431" s="151"/>
      <c r="M431" s="151"/>
      <c r="N431" s="151"/>
      <c r="P431" s="151"/>
    </row>
    <row r="432" ht="12.0" customHeight="1">
      <c r="K432" s="151"/>
      <c r="L432" s="151"/>
      <c r="M432" s="151"/>
      <c r="N432" s="151"/>
      <c r="P432" s="151"/>
    </row>
    <row r="433" ht="12.0" customHeight="1">
      <c r="K433" s="151"/>
      <c r="L433" s="151"/>
      <c r="M433" s="151"/>
      <c r="N433" s="151"/>
      <c r="P433" s="151"/>
    </row>
    <row r="434" ht="12.0" customHeight="1">
      <c r="K434" s="151"/>
      <c r="L434" s="151"/>
      <c r="M434" s="151"/>
      <c r="N434" s="151"/>
      <c r="P434" s="151"/>
    </row>
    <row r="435" ht="12.0" customHeight="1">
      <c r="K435" s="151"/>
      <c r="L435" s="151"/>
      <c r="M435" s="151"/>
      <c r="N435" s="151"/>
      <c r="P435" s="151"/>
    </row>
    <row r="436" ht="12.0" customHeight="1">
      <c r="K436" s="151"/>
      <c r="L436" s="151"/>
      <c r="M436" s="151"/>
      <c r="N436" s="151"/>
      <c r="P436" s="151"/>
    </row>
    <row r="437" ht="12.0" customHeight="1">
      <c r="K437" s="151"/>
      <c r="L437" s="151"/>
      <c r="M437" s="151"/>
      <c r="N437" s="151"/>
      <c r="P437" s="151"/>
    </row>
    <row r="438" ht="12.0" customHeight="1">
      <c r="K438" s="151"/>
      <c r="L438" s="151"/>
      <c r="M438" s="151"/>
      <c r="N438" s="151"/>
      <c r="P438" s="151"/>
    </row>
    <row r="439" ht="12.0" customHeight="1">
      <c r="K439" s="151"/>
      <c r="L439" s="151"/>
      <c r="M439" s="151"/>
      <c r="N439" s="151"/>
      <c r="P439" s="151"/>
    </row>
    <row r="440" ht="12.0" customHeight="1">
      <c r="K440" s="151"/>
      <c r="L440" s="151"/>
      <c r="M440" s="151"/>
      <c r="N440" s="151"/>
      <c r="P440" s="151"/>
    </row>
    <row r="441" ht="12.0" customHeight="1">
      <c r="K441" s="151"/>
      <c r="L441" s="151"/>
      <c r="M441" s="151"/>
      <c r="N441" s="151"/>
      <c r="P441" s="151"/>
    </row>
    <row r="442" ht="12.0" customHeight="1">
      <c r="K442" s="151"/>
      <c r="L442" s="151"/>
      <c r="M442" s="151"/>
      <c r="N442" s="151"/>
      <c r="P442" s="151"/>
    </row>
    <row r="443" ht="12.0" customHeight="1">
      <c r="K443" s="151"/>
      <c r="L443" s="151"/>
      <c r="M443" s="151"/>
      <c r="N443" s="151"/>
      <c r="P443" s="151"/>
    </row>
    <row r="444" ht="12.0" customHeight="1">
      <c r="K444" s="151"/>
      <c r="L444" s="151"/>
      <c r="M444" s="151"/>
      <c r="N444" s="151"/>
      <c r="P444" s="151"/>
    </row>
    <row r="445" ht="12.0" customHeight="1">
      <c r="K445" s="151"/>
      <c r="L445" s="151"/>
      <c r="M445" s="151"/>
      <c r="N445" s="151"/>
      <c r="P445" s="151"/>
    </row>
    <row r="446" ht="12.0" customHeight="1">
      <c r="K446" s="151"/>
      <c r="L446" s="151"/>
      <c r="M446" s="151"/>
      <c r="N446" s="151"/>
      <c r="P446" s="151"/>
    </row>
    <row r="447" ht="12.0" customHeight="1">
      <c r="K447" s="151"/>
      <c r="L447" s="151"/>
      <c r="M447" s="151"/>
      <c r="N447" s="151"/>
      <c r="P447" s="151"/>
    </row>
    <row r="448" ht="12.0" customHeight="1">
      <c r="K448" s="151"/>
      <c r="L448" s="151"/>
      <c r="M448" s="151"/>
      <c r="N448" s="151"/>
      <c r="P448" s="151"/>
    </row>
    <row r="449" ht="12.0" customHeight="1">
      <c r="K449" s="151"/>
      <c r="L449" s="151"/>
      <c r="M449" s="151"/>
      <c r="N449" s="151"/>
      <c r="P449" s="151"/>
    </row>
    <row r="450" ht="12.0" customHeight="1">
      <c r="K450" s="151"/>
      <c r="L450" s="151"/>
      <c r="M450" s="151"/>
      <c r="N450" s="151"/>
      <c r="P450" s="151"/>
    </row>
    <row r="451" ht="12.0" customHeight="1">
      <c r="K451" s="151"/>
      <c r="L451" s="151"/>
      <c r="M451" s="151"/>
      <c r="N451" s="151"/>
      <c r="P451" s="151"/>
    </row>
    <row r="452" ht="12.0" customHeight="1">
      <c r="K452" s="151"/>
      <c r="L452" s="151"/>
      <c r="M452" s="151"/>
      <c r="N452" s="151"/>
      <c r="P452" s="151"/>
    </row>
    <row r="453" ht="12.0" customHeight="1">
      <c r="K453" s="151"/>
      <c r="L453" s="151"/>
      <c r="M453" s="151"/>
      <c r="N453" s="151"/>
      <c r="P453" s="151"/>
    </row>
    <row r="454" ht="12.0" customHeight="1">
      <c r="K454" s="151"/>
      <c r="L454" s="151"/>
      <c r="M454" s="151"/>
      <c r="N454" s="151"/>
      <c r="P454" s="151"/>
    </row>
    <row r="455" ht="12.0" customHeight="1">
      <c r="K455" s="151"/>
      <c r="L455" s="151"/>
      <c r="M455" s="151"/>
      <c r="N455" s="151"/>
      <c r="P455" s="151"/>
    </row>
    <row r="456" ht="12.0" customHeight="1">
      <c r="K456" s="151"/>
      <c r="L456" s="151"/>
      <c r="M456" s="151"/>
      <c r="N456" s="151"/>
      <c r="P456" s="151"/>
    </row>
    <row r="457" ht="12.0" customHeight="1">
      <c r="K457" s="151"/>
      <c r="L457" s="151"/>
      <c r="M457" s="151"/>
      <c r="N457" s="151"/>
      <c r="P457" s="151"/>
    </row>
    <row r="458" ht="12.0" customHeight="1">
      <c r="K458" s="151"/>
      <c r="L458" s="151"/>
      <c r="M458" s="151"/>
      <c r="N458" s="151"/>
      <c r="P458" s="151"/>
    </row>
    <row r="459" ht="12.0" customHeight="1">
      <c r="K459" s="151"/>
      <c r="L459" s="151"/>
      <c r="M459" s="151"/>
      <c r="N459" s="151"/>
      <c r="P459" s="151"/>
    </row>
    <row r="460" ht="12.0" customHeight="1">
      <c r="K460" s="151"/>
      <c r="L460" s="151"/>
      <c r="M460" s="151"/>
      <c r="N460" s="151"/>
      <c r="P460" s="151"/>
    </row>
    <row r="461" ht="12.0" customHeight="1">
      <c r="K461" s="151"/>
      <c r="L461" s="151"/>
      <c r="M461" s="151"/>
      <c r="N461" s="151"/>
      <c r="P461" s="151"/>
    </row>
    <row r="462" ht="12.0" customHeight="1">
      <c r="K462" s="151"/>
      <c r="L462" s="151"/>
      <c r="M462" s="151"/>
      <c r="N462" s="151"/>
      <c r="P462" s="151"/>
    </row>
    <row r="463" ht="12.0" customHeight="1">
      <c r="K463" s="151"/>
      <c r="L463" s="151"/>
      <c r="M463" s="151"/>
      <c r="N463" s="151"/>
      <c r="P463" s="151"/>
    </row>
    <row r="464" ht="12.0" customHeight="1">
      <c r="K464" s="151"/>
      <c r="L464" s="151"/>
      <c r="M464" s="151"/>
      <c r="N464" s="151"/>
      <c r="P464" s="151"/>
    </row>
    <row r="465" ht="12.0" customHeight="1">
      <c r="K465" s="151"/>
      <c r="L465" s="151"/>
      <c r="M465" s="151"/>
      <c r="N465" s="151"/>
      <c r="P465" s="151"/>
    </row>
    <row r="466" ht="12.0" customHeight="1">
      <c r="K466" s="151"/>
      <c r="L466" s="151"/>
      <c r="M466" s="151"/>
      <c r="N466" s="151"/>
      <c r="P466" s="151"/>
    </row>
    <row r="467" ht="12.0" customHeight="1">
      <c r="K467" s="151"/>
      <c r="L467" s="151"/>
      <c r="M467" s="151"/>
      <c r="N467" s="151"/>
      <c r="P467" s="151"/>
    </row>
    <row r="468" ht="12.0" customHeight="1">
      <c r="K468" s="151"/>
      <c r="L468" s="151"/>
      <c r="M468" s="151"/>
      <c r="N468" s="151"/>
      <c r="P468" s="151"/>
    </row>
    <row r="469" ht="12.0" customHeight="1">
      <c r="K469" s="151"/>
      <c r="L469" s="151"/>
      <c r="M469" s="151"/>
      <c r="N469" s="151"/>
      <c r="P469" s="151"/>
    </row>
    <row r="470" ht="12.0" customHeight="1">
      <c r="K470" s="151"/>
      <c r="L470" s="151"/>
      <c r="M470" s="151"/>
      <c r="N470" s="151"/>
      <c r="P470" s="151"/>
    </row>
    <row r="471" ht="12.0" customHeight="1">
      <c r="K471" s="151"/>
      <c r="L471" s="151"/>
      <c r="M471" s="151"/>
      <c r="N471" s="151"/>
      <c r="P471" s="151"/>
    </row>
    <row r="472" ht="12.0" customHeight="1">
      <c r="K472" s="151"/>
      <c r="L472" s="151"/>
      <c r="M472" s="151"/>
      <c r="N472" s="151"/>
      <c r="P472" s="151"/>
    </row>
    <row r="473" ht="12.0" customHeight="1">
      <c r="K473" s="151"/>
      <c r="L473" s="151"/>
      <c r="M473" s="151"/>
      <c r="N473" s="151"/>
      <c r="P473" s="151"/>
    </row>
    <row r="474" ht="12.0" customHeight="1">
      <c r="K474" s="151"/>
      <c r="L474" s="151"/>
      <c r="M474" s="151"/>
      <c r="N474" s="151"/>
      <c r="P474" s="151"/>
    </row>
    <row r="475" ht="12.0" customHeight="1">
      <c r="K475" s="151"/>
      <c r="L475" s="151"/>
      <c r="M475" s="151"/>
      <c r="N475" s="151"/>
      <c r="P475" s="151"/>
    </row>
    <row r="476" ht="12.0" customHeight="1">
      <c r="K476" s="151"/>
      <c r="L476" s="151"/>
      <c r="M476" s="151"/>
      <c r="N476" s="151"/>
      <c r="P476" s="151"/>
    </row>
    <row r="477" ht="12.0" customHeight="1">
      <c r="K477" s="151"/>
      <c r="L477" s="151"/>
      <c r="M477" s="151"/>
      <c r="N477" s="151"/>
      <c r="P477" s="151"/>
    </row>
    <row r="478" ht="12.0" customHeight="1">
      <c r="K478" s="151"/>
      <c r="L478" s="151"/>
      <c r="M478" s="151"/>
      <c r="N478" s="151"/>
      <c r="P478" s="151"/>
    </row>
    <row r="479" ht="12.0" customHeight="1">
      <c r="K479" s="151"/>
      <c r="L479" s="151"/>
      <c r="M479" s="151"/>
      <c r="N479" s="151"/>
      <c r="P479" s="151"/>
    </row>
    <row r="480" ht="12.0" customHeight="1">
      <c r="K480" s="151"/>
      <c r="L480" s="151"/>
      <c r="M480" s="151"/>
      <c r="N480" s="151"/>
      <c r="P480" s="151"/>
    </row>
    <row r="481" ht="12.0" customHeight="1">
      <c r="K481" s="151"/>
      <c r="L481" s="151"/>
      <c r="M481" s="151"/>
      <c r="N481" s="151"/>
      <c r="P481" s="151"/>
    </row>
    <row r="482" ht="12.0" customHeight="1">
      <c r="K482" s="151"/>
      <c r="L482" s="151"/>
      <c r="M482" s="151"/>
      <c r="N482" s="151"/>
      <c r="P482" s="151"/>
    </row>
    <row r="483" ht="12.0" customHeight="1">
      <c r="K483" s="151"/>
      <c r="L483" s="151"/>
      <c r="M483" s="151"/>
      <c r="N483" s="151"/>
      <c r="P483" s="151"/>
    </row>
    <row r="484" ht="12.0" customHeight="1">
      <c r="K484" s="151"/>
      <c r="L484" s="151"/>
      <c r="M484" s="151"/>
      <c r="N484" s="151"/>
      <c r="P484" s="151"/>
    </row>
    <row r="485" ht="12.0" customHeight="1">
      <c r="K485" s="151"/>
      <c r="L485" s="151"/>
      <c r="M485" s="151"/>
      <c r="N485" s="151"/>
      <c r="P485" s="151"/>
    </row>
    <row r="486" ht="12.0" customHeight="1">
      <c r="K486" s="151"/>
      <c r="L486" s="151"/>
      <c r="M486" s="151"/>
      <c r="N486" s="151"/>
      <c r="P486" s="151"/>
    </row>
    <row r="487" ht="12.0" customHeight="1">
      <c r="K487" s="151"/>
      <c r="L487" s="151"/>
      <c r="M487" s="151"/>
      <c r="N487" s="151"/>
      <c r="P487" s="151"/>
    </row>
    <row r="488" ht="12.0" customHeight="1">
      <c r="K488" s="151"/>
      <c r="L488" s="151"/>
      <c r="M488" s="151"/>
      <c r="N488" s="151"/>
      <c r="P488" s="151"/>
    </row>
    <row r="489" ht="12.0" customHeight="1">
      <c r="K489" s="151"/>
      <c r="L489" s="151"/>
      <c r="M489" s="151"/>
      <c r="N489" s="151"/>
      <c r="P489" s="151"/>
    </row>
    <row r="490" ht="12.0" customHeight="1">
      <c r="K490" s="151"/>
      <c r="L490" s="151"/>
      <c r="M490" s="151"/>
      <c r="N490" s="151"/>
      <c r="P490" s="151"/>
    </row>
    <row r="491" ht="12.0" customHeight="1">
      <c r="K491" s="151"/>
      <c r="L491" s="151"/>
      <c r="M491" s="151"/>
      <c r="N491" s="151"/>
      <c r="P491" s="151"/>
    </row>
    <row r="492" ht="12.0" customHeight="1">
      <c r="K492" s="151"/>
      <c r="L492" s="151"/>
      <c r="M492" s="151"/>
      <c r="N492" s="151"/>
      <c r="P492" s="151"/>
    </row>
    <row r="493" ht="12.0" customHeight="1">
      <c r="K493" s="151"/>
      <c r="L493" s="151"/>
      <c r="M493" s="151"/>
      <c r="N493" s="151"/>
      <c r="P493" s="151"/>
    </row>
    <row r="494" ht="12.0" customHeight="1">
      <c r="K494" s="151"/>
      <c r="L494" s="151"/>
      <c r="M494" s="151"/>
      <c r="N494" s="151"/>
      <c r="P494" s="151"/>
    </row>
    <row r="495" ht="12.0" customHeight="1">
      <c r="K495" s="151"/>
      <c r="L495" s="151"/>
      <c r="M495" s="151"/>
      <c r="N495" s="151"/>
      <c r="P495" s="151"/>
    </row>
    <row r="496" ht="12.0" customHeight="1">
      <c r="K496" s="151"/>
      <c r="L496" s="151"/>
      <c r="M496" s="151"/>
      <c r="N496" s="151"/>
      <c r="P496" s="151"/>
    </row>
    <row r="497" ht="12.0" customHeight="1">
      <c r="K497" s="151"/>
      <c r="L497" s="151"/>
      <c r="M497" s="151"/>
      <c r="N497" s="151"/>
      <c r="P497" s="151"/>
    </row>
    <row r="498" ht="12.0" customHeight="1">
      <c r="K498" s="151"/>
      <c r="L498" s="151"/>
      <c r="M498" s="151"/>
      <c r="N498" s="151"/>
      <c r="P498" s="151"/>
    </row>
    <row r="499" ht="12.0" customHeight="1">
      <c r="K499" s="151"/>
      <c r="L499" s="151"/>
      <c r="M499" s="151"/>
      <c r="N499" s="151"/>
      <c r="P499" s="151"/>
    </row>
    <row r="500" ht="12.0" customHeight="1">
      <c r="K500" s="151"/>
      <c r="L500" s="151"/>
      <c r="M500" s="151"/>
      <c r="N500" s="151"/>
      <c r="P500" s="151"/>
    </row>
    <row r="501" ht="12.0" customHeight="1">
      <c r="K501" s="151"/>
      <c r="L501" s="151"/>
      <c r="M501" s="151"/>
      <c r="N501" s="151"/>
      <c r="P501" s="151"/>
    </row>
    <row r="502" ht="12.0" customHeight="1">
      <c r="K502" s="151"/>
      <c r="L502" s="151"/>
      <c r="M502" s="151"/>
      <c r="N502" s="151"/>
      <c r="P502" s="151"/>
    </row>
    <row r="503" ht="12.0" customHeight="1">
      <c r="K503" s="151"/>
      <c r="L503" s="151"/>
      <c r="M503" s="151"/>
      <c r="N503" s="151"/>
      <c r="P503" s="151"/>
    </row>
    <row r="504" ht="12.0" customHeight="1">
      <c r="K504" s="151"/>
      <c r="L504" s="151"/>
      <c r="M504" s="151"/>
      <c r="N504" s="151"/>
      <c r="P504" s="151"/>
    </row>
    <row r="505" ht="12.0" customHeight="1">
      <c r="K505" s="151"/>
      <c r="L505" s="151"/>
      <c r="M505" s="151"/>
      <c r="N505" s="151"/>
      <c r="P505" s="151"/>
    </row>
    <row r="506" ht="12.0" customHeight="1">
      <c r="K506" s="151"/>
      <c r="L506" s="151"/>
      <c r="M506" s="151"/>
      <c r="N506" s="151"/>
      <c r="P506" s="151"/>
    </row>
    <row r="507" ht="12.0" customHeight="1">
      <c r="K507" s="151"/>
      <c r="L507" s="151"/>
      <c r="M507" s="151"/>
      <c r="N507" s="151"/>
      <c r="P507" s="151"/>
    </row>
    <row r="508" ht="12.0" customHeight="1">
      <c r="K508" s="151"/>
      <c r="L508" s="151"/>
      <c r="M508" s="151"/>
      <c r="N508" s="151"/>
      <c r="P508" s="151"/>
    </row>
    <row r="509" ht="12.0" customHeight="1">
      <c r="K509" s="151"/>
      <c r="L509" s="151"/>
      <c r="M509" s="151"/>
      <c r="N509" s="151"/>
      <c r="P509" s="151"/>
    </row>
    <row r="510" ht="12.0" customHeight="1">
      <c r="K510" s="151"/>
      <c r="L510" s="151"/>
      <c r="M510" s="151"/>
      <c r="N510" s="151"/>
      <c r="P510" s="151"/>
    </row>
    <row r="511" ht="12.0" customHeight="1">
      <c r="K511" s="151"/>
      <c r="L511" s="151"/>
      <c r="M511" s="151"/>
      <c r="N511" s="151"/>
      <c r="P511" s="151"/>
    </row>
    <row r="512" ht="12.0" customHeight="1">
      <c r="K512" s="151"/>
      <c r="L512" s="151"/>
      <c r="M512" s="151"/>
      <c r="N512" s="151"/>
      <c r="P512" s="151"/>
    </row>
    <row r="513" ht="12.0" customHeight="1">
      <c r="K513" s="151"/>
      <c r="L513" s="151"/>
      <c r="M513" s="151"/>
      <c r="N513" s="151"/>
      <c r="P513" s="151"/>
    </row>
    <row r="514" ht="12.0" customHeight="1">
      <c r="K514" s="151"/>
      <c r="L514" s="151"/>
      <c r="M514" s="151"/>
      <c r="N514" s="151"/>
      <c r="P514" s="151"/>
    </row>
    <row r="515" ht="12.0" customHeight="1">
      <c r="K515" s="151"/>
      <c r="L515" s="151"/>
      <c r="M515" s="151"/>
      <c r="N515" s="151"/>
      <c r="P515" s="151"/>
    </row>
    <row r="516" ht="12.0" customHeight="1">
      <c r="K516" s="151"/>
      <c r="L516" s="151"/>
      <c r="M516" s="151"/>
      <c r="N516" s="151"/>
      <c r="P516" s="151"/>
    </row>
    <row r="517" ht="12.0" customHeight="1">
      <c r="K517" s="151"/>
      <c r="L517" s="151"/>
      <c r="M517" s="151"/>
      <c r="N517" s="151"/>
      <c r="P517" s="151"/>
    </row>
    <row r="518" ht="12.0" customHeight="1">
      <c r="K518" s="151"/>
      <c r="L518" s="151"/>
      <c r="M518" s="151"/>
      <c r="N518" s="151"/>
      <c r="P518" s="151"/>
    </row>
    <row r="519" ht="12.0" customHeight="1">
      <c r="K519" s="151"/>
      <c r="L519" s="151"/>
      <c r="M519" s="151"/>
      <c r="N519" s="151"/>
      <c r="P519" s="151"/>
    </row>
    <row r="520" ht="12.0" customHeight="1">
      <c r="K520" s="151"/>
      <c r="L520" s="151"/>
      <c r="M520" s="151"/>
      <c r="N520" s="151"/>
      <c r="P520" s="151"/>
    </row>
    <row r="521" ht="12.0" customHeight="1">
      <c r="K521" s="151"/>
      <c r="L521" s="151"/>
      <c r="M521" s="151"/>
      <c r="N521" s="151"/>
      <c r="P521" s="151"/>
    </row>
    <row r="522" ht="12.0" customHeight="1">
      <c r="K522" s="151"/>
      <c r="L522" s="151"/>
      <c r="M522" s="151"/>
      <c r="N522" s="151"/>
      <c r="P522" s="151"/>
    </row>
    <row r="523" ht="12.0" customHeight="1">
      <c r="K523" s="151"/>
      <c r="L523" s="151"/>
      <c r="M523" s="151"/>
      <c r="N523" s="151"/>
      <c r="P523" s="151"/>
    </row>
    <row r="524" ht="12.0" customHeight="1">
      <c r="K524" s="151"/>
      <c r="L524" s="151"/>
      <c r="M524" s="151"/>
      <c r="N524" s="151"/>
      <c r="P524" s="151"/>
    </row>
    <row r="525" ht="12.0" customHeight="1">
      <c r="K525" s="151"/>
      <c r="L525" s="151"/>
      <c r="M525" s="151"/>
      <c r="N525" s="151"/>
      <c r="P525" s="151"/>
    </row>
    <row r="526" ht="12.0" customHeight="1">
      <c r="K526" s="151"/>
      <c r="L526" s="151"/>
      <c r="M526" s="151"/>
      <c r="N526" s="151"/>
      <c r="P526" s="151"/>
    </row>
    <row r="527" ht="12.0" customHeight="1">
      <c r="K527" s="151"/>
      <c r="L527" s="151"/>
      <c r="M527" s="151"/>
      <c r="N527" s="151"/>
      <c r="P527" s="151"/>
    </row>
    <row r="528" ht="12.0" customHeight="1">
      <c r="K528" s="151"/>
      <c r="L528" s="151"/>
      <c r="M528" s="151"/>
      <c r="N528" s="151"/>
      <c r="P528" s="151"/>
    </row>
    <row r="529" ht="12.0" customHeight="1">
      <c r="K529" s="151"/>
      <c r="L529" s="151"/>
      <c r="M529" s="151"/>
      <c r="N529" s="151"/>
      <c r="P529" s="151"/>
    </row>
    <row r="530" ht="12.0" customHeight="1">
      <c r="K530" s="151"/>
      <c r="L530" s="151"/>
      <c r="M530" s="151"/>
      <c r="N530" s="151"/>
      <c r="P530" s="151"/>
    </row>
    <row r="531" ht="12.0" customHeight="1">
      <c r="K531" s="151"/>
      <c r="L531" s="151"/>
      <c r="M531" s="151"/>
      <c r="N531" s="151"/>
      <c r="P531" s="151"/>
    </row>
    <row r="532" ht="12.0" customHeight="1">
      <c r="K532" s="151"/>
      <c r="L532" s="151"/>
      <c r="M532" s="151"/>
      <c r="N532" s="151"/>
      <c r="P532" s="151"/>
    </row>
    <row r="533" ht="12.0" customHeight="1">
      <c r="K533" s="151"/>
      <c r="L533" s="151"/>
      <c r="M533" s="151"/>
      <c r="N533" s="151"/>
      <c r="P533" s="151"/>
    </row>
    <row r="534" ht="12.0" customHeight="1">
      <c r="K534" s="151"/>
      <c r="L534" s="151"/>
      <c r="M534" s="151"/>
      <c r="N534" s="151"/>
      <c r="P534" s="151"/>
    </row>
    <row r="535" ht="12.0" customHeight="1">
      <c r="K535" s="151"/>
      <c r="L535" s="151"/>
      <c r="M535" s="151"/>
      <c r="N535" s="151"/>
      <c r="P535" s="151"/>
    </row>
    <row r="536" ht="12.0" customHeight="1">
      <c r="K536" s="151"/>
      <c r="L536" s="151"/>
      <c r="M536" s="151"/>
      <c r="N536" s="151"/>
      <c r="P536" s="151"/>
    </row>
    <row r="537" ht="12.0" customHeight="1">
      <c r="K537" s="151"/>
      <c r="L537" s="151"/>
      <c r="M537" s="151"/>
      <c r="N537" s="151"/>
      <c r="P537" s="151"/>
    </row>
    <row r="538" ht="12.0" customHeight="1">
      <c r="K538" s="151"/>
      <c r="L538" s="151"/>
      <c r="M538" s="151"/>
      <c r="N538" s="151"/>
      <c r="P538" s="151"/>
    </row>
    <row r="539" ht="12.0" customHeight="1">
      <c r="K539" s="151"/>
      <c r="L539" s="151"/>
      <c r="M539" s="151"/>
      <c r="N539" s="151"/>
      <c r="P539" s="151"/>
    </row>
    <row r="540" ht="12.0" customHeight="1">
      <c r="K540" s="151"/>
      <c r="L540" s="151"/>
      <c r="M540" s="151"/>
      <c r="N540" s="151"/>
      <c r="P540" s="151"/>
    </row>
    <row r="541" ht="12.0" customHeight="1">
      <c r="K541" s="151"/>
      <c r="L541" s="151"/>
      <c r="M541" s="151"/>
      <c r="N541" s="151"/>
      <c r="P541" s="151"/>
    </row>
    <row r="542" ht="12.0" customHeight="1">
      <c r="K542" s="151"/>
      <c r="L542" s="151"/>
      <c r="M542" s="151"/>
      <c r="N542" s="151"/>
      <c r="P542" s="151"/>
    </row>
    <row r="543" ht="12.0" customHeight="1">
      <c r="K543" s="151"/>
      <c r="L543" s="151"/>
      <c r="M543" s="151"/>
      <c r="N543" s="151"/>
      <c r="P543" s="151"/>
    </row>
    <row r="544" ht="12.0" customHeight="1">
      <c r="K544" s="151"/>
      <c r="L544" s="151"/>
      <c r="M544" s="151"/>
      <c r="N544" s="151"/>
      <c r="P544" s="151"/>
    </row>
    <row r="545" ht="12.0" customHeight="1">
      <c r="K545" s="151"/>
      <c r="L545" s="151"/>
      <c r="M545" s="151"/>
      <c r="N545" s="151"/>
      <c r="P545" s="151"/>
    </row>
    <row r="546" ht="12.0" customHeight="1">
      <c r="K546" s="151"/>
      <c r="L546" s="151"/>
      <c r="M546" s="151"/>
      <c r="N546" s="151"/>
      <c r="P546" s="151"/>
    </row>
    <row r="547" ht="12.0" customHeight="1">
      <c r="K547" s="151"/>
      <c r="L547" s="151"/>
      <c r="M547" s="151"/>
      <c r="N547" s="151"/>
      <c r="P547" s="151"/>
    </row>
    <row r="548" ht="12.0" customHeight="1">
      <c r="K548" s="151"/>
      <c r="L548" s="151"/>
      <c r="M548" s="151"/>
      <c r="N548" s="151"/>
      <c r="P548" s="151"/>
    </row>
    <row r="549" ht="12.0" customHeight="1">
      <c r="K549" s="151"/>
      <c r="L549" s="151"/>
      <c r="M549" s="151"/>
      <c r="N549" s="151"/>
      <c r="P549" s="151"/>
    </row>
    <row r="550" ht="12.0" customHeight="1">
      <c r="K550" s="151"/>
      <c r="L550" s="151"/>
      <c r="M550" s="151"/>
      <c r="N550" s="151"/>
      <c r="P550" s="151"/>
    </row>
    <row r="551" ht="12.0" customHeight="1">
      <c r="K551" s="151"/>
      <c r="L551" s="151"/>
      <c r="M551" s="151"/>
      <c r="N551" s="151"/>
      <c r="P551" s="151"/>
    </row>
    <row r="552" ht="12.0" customHeight="1">
      <c r="K552" s="151"/>
      <c r="L552" s="151"/>
      <c r="M552" s="151"/>
      <c r="N552" s="151"/>
      <c r="P552" s="151"/>
    </row>
    <row r="553" ht="12.0" customHeight="1">
      <c r="K553" s="151"/>
      <c r="L553" s="151"/>
      <c r="M553" s="151"/>
      <c r="N553" s="151"/>
      <c r="P553" s="151"/>
    </row>
    <row r="554" ht="12.0" customHeight="1">
      <c r="K554" s="151"/>
      <c r="L554" s="151"/>
      <c r="M554" s="151"/>
      <c r="N554" s="151"/>
      <c r="P554" s="151"/>
    </row>
    <row r="555" ht="12.0" customHeight="1">
      <c r="K555" s="151"/>
      <c r="L555" s="151"/>
      <c r="M555" s="151"/>
      <c r="N555" s="151"/>
      <c r="P555" s="151"/>
    </row>
    <row r="556" ht="12.0" customHeight="1">
      <c r="K556" s="151"/>
      <c r="L556" s="151"/>
      <c r="M556" s="151"/>
      <c r="N556" s="151"/>
      <c r="P556" s="151"/>
    </row>
    <row r="557" ht="12.0" customHeight="1">
      <c r="K557" s="151"/>
      <c r="L557" s="151"/>
      <c r="M557" s="151"/>
      <c r="N557" s="151"/>
      <c r="P557" s="151"/>
    </row>
    <row r="558" ht="12.0" customHeight="1">
      <c r="K558" s="151"/>
      <c r="L558" s="151"/>
      <c r="M558" s="151"/>
      <c r="N558" s="151"/>
      <c r="P558" s="151"/>
    </row>
    <row r="559" ht="12.0" customHeight="1">
      <c r="K559" s="151"/>
      <c r="L559" s="151"/>
      <c r="M559" s="151"/>
      <c r="N559" s="151"/>
      <c r="P559" s="151"/>
    </row>
    <row r="560" ht="12.0" customHeight="1">
      <c r="K560" s="151"/>
      <c r="L560" s="151"/>
      <c r="M560" s="151"/>
      <c r="N560" s="151"/>
      <c r="P560" s="151"/>
    </row>
    <row r="561" ht="12.0" customHeight="1">
      <c r="K561" s="151"/>
      <c r="L561" s="151"/>
      <c r="M561" s="151"/>
      <c r="N561" s="151"/>
      <c r="P561" s="151"/>
    </row>
    <row r="562" ht="12.0" customHeight="1">
      <c r="K562" s="151"/>
      <c r="L562" s="151"/>
      <c r="M562" s="151"/>
      <c r="N562" s="151"/>
      <c r="P562" s="151"/>
    </row>
    <row r="563" ht="12.0" customHeight="1">
      <c r="K563" s="151"/>
      <c r="L563" s="151"/>
      <c r="M563" s="151"/>
      <c r="N563" s="151"/>
      <c r="P563" s="151"/>
    </row>
    <row r="564" ht="12.0" customHeight="1">
      <c r="K564" s="151"/>
      <c r="L564" s="151"/>
      <c r="M564" s="151"/>
      <c r="N564" s="151"/>
      <c r="P564" s="151"/>
    </row>
    <row r="565" ht="12.0" customHeight="1">
      <c r="K565" s="151"/>
      <c r="L565" s="151"/>
      <c r="M565" s="151"/>
      <c r="N565" s="151"/>
      <c r="P565" s="151"/>
    </row>
    <row r="566" ht="12.0" customHeight="1">
      <c r="K566" s="151"/>
      <c r="L566" s="151"/>
      <c r="M566" s="151"/>
      <c r="N566" s="151"/>
      <c r="P566" s="151"/>
    </row>
    <row r="567" ht="12.0" customHeight="1">
      <c r="K567" s="151"/>
      <c r="L567" s="151"/>
      <c r="M567" s="151"/>
      <c r="N567" s="151"/>
      <c r="P567" s="151"/>
    </row>
    <row r="568" ht="12.0" customHeight="1">
      <c r="K568" s="151"/>
      <c r="L568" s="151"/>
      <c r="M568" s="151"/>
      <c r="N568" s="151"/>
      <c r="P568" s="151"/>
    </row>
    <row r="569" ht="12.0" customHeight="1">
      <c r="K569" s="151"/>
      <c r="L569" s="151"/>
      <c r="M569" s="151"/>
      <c r="N569" s="151"/>
      <c r="P569" s="151"/>
    </row>
    <row r="570" ht="12.0" customHeight="1">
      <c r="K570" s="151"/>
      <c r="L570" s="151"/>
      <c r="M570" s="151"/>
      <c r="N570" s="151"/>
      <c r="P570" s="151"/>
    </row>
    <row r="571" ht="12.0" customHeight="1">
      <c r="K571" s="151"/>
      <c r="L571" s="151"/>
      <c r="M571" s="151"/>
      <c r="N571" s="151"/>
      <c r="P571" s="151"/>
    </row>
    <row r="572" ht="12.0" customHeight="1">
      <c r="K572" s="151"/>
      <c r="L572" s="151"/>
      <c r="M572" s="151"/>
      <c r="N572" s="151"/>
      <c r="P572" s="151"/>
    </row>
    <row r="573" ht="12.0" customHeight="1">
      <c r="K573" s="151"/>
      <c r="L573" s="151"/>
      <c r="M573" s="151"/>
      <c r="N573" s="151"/>
      <c r="P573" s="151"/>
    </row>
    <row r="574" ht="12.0" customHeight="1">
      <c r="K574" s="151"/>
      <c r="L574" s="151"/>
      <c r="M574" s="151"/>
      <c r="N574" s="151"/>
      <c r="P574" s="151"/>
    </row>
    <row r="575" ht="12.0" customHeight="1">
      <c r="K575" s="151"/>
      <c r="L575" s="151"/>
      <c r="M575" s="151"/>
      <c r="N575" s="151"/>
      <c r="P575" s="151"/>
    </row>
    <row r="576" ht="12.0" customHeight="1">
      <c r="K576" s="151"/>
      <c r="L576" s="151"/>
      <c r="M576" s="151"/>
      <c r="N576" s="151"/>
      <c r="P576" s="151"/>
    </row>
    <row r="577" ht="12.0" customHeight="1">
      <c r="K577" s="151"/>
      <c r="L577" s="151"/>
      <c r="M577" s="151"/>
      <c r="N577" s="151"/>
      <c r="P577" s="151"/>
    </row>
    <row r="578" ht="12.0" customHeight="1">
      <c r="K578" s="151"/>
      <c r="L578" s="151"/>
      <c r="M578" s="151"/>
      <c r="N578" s="151"/>
      <c r="P578" s="151"/>
    </row>
    <row r="579" ht="12.0" customHeight="1">
      <c r="K579" s="151"/>
      <c r="L579" s="151"/>
      <c r="M579" s="151"/>
      <c r="N579" s="151"/>
      <c r="P579" s="151"/>
    </row>
    <row r="580" ht="12.0" customHeight="1">
      <c r="K580" s="151"/>
      <c r="L580" s="151"/>
      <c r="M580" s="151"/>
      <c r="N580" s="151"/>
      <c r="P580" s="151"/>
    </row>
    <row r="581" ht="12.0" customHeight="1">
      <c r="K581" s="151"/>
      <c r="L581" s="151"/>
      <c r="M581" s="151"/>
      <c r="N581" s="151"/>
      <c r="P581" s="151"/>
    </row>
    <row r="582" ht="12.0" customHeight="1">
      <c r="K582" s="151"/>
      <c r="L582" s="151"/>
      <c r="M582" s="151"/>
      <c r="N582" s="151"/>
      <c r="P582" s="151"/>
    </row>
    <row r="583" ht="12.0" customHeight="1">
      <c r="K583" s="151"/>
      <c r="L583" s="151"/>
      <c r="M583" s="151"/>
      <c r="N583" s="151"/>
      <c r="P583" s="151"/>
    </row>
    <row r="584" ht="12.0" customHeight="1">
      <c r="K584" s="151"/>
      <c r="L584" s="151"/>
      <c r="M584" s="151"/>
      <c r="N584" s="151"/>
      <c r="P584" s="151"/>
    </row>
    <row r="585" ht="12.0" customHeight="1">
      <c r="K585" s="151"/>
      <c r="L585" s="151"/>
      <c r="M585" s="151"/>
      <c r="N585" s="151"/>
      <c r="P585" s="151"/>
    </row>
    <row r="586" ht="12.0" customHeight="1">
      <c r="K586" s="151"/>
      <c r="L586" s="151"/>
      <c r="M586" s="151"/>
      <c r="N586" s="151"/>
      <c r="P586" s="151"/>
    </row>
    <row r="587" ht="12.0" customHeight="1">
      <c r="K587" s="151"/>
      <c r="L587" s="151"/>
      <c r="M587" s="151"/>
      <c r="N587" s="151"/>
      <c r="P587" s="151"/>
    </row>
    <row r="588" ht="12.0" customHeight="1">
      <c r="K588" s="151"/>
      <c r="L588" s="151"/>
      <c r="M588" s="151"/>
      <c r="N588" s="151"/>
      <c r="P588" s="151"/>
    </row>
    <row r="589" ht="12.0" customHeight="1">
      <c r="K589" s="151"/>
      <c r="L589" s="151"/>
      <c r="M589" s="151"/>
      <c r="N589" s="151"/>
      <c r="P589" s="151"/>
    </row>
    <row r="590" ht="12.0" customHeight="1">
      <c r="K590" s="151"/>
      <c r="L590" s="151"/>
      <c r="M590" s="151"/>
      <c r="N590" s="151"/>
      <c r="P590" s="151"/>
    </row>
    <row r="591" ht="12.0" customHeight="1">
      <c r="K591" s="151"/>
      <c r="L591" s="151"/>
      <c r="M591" s="151"/>
      <c r="N591" s="151"/>
      <c r="P591" s="151"/>
    </row>
    <row r="592" ht="12.0" customHeight="1">
      <c r="K592" s="151"/>
      <c r="L592" s="151"/>
      <c r="M592" s="151"/>
      <c r="N592" s="151"/>
      <c r="P592" s="151"/>
    </row>
    <row r="593" ht="12.0" customHeight="1">
      <c r="K593" s="151"/>
      <c r="L593" s="151"/>
      <c r="M593" s="151"/>
      <c r="N593" s="151"/>
      <c r="P593" s="151"/>
    </row>
    <row r="594" ht="12.0" customHeight="1">
      <c r="K594" s="151"/>
      <c r="L594" s="151"/>
      <c r="M594" s="151"/>
      <c r="N594" s="151"/>
      <c r="P594" s="151"/>
    </row>
    <row r="595" ht="12.0" customHeight="1">
      <c r="K595" s="151"/>
      <c r="L595" s="151"/>
      <c r="M595" s="151"/>
      <c r="N595" s="151"/>
      <c r="P595" s="151"/>
    </row>
    <row r="596" ht="12.0" customHeight="1">
      <c r="K596" s="151"/>
      <c r="L596" s="151"/>
      <c r="M596" s="151"/>
      <c r="N596" s="151"/>
      <c r="P596" s="151"/>
    </row>
    <row r="597" ht="12.0" customHeight="1">
      <c r="K597" s="151"/>
      <c r="L597" s="151"/>
      <c r="M597" s="151"/>
      <c r="N597" s="151"/>
      <c r="P597" s="151"/>
    </row>
    <row r="598" ht="12.0" customHeight="1">
      <c r="K598" s="151"/>
      <c r="L598" s="151"/>
      <c r="M598" s="151"/>
      <c r="N598" s="151"/>
      <c r="P598" s="151"/>
    </row>
    <row r="599" ht="12.0" customHeight="1">
      <c r="K599" s="151"/>
      <c r="L599" s="151"/>
      <c r="M599" s="151"/>
      <c r="N599" s="151"/>
      <c r="P599" s="151"/>
    </row>
    <row r="600" ht="12.0" customHeight="1">
      <c r="K600" s="151"/>
      <c r="L600" s="151"/>
      <c r="M600" s="151"/>
      <c r="N600" s="151"/>
      <c r="P600" s="151"/>
    </row>
    <row r="601" ht="12.0" customHeight="1">
      <c r="K601" s="151"/>
      <c r="L601" s="151"/>
      <c r="M601" s="151"/>
      <c r="N601" s="151"/>
      <c r="P601" s="151"/>
    </row>
    <row r="602" ht="12.0" customHeight="1">
      <c r="K602" s="151"/>
      <c r="L602" s="151"/>
      <c r="M602" s="151"/>
      <c r="N602" s="151"/>
      <c r="P602" s="151"/>
    </row>
    <row r="603" ht="12.0" customHeight="1">
      <c r="K603" s="151"/>
      <c r="L603" s="151"/>
      <c r="M603" s="151"/>
      <c r="N603" s="151"/>
      <c r="P603" s="151"/>
    </row>
    <row r="604" ht="12.0" customHeight="1">
      <c r="K604" s="151"/>
      <c r="L604" s="151"/>
      <c r="M604" s="151"/>
      <c r="N604" s="151"/>
      <c r="P604" s="151"/>
    </row>
    <row r="605" ht="12.0" customHeight="1">
      <c r="K605" s="151"/>
      <c r="L605" s="151"/>
      <c r="M605" s="151"/>
      <c r="N605" s="151"/>
      <c r="P605" s="151"/>
    </row>
    <row r="606" ht="12.0" customHeight="1">
      <c r="K606" s="151"/>
      <c r="L606" s="151"/>
      <c r="M606" s="151"/>
      <c r="N606" s="151"/>
      <c r="P606" s="151"/>
    </row>
    <row r="607" ht="12.0" customHeight="1">
      <c r="K607" s="151"/>
      <c r="L607" s="151"/>
      <c r="M607" s="151"/>
      <c r="N607" s="151"/>
      <c r="P607" s="151"/>
    </row>
    <row r="608" ht="12.0" customHeight="1">
      <c r="K608" s="151"/>
      <c r="L608" s="151"/>
      <c r="M608" s="151"/>
      <c r="N608" s="151"/>
      <c r="P608" s="151"/>
    </row>
    <row r="609" ht="12.0" customHeight="1">
      <c r="K609" s="151"/>
      <c r="L609" s="151"/>
      <c r="M609" s="151"/>
      <c r="N609" s="151"/>
      <c r="P609" s="151"/>
    </row>
    <row r="610" ht="12.0" customHeight="1">
      <c r="K610" s="151"/>
      <c r="L610" s="151"/>
      <c r="M610" s="151"/>
      <c r="N610" s="151"/>
      <c r="P610" s="151"/>
    </row>
    <row r="611" ht="12.0" customHeight="1">
      <c r="K611" s="151"/>
      <c r="L611" s="151"/>
      <c r="M611" s="151"/>
      <c r="N611" s="151"/>
      <c r="P611" s="151"/>
    </row>
    <row r="612" ht="12.0" customHeight="1">
      <c r="K612" s="151"/>
      <c r="L612" s="151"/>
      <c r="M612" s="151"/>
      <c r="N612" s="151"/>
      <c r="P612" s="151"/>
    </row>
    <row r="613" ht="12.0" customHeight="1">
      <c r="K613" s="151"/>
      <c r="L613" s="151"/>
      <c r="M613" s="151"/>
      <c r="N613" s="151"/>
      <c r="P613" s="151"/>
    </row>
    <row r="614" ht="12.0" customHeight="1">
      <c r="K614" s="151"/>
      <c r="L614" s="151"/>
      <c r="M614" s="151"/>
      <c r="N614" s="151"/>
      <c r="P614" s="151"/>
    </row>
    <row r="615" ht="12.0" customHeight="1">
      <c r="K615" s="151"/>
      <c r="L615" s="151"/>
      <c r="M615" s="151"/>
      <c r="N615" s="151"/>
      <c r="P615" s="151"/>
    </row>
    <row r="616" ht="12.0" customHeight="1">
      <c r="K616" s="151"/>
      <c r="L616" s="151"/>
      <c r="M616" s="151"/>
      <c r="N616" s="151"/>
      <c r="P616" s="151"/>
    </row>
    <row r="617" ht="12.0" customHeight="1">
      <c r="K617" s="151"/>
      <c r="L617" s="151"/>
      <c r="M617" s="151"/>
      <c r="N617" s="151"/>
      <c r="P617" s="151"/>
    </row>
    <row r="618" ht="12.0" customHeight="1">
      <c r="K618" s="151"/>
      <c r="L618" s="151"/>
      <c r="M618" s="151"/>
      <c r="N618" s="151"/>
      <c r="P618" s="151"/>
    </row>
    <row r="619" ht="12.0" customHeight="1">
      <c r="K619" s="151"/>
      <c r="L619" s="151"/>
      <c r="M619" s="151"/>
      <c r="N619" s="151"/>
      <c r="P619" s="151"/>
    </row>
    <row r="620" ht="12.0" customHeight="1">
      <c r="K620" s="151"/>
      <c r="L620" s="151"/>
      <c r="M620" s="151"/>
      <c r="N620" s="151"/>
      <c r="P620" s="151"/>
    </row>
    <row r="621" ht="12.0" customHeight="1">
      <c r="K621" s="151"/>
      <c r="L621" s="151"/>
      <c r="M621" s="151"/>
      <c r="N621" s="151"/>
      <c r="P621" s="151"/>
    </row>
    <row r="622" ht="12.0" customHeight="1">
      <c r="K622" s="151"/>
      <c r="L622" s="151"/>
      <c r="M622" s="151"/>
      <c r="N622" s="151"/>
      <c r="P622" s="151"/>
    </row>
    <row r="623" ht="12.0" customHeight="1">
      <c r="K623" s="151"/>
      <c r="L623" s="151"/>
      <c r="M623" s="151"/>
      <c r="N623" s="151"/>
      <c r="P623" s="151"/>
    </row>
    <row r="624" ht="12.0" customHeight="1">
      <c r="K624" s="151"/>
      <c r="L624" s="151"/>
      <c r="M624" s="151"/>
      <c r="N624" s="151"/>
      <c r="P624" s="151"/>
    </row>
    <row r="625" ht="12.0" customHeight="1">
      <c r="K625" s="151"/>
      <c r="L625" s="151"/>
      <c r="M625" s="151"/>
      <c r="N625" s="151"/>
      <c r="P625" s="151"/>
    </row>
    <row r="626" ht="12.0" customHeight="1">
      <c r="K626" s="151"/>
      <c r="L626" s="151"/>
      <c r="M626" s="151"/>
      <c r="N626" s="151"/>
      <c r="P626" s="151"/>
    </row>
    <row r="627" ht="12.0" customHeight="1">
      <c r="K627" s="151"/>
      <c r="L627" s="151"/>
      <c r="M627" s="151"/>
      <c r="N627" s="151"/>
      <c r="P627" s="151"/>
    </row>
    <row r="628" ht="12.0" customHeight="1">
      <c r="K628" s="151"/>
      <c r="L628" s="151"/>
      <c r="M628" s="151"/>
      <c r="N628" s="151"/>
      <c r="P628" s="151"/>
    </row>
    <row r="629" ht="12.0" customHeight="1">
      <c r="K629" s="151"/>
      <c r="L629" s="151"/>
      <c r="M629" s="151"/>
      <c r="N629" s="151"/>
      <c r="P629" s="151"/>
    </row>
    <row r="630" ht="12.0" customHeight="1">
      <c r="K630" s="151"/>
      <c r="L630" s="151"/>
      <c r="M630" s="151"/>
      <c r="N630" s="151"/>
      <c r="P630" s="151"/>
    </row>
    <row r="631" ht="12.0" customHeight="1">
      <c r="K631" s="151"/>
      <c r="L631" s="151"/>
      <c r="M631" s="151"/>
      <c r="N631" s="151"/>
      <c r="P631" s="151"/>
    </row>
    <row r="632" ht="12.0" customHeight="1">
      <c r="K632" s="151"/>
      <c r="L632" s="151"/>
      <c r="M632" s="151"/>
      <c r="N632" s="151"/>
      <c r="P632" s="151"/>
    </row>
    <row r="633" ht="12.0" customHeight="1">
      <c r="K633" s="151"/>
      <c r="L633" s="151"/>
      <c r="M633" s="151"/>
      <c r="N633" s="151"/>
      <c r="P633" s="151"/>
    </row>
    <row r="634" ht="12.0" customHeight="1">
      <c r="K634" s="151"/>
      <c r="L634" s="151"/>
      <c r="M634" s="151"/>
      <c r="N634" s="151"/>
      <c r="P634" s="151"/>
    </row>
    <row r="635" ht="12.0" customHeight="1">
      <c r="K635" s="151"/>
      <c r="L635" s="151"/>
      <c r="M635" s="151"/>
      <c r="N635" s="151"/>
      <c r="P635" s="151"/>
    </row>
    <row r="636" ht="12.0" customHeight="1">
      <c r="K636" s="151"/>
      <c r="L636" s="151"/>
      <c r="M636" s="151"/>
      <c r="N636" s="151"/>
      <c r="P636" s="151"/>
    </row>
    <row r="637" ht="12.0" customHeight="1">
      <c r="K637" s="151"/>
      <c r="L637" s="151"/>
      <c r="M637" s="151"/>
      <c r="N637" s="151"/>
      <c r="P637" s="151"/>
    </row>
    <row r="638" ht="12.0" customHeight="1">
      <c r="K638" s="151"/>
      <c r="L638" s="151"/>
      <c r="M638" s="151"/>
      <c r="N638" s="151"/>
      <c r="P638" s="151"/>
    </row>
    <row r="639" ht="12.0" customHeight="1">
      <c r="K639" s="151"/>
      <c r="L639" s="151"/>
      <c r="M639" s="151"/>
      <c r="N639" s="151"/>
      <c r="P639" s="151"/>
    </row>
    <row r="640" ht="12.0" customHeight="1">
      <c r="K640" s="151"/>
      <c r="L640" s="151"/>
      <c r="M640" s="151"/>
      <c r="N640" s="151"/>
      <c r="P640" s="151"/>
    </row>
    <row r="641" ht="12.0" customHeight="1">
      <c r="K641" s="151"/>
      <c r="L641" s="151"/>
      <c r="M641" s="151"/>
      <c r="N641" s="151"/>
      <c r="P641" s="151"/>
    </row>
    <row r="642" ht="12.0" customHeight="1">
      <c r="K642" s="151"/>
      <c r="L642" s="151"/>
      <c r="M642" s="151"/>
      <c r="N642" s="151"/>
      <c r="P642" s="151"/>
    </row>
    <row r="643" ht="12.0" customHeight="1">
      <c r="K643" s="151"/>
      <c r="L643" s="151"/>
      <c r="M643" s="151"/>
      <c r="N643" s="151"/>
      <c r="P643" s="151"/>
    </row>
    <row r="644" ht="12.0" customHeight="1">
      <c r="K644" s="151"/>
      <c r="L644" s="151"/>
      <c r="M644" s="151"/>
      <c r="N644" s="151"/>
      <c r="P644" s="151"/>
    </row>
    <row r="645" ht="12.0" customHeight="1">
      <c r="K645" s="151"/>
      <c r="L645" s="151"/>
      <c r="M645" s="151"/>
      <c r="N645" s="151"/>
      <c r="P645" s="151"/>
    </row>
    <row r="646" ht="12.0" customHeight="1">
      <c r="K646" s="151"/>
      <c r="L646" s="151"/>
      <c r="M646" s="151"/>
      <c r="N646" s="151"/>
      <c r="P646" s="151"/>
    </row>
    <row r="647" ht="12.0" customHeight="1">
      <c r="K647" s="151"/>
      <c r="L647" s="151"/>
      <c r="M647" s="151"/>
      <c r="N647" s="151"/>
      <c r="P647" s="151"/>
    </row>
    <row r="648" ht="12.0" customHeight="1">
      <c r="K648" s="151"/>
      <c r="L648" s="151"/>
      <c r="M648" s="151"/>
      <c r="N648" s="151"/>
      <c r="P648" s="151"/>
    </row>
    <row r="649" ht="12.0" customHeight="1">
      <c r="K649" s="151"/>
      <c r="L649" s="151"/>
      <c r="M649" s="151"/>
      <c r="N649" s="151"/>
      <c r="P649" s="151"/>
    </row>
    <row r="650" ht="12.0" customHeight="1">
      <c r="K650" s="151"/>
      <c r="L650" s="151"/>
      <c r="M650" s="151"/>
      <c r="N650" s="151"/>
      <c r="P650" s="151"/>
    </row>
    <row r="651" ht="12.0" customHeight="1">
      <c r="K651" s="151"/>
      <c r="L651" s="151"/>
      <c r="M651" s="151"/>
      <c r="N651" s="151"/>
      <c r="P651" s="151"/>
    </row>
    <row r="652" ht="12.0" customHeight="1">
      <c r="K652" s="151"/>
      <c r="L652" s="151"/>
      <c r="M652" s="151"/>
      <c r="N652" s="151"/>
      <c r="P652" s="151"/>
    </row>
    <row r="653" ht="12.0" customHeight="1">
      <c r="K653" s="151"/>
      <c r="L653" s="151"/>
      <c r="M653" s="151"/>
      <c r="N653" s="151"/>
      <c r="P653" s="151"/>
    </row>
    <row r="654" ht="12.0" customHeight="1">
      <c r="K654" s="151"/>
      <c r="L654" s="151"/>
      <c r="M654" s="151"/>
      <c r="N654" s="151"/>
      <c r="P654" s="151"/>
    </row>
    <row r="655" ht="12.0" customHeight="1">
      <c r="K655" s="151"/>
      <c r="L655" s="151"/>
      <c r="M655" s="151"/>
      <c r="N655" s="151"/>
      <c r="P655" s="151"/>
    </row>
    <row r="656" ht="12.0" customHeight="1">
      <c r="K656" s="151"/>
      <c r="L656" s="151"/>
      <c r="M656" s="151"/>
      <c r="N656" s="151"/>
      <c r="P656" s="151"/>
    </row>
    <row r="657" ht="12.0" customHeight="1">
      <c r="K657" s="151"/>
      <c r="L657" s="151"/>
      <c r="M657" s="151"/>
      <c r="N657" s="151"/>
      <c r="P657" s="151"/>
    </row>
    <row r="658" ht="12.0" customHeight="1">
      <c r="K658" s="151"/>
      <c r="L658" s="151"/>
      <c r="M658" s="151"/>
      <c r="N658" s="151"/>
      <c r="P658" s="151"/>
    </row>
    <row r="659" ht="12.0" customHeight="1">
      <c r="K659" s="151"/>
      <c r="L659" s="151"/>
      <c r="M659" s="151"/>
      <c r="N659" s="151"/>
      <c r="P659" s="151"/>
    </row>
    <row r="660" ht="12.0" customHeight="1">
      <c r="K660" s="151"/>
      <c r="L660" s="151"/>
      <c r="M660" s="151"/>
      <c r="N660" s="151"/>
      <c r="P660" s="151"/>
    </row>
    <row r="661" ht="12.0" customHeight="1">
      <c r="K661" s="151"/>
      <c r="L661" s="151"/>
      <c r="M661" s="151"/>
      <c r="N661" s="151"/>
      <c r="P661" s="151"/>
    </row>
    <row r="662" ht="12.0" customHeight="1">
      <c r="K662" s="151"/>
      <c r="L662" s="151"/>
      <c r="M662" s="151"/>
      <c r="N662" s="151"/>
      <c r="P662" s="151"/>
    </row>
    <row r="663" ht="12.0" customHeight="1">
      <c r="K663" s="151"/>
      <c r="L663" s="151"/>
      <c r="M663" s="151"/>
      <c r="N663" s="151"/>
      <c r="P663" s="151"/>
    </row>
    <row r="664" ht="12.0" customHeight="1">
      <c r="K664" s="151"/>
      <c r="L664" s="151"/>
      <c r="M664" s="151"/>
      <c r="N664" s="151"/>
      <c r="P664" s="151"/>
    </row>
    <row r="665" ht="12.0" customHeight="1">
      <c r="K665" s="151"/>
      <c r="L665" s="151"/>
      <c r="M665" s="151"/>
      <c r="N665" s="151"/>
      <c r="P665" s="151"/>
    </row>
    <row r="666" ht="12.0" customHeight="1">
      <c r="K666" s="151"/>
      <c r="L666" s="151"/>
      <c r="M666" s="151"/>
      <c r="N666" s="151"/>
      <c r="P666" s="151"/>
    </row>
    <row r="667" ht="12.0" customHeight="1">
      <c r="K667" s="151"/>
      <c r="L667" s="151"/>
      <c r="M667" s="151"/>
      <c r="N667" s="151"/>
      <c r="P667" s="151"/>
    </row>
    <row r="668" ht="12.0" customHeight="1">
      <c r="K668" s="151"/>
      <c r="L668" s="151"/>
      <c r="M668" s="151"/>
      <c r="N668" s="151"/>
      <c r="P668" s="151"/>
    </row>
    <row r="669" ht="12.0" customHeight="1">
      <c r="K669" s="151"/>
      <c r="L669" s="151"/>
      <c r="M669" s="151"/>
      <c r="N669" s="151"/>
      <c r="P669" s="151"/>
    </row>
    <row r="670" ht="12.0" customHeight="1">
      <c r="K670" s="151"/>
      <c r="L670" s="151"/>
      <c r="M670" s="151"/>
      <c r="N670" s="151"/>
      <c r="P670" s="151"/>
    </row>
    <row r="671" ht="12.0" customHeight="1">
      <c r="K671" s="151"/>
      <c r="L671" s="151"/>
      <c r="M671" s="151"/>
      <c r="N671" s="151"/>
      <c r="P671" s="151"/>
    </row>
    <row r="672" ht="12.0" customHeight="1">
      <c r="K672" s="151"/>
      <c r="L672" s="151"/>
      <c r="M672" s="151"/>
      <c r="N672" s="151"/>
      <c r="P672" s="151"/>
    </row>
    <row r="673" ht="12.0" customHeight="1">
      <c r="K673" s="151"/>
      <c r="L673" s="151"/>
      <c r="M673" s="151"/>
      <c r="N673" s="151"/>
      <c r="P673" s="151"/>
    </row>
    <row r="674" ht="12.0" customHeight="1">
      <c r="K674" s="151"/>
      <c r="L674" s="151"/>
      <c r="M674" s="151"/>
      <c r="N674" s="151"/>
      <c r="P674" s="151"/>
    </row>
    <row r="675" ht="12.0" customHeight="1">
      <c r="K675" s="151"/>
      <c r="L675" s="151"/>
      <c r="M675" s="151"/>
      <c r="N675" s="151"/>
      <c r="P675" s="151"/>
    </row>
    <row r="676" ht="12.0" customHeight="1">
      <c r="K676" s="151"/>
      <c r="L676" s="151"/>
      <c r="M676" s="151"/>
      <c r="N676" s="151"/>
      <c r="P676" s="151"/>
    </row>
    <row r="677" ht="12.0" customHeight="1">
      <c r="K677" s="151"/>
      <c r="L677" s="151"/>
      <c r="M677" s="151"/>
      <c r="N677" s="151"/>
      <c r="P677" s="151"/>
    </row>
    <row r="678" ht="12.0" customHeight="1">
      <c r="K678" s="151"/>
      <c r="L678" s="151"/>
      <c r="M678" s="151"/>
      <c r="N678" s="151"/>
      <c r="P678" s="151"/>
    </row>
    <row r="679" ht="12.0" customHeight="1">
      <c r="K679" s="151"/>
      <c r="L679" s="151"/>
      <c r="M679" s="151"/>
      <c r="N679" s="151"/>
      <c r="P679" s="151"/>
    </row>
    <row r="680" ht="12.0" customHeight="1">
      <c r="K680" s="151"/>
      <c r="L680" s="151"/>
      <c r="M680" s="151"/>
      <c r="N680" s="151"/>
      <c r="P680" s="151"/>
    </row>
    <row r="681" ht="12.0" customHeight="1">
      <c r="K681" s="151"/>
      <c r="L681" s="151"/>
      <c r="M681" s="151"/>
      <c r="N681" s="151"/>
      <c r="P681" s="151"/>
    </row>
    <row r="682" ht="12.0" customHeight="1">
      <c r="K682" s="151"/>
      <c r="L682" s="151"/>
      <c r="M682" s="151"/>
      <c r="N682" s="151"/>
      <c r="P682" s="151"/>
    </row>
    <row r="683" ht="12.0" customHeight="1">
      <c r="K683" s="151"/>
      <c r="L683" s="151"/>
      <c r="M683" s="151"/>
      <c r="N683" s="151"/>
      <c r="P683" s="151"/>
    </row>
    <row r="684" ht="12.0" customHeight="1">
      <c r="K684" s="151"/>
      <c r="L684" s="151"/>
      <c r="M684" s="151"/>
      <c r="N684" s="151"/>
      <c r="P684" s="151"/>
    </row>
    <row r="685" ht="12.0" customHeight="1">
      <c r="K685" s="151"/>
      <c r="L685" s="151"/>
      <c r="M685" s="151"/>
      <c r="N685" s="151"/>
      <c r="P685" s="151"/>
    </row>
    <row r="686" ht="12.0" customHeight="1">
      <c r="K686" s="151"/>
      <c r="L686" s="151"/>
      <c r="M686" s="151"/>
      <c r="N686" s="151"/>
      <c r="P686" s="151"/>
    </row>
    <row r="687" ht="12.0" customHeight="1">
      <c r="K687" s="151"/>
      <c r="L687" s="151"/>
      <c r="M687" s="151"/>
      <c r="N687" s="151"/>
      <c r="P687" s="151"/>
    </row>
    <row r="688" ht="12.0" customHeight="1">
      <c r="K688" s="151"/>
      <c r="L688" s="151"/>
      <c r="M688" s="151"/>
      <c r="N688" s="151"/>
      <c r="P688" s="151"/>
    </row>
    <row r="689" ht="12.0" customHeight="1">
      <c r="K689" s="151"/>
      <c r="L689" s="151"/>
      <c r="M689" s="151"/>
      <c r="N689" s="151"/>
      <c r="P689" s="151"/>
    </row>
    <row r="690" ht="12.0" customHeight="1">
      <c r="K690" s="151"/>
      <c r="L690" s="151"/>
      <c r="M690" s="151"/>
      <c r="N690" s="151"/>
      <c r="P690" s="151"/>
    </row>
    <row r="691" ht="12.0" customHeight="1">
      <c r="K691" s="151"/>
      <c r="L691" s="151"/>
      <c r="M691" s="151"/>
      <c r="N691" s="151"/>
      <c r="P691" s="151"/>
    </row>
    <row r="692" ht="12.0" customHeight="1">
      <c r="K692" s="151"/>
      <c r="L692" s="151"/>
      <c r="M692" s="151"/>
      <c r="N692" s="151"/>
      <c r="P692" s="151"/>
    </row>
    <row r="693" ht="12.0" customHeight="1">
      <c r="K693" s="151"/>
      <c r="L693" s="151"/>
      <c r="M693" s="151"/>
      <c r="N693" s="151"/>
      <c r="P693" s="151"/>
    </row>
    <row r="694" ht="12.0" customHeight="1">
      <c r="K694" s="151"/>
      <c r="L694" s="151"/>
      <c r="M694" s="151"/>
      <c r="N694" s="151"/>
      <c r="P694" s="151"/>
    </row>
    <row r="695" ht="12.0" customHeight="1">
      <c r="K695" s="151"/>
      <c r="L695" s="151"/>
      <c r="M695" s="151"/>
      <c r="N695" s="151"/>
      <c r="P695" s="151"/>
    </row>
    <row r="696" ht="12.0" customHeight="1">
      <c r="K696" s="151"/>
      <c r="L696" s="151"/>
      <c r="M696" s="151"/>
      <c r="N696" s="151"/>
      <c r="P696" s="151"/>
    </row>
    <row r="697" ht="12.0" customHeight="1">
      <c r="K697" s="151"/>
      <c r="L697" s="151"/>
      <c r="M697" s="151"/>
      <c r="N697" s="151"/>
      <c r="P697" s="151"/>
    </row>
    <row r="698" ht="12.0" customHeight="1">
      <c r="K698" s="151"/>
      <c r="L698" s="151"/>
      <c r="M698" s="151"/>
      <c r="N698" s="151"/>
      <c r="P698" s="151"/>
    </row>
    <row r="699" ht="12.0" customHeight="1">
      <c r="K699" s="151"/>
      <c r="L699" s="151"/>
      <c r="M699" s="151"/>
      <c r="N699" s="151"/>
      <c r="P699" s="151"/>
    </row>
    <row r="700" ht="12.0" customHeight="1">
      <c r="K700" s="151"/>
      <c r="L700" s="151"/>
      <c r="M700" s="151"/>
      <c r="N700" s="151"/>
      <c r="P700" s="151"/>
    </row>
    <row r="701" ht="12.0" customHeight="1">
      <c r="K701" s="151"/>
      <c r="L701" s="151"/>
      <c r="M701" s="151"/>
      <c r="N701" s="151"/>
      <c r="P701" s="151"/>
    </row>
    <row r="702" ht="12.0" customHeight="1">
      <c r="K702" s="151"/>
      <c r="L702" s="151"/>
      <c r="M702" s="151"/>
      <c r="N702" s="151"/>
      <c r="P702" s="151"/>
    </row>
    <row r="703" ht="12.0" customHeight="1">
      <c r="K703" s="151"/>
      <c r="L703" s="151"/>
      <c r="M703" s="151"/>
      <c r="N703" s="151"/>
      <c r="P703" s="151"/>
    </row>
    <row r="704" ht="12.0" customHeight="1">
      <c r="K704" s="151"/>
      <c r="L704" s="151"/>
      <c r="M704" s="151"/>
      <c r="N704" s="151"/>
      <c r="P704" s="151"/>
    </row>
    <row r="705" ht="12.0" customHeight="1">
      <c r="K705" s="151"/>
      <c r="L705" s="151"/>
      <c r="M705" s="151"/>
      <c r="N705" s="151"/>
      <c r="P705" s="151"/>
    </row>
    <row r="706" ht="12.0" customHeight="1">
      <c r="K706" s="151"/>
      <c r="L706" s="151"/>
      <c r="M706" s="151"/>
      <c r="N706" s="151"/>
      <c r="P706" s="151"/>
    </row>
    <row r="707" ht="12.0" customHeight="1">
      <c r="K707" s="151"/>
      <c r="L707" s="151"/>
      <c r="M707" s="151"/>
      <c r="N707" s="151"/>
      <c r="P707" s="151"/>
    </row>
    <row r="708" ht="12.0" customHeight="1">
      <c r="K708" s="151"/>
      <c r="L708" s="151"/>
      <c r="M708" s="151"/>
      <c r="N708" s="151"/>
      <c r="P708" s="151"/>
    </row>
    <row r="709" ht="12.0" customHeight="1">
      <c r="K709" s="151"/>
      <c r="L709" s="151"/>
      <c r="M709" s="151"/>
      <c r="N709" s="151"/>
      <c r="P709" s="151"/>
    </row>
    <row r="710" ht="12.0" customHeight="1">
      <c r="K710" s="151"/>
      <c r="L710" s="151"/>
      <c r="M710" s="151"/>
      <c r="N710" s="151"/>
      <c r="P710" s="151"/>
    </row>
    <row r="711" ht="12.0" customHeight="1">
      <c r="K711" s="151"/>
      <c r="L711" s="151"/>
      <c r="M711" s="151"/>
      <c r="N711" s="151"/>
      <c r="P711" s="151"/>
    </row>
    <row r="712" ht="12.0" customHeight="1">
      <c r="K712" s="151"/>
      <c r="L712" s="151"/>
      <c r="M712" s="151"/>
      <c r="N712" s="151"/>
      <c r="P712" s="151"/>
    </row>
    <row r="713" ht="12.0" customHeight="1">
      <c r="K713" s="151"/>
      <c r="L713" s="151"/>
      <c r="M713" s="151"/>
      <c r="N713" s="151"/>
      <c r="P713" s="151"/>
    </row>
    <row r="714" ht="12.0" customHeight="1">
      <c r="K714" s="151"/>
      <c r="L714" s="151"/>
      <c r="M714" s="151"/>
      <c r="N714" s="151"/>
      <c r="P714" s="151"/>
    </row>
    <row r="715" ht="12.0" customHeight="1">
      <c r="K715" s="151"/>
      <c r="L715" s="151"/>
      <c r="M715" s="151"/>
      <c r="N715" s="151"/>
      <c r="P715" s="151"/>
    </row>
    <row r="716" ht="12.0" customHeight="1">
      <c r="K716" s="151"/>
      <c r="L716" s="151"/>
      <c r="M716" s="151"/>
      <c r="N716" s="151"/>
      <c r="P716" s="151"/>
    </row>
    <row r="717" ht="12.0" customHeight="1">
      <c r="K717" s="151"/>
      <c r="L717" s="151"/>
      <c r="M717" s="151"/>
      <c r="N717" s="151"/>
      <c r="P717" s="151"/>
    </row>
    <row r="718" ht="12.0" customHeight="1">
      <c r="K718" s="151"/>
      <c r="L718" s="151"/>
      <c r="M718" s="151"/>
      <c r="N718" s="151"/>
      <c r="P718" s="151"/>
    </row>
    <row r="719" ht="12.0" customHeight="1">
      <c r="K719" s="151"/>
      <c r="L719" s="151"/>
      <c r="M719" s="151"/>
      <c r="N719" s="151"/>
      <c r="P719" s="151"/>
    </row>
    <row r="720" ht="12.0" customHeight="1">
      <c r="K720" s="151"/>
      <c r="L720" s="151"/>
      <c r="M720" s="151"/>
      <c r="N720" s="151"/>
      <c r="P720" s="151"/>
    </row>
    <row r="721" ht="12.0" customHeight="1">
      <c r="K721" s="151"/>
      <c r="L721" s="151"/>
      <c r="M721" s="151"/>
      <c r="N721" s="151"/>
      <c r="P721" s="151"/>
    </row>
    <row r="722" ht="12.0" customHeight="1">
      <c r="K722" s="151"/>
      <c r="L722" s="151"/>
      <c r="M722" s="151"/>
      <c r="N722" s="151"/>
      <c r="P722" s="151"/>
    </row>
    <row r="723" ht="12.0" customHeight="1">
      <c r="K723" s="151"/>
      <c r="L723" s="151"/>
      <c r="M723" s="151"/>
      <c r="N723" s="151"/>
      <c r="P723" s="151"/>
    </row>
    <row r="724" ht="12.0" customHeight="1">
      <c r="K724" s="151"/>
      <c r="L724" s="151"/>
      <c r="M724" s="151"/>
      <c r="N724" s="151"/>
      <c r="P724" s="151"/>
    </row>
    <row r="725" ht="12.0" customHeight="1">
      <c r="K725" s="151"/>
      <c r="L725" s="151"/>
      <c r="M725" s="151"/>
      <c r="N725" s="151"/>
      <c r="P725" s="151"/>
    </row>
    <row r="726" ht="12.0" customHeight="1">
      <c r="K726" s="151"/>
      <c r="L726" s="151"/>
      <c r="M726" s="151"/>
      <c r="N726" s="151"/>
      <c r="P726" s="151"/>
    </row>
    <row r="727" ht="12.0" customHeight="1">
      <c r="K727" s="151"/>
      <c r="L727" s="151"/>
      <c r="M727" s="151"/>
      <c r="N727" s="151"/>
      <c r="P727" s="151"/>
    </row>
    <row r="728" ht="12.0" customHeight="1">
      <c r="K728" s="151"/>
      <c r="L728" s="151"/>
      <c r="M728" s="151"/>
      <c r="N728" s="151"/>
      <c r="P728" s="151"/>
    </row>
    <row r="729" ht="12.0" customHeight="1">
      <c r="K729" s="151"/>
      <c r="L729" s="151"/>
      <c r="M729" s="151"/>
      <c r="N729" s="151"/>
      <c r="P729" s="151"/>
    </row>
    <row r="730" ht="12.0" customHeight="1">
      <c r="K730" s="151"/>
      <c r="L730" s="151"/>
      <c r="M730" s="151"/>
      <c r="N730" s="151"/>
      <c r="P730" s="151"/>
    </row>
    <row r="731" ht="12.0" customHeight="1">
      <c r="K731" s="151"/>
      <c r="L731" s="151"/>
      <c r="M731" s="151"/>
      <c r="N731" s="151"/>
      <c r="P731" s="151"/>
    </row>
    <row r="732" ht="12.0" customHeight="1">
      <c r="K732" s="151"/>
      <c r="L732" s="151"/>
      <c r="M732" s="151"/>
      <c r="N732" s="151"/>
      <c r="P732" s="151"/>
    </row>
    <row r="733" ht="12.0" customHeight="1">
      <c r="K733" s="151"/>
      <c r="L733" s="151"/>
      <c r="M733" s="151"/>
      <c r="N733" s="151"/>
      <c r="P733" s="151"/>
    </row>
    <row r="734" ht="12.0" customHeight="1">
      <c r="K734" s="151"/>
      <c r="L734" s="151"/>
      <c r="M734" s="151"/>
      <c r="N734" s="151"/>
      <c r="P734" s="151"/>
    </row>
    <row r="735" ht="12.0" customHeight="1">
      <c r="K735" s="151"/>
      <c r="L735" s="151"/>
      <c r="M735" s="151"/>
      <c r="N735" s="151"/>
      <c r="P735" s="151"/>
    </row>
    <row r="736" ht="12.0" customHeight="1">
      <c r="K736" s="151"/>
      <c r="L736" s="151"/>
      <c r="M736" s="151"/>
      <c r="N736" s="151"/>
      <c r="P736" s="151"/>
    </row>
    <row r="737" ht="12.0" customHeight="1">
      <c r="K737" s="151"/>
      <c r="L737" s="151"/>
      <c r="M737" s="151"/>
      <c r="N737" s="151"/>
      <c r="P737" s="151"/>
    </row>
    <row r="738" ht="12.0" customHeight="1">
      <c r="K738" s="151"/>
      <c r="L738" s="151"/>
      <c r="M738" s="151"/>
      <c r="N738" s="151"/>
      <c r="P738" s="151"/>
    </row>
    <row r="739" ht="12.0" customHeight="1">
      <c r="K739" s="151"/>
      <c r="L739" s="151"/>
      <c r="M739" s="151"/>
      <c r="N739" s="151"/>
      <c r="P739" s="151"/>
    </row>
    <row r="740" ht="12.0" customHeight="1">
      <c r="K740" s="151"/>
      <c r="L740" s="151"/>
      <c r="M740" s="151"/>
      <c r="N740" s="151"/>
      <c r="P740" s="151"/>
    </row>
    <row r="741" ht="12.0" customHeight="1">
      <c r="K741" s="151"/>
      <c r="L741" s="151"/>
      <c r="M741" s="151"/>
      <c r="N741" s="151"/>
      <c r="P741" s="151"/>
    </row>
    <row r="742" ht="12.0" customHeight="1">
      <c r="K742" s="151"/>
      <c r="L742" s="151"/>
      <c r="M742" s="151"/>
      <c r="N742" s="151"/>
      <c r="P742" s="151"/>
    </row>
    <row r="743" ht="12.0" customHeight="1">
      <c r="K743" s="151"/>
      <c r="L743" s="151"/>
      <c r="M743" s="151"/>
      <c r="N743" s="151"/>
      <c r="P743" s="151"/>
    </row>
    <row r="744" ht="12.0" customHeight="1">
      <c r="K744" s="151"/>
      <c r="L744" s="151"/>
      <c r="M744" s="151"/>
      <c r="N744" s="151"/>
      <c r="P744" s="151"/>
    </row>
    <row r="745" ht="12.0" customHeight="1">
      <c r="K745" s="151"/>
      <c r="L745" s="151"/>
      <c r="M745" s="151"/>
      <c r="N745" s="151"/>
      <c r="P745" s="151"/>
    </row>
    <row r="746" ht="12.0" customHeight="1">
      <c r="K746" s="151"/>
      <c r="L746" s="151"/>
      <c r="M746" s="151"/>
      <c r="N746" s="151"/>
      <c r="P746" s="151"/>
    </row>
    <row r="747" ht="12.0" customHeight="1">
      <c r="K747" s="151"/>
      <c r="L747" s="151"/>
      <c r="M747" s="151"/>
      <c r="N747" s="151"/>
      <c r="P747" s="151"/>
    </row>
    <row r="748" ht="12.0" customHeight="1">
      <c r="K748" s="151"/>
      <c r="L748" s="151"/>
      <c r="M748" s="151"/>
      <c r="N748" s="151"/>
      <c r="P748" s="151"/>
    </row>
    <row r="749" ht="12.0" customHeight="1">
      <c r="K749" s="151"/>
      <c r="L749" s="151"/>
      <c r="M749" s="151"/>
      <c r="N749" s="151"/>
      <c r="P749" s="151"/>
    </row>
    <row r="750" ht="12.0" customHeight="1">
      <c r="K750" s="151"/>
      <c r="L750" s="151"/>
      <c r="M750" s="151"/>
      <c r="N750" s="151"/>
      <c r="P750" s="151"/>
    </row>
    <row r="751" ht="12.0" customHeight="1">
      <c r="K751" s="151"/>
      <c r="L751" s="151"/>
      <c r="M751" s="151"/>
      <c r="N751" s="151"/>
      <c r="P751" s="151"/>
    </row>
    <row r="752" ht="12.0" customHeight="1">
      <c r="K752" s="151"/>
      <c r="L752" s="151"/>
      <c r="M752" s="151"/>
      <c r="N752" s="151"/>
      <c r="P752" s="151"/>
    </row>
    <row r="753" ht="12.0" customHeight="1">
      <c r="K753" s="151"/>
      <c r="L753" s="151"/>
      <c r="M753" s="151"/>
      <c r="N753" s="151"/>
      <c r="P753" s="151"/>
    </row>
    <row r="754" ht="12.0" customHeight="1">
      <c r="K754" s="151"/>
      <c r="L754" s="151"/>
      <c r="M754" s="151"/>
      <c r="N754" s="151"/>
      <c r="P754" s="151"/>
    </row>
    <row r="755" ht="12.0" customHeight="1">
      <c r="K755" s="151"/>
      <c r="L755" s="151"/>
      <c r="M755" s="151"/>
      <c r="N755" s="151"/>
      <c r="P755" s="151"/>
    </row>
    <row r="756" ht="12.0" customHeight="1">
      <c r="K756" s="151"/>
      <c r="L756" s="151"/>
      <c r="M756" s="151"/>
      <c r="N756" s="151"/>
      <c r="P756" s="151"/>
    </row>
    <row r="757" ht="12.0" customHeight="1">
      <c r="K757" s="151"/>
      <c r="L757" s="151"/>
      <c r="M757" s="151"/>
      <c r="N757" s="151"/>
      <c r="P757" s="151"/>
    </row>
    <row r="758" ht="12.0" customHeight="1">
      <c r="K758" s="151"/>
      <c r="L758" s="151"/>
      <c r="M758" s="151"/>
      <c r="N758" s="151"/>
      <c r="P758" s="151"/>
    </row>
    <row r="759" ht="12.0" customHeight="1">
      <c r="K759" s="151"/>
      <c r="L759" s="151"/>
      <c r="M759" s="151"/>
      <c r="N759" s="151"/>
      <c r="P759" s="151"/>
    </row>
    <row r="760" ht="12.0" customHeight="1">
      <c r="K760" s="151"/>
      <c r="L760" s="151"/>
      <c r="M760" s="151"/>
      <c r="N760" s="151"/>
      <c r="P760" s="151"/>
    </row>
    <row r="761" ht="12.0" customHeight="1">
      <c r="K761" s="151"/>
      <c r="L761" s="151"/>
      <c r="M761" s="151"/>
      <c r="N761" s="151"/>
      <c r="P761" s="151"/>
    </row>
    <row r="762" ht="12.0" customHeight="1">
      <c r="K762" s="151"/>
      <c r="L762" s="151"/>
      <c r="M762" s="151"/>
      <c r="N762" s="151"/>
      <c r="P762" s="151"/>
    </row>
    <row r="763" ht="12.0" customHeight="1">
      <c r="K763" s="151"/>
      <c r="L763" s="151"/>
      <c r="M763" s="151"/>
      <c r="N763" s="151"/>
      <c r="P763" s="151"/>
    </row>
    <row r="764" ht="12.0" customHeight="1">
      <c r="K764" s="151"/>
      <c r="L764" s="151"/>
      <c r="M764" s="151"/>
      <c r="N764" s="151"/>
      <c r="P764" s="151"/>
    </row>
    <row r="765" ht="12.0" customHeight="1">
      <c r="K765" s="151"/>
      <c r="L765" s="151"/>
      <c r="M765" s="151"/>
      <c r="N765" s="151"/>
      <c r="P765" s="151"/>
    </row>
    <row r="766" ht="12.0" customHeight="1">
      <c r="K766" s="151"/>
      <c r="L766" s="151"/>
      <c r="M766" s="151"/>
      <c r="N766" s="151"/>
      <c r="P766" s="151"/>
    </row>
    <row r="767" ht="12.0" customHeight="1">
      <c r="K767" s="151"/>
      <c r="L767" s="151"/>
      <c r="M767" s="151"/>
      <c r="N767" s="151"/>
      <c r="P767" s="151"/>
    </row>
    <row r="768" ht="12.0" customHeight="1">
      <c r="K768" s="151"/>
      <c r="L768" s="151"/>
      <c r="M768" s="151"/>
      <c r="N768" s="151"/>
      <c r="P768" s="151"/>
    </row>
    <row r="769" ht="12.0" customHeight="1">
      <c r="K769" s="151"/>
      <c r="L769" s="151"/>
      <c r="M769" s="151"/>
      <c r="N769" s="151"/>
      <c r="P769" s="151"/>
    </row>
    <row r="770" ht="12.0" customHeight="1">
      <c r="K770" s="151"/>
      <c r="L770" s="151"/>
      <c r="M770" s="151"/>
      <c r="N770" s="151"/>
      <c r="P770" s="151"/>
    </row>
    <row r="771" ht="12.0" customHeight="1">
      <c r="K771" s="151"/>
      <c r="L771" s="151"/>
      <c r="M771" s="151"/>
      <c r="N771" s="151"/>
      <c r="P771" s="151"/>
    </row>
    <row r="772" ht="12.0" customHeight="1">
      <c r="K772" s="151"/>
      <c r="L772" s="151"/>
      <c r="M772" s="151"/>
      <c r="N772" s="151"/>
      <c r="P772" s="151"/>
    </row>
    <row r="773" ht="12.0" customHeight="1">
      <c r="K773" s="151"/>
      <c r="L773" s="151"/>
      <c r="M773" s="151"/>
      <c r="N773" s="151"/>
      <c r="P773" s="151"/>
    </row>
    <row r="774" ht="12.0" customHeight="1">
      <c r="K774" s="151"/>
      <c r="L774" s="151"/>
      <c r="M774" s="151"/>
      <c r="N774" s="151"/>
      <c r="P774" s="151"/>
    </row>
    <row r="775" ht="12.0" customHeight="1">
      <c r="K775" s="151"/>
      <c r="L775" s="151"/>
      <c r="M775" s="151"/>
      <c r="N775" s="151"/>
      <c r="P775" s="151"/>
    </row>
    <row r="776" ht="12.0" customHeight="1">
      <c r="K776" s="151"/>
      <c r="L776" s="151"/>
      <c r="M776" s="151"/>
      <c r="N776" s="151"/>
      <c r="P776" s="151"/>
    </row>
    <row r="777" ht="12.0" customHeight="1">
      <c r="K777" s="151"/>
      <c r="L777" s="151"/>
      <c r="M777" s="151"/>
      <c r="N777" s="151"/>
      <c r="P777" s="151"/>
    </row>
    <row r="778" ht="12.0" customHeight="1">
      <c r="K778" s="151"/>
      <c r="L778" s="151"/>
      <c r="M778" s="151"/>
      <c r="N778" s="151"/>
      <c r="P778" s="151"/>
    </row>
    <row r="779" ht="12.0" customHeight="1">
      <c r="K779" s="151"/>
      <c r="L779" s="151"/>
      <c r="M779" s="151"/>
      <c r="N779" s="151"/>
      <c r="P779" s="151"/>
    </row>
    <row r="780" ht="12.0" customHeight="1">
      <c r="K780" s="151"/>
      <c r="L780" s="151"/>
      <c r="M780" s="151"/>
      <c r="N780" s="151"/>
      <c r="P780" s="151"/>
    </row>
    <row r="781" ht="12.0" customHeight="1">
      <c r="K781" s="151"/>
      <c r="L781" s="151"/>
      <c r="M781" s="151"/>
      <c r="N781" s="151"/>
      <c r="P781" s="151"/>
    </row>
    <row r="782" ht="12.0" customHeight="1">
      <c r="K782" s="151"/>
      <c r="L782" s="151"/>
      <c r="M782" s="151"/>
      <c r="N782" s="151"/>
      <c r="P782" s="151"/>
    </row>
    <row r="783" ht="12.0" customHeight="1">
      <c r="K783" s="151"/>
      <c r="L783" s="151"/>
      <c r="M783" s="151"/>
      <c r="N783" s="151"/>
      <c r="P783" s="151"/>
    </row>
    <row r="784" ht="12.0" customHeight="1">
      <c r="K784" s="151"/>
      <c r="L784" s="151"/>
      <c r="M784" s="151"/>
      <c r="N784" s="151"/>
      <c r="P784" s="151"/>
    </row>
    <row r="785" ht="12.0" customHeight="1">
      <c r="K785" s="151"/>
      <c r="L785" s="151"/>
      <c r="M785" s="151"/>
      <c r="N785" s="151"/>
      <c r="P785" s="151"/>
    </row>
    <row r="786" ht="12.0" customHeight="1">
      <c r="K786" s="151"/>
      <c r="L786" s="151"/>
      <c r="M786" s="151"/>
      <c r="N786" s="151"/>
      <c r="P786" s="151"/>
    </row>
    <row r="787" ht="12.0" customHeight="1">
      <c r="K787" s="151"/>
      <c r="L787" s="151"/>
      <c r="M787" s="151"/>
      <c r="N787" s="151"/>
      <c r="P787" s="151"/>
    </row>
    <row r="788" ht="12.0" customHeight="1">
      <c r="K788" s="151"/>
      <c r="L788" s="151"/>
      <c r="M788" s="151"/>
      <c r="N788" s="151"/>
      <c r="P788" s="151"/>
    </row>
    <row r="789" ht="12.0" customHeight="1">
      <c r="K789" s="151"/>
      <c r="L789" s="151"/>
      <c r="M789" s="151"/>
      <c r="N789" s="151"/>
      <c r="P789" s="151"/>
    </row>
    <row r="790" ht="12.0" customHeight="1">
      <c r="K790" s="151"/>
      <c r="L790" s="151"/>
      <c r="M790" s="151"/>
      <c r="N790" s="151"/>
      <c r="P790" s="151"/>
    </row>
    <row r="791" ht="12.0" customHeight="1">
      <c r="K791" s="151"/>
      <c r="L791" s="151"/>
      <c r="M791" s="151"/>
      <c r="N791" s="151"/>
      <c r="P791" s="151"/>
    </row>
    <row r="792" ht="12.0" customHeight="1">
      <c r="K792" s="151"/>
      <c r="L792" s="151"/>
      <c r="M792" s="151"/>
      <c r="N792" s="151"/>
      <c r="P792" s="151"/>
    </row>
    <row r="793" ht="12.0" customHeight="1">
      <c r="K793" s="151"/>
      <c r="L793" s="151"/>
      <c r="M793" s="151"/>
      <c r="N793" s="151"/>
      <c r="P793" s="151"/>
    </row>
    <row r="794" ht="12.0" customHeight="1">
      <c r="K794" s="151"/>
      <c r="L794" s="151"/>
      <c r="M794" s="151"/>
      <c r="N794" s="151"/>
      <c r="P794" s="151"/>
    </row>
    <row r="795" ht="12.0" customHeight="1">
      <c r="K795" s="151"/>
      <c r="L795" s="151"/>
      <c r="M795" s="151"/>
      <c r="N795" s="151"/>
      <c r="P795" s="151"/>
    </row>
    <row r="796" ht="12.0" customHeight="1">
      <c r="K796" s="151"/>
      <c r="L796" s="151"/>
      <c r="M796" s="151"/>
      <c r="N796" s="151"/>
      <c r="P796" s="151"/>
    </row>
    <row r="797" ht="12.0" customHeight="1">
      <c r="K797" s="151"/>
      <c r="L797" s="151"/>
      <c r="M797" s="151"/>
      <c r="N797" s="151"/>
      <c r="P797" s="151"/>
    </row>
    <row r="798" ht="12.0" customHeight="1">
      <c r="K798" s="151"/>
      <c r="L798" s="151"/>
      <c r="M798" s="151"/>
      <c r="N798" s="151"/>
      <c r="P798" s="151"/>
    </row>
    <row r="799" ht="12.0" customHeight="1">
      <c r="K799" s="151"/>
      <c r="L799" s="151"/>
      <c r="M799" s="151"/>
      <c r="N799" s="151"/>
      <c r="P799" s="151"/>
    </row>
    <row r="800" ht="12.0" customHeight="1">
      <c r="K800" s="151"/>
      <c r="L800" s="151"/>
      <c r="M800" s="151"/>
      <c r="N800" s="151"/>
      <c r="P800" s="151"/>
    </row>
    <row r="801" ht="12.0" customHeight="1">
      <c r="K801" s="151"/>
      <c r="L801" s="151"/>
      <c r="M801" s="151"/>
      <c r="N801" s="151"/>
      <c r="P801" s="151"/>
    </row>
    <row r="802" ht="12.0" customHeight="1">
      <c r="K802" s="151"/>
      <c r="L802" s="151"/>
      <c r="M802" s="151"/>
      <c r="N802" s="151"/>
      <c r="P802" s="151"/>
    </row>
    <row r="803" ht="12.0" customHeight="1">
      <c r="K803" s="151"/>
      <c r="L803" s="151"/>
      <c r="M803" s="151"/>
      <c r="N803" s="151"/>
      <c r="P803" s="151"/>
    </row>
    <row r="804" ht="12.0" customHeight="1">
      <c r="K804" s="151"/>
      <c r="L804" s="151"/>
      <c r="M804" s="151"/>
      <c r="N804" s="151"/>
      <c r="P804" s="151"/>
    </row>
    <row r="805" ht="12.0" customHeight="1">
      <c r="K805" s="151"/>
      <c r="L805" s="151"/>
      <c r="M805" s="151"/>
      <c r="N805" s="151"/>
      <c r="P805" s="151"/>
    </row>
    <row r="806" ht="12.0" customHeight="1">
      <c r="K806" s="151"/>
      <c r="L806" s="151"/>
      <c r="M806" s="151"/>
      <c r="N806" s="151"/>
      <c r="P806" s="151"/>
    </row>
    <row r="807" ht="12.0" customHeight="1">
      <c r="K807" s="151"/>
      <c r="L807" s="151"/>
      <c r="M807" s="151"/>
      <c r="N807" s="151"/>
      <c r="P807" s="151"/>
    </row>
    <row r="808" ht="12.0" customHeight="1">
      <c r="K808" s="151"/>
      <c r="L808" s="151"/>
      <c r="M808" s="151"/>
      <c r="N808" s="151"/>
      <c r="P808" s="151"/>
    </row>
    <row r="809" ht="12.0" customHeight="1">
      <c r="K809" s="151"/>
      <c r="L809" s="151"/>
      <c r="M809" s="151"/>
      <c r="N809" s="151"/>
      <c r="P809" s="151"/>
    </row>
    <row r="810" ht="12.0" customHeight="1">
      <c r="K810" s="151"/>
      <c r="L810" s="151"/>
      <c r="M810" s="151"/>
      <c r="N810" s="151"/>
      <c r="P810" s="151"/>
    </row>
    <row r="811" ht="12.0" customHeight="1">
      <c r="K811" s="151"/>
      <c r="L811" s="151"/>
      <c r="M811" s="151"/>
      <c r="N811" s="151"/>
      <c r="P811" s="151"/>
    </row>
    <row r="812" ht="12.0" customHeight="1">
      <c r="K812" s="151"/>
      <c r="L812" s="151"/>
      <c r="M812" s="151"/>
      <c r="N812" s="151"/>
      <c r="P812" s="151"/>
    </row>
    <row r="813" ht="12.0" customHeight="1">
      <c r="K813" s="151"/>
      <c r="L813" s="151"/>
      <c r="M813" s="151"/>
      <c r="N813" s="151"/>
      <c r="P813" s="151"/>
    </row>
    <row r="814" ht="12.0" customHeight="1">
      <c r="K814" s="151"/>
      <c r="L814" s="151"/>
      <c r="M814" s="151"/>
      <c r="N814" s="151"/>
      <c r="P814" s="151"/>
    </row>
    <row r="815" ht="12.0" customHeight="1">
      <c r="K815" s="151"/>
      <c r="L815" s="151"/>
      <c r="M815" s="151"/>
      <c r="N815" s="151"/>
      <c r="P815" s="151"/>
    </row>
    <row r="816" ht="12.0" customHeight="1">
      <c r="K816" s="151"/>
      <c r="L816" s="151"/>
      <c r="M816" s="151"/>
      <c r="N816" s="151"/>
      <c r="P816" s="151"/>
    </row>
    <row r="817" ht="12.0" customHeight="1">
      <c r="K817" s="151"/>
      <c r="L817" s="151"/>
      <c r="M817" s="151"/>
      <c r="N817" s="151"/>
      <c r="P817" s="151"/>
    </row>
    <row r="818" ht="12.0" customHeight="1">
      <c r="K818" s="151"/>
      <c r="L818" s="151"/>
      <c r="M818" s="151"/>
      <c r="N818" s="151"/>
      <c r="P818" s="151"/>
    </row>
    <row r="819" ht="12.0" customHeight="1">
      <c r="K819" s="151"/>
      <c r="L819" s="151"/>
      <c r="M819" s="151"/>
      <c r="N819" s="151"/>
      <c r="P819" s="151"/>
    </row>
    <row r="820" ht="12.0" customHeight="1">
      <c r="K820" s="151"/>
      <c r="L820" s="151"/>
      <c r="M820" s="151"/>
      <c r="N820" s="151"/>
      <c r="P820" s="151"/>
    </row>
    <row r="821" ht="12.0" customHeight="1">
      <c r="K821" s="151"/>
      <c r="L821" s="151"/>
      <c r="M821" s="151"/>
      <c r="N821" s="151"/>
      <c r="P821" s="151"/>
    </row>
    <row r="822" ht="12.0" customHeight="1">
      <c r="K822" s="151"/>
      <c r="L822" s="151"/>
      <c r="M822" s="151"/>
      <c r="N822" s="151"/>
      <c r="P822" s="151"/>
    </row>
    <row r="823" ht="12.0" customHeight="1">
      <c r="K823" s="151"/>
      <c r="L823" s="151"/>
      <c r="M823" s="151"/>
      <c r="N823" s="151"/>
      <c r="P823" s="151"/>
    </row>
    <row r="824" ht="12.0" customHeight="1">
      <c r="K824" s="151"/>
      <c r="L824" s="151"/>
      <c r="M824" s="151"/>
      <c r="N824" s="151"/>
      <c r="P824" s="151"/>
    </row>
    <row r="825" ht="12.0" customHeight="1">
      <c r="K825" s="151"/>
      <c r="L825" s="151"/>
      <c r="M825" s="151"/>
      <c r="N825" s="151"/>
      <c r="P825" s="151"/>
    </row>
    <row r="826" ht="12.0" customHeight="1">
      <c r="K826" s="151"/>
      <c r="L826" s="151"/>
      <c r="M826" s="151"/>
      <c r="N826" s="151"/>
      <c r="P826" s="151"/>
    </row>
    <row r="827" ht="12.0" customHeight="1">
      <c r="K827" s="151"/>
      <c r="L827" s="151"/>
      <c r="M827" s="151"/>
      <c r="N827" s="151"/>
      <c r="P827" s="151"/>
    </row>
    <row r="828" ht="12.0" customHeight="1">
      <c r="K828" s="151"/>
      <c r="L828" s="151"/>
      <c r="M828" s="151"/>
      <c r="N828" s="151"/>
      <c r="P828" s="151"/>
    </row>
    <row r="829" ht="12.0" customHeight="1">
      <c r="K829" s="151"/>
      <c r="L829" s="151"/>
      <c r="M829" s="151"/>
      <c r="N829" s="151"/>
      <c r="P829" s="151"/>
    </row>
    <row r="830" ht="12.0" customHeight="1">
      <c r="K830" s="151"/>
      <c r="L830" s="151"/>
      <c r="M830" s="151"/>
      <c r="N830" s="151"/>
      <c r="P830" s="151"/>
    </row>
    <row r="831" ht="12.0" customHeight="1">
      <c r="K831" s="151"/>
      <c r="L831" s="151"/>
      <c r="M831" s="151"/>
      <c r="N831" s="151"/>
      <c r="P831" s="151"/>
    </row>
    <row r="832" ht="12.0" customHeight="1">
      <c r="K832" s="151"/>
      <c r="L832" s="151"/>
      <c r="M832" s="151"/>
      <c r="N832" s="151"/>
      <c r="P832" s="151"/>
    </row>
    <row r="833" ht="12.0" customHeight="1">
      <c r="K833" s="151"/>
      <c r="L833" s="151"/>
      <c r="M833" s="151"/>
      <c r="N833" s="151"/>
      <c r="P833" s="151"/>
    </row>
    <row r="834" ht="12.0" customHeight="1">
      <c r="K834" s="151"/>
      <c r="L834" s="151"/>
      <c r="M834" s="151"/>
      <c r="N834" s="151"/>
      <c r="P834" s="151"/>
    </row>
    <row r="835" ht="12.0" customHeight="1">
      <c r="K835" s="151"/>
      <c r="L835" s="151"/>
      <c r="M835" s="151"/>
      <c r="N835" s="151"/>
      <c r="P835" s="151"/>
    </row>
    <row r="836" ht="12.0" customHeight="1">
      <c r="K836" s="151"/>
      <c r="L836" s="151"/>
      <c r="M836" s="151"/>
      <c r="N836" s="151"/>
      <c r="P836" s="151"/>
    </row>
    <row r="837" ht="12.0" customHeight="1">
      <c r="K837" s="151"/>
      <c r="L837" s="151"/>
      <c r="M837" s="151"/>
      <c r="N837" s="151"/>
      <c r="P837" s="151"/>
    </row>
    <row r="838" ht="12.0" customHeight="1">
      <c r="K838" s="151"/>
      <c r="L838" s="151"/>
      <c r="M838" s="151"/>
      <c r="N838" s="151"/>
      <c r="P838" s="151"/>
    </row>
    <row r="839" ht="12.0" customHeight="1">
      <c r="K839" s="151"/>
      <c r="L839" s="151"/>
      <c r="M839" s="151"/>
      <c r="N839" s="151"/>
      <c r="P839" s="151"/>
    </row>
    <row r="840" ht="12.0" customHeight="1">
      <c r="K840" s="151"/>
      <c r="L840" s="151"/>
      <c r="M840" s="151"/>
      <c r="N840" s="151"/>
      <c r="P840" s="151"/>
    </row>
    <row r="841" ht="12.0" customHeight="1">
      <c r="K841" s="151"/>
      <c r="L841" s="151"/>
      <c r="M841" s="151"/>
      <c r="N841" s="151"/>
      <c r="P841" s="151"/>
    </row>
    <row r="842" ht="12.0" customHeight="1">
      <c r="K842" s="151"/>
      <c r="L842" s="151"/>
      <c r="M842" s="151"/>
      <c r="N842" s="151"/>
      <c r="P842" s="151"/>
    </row>
    <row r="843" ht="12.0" customHeight="1">
      <c r="K843" s="151"/>
      <c r="L843" s="151"/>
      <c r="M843" s="151"/>
      <c r="N843" s="151"/>
      <c r="P843" s="151"/>
    </row>
    <row r="844" ht="12.0" customHeight="1">
      <c r="K844" s="151"/>
      <c r="L844" s="151"/>
      <c r="M844" s="151"/>
      <c r="N844" s="151"/>
      <c r="P844" s="151"/>
    </row>
    <row r="845" ht="12.0" customHeight="1">
      <c r="K845" s="151"/>
      <c r="L845" s="151"/>
      <c r="M845" s="151"/>
      <c r="N845" s="151"/>
      <c r="P845" s="151"/>
    </row>
    <row r="846" ht="12.0" customHeight="1">
      <c r="K846" s="151"/>
      <c r="L846" s="151"/>
      <c r="M846" s="151"/>
      <c r="N846" s="151"/>
      <c r="P846" s="151"/>
    </row>
    <row r="847" ht="12.0" customHeight="1">
      <c r="K847" s="151"/>
      <c r="L847" s="151"/>
      <c r="M847" s="151"/>
      <c r="N847" s="151"/>
      <c r="P847" s="151"/>
    </row>
    <row r="848" ht="12.0" customHeight="1">
      <c r="K848" s="151"/>
      <c r="L848" s="151"/>
      <c r="M848" s="151"/>
      <c r="N848" s="151"/>
      <c r="P848" s="151"/>
    </row>
    <row r="849" ht="12.0" customHeight="1">
      <c r="K849" s="151"/>
      <c r="L849" s="151"/>
      <c r="M849" s="151"/>
      <c r="N849" s="151"/>
      <c r="P849" s="151"/>
    </row>
    <row r="850" ht="12.0" customHeight="1">
      <c r="K850" s="151"/>
      <c r="L850" s="151"/>
      <c r="M850" s="151"/>
      <c r="N850" s="151"/>
      <c r="P850" s="151"/>
    </row>
    <row r="851" ht="12.0" customHeight="1">
      <c r="K851" s="151"/>
      <c r="L851" s="151"/>
      <c r="M851" s="151"/>
      <c r="N851" s="151"/>
      <c r="P851" s="151"/>
    </row>
    <row r="852" ht="12.0" customHeight="1">
      <c r="K852" s="151"/>
      <c r="L852" s="151"/>
      <c r="M852" s="151"/>
      <c r="N852" s="151"/>
      <c r="P852" s="151"/>
    </row>
    <row r="853" ht="12.0" customHeight="1">
      <c r="K853" s="151"/>
      <c r="L853" s="151"/>
      <c r="M853" s="151"/>
      <c r="N853" s="151"/>
      <c r="P853" s="151"/>
    </row>
    <row r="854" ht="12.0" customHeight="1">
      <c r="K854" s="151"/>
      <c r="L854" s="151"/>
      <c r="M854" s="151"/>
      <c r="N854" s="151"/>
      <c r="P854" s="151"/>
    </row>
    <row r="855" ht="12.0" customHeight="1">
      <c r="K855" s="151"/>
      <c r="L855" s="151"/>
      <c r="M855" s="151"/>
      <c r="N855" s="151"/>
      <c r="P855" s="151"/>
    </row>
    <row r="856" ht="12.0" customHeight="1">
      <c r="K856" s="151"/>
      <c r="L856" s="151"/>
      <c r="M856" s="151"/>
      <c r="N856" s="151"/>
      <c r="P856" s="151"/>
    </row>
    <row r="857" ht="12.0" customHeight="1">
      <c r="K857" s="151"/>
      <c r="L857" s="151"/>
      <c r="M857" s="151"/>
      <c r="N857" s="151"/>
      <c r="P857" s="151"/>
    </row>
    <row r="858" ht="12.0" customHeight="1">
      <c r="K858" s="151"/>
      <c r="L858" s="151"/>
      <c r="M858" s="151"/>
      <c r="N858" s="151"/>
      <c r="P858" s="151"/>
    </row>
    <row r="859" ht="12.0" customHeight="1">
      <c r="K859" s="151"/>
      <c r="L859" s="151"/>
      <c r="M859" s="151"/>
      <c r="N859" s="151"/>
      <c r="P859" s="151"/>
    </row>
    <row r="860" ht="12.0" customHeight="1">
      <c r="K860" s="151"/>
      <c r="L860" s="151"/>
      <c r="M860" s="151"/>
      <c r="N860" s="151"/>
      <c r="P860" s="151"/>
    </row>
    <row r="861" ht="12.0" customHeight="1">
      <c r="K861" s="151"/>
      <c r="L861" s="151"/>
      <c r="M861" s="151"/>
      <c r="N861" s="151"/>
      <c r="P861" s="151"/>
    </row>
    <row r="862" ht="12.0" customHeight="1">
      <c r="K862" s="151"/>
      <c r="L862" s="151"/>
      <c r="M862" s="151"/>
      <c r="N862" s="151"/>
      <c r="P862" s="151"/>
    </row>
    <row r="863" ht="12.0" customHeight="1">
      <c r="K863" s="151"/>
      <c r="L863" s="151"/>
      <c r="M863" s="151"/>
      <c r="N863" s="151"/>
      <c r="P863" s="151"/>
    </row>
    <row r="864" ht="12.0" customHeight="1">
      <c r="K864" s="151"/>
      <c r="L864" s="151"/>
      <c r="M864" s="151"/>
      <c r="N864" s="151"/>
      <c r="P864" s="151"/>
    </row>
    <row r="865" ht="12.0" customHeight="1">
      <c r="K865" s="151"/>
      <c r="L865" s="151"/>
      <c r="M865" s="151"/>
      <c r="N865" s="151"/>
      <c r="P865" s="151"/>
    </row>
    <row r="866" ht="12.0" customHeight="1">
      <c r="K866" s="151"/>
      <c r="L866" s="151"/>
      <c r="M866" s="151"/>
      <c r="N866" s="151"/>
      <c r="P866" s="151"/>
    </row>
    <row r="867" ht="12.0" customHeight="1">
      <c r="K867" s="151"/>
      <c r="L867" s="151"/>
      <c r="M867" s="151"/>
      <c r="N867" s="151"/>
      <c r="P867" s="151"/>
    </row>
    <row r="868" ht="12.0" customHeight="1">
      <c r="K868" s="151"/>
      <c r="L868" s="151"/>
      <c r="M868" s="151"/>
      <c r="N868" s="151"/>
      <c r="P868" s="151"/>
    </row>
    <row r="869" ht="12.0" customHeight="1">
      <c r="K869" s="151"/>
      <c r="L869" s="151"/>
      <c r="M869" s="151"/>
      <c r="N869" s="151"/>
      <c r="P869" s="151"/>
    </row>
    <row r="870" ht="12.0" customHeight="1">
      <c r="K870" s="151"/>
      <c r="L870" s="151"/>
      <c r="M870" s="151"/>
      <c r="N870" s="151"/>
      <c r="P870" s="151"/>
    </row>
    <row r="871" ht="12.0" customHeight="1">
      <c r="K871" s="151"/>
      <c r="L871" s="151"/>
      <c r="M871" s="151"/>
      <c r="N871" s="151"/>
      <c r="P871" s="151"/>
    </row>
    <row r="872" ht="12.0" customHeight="1">
      <c r="K872" s="151"/>
      <c r="L872" s="151"/>
      <c r="M872" s="151"/>
      <c r="N872" s="151"/>
      <c r="P872" s="151"/>
    </row>
    <row r="873" ht="12.0" customHeight="1">
      <c r="K873" s="151"/>
      <c r="L873" s="151"/>
      <c r="M873" s="151"/>
      <c r="N873" s="151"/>
      <c r="P873" s="151"/>
    </row>
    <row r="874" ht="12.0" customHeight="1">
      <c r="K874" s="151"/>
      <c r="L874" s="151"/>
      <c r="M874" s="151"/>
      <c r="N874" s="151"/>
      <c r="P874" s="151"/>
    </row>
    <row r="875" ht="12.0" customHeight="1">
      <c r="K875" s="151"/>
      <c r="L875" s="151"/>
      <c r="M875" s="151"/>
      <c r="N875" s="151"/>
      <c r="P875" s="151"/>
    </row>
    <row r="876" ht="12.0" customHeight="1">
      <c r="K876" s="151"/>
      <c r="L876" s="151"/>
      <c r="M876" s="151"/>
      <c r="N876" s="151"/>
      <c r="P876" s="151"/>
    </row>
    <row r="877" ht="12.0" customHeight="1">
      <c r="K877" s="151"/>
      <c r="L877" s="151"/>
      <c r="M877" s="151"/>
      <c r="N877" s="151"/>
      <c r="P877" s="151"/>
    </row>
    <row r="878" ht="12.0" customHeight="1">
      <c r="K878" s="151"/>
      <c r="L878" s="151"/>
      <c r="M878" s="151"/>
      <c r="N878" s="151"/>
      <c r="P878" s="151"/>
    </row>
    <row r="879" ht="12.0" customHeight="1">
      <c r="K879" s="151"/>
      <c r="L879" s="151"/>
      <c r="M879" s="151"/>
      <c r="N879" s="151"/>
      <c r="P879" s="151"/>
    </row>
    <row r="880" ht="12.0" customHeight="1">
      <c r="K880" s="151"/>
      <c r="L880" s="151"/>
      <c r="M880" s="151"/>
      <c r="N880" s="151"/>
      <c r="P880" s="151"/>
    </row>
    <row r="881" ht="12.0" customHeight="1">
      <c r="K881" s="151"/>
      <c r="L881" s="151"/>
      <c r="M881" s="151"/>
      <c r="N881" s="151"/>
      <c r="P881" s="151"/>
    </row>
    <row r="882" ht="12.0" customHeight="1">
      <c r="K882" s="151"/>
      <c r="L882" s="151"/>
      <c r="M882" s="151"/>
      <c r="N882" s="151"/>
      <c r="P882" s="151"/>
    </row>
    <row r="883" ht="12.0" customHeight="1">
      <c r="K883" s="151"/>
      <c r="L883" s="151"/>
      <c r="M883" s="151"/>
      <c r="N883" s="151"/>
      <c r="P883" s="151"/>
    </row>
    <row r="884" ht="12.0" customHeight="1">
      <c r="K884" s="151"/>
      <c r="L884" s="151"/>
      <c r="M884" s="151"/>
      <c r="N884" s="151"/>
      <c r="P884" s="151"/>
    </row>
    <row r="885" ht="12.0" customHeight="1">
      <c r="K885" s="151"/>
      <c r="L885" s="151"/>
      <c r="M885" s="151"/>
      <c r="N885" s="151"/>
      <c r="P885" s="151"/>
    </row>
    <row r="886" ht="12.0" customHeight="1">
      <c r="K886" s="151"/>
      <c r="L886" s="151"/>
      <c r="M886" s="151"/>
      <c r="N886" s="151"/>
      <c r="P886" s="151"/>
    </row>
    <row r="887" ht="12.0" customHeight="1">
      <c r="K887" s="151"/>
      <c r="L887" s="151"/>
      <c r="M887" s="151"/>
      <c r="N887" s="151"/>
      <c r="P887" s="151"/>
    </row>
    <row r="888" ht="12.0" customHeight="1">
      <c r="K888" s="151"/>
      <c r="L888" s="151"/>
      <c r="M888" s="151"/>
      <c r="N888" s="151"/>
      <c r="P888" s="151"/>
    </row>
    <row r="889" ht="12.0" customHeight="1">
      <c r="K889" s="151"/>
      <c r="L889" s="151"/>
      <c r="M889" s="151"/>
      <c r="N889" s="151"/>
      <c r="P889" s="151"/>
    </row>
    <row r="890" ht="12.0" customHeight="1">
      <c r="K890" s="151"/>
      <c r="L890" s="151"/>
      <c r="M890" s="151"/>
      <c r="N890" s="151"/>
      <c r="P890" s="151"/>
    </row>
    <row r="891" ht="12.0" customHeight="1">
      <c r="K891" s="151"/>
      <c r="L891" s="151"/>
      <c r="M891" s="151"/>
      <c r="N891" s="151"/>
      <c r="P891" s="151"/>
    </row>
    <row r="892" ht="12.0" customHeight="1">
      <c r="K892" s="151"/>
      <c r="L892" s="151"/>
      <c r="M892" s="151"/>
      <c r="N892" s="151"/>
      <c r="P892" s="151"/>
    </row>
    <row r="893" ht="12.0" customHeight="1">
      <c r="K893" s="151"/>
      <c r="L893" s="151"/>
      <c r="M893" s="151"/>
      <c r="N893" s="151"/>
      <c r="P893" s="151"/>
    </row>
    <row r="894" ht="12.0" customHeight="1">
      <c r="K894" s="151"/>
      <c r="L894" s="151"/>
      <c r="M894" s="151"/>
      <c r="N894" s="151"/>
      <c r="P894" s="151"/>
    </row>
    <row r="895" ht="12.0" customHeight="1">
      <c r="K895" s="151"/>
      <c r="L895" s="151"/>
      <c r="M895" s="151"/>
      <c r="N895" s="151"/>
      <c r="P895" s="151"/>
    </row>
    <row r="896" ht="12.0" customHeight="1">
      <c r="K896" s="151"/>
      <c r="L896" s="151"/>
      <c r="M896" s="151"/>
      <c r="N896" s="151"/>
      <c r="P896" s="151"/>
    </row>
    <row r="897" ht="12.0" customHeight="1">
      <c r="K897" s="151"/>
      <c r="L897" s="151"/>
      <c r="M897" s="151"/>
      <c r="N897" s="151"/>
      <c r="P897" s="151"/>
    </row>
    <row r="898" ht="12.0" customHeight="1">
      <c r="K898" s="151"/>
      <c r="L898" s="151"/>
      <c r="M898" s="151"/>
      <c r="N898" s="151"/>
      <c r="P898" s="151"/>
    </row>
    <row r="899" ht="12.0" customHeight="1">
      <c r="K899" s="151"/>
      <c r="L899" s="151"/>
      <c r="M899" s="151"/>
      <c r="N899" s="151"/>
      <c r="P899" s="151"/>
    </row>
    <row r="900" ht="12.0" customHeight="1">
      <c r="K900" s="151"/>
      <c r="L900" s="151"/>
      <c r="M900" s="151"/>
      <c r="N900" s="151"/>
      <c r="P900" s="151"/>
    </row>
    <row r="901" ht="12.0" customHeight="1">
      <c r="K901" s="151"/>
      <c r="L901" s="151"/>
      <c r="M901" s="151"/>
      <c r="N901" s="151"/>
      <c r="P901" s="151"/>
    </row>
    <row r="902" ht="12.0" customHeight="1">
      <c r="K902" s="151"/>
      <c r="L902" s="151"/>
      <c r="M902" s="151"/>
      <c r="N902" s="151"/>
      <c r="P902" s="151"/>
    </row>
    <row r="903" ht="12.0" customHeight="1">
      <c r="K903" s="151"/>
      <c r="L903" s="151"/>
      <c r="M903" s="151"/>
      <c r="N903" s="151"/>
      <c r="P903" s="151"/>
    </row>
    <row r="904" ht="12.0" customHeight="1">
      <c r="K904" s="151"/>
      <c r="L904" s="151"/>
      <c r="M904" s="151"/>
      <c r="N904" s="151"/>
      <c r="P904" s="151"/>
    </row>
    <row r="905" ht="12.0" customHeight="1">
      <c r="K905" s="151"/>
      <c r="L905" s="151"/>
      <c r="M905" s="151"/>
      <c r="N905" s="151"/>
      <c r="P905" s="151"/>
    </row>
    <row r="906" ht="12.0" customHeight="1">
      <c r="K906" s="151"/>
      <c r="L906" s="151"/>
      <c r="M906" s="151"/>
      <c r="N906" s="151"/>
      <c r="P906" s="151"/>
    </row>
    <row r="907" ht="12.0" customHeight="1">
      <c r="K907" s="151"/>
      <c r="L907" s="151"/>
      <c r="M907" s="151"/>
      <c r="N907" s="151"/>
      <c r="P907" s="151"/>
    </row>
    <row r="908" ht="12.0" customHeight="1">
      <c r="K908" s="151"/>
      <c r="L908" s="151"/>
      <c r="M908" s="151"/>
      <c r="N908" s="151"/>
      <c r="P908" s="151"/>
    </row>
    <row r="909" ht="12.0" customHeight="1">
      <c r="K909" s="151"/>
      <c r="L909" s="151"/>
      <c r="M909" s="151"/>
      <c r="N909" s="151"/>
      <c r="P909" s="151"/>
    </row>
    <row r="910" ht="12.0" customHeight="1">
      <c r="K910" s="151"/>
      <c r="L910" s="151"/>
      <c r="M910" s="151"/>
      <c r="N910" s="151"/>
      <c r="P910" s="151"/>
    </row>
    <row r="911" ht="12.0" customHeight="1">
      <c r="K911" s="151"/>
      <c r="L911" s="151"/>
      <c r="M911" s="151"/>
      <c r="N911" s="151"/>
      <c r="P911" s="151"/>
    </row>
    <row r="912" ht="12.0" customHeight="1">
      <c r="K912" s="151"/>
      <c r="L912" s="151"/>
      <c r="M912" s="151"/>
      <c r="N912" s="151"/>
      <c r="P912" s="151"/>
    </row>
    <row r="913" ht="12.0" customHeight="1">
      <c r="K913" s="151"/>
      <c r="L913" s="151"/>
      <c r="M913" s="151"/>
      <c r="N913" s="151"/>
      <c r="P913" s="151"/>
    </row>
    <row r="914" ht="12.0" customHeight="1">
      <c r="K914" s="151"/>
      <c r="L914" s="151"/>
      <c r="M914" s="151"/>
      <c r="N914" s="151"/>
      <c r="P914" s="151"/>
    </row>
    <row r="915" ht="12.0" customHeight="1">
      <c r="K915" s="151"/>
      <c r="L915" s="151"/>
      <c r="M915" s="151"/>
      <c r="N915" s="151"/>
      <c r="P915" s="151"/>
    </row>
    <row r="916" ht="12.0" customHeight="1">
      <c r="K916" s="151"/>
      <c r="L916" s="151"/>
      <c r="M916" s="151"/>
      <c r="N916" s="151"/>
      <c r="P916" s="151"/>
    </row>
    <row r="917" ht="12.0" customHeight="1">
      <c r="K917" s="151"/>
      <c r="L917" s="151"/>
      <c r="M917" s="151"/>
      <c r="N917" s="151"/>
      <c r="P917" s="151"/>
    </row>
    <row r="918" ht="12.0" customHeight="1">
      <c r="K918" s="151"/>
      <c r="L918" s="151"/>
      <c r="M918" s="151"/>
      <c r="N918" s="151"/>
      <c r="P918" s="151"/>
    </row>
    <row r="919" ht="12.0" customHeight="1">
      <c r="K919" s="151"/>
      <c r="L919" s="151"/>
      <c r="M919" s="151"/>
      <c r="N919" s="151"/>
      <c r="P919" s="151"/>
    </row>
    <row r="920" ht="12.0" customHeight="1">
      <c r="K920" s="151"/>
      <c r="L920" s="151"/>
      <c r="M920" s="151"/>
      <c r="N920" s="151"/>
      <c r="P920" s="151"/>
    </row>
    <row r="921" ht="12.0" customHeight="1">
      <c r="K921" s="151"/>
      <c r="L921" s="151"/>
      <c r="M921" s="151"/>
      <c r="N921" s="151"/>
      <c r="P921" s="151"/>
    </row>
    <row r="922" ht="12.0" customHeight="1">
      <c r="K922" s="151"/>
      <c r="L922" s="151"/>
      <c r="M922" s="151"/>
      <c r="N922" s="151"/>
      <c r="P922" s="151"/>
    </row>
    <row r="923" ht="12.0" customHeight="1">
      <c r="K923" s="151"/>
      <c r="L923" s="151"/>
      <c r="M923" s="151"/>
      <c r="N923" s="151"/>
      <c r="P923" s="151"/>
    </row>
    <row r="924" ht="12.0" customHeight="1">
      <c r="K924" s="151"/>
      <c r="L924" s="151"/>
      <c r="M924" s="151"/>
      <c r="N924" s="151"/>
      <c r="P924" s="151"/>
    </row>
    <row r="925" ht="12.0" customHeight="1">
      <c r="K925" s="151"/>
      <c r="L925" s="151"/>
      <c r="M925" s="151"/>
      <c r="N925" s="151"/>
      <c r="P925" s="151"/>
    </row>
    <row r="926" ht="12.0" customHeight="1">
      <c r="K926" s="151"/>
      <c r="L926" s="151"/>
      <c r="M926" s="151"/>
      <c r="N926" s="151"/>
      <c r="P926" s="151"/>
    </row>
    <row r="927" ht="12.0" customHeight="1">
      <c r="K927" s="151"/>
      <c r="L927" s="151"/>
      <c r="M927" s="151"/>
      <c r="N927" s="151"/>
      <c r="P927" s="151"/>
    </row>
    <row r="928" ht="12.0" customHeight="1">
      <c r="K928" s="151"/>
      <c r="L928" s="151"/>
      <c r="M928" s="151"/>
      <c r="N928" s="151"/>
      <c r="P928" s="151"/>
    </row>
    <row r="929" ht="12.0" customHeight="1">
      <c r="K929" s="151"/>
      <c r="L929" s="151"/>
      <c r="M929" s="151"/>
      <c r="N929" s="151"/>
      <c r="P929" s="151"/>
    </row>
    <row r="930" ht="12.0" customHeight="1">
      <c r="K930" s="151"/>
      <c r="L930" s="151"/>
      <c r="M930" s="151"/>
      <c r="N930" s="151"/>
      <c r="P930" s="151"/>
    </row>
    <row r="931" ht="12.0" customHeight="1">
      <c r="K931" s="151"/>
      <c r="L931" s="151"/>
      <c r="M931" s="151"/>
      <c r="N931" s="151"/>
      <c r="P931" s="151"/>
    </row>
    <row r="932" ht="12.0" customHeight="1">
      <c r="K932" s="151"/>
      <c r="L932" s="151"/>
      <c r="M932" s="151"/>
      <c r="N932" s="151"/>
      <c r="P932" s="151"/>
    </row>
    <row r="933" ht="12.0" customHeight="1">
      <c r="K933" s="151"/>
      <c r="L933" s="151"/>
      <c r="M933" s="151"/>
      <c r="N933" s="151"/>
      <c r="P933" s="151"/>
    </row>
    <row r="934" ht="12.0" customHeight="1">
      <c r="K934" s="151"/>
      <c r="L934" s="151"/>
      <c r="M934" s="151"/>
      <c r="N934" s="151"/>
      <c r="P934" s="151"/>
    </row>
    <row r="935" ht="12.0" customHeight="1">
      <c r="K935" s="151"/>
      <c r="L935" s="151"/>
      <c r="M935" s="151"/>
      <c r="N935" s="151"/>
      <c r="P935" s="151"/>
    </row>
    <row r="936" ht="12.0" customHeight="1">
      <c r="K936" s="151"/>
      <c r="L936" s="151"/>
      <c r="M936" s="151"/>
      <c r="N936" s="151"/>
      <c r="P936" s="151"/>
    </row>
    <row r="937" ht="12.0" customHeight="1">
      <c r="K937" s="151"/>
      <c r="L937" s="151"/>
      <c r="M937" s="151"/>
      <c r="N937" s="151"/>
      <c r="P937" s="151"/>
    </row>
    <row r="938" ht="12.0" customHeight="1">
      <c r="K938" s="151"/>
      <c r="L938" s="151"/>
      <c r="M938" s="151"/>
      <c r="N938" s="151"/>
      <c r="P938" s="151"/>
    </row>
    <row r="939" ht="12.0" customHeight="1">
      <c r="K939" s="151"/>
      <c r="L939" s="151"/>
      <c r="M939" s="151"/>
      <c r="N939" s="151"/>
      <c r="P939" s="151"/>
    </row>
    <row r="940" ht="12.0" customHeight="1">
      <c r="K940" s="151"/>
      <c r="L940" s="151"/>
      <c r="M940" s="151"/>
      <c r="N940" s="151"/>
      <c r="P940" s="151"/>
    </row>
    <row r="941" ht="12.0" customHeight="1">
      <c r="K941" s="151"/>
      <c r="L941" s="151"/>
      <c r="M941" s="151"/>
      <c r="N941" s="151"/>
      <c r="P941" s="151"/>
    </row>
    <row r="942" ht="12.0" customHeight="1">
      <c r="K942" s="151"/>
      <c r="L942" s="151"/>
      <c r="M942" s="151"/>
      <c r="N942" s="151"/>
      <c r="P942" s="151"/>
    </row>
    <row r="943" ht="12.0" customHeight="1">
      <c r="K943" s="151"/>
      <c r="L943" s="151"/>
      <c r="M943" s="151"/>
      <c r="N943" s="151"/>
      <c r="P943" s="151"/>
    </row>
    <row r="944" ht="12.0" customHeight="1">
      <c r="K944" s="151"/>
      <c r="L944" s="151"/>
      <c r="M944" s="151"/>
      <c r="N944" s="151"/>
      <c r="P944" s="151"/>
    </row>
    <row r="945" ht="12.0" customHeight="1">
      <c r="K945" s="151"/>
      <c r="L945" s="151"/>
      <c r="M945" s="151"/>
      <c r="N945" s="151"/>
      <c r="P945" s="151"/>
    </row>
    <row r="946" ht="12.0" customHeight="1">
      <c r="K946" s="151"/>
      <c r="L946" s="151"/>
      <c r="M946" s="151"/>
      <c r="N946" s="151"/>
      <c r="P946" s="151"/>
    </row>
    <row r="947" ht="12.0" customHeight="1">
      <c r="K947" s="151"/>
      <c r="L947" s="151"/>
      <c r="M947" s="151"/>
      <c r="N947" s="151"/>
      <c r="P947" s="151"/>
    </row>
    <row r="948" ht="12.0" customHeight="1">
      <c r="K948" s="151"/>
      <c r="L948" s="151"/>
      <c r="M948" s="151"/>
      <c r="N948" s="151"/>
      <c r="P948" s="151"/>
    </row>
    <row r="949" ht="12.0" customHeight="1">
      <c r="K949" s="151"/>
      <c r="L949" s="151"/>
      <c r="M949" s="151"/>
      <c r="N949" s="151"/>
      <c r="P949" s="151"/>
    </row>
    <row r="950" ht="12.0" customHeight="1">
      <c r="K950" s="151"/>
      <c r="L950" s="151"/>
      <c r="M950" s="151"/>
      <c r="N950" s="151"/>
      <c r="P950" s="151"/>
    </row>
    <row r="951" ht="12.0" customHeight="1">
      <c r="K951" s="151"/>
      <c r="L951" s="151"/>
      <c r="M951" s="151"/>
      <c r="N951" s="151"/>
      <c r="P951" s="151"/>
    </row>
    <row r="952" ht="12.0" customHeight="1">
      <c r="K952" s="151"/>
      <c r="L952" s="151"/>
      <c r="M952" s="151"/>
      <c r="N952" s="151"/>
      <c r="P952" s="151"/>
    </row>
    <row r="953" ht="12.0" customHeight="1">
      <c r="K953" s="151"/>
      <c r="L953" s="151"/>
      <c r="M953" s="151"/>
      <c r="N953" s="151"/>
      <c r="P953" s="151"/>
    </row>
    <row r="954" ht="12.0" customHeight="1">
      <c r="K954" s="151"/>
      <c r="L954" s="151"/>
      <c r="M954" s="151"/>
      <c r="N954" s="151"/>
      <c r="P954" s="151"/>
    </row>
    <row r="955" ht="12.0" customHeight="1">
      <c r="K955" s="151"/>
      <c r="L955" s="151"/>
      <c r="M955" s="151"/>
      <c r="N955" s="151"/>
      <c r="P955" s="151"/>
    </row>
    <row r="956" ht="12.0" customHeight="1">
      <c r="K956" s="151"/>
      <c r="L956" s="151"/>
      <c r="M956" s="151"/>
      <c r="N956" s="151"/>
      <c r="P956" s="151"/>
    </row>
    <row r="957" ht="12.0" customHeight="1">
      <c r="K957" s="151"/>
      <c r="L957" s="151"/>
      <c r="M957" s="151"/>
      <c r="N957" s="151"/>
      <c r="P957" s="151"/>
    </row>
    <row r="958" ht="12.0" customHeight="1">
      <c r="K958" s="151"/>
      <c r="L958" s="151"/>
      <c r="M958" s="151"/>
      <c r="N958" s="151"/>
      <c r="P958" s="151"/>
    </row>
    <row r="959" ht="12.0" customHeight="1">
      <c r="K959" s="151"/>
      <c r="L959" s="151"/>
      <c r="M959" s="151"/>
      <c r="N959" s="151"/>
      <c r="P959" s="151"/>
    </row>
    <row r="960" ht="12.0" customHeight="1">
      <c r="K960" s="151"/>
      <c r="L960" s="151"/>
      <c r="M960" s="151"/>
      <c r="N960" s="151"/>
      <c r="P960" s="151"/>
    </row>
    <row r="961" ht="12.0" customHeight="1">
      <c r="K961" s="151"/>
      <c r="L961" s="151"/>
      <c r="M961" s="151"/>
      <c r="N961" s="151"/>
      <c r="P961" s="151"/>
    </row>
    <row r="962" ht="12.0" customHeight="1">
      <c r="K962" s="151"/>
      <c r="L962" s="151"/>
      <c r="M962" s="151"/>
      <c r="N962" s="151"/>
      <c r="P962" s="151"/>
    </row>
    <row r="963" ht="12.0" customHeight="1">
      <c r="K963" s="151"/>
      <c r="L963" s="151"/>
      <c r="M963" s="151"/>
      <c r="N963" s="151"/>
      <c r="P963" s="151"/>
    </row>
    <row r="964" ht="12.0" customHeight="1">
      <c r="K964" s="151"/>
      <c r="L964" s="151"/>
      <c r="M964" s="151"/>
      <c r="N964" s="151"/>
      <c r="P964" s="151"/>
    </row>
    <row r="965" ht="12.0" customHeight="1">
      <c r="K965" s="151"/>
      <c r="L965" s="151"/>
      <c r="M965" s="151"/>
      <c r="N965" s="151"/>
      <c r="P965" s="151"/>
    </row>
    <row r="966" ht="12.0" customHeight="1">
      <c r="K966" s="151"/>
      <c r="L966" s="151"/>
      <c r="M966" s="151"/>
      <c r="N966" s="151"/>
      <c r="P966" s="151"/>
    </row>
    <row r="967" ht="12.0" customHeight="1">
      <c r="K967" s="151"/>
      <c r="L967" s="151"/>
      <c r="M967" s="151"/>
      <c r="N967" s="151"/>
      <c r="P967" s="151"/>
    </row>
    <row r="968" ht="12.0" customHeight="1">
      <c r="K968" s="151"/>
      <c r="L968" s="151"/>
      <c r="M968" s="151"/>
      <c r="N968" s="151"/>
      <c r="P968" s="151"/>
    </row>
    <row r="969" ht="12.0" customHeight="1">
      <c r="K969" s="151"/>
      <c r="L969" s="151"/>
      <c r="M969" s="151"/>
      <c r="N969" s="151"/>
      <c r="P969" s="151"/>
    </row>
    <row r="970" ht="12.0" customHeight="1">
      <c r="K970" s="151"/>
      <c r="L970" s="151"/>
      <c r="M970" s="151"/>
      <c r="N970" s="151"/>
      <c r="P970" s="151"/>
    </row>
    <row r="971" ht="12.0" customHeight="1">
      <c r="K971" s="151"/>
      <c r="L971" s="151"/>
      <c r="M971" s="151"/>
      <c r="N971" s="151"/>
      <c r="P971" s="151"/>
    </row>
    <row r="972" ht="12.0" customHeight="1">
      <c r="K972" s="151"/>
      <c r="L972" s="151"/>
      <c r="M972" s="151"/>
      <c r="N972" s="151"/>
      <c r="P972" s="151"/>
    </row>
    <row r="973" ht="12.0" customHeight="1">
      <c r="K973" s="151"/>
      <c r="L973" s="151"/>
      <c r="M973" s="151"/>
      <c r="N973" s="151"/>
      <c r="P973" s="151"/>
    </row>
    <row r="974" ht="12.0" customHeight="1">
      <c r="K974" s="151"/>
      <c r="L974" s="151"/>
      <c r="M974" s="151"/>
      <c r="N974" s="151"/>
      <c r="P974" s="151"/>
    </row>
    <row r="975" ht="12.0" customHeight="1">
      <c r="K975" s="151"/>
      <c r="L975" s="151"/>
      <c r="M975" s="151"/>
      <c r="N975" s="151"/>
      <c r="P975" s="151"/>
    </row>
    <row r="976" ht="12.0" customHeight="1">
      <c r="K976" s="151"/>
      <c r="L976" s="151"/>
      <c r="M976" s="151"/>
      <c r="N976" s="151"/>
      <c r="P976" s="151"/>
    </row>
    <row r="977" ht="12.0" customHeight="1">
      <c r="K977" s="151"/>
      <c r="L977" s="151"/>
      <c r="M977" s="151"/>
      <c r="N977" s="151"/>
      <c r="P977" s="151"/>
    </row>
    <row r="978" ht="12.0" customHeight="1">
      <c r="K978" s="151"/>
      <c r="L978" s="151"/>
      <c r="M978" s="151"/>
      <c r="N978" s="151"/>
      <c r="P978" s="151"/>
    </row>
    <row r="979" ht="12.0" customHeight="1">
      <c r="K979" s="151"/>
      <c r="L979" s="151"/>
      <c r="M979" s="151"/>
      <c r="N979" s="151"/>
      <c r="P979" s="151"/>
    </row>
    <row r="980" ht="12.0" customHeight="1">
      <c r="K980" s="151"/>
      <c r="L980" s="151"/>
      <c r="M980" s="151"/>
      <c r="N980" s="151"/>
      <c r="P980" s="151"/>
    </row>
    <row r="981" ht="12.0" customHeight="1">
      <c r="K981" s="151"/>
      <c r="L981" s="151"/>
      <c r="M981" s="151"/>
      <c r="N981" s="151"/>
      <c r="P981" s="151"/>
    </row>
    <row r="982" ht="12.0" customHeight="1">
      <c r="K982" s="151"/>
      <c r="L982" s="151"/>
      <c r="M982" s="151"/>
      <c r="N982" s="151"/>
      <c r="P982" s="151"/>
    </row>
    <row r="983" ht="12.0" customHeight="1">
      <c r="K983" s="151"/>
      <c r="L983" s="151"/>
      <c r="M983" s="151"/>
      <c r="N983" s="151"/>
      <c r="P983" s="151"/>
    </row>
    <row r="984" ht="12.0" customHeight="1">
      <c r="K984" s="151"/>
      <c r="L984" s="151"/>
      <c r="M984" s="151"/>
      <c r="N984" s="151"/>
      <c r="P984" s="151"/>
    </row>
    <row r="985" ht="12.0" customHeight="1">
      <c r="K985" s="151"/>
      <c r="L985" s="151"/>
      <c r="M985" s="151"/>
      <c r="N985" s="151"/>
      <c r="P985" s="151"/>
    </row>
    <row r="986" ht="12.0" customHeight="1">
      <c r="K986" s="151"/>
      <c r="L986" s="151"/>
      <c r="M986" s="151"/>
      <c r="N986" s="151"/>
      <c r="P986" s="151"/>
    </row>
    <row r="987" ht="12.0" customHeight="1">
      <c r="K987" s="151"/>
      <c r="L987" s="151"/>
      <c r="M987" s="151"/>
      <c r="N987" s="151"/>
      <c r="P987" s="151"/>
    </row>
    <row r="988" ht="12.0" customHeight="1">
      <c r="K988" s="151"/>
      <c r="L988" s="151"/>
      <c r="M988" s="151"/>
      <c r="N988" s="151"/>
      <c r="P988" s="151"/>
    </row>
    <row r="989" ht="12.0" customHeight="1">
      <c r="K989" s="151"/>
      <c r="L989" s="151"/>
      <c r="M989" s="151"/>
      <c r="N989" s="151"/>
      <c r="P989" s="151"/>
    </row>
    <row r="990" ht="12.0" customHeight="1">
      <c r="K990" s="151"/>
      <c r="L990" s="151"/>
      <c r="M990" s="151"/>
      <c r="N990" s="151"/>
      <c r="P990" s="151"/>
    </row>
    <row r="991" ht="12.0" customHeight="1">
      <c r="K991" s="151"/>
      <c r="L991" s="151"/>
      <c r="M991" s="151"/>
      <c r="N991" s="151"/>
      <c r="P991" s="151"/>
    </row>
    <row r="992" ht="12.0" customHeight="1">
      <c r="K992" s="151"/>
      <c r="L992" s="151"/>
      <c r="M992" s="151"/>
      <c r="N992" s="151"/>
      <c r="P992" s="151"/>
    </row>
    <row r="993" ht="12.0" customHeight="1">
      <c r="K993" s="151"/>
      <c r="L993" s="151"/>
      <c r="M993" s="151"/>
      <c r="N993" s="151"/>
      <c r="P993" s="151"/>
    </row>
    <row r="994" ht="12.0" customHeight="1">
      <c r="K994" s="151"/>
      <c r="L994" s="151"/>
      <c r="M994" s="151"/>
      <c r="N994" s="151"/>
      <c r="P994" s="151"/>
    </row>
    <row r="995" ht="12.0" customHeight="1">
      <c r="K995" s="151"/>
      <c r="L995" s="151"/>
      <c r="M995" s="151"/>
      <c r="N995" s="151"/>
      <c r="P995" s="151"/>
    </row>
    <row r="996" ht="12.0" customHeight="1">
      <c r="K996" s="151"/>
      <c r="L996" s="151"/>
      <c r="M996" s="151"/>
      <c r="N996" s="151"/>
      <c r="P996" s="151"/>
    </row>
    <row r="997" ht="12.0" customHeight="1">
      <c r="K997" s="151"/>
      <c r="L997" s="151"/>
      <c r="M997" s="151"/>
      <c r="N997" s="151"/>
      <c r="P997" s="151"/>
    </row>
    <row r="998" ht="12.0" customHeight="1">
      <c r="K998" s="151"/>
      <c r="L998" s="151"/>
      <c r="M998" s="151"/>
      <c r="N998" s="151"/>
      <c r="P998" s="151"/>
    </row>
    <row r="999" ht="12.0" customHeight="1">
      <c r="K999" s="151"/>
      <c r="L999" s="151"/>
      <c r="M999" s="151"/>
      <c r="N999" s="151"/>
      <c r="P999" s="151"/>
    </row>
    <row r="1000" ht="12.0" customHeight="1">
      <c r="K1000" s="151"/>
      <c r="L1000" s="151"/>
      <c r="M1000" s="151"/>
      <c r="N1000" s="151"/>
      <c r="P1000" s="151"/>
    </row>
    <row r="1001" ht="12.0" customHeight="1">
      <c r="K1001" s="151"/>
      <c r="L1001" s="151"/>
      <c r="M1001" s="151"/>
      <c r="N1001" s="151"/>
      <c r="P1001" s="151"/>
    </row>
    <row r="1002" ht="12.0" customHeight="1">
      <c r="K1002" s="151"/>
      <c r="L1002" s="151"/>
      <c r="M1002" s="151"/>
      <c r="N1002" s="151"/>
      <c r="P1002" s="151"/>
    </row>
  </sheetData>
  <mergeCells count="18">
    <mergeCell ref="J7:K7"/>
    <mergeCell ref="O7:P7"/>
    <mergeCell ref="F8:H8"/>
    <mergeCell ref="B18:B20"/>
    <mergeCell ref="B21:B25"/>
    <mergeCell ref="B26:B30"/>
    <mergeCell ref="B34:B36"/>
    <mergeCell ref="B64:B66"/>
    <mergeCell ref="B67:B69"/>
    <mergeCell ref="B70:B72"/>
    <mergeCell ref="B74:B76"/>
    <mergeCell ref="B37:B39"/>
    <mergeCell ref="B41:B43"/>
    <mergeCell ref="B44:B46"/>
    <mergeCell ref="B47:B52"/>
    <mergeCell ref="B53:B56"/>
    <mergeCell ref="B57:B59"/>
    <mergeCell ref="B60:B62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31">
      <formula1>"TIMBER ROOF TRUSSES,NO ROOF TRUSSES"</formula1>
    </dataValidation>
    <dataValidation type="list" allowBlank="1" showErrorMessage="1" sqref="J18 J34 J37 J41 J44 J57 J60 J64 J67 J70 J74 J79">
      <formula1>"YES,NO"</formula1>
    </dataValidation>
    <dataValidation type="list" allowBlank="1" showErrorMessage="1" sqref="O17:O18 O21 O26 O31 O34 O37 O41 O44 O47 O53 O57 O60 O64 O67 O70 O74 O79">
      <formula1>"DELAPIDATED,POOR,FAIR,GOOD,VERY GOOD,EXCELLENT,NOT APPLICABLE"</formula1>
    </dataValidation>
    <dataValidation type="list" allowBlank="1" showErrorMessage="1" sqref="J53">
      <formula1>"STEEL WINDOW FRAMES,ALUMINIUM WINDOW FRAMES,NO WINDOWS FITTED"</formula1>
    </dataValidation>
    <dataValidation type="list" allowBlank="1" showErrorMessage="1" sqref="J12">
      <formula1>"2010-2013,2014-2021,2021-2023"</formula1>
    </dataValidation>
    <dataValidation type="list" allowBlank="1" showErrorMessage="1" sqref="J47">
      <formula1>"VINYL FLOORING,TILING FLOORING,TIMBER FLOORING,CARPETS FLOORING,NO FLOORING"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37.5"/>
    <col customWidth="1" min="4" max="9" width="22.63"/>
    <col customWidth="1" min="10" max="10" width="20.0"/>
    <col customWidth="1" min="11" max="11" width="22.5"/>
    <col customWidth="1" min="12" max="12" width="15.0"/>
    <col customWidth="1" min="13" max="13" width="26.38"/>
    <col customWidth="1" min="14" max="14" width="5.38"/>
    <col customWidth="1" min="15" max="15" width="26.5"/>
    <col customWidth="1" min="16" max="16" width="18.63"/>
    <col customWidth="1" min="17" max="26" width="9.13"/>
  </cols>
  <sheetData>
    <row r="1" ht="12.0" customHeight="1">
      <c r="B1" s="1"/>
      <c r="K1" s="151"/>
      <c r="P1" s="151"/>
    </row>
    <row r="2" ht="12.0" customHeight="1">
      <c r="B2" s="1"/>
      <c r="K2" s="151"/>
      <c r="P2" s="151"/>
    </row>
    <row r="3" ht="12.0" customHeight="1">
      <c r="B3" s="1"/>
      <c r="C3" s="4" t="s">
        <v>120</v>
      </c>
      <c r="K3" s="151"/>
      <c r="P3" s="151"/>
    </row>
    <row r="4" ht="12.0" customHeight="1">
      <c r="B4" s="1"/>
      <c r="C4" s="4" t="s">
        <v>78</v>
      </c>
      <c r="K4" s="151"/>
      <c r="P4" s="151"/>
    </row>
    <row r="5" ht="12.0" customHeight="1">
      <c r="B5" s="1"/>
      <c r="C5" s="4"/>
      <c r="K5" s="151"/>
      <c r="P5" s="151"/>
    </row>
    <row r="6" ht="30.0" customHeight="1">
      <c r="B6" s="1"/>
      <c r="C6" s="152"/>
      <c r="J6" s="6" t="s">
        <v>2</v>
      </c>
      <c r="K6" s="7"/>
      <c r="L6" s="166"/>
      <c r="M6" s="159"/>
      <c r="N6" s="160"/>
      <c r="O6" s="8" t="s">
        <v>3</v>
      </c>
      <c r="P6" s="7"/>
    </row>
    <row r="7" ht="30.0" customHeight="1">
      <c r="B7" s="1"/>
      <c r="D7" s="534"/>
      <c r="E7" s="534"/>
      <c r="F7" s="535" t="s">
        <v>79</v>
      </c>
      <c r="G7" s="274"/>
      <c r="H7" s="7"/>
      <c r="I7" s="536" t="s">
        <v>80</v>
      </c>
      <c r="J7" s="274"/>
      <c r="K7" s="7"/>
      <c r="L7" s="273" t="s">
        <v>91</v>
      </c>
      <c r="M7" s="274"/>
      <c r="N7" s="7"/>
      <c r="P7" s="151"/>
    </row>
    <row r="8" ht="30.0" customHeight="1">
      <c r="B8" s="1"/>
      <c r="C8" s="537" t="s">
        <v>121</v>
      </c>
      <c r="D8" s="538"/>
      <c r="E8" s="538"/>
      <c r="F8" s="153"/>
      <c r="G8" s="153"/>
      <c r="H8" s="153"/>
      <c r="I8" s="539"/>
      <c r="J8" s="539"/>
      <c r="K8" s="540"/>
      <c r="L8" s="158"/>
      <c r="M8" s="159"/>
      <c r="N8" s="160"/>
      <c r="O8" s="161"/>
      <c r="P8" s="151"/>
    </row>
    <row r="9" ht="63.0" customHeight="1">
      <c r="A9" s="20"/>
      <c r="B9" s="167" t="s">
        <v>6</v>
      </c>
      <c r="C9" s="167" t="s">
        <v>7</v>
      </c>
      <c r="D9" s="168"/>
      <c r="E9" s="168" t="s">
        <v>8</v>
      </c>
      <c r="F9" s="169" t="s">
        <v>9</v>
      </c>
      <c r="G9" s="169" t="s">
        <v>10</v>
      </c>
      <c r="H9" s="169" t="s">
        <v>11</v>
      </c>
      <c r="I9" s="170" t="s">
        <v>12</v>
      </c>
      <c r="J9" s="26" t="s">
        <v>13</v>
      </c>
      <c r="K9" s="24" t="s">
        <v>14</v>
      </c>
      <c r="L9" s="171" t="s">
        <v>15</v>
      </c>
      <c r="M9" s="172" t="s">
        <v>16</v>
      </c>
      <c r="N9" s="173" t="s">
        <v>17</v>
      </c>
      <c r="O9" s="31" t="s">
        <v>18</v>
      </c>
      <c r="P9" s="24" t="s">
        <v>14</v>
      </c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0.0" customHeight="1">
      <c r="A10" s="20"/>
      <c r="B10" s="174"/>
      <c r="C10" s="174"/>
      <c r="D10" s="175"/>
      <c r="E10" s="37"/>
      <c r="F10" s="541">
        <v>3.0</v>
      </c>
      <c r="G10" s="541">
        <v>2.0</v>
      </c>
      <c r="H10" s="541">
        <v>1.0</v>
      </c>
      <c r="I10" s="277"/>
      <c r="J10" s="278"/>
      <c r="K10" s="279"/>
      <c r="L10" s="542"/>
      <c r="M10" s="281"/>
      <c r="N10" s="543"/>
      <c r="O10" s="20"/>
      <c r="P10" s="544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30.0" customHeight="1">
      <c r="A11" s="17"/>
      <c r="B11" s="52"/>
      <c r="C11" s="184" t="s">
        <v>19</v>
      </c>
      <c r="D11" s="185"/>
      <c r="E11" s="48"/>
      <c r="F11" s="545"/>
      <c r="G11" s="545"/>
      <c r="H11" s="545"/>
      <c r="I11" s="283"/>
      <c r="J11" s="188">
        <v>400.0</v>
      </c>
      <c r="K11" s="189"/>
      <c r="L11" s="190" t="str">
        <f>AVERAGE(#REF!)</f>
        <v>#REF!</v>
      </c>
      <c r="M11" s="224">
        <v>348.333333333333</v>
      </c>
      <c r="N11" s="193"/>
      <c r="O11" s="193"/>
      <c r="P11" s="191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customHeight="1">
      <c r="A12" s="17"/>
      <c r="B12" s="52"/>
      <c r="C12" s="194" t="s">
        <v>20</v>
      </c>
      <c r="D12" s="185" t="s">
        <v>81</v>
      </c>
      <c r="E12" s="54"/>
      <c r="F12" s="545"/>
      <c r="G12" s="545"/>
      <c r="H12" s="545"/>
      <c r="I12" s="56"/>
      <c r="J12" s="196" t="s">
        <v>9</v>
      </c>
      <c r="K12" s="197"/>
      <c r="L12" s="190"/>
      <c r="M12" s="224"/>
      <c r="N12" s="193"/>
      <c r="O12" s="193"/>
      <c r="P12" s="191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customHeight="1">
      <c r="A13" s="17"/>
      <c r="B13" s="52"/>
      <c r="C13" s="198"/>
      <c r="D13" s="185" t="s">
        <v>11</v>
      </c>
      <c r="E13" s="54"/>
      <c r="F13" s="545"/>
      <c r="G13" s="545"/>
      <c r="H13" s="545"/>
      <c r="I13" s="56">
        <v>1.0</v>
      </c>
      <c r="J13" s="56"/>
      <c r="K13" s="285"/>
      <c r="L13" s="546"/>
      <c r="M13" s="547"/>
      <c r="N13" s="548"/>
      <c r="O13" s="17"/>
      <c r="P13" s="201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customHeight="1">
      <c r="A14" s="17"/>
      <c r="B14" s="52"/>
      <c r="C14" s="198"/>
      <c r="D14" s="185" t="s">
        <v>10</v>
      </c>
      <c r="E14" s="54"/>
      <c r="F14" s="545"/>
      <c r="G14" s="545"/>
      <c r="H14" s="545"/>
      <c r="I14" s="56">
        <v>2.0</v>
      </c>
      <c r="J14" s="56"/>
      <c r="K14" s="58"/>
      <c r="L14" s="549"/>
      <c r="M14" s="296"/>
      <c r="N14" s="550"/>
      <c r="O14" s="17"/>
      <c r="P14" s="202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customHeight="1">
      <c r="A15" s="17"/>
      <c r="B15" s="52"/>
      <c r="C15" s="198"/>
      <c r="D15" s="185" t="s">
        <v>9</v>
      </c>
      <c r="E15" s="17"/>
      <c r="F15" s="545"/>
      <c r="G15" s="545"/>
      <c r="H15" s="545"/>
      <c r="I15" s="56">
        <v>3.0</v>
      </c>
      <c r="J15" s="56"/>
      <c r="K15" s="58"/>
      <c r="L15" s="549"/>
      <c r="M15" s="296"/>
      <c r="N15" s="550"/>
      <c r="O15" s="17"/>
      <c r="P15" s="202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customHeight="1">
      <c r="A16" s="17"/>
      <c r="B16" s="52"/>
      <c r="C16" s="198"/>
      <c r="D16" s="185" t="s">
        <v>21</v>
      </c>
      <c r="E16" s="63">
        <v>1.19</v>
      </c>
      <c r="F16" s="545"/>
      <c r="G16" s="455">
        <v>1.25</v>
      </c>
      <c r="H16" s="455">
        <v>1.32</v>
      </c>
      <c r="I16" s="56"/>
      <c r="J16" s="56"/>
      <c r="K16" s="58"/>
      <c r="L16" s="549"/>
      <c r="M16" s="296"/>
      <c r="N16" s="550"/>
      <c r="O16" s="17"/>
      <c r="P16" s="20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551">
        <f>632.280701754386*E16</f>
        <v>752.4140351</v>
      </c>
      <c r="G17" s="551">
        <f>F17/$G$16</f>
        <v>601.9312281</v>
      </c>
      <c r="H17" s="551">
        <f>F17/$H$16</f>
        <v>570.0106326</v>
      </c>
      <c r="I17" s="68"/>
      <c r="J17" s="461"/>
      <c r="K17" s="70">
        <f>IF(J12="2010-2013",J11*H17,IF(J12="2014-2021",J11*G17,IF(J12="2021-2023",J11*F17,-2)))</f>
        <v>300965.614</v>
      </c>
      <c r="L17" s="552" t="str">
        <f t="shared" ref="L17:L18" si="1">AVERAGE(#REF!)</f>
        <v>#REF!</v>
      </c>
      <c r="M17" s="296">
        <v>220244.444444444</v>
      </c>
      <c r="N17" s="553">
        <f t="shared" ref="N17:N18" si="2">M17/$M$11</f>
        <v>632.2807018</v>
      </c>
      <c r="O17" s="207" t="s">
        <v>23</v>
      </c>
      <c r="P17" s="73">
        <f t="shared" ref="P17:P18" si="3">IF(O17="Delapidated",K17*0.6,IF(O17="Poor",K17*0.7,IF(O17="Fair",K17*0.8,IF(O17="Good",K17*0.85,IF(O17="Very Good",K17*0.9,IF(O17="Excellent",K17*1,IF(O17="Not Applicable",K17*1,0)))))))</f>
        <v>300965.614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66"/>
      <c r="F18" s="554"/>
      <c r="G18" s="551"/>
      <c r="H18" s="551"/>
      <c r="I18" s="68"/>
      <c r="J18" s="72" t="s">
        <v>25</v>
      </c>
      <c r="K18" s="70">
        <f>IF(J18="YES",IF(J12="2010-2013",H19*$J$11,IF(J12="2014-2021",G19*$J$11,IF(J12="2021-2023",F19*$J$11,0))),0)</f>
        <v>410043.2536</v>
      </c>
      <c r="L18" s="552" t="str">
        <f t="shared" si="1"/>
        <v>#REF!</v>
      </c>
      <c r="M18" s="296">
        <v>300066.666666667</v>
      </c>
      <c r="N18" s="553">
        <f t="shared" si="2"/>
        <v>861.4354067</v>
      </c>
      <c r="O18" s="207" t="s">
        <v>82</v>
      </c>
      <c r="P18" s="73">
        <f t="shared" si="3"/>
        <v>369038.9282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customHeight="1">
      <c r="A19" s="34"/>
      <c r="B19" s="84"/>
      <c r="C19" s="79" t="s">
        <v>25</v>
      </c>
      <c r="D19" s="66"/>
      <c r="E19" s="66"/>
      <c r="F19" s="555">
        <f>861.435406698565*E16</f>
        <v>1025.108134</v>
      </c>
      <c r="G19" s="551">
        <f t="shared" ref="G19:G20" si="4">F19/$G$16</f>
        <v>820.0865072</v>
      </c>
      <c r="H19" s="551">
        <f t="shared" ref="H19:H20" si="5">F19/$H$16</f>
        <v>776.5970712</v>
      </c>
      <c r="I19" s="77">
        <v>1.0</v>
      </c>
      <c r="J19" s="68"/>
      <c r="K19" s="70"/>
      <c r="L19" s="552"/>
      <c r="M19" s="296"/>
      <c r="N19" s="553"/>
      <c r="O19" s="34"/>
      <c r="P19" s="73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customHeight="1">
      <c r="A20" s="34"/>
      <c r="B20" s="85"/>
      <c r="C20" s="79" t="s">
        <v>26</v>
      </c>
      <c r="D20" s="66"/>
      <c r="E20" s="66"/>
      <c r="F20" s="551">
        <v>0.0</v>
      </c>
      <c r="G20" s="551">
        <f t="shared" si="4"/>
        <v>0</v>
      </c>
      <c r="H20" s="551">
        <f t="shared" si="5"/>
        <v>0</v>
      </c>
      <c r="I20" s="77">
        <v>2.0</v>
      </c>
      <c r="J20" s="68"/>
      <c r="K20" s="70"/>
      <c r="L20" s="552"/>
      <c r="M20" s="296"/>
      <c r="N20" s="553"/>
      <c r="O20" s="34"/>
      <c r="P20" s="73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208" t="s">
        <v>27</v>
      </c>
      <c r="D21" s="66"/>
      <c r="E21" s="66"/>
      <c r="F21" s="551"/>
      <c r="G21" s="551"/>
      <c r="H21" s="551"/>
      <c r="I21" s="68"/>
      <c r="J21" s="72" t="s">
        <v>28</v>
      </c>
      <c r="K21" s="70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266940.0408</v>
      </c>
      <c r="L21" s="552" t="str">
        <f>AVERAGE(#REF!)</f>
        <v>#REF!</v>
      </c>
      <c r="M21" s="296">
        <f>192577.777777778+2767</f>
        <v>195344.7778</v>
      </c>
      <c r="N21" s="553">
        <f>M21/$M$11</f>
        <v>560.7984051</v>
      </c>
      <c r="O21" s="207" t="s">
        <v>82</v>
      </c>
      <c r="P21" s="73">
        <f>IF(O21="Delapidated",K21*0.6,IF(O21="Poor",K21*0.7,IF(O21="Fair",K21*0.8,IF(O21="Good",K21*0.85,IF(O21="Very Good",K21*0.9,IF(O21="Excellent",K21*1,IF(O21="Not Applicable",K21*1,0)))))))</f>
        <v>240246.0367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customHeight="1">
      <c r="A22" s="34"/>
      <c r="B22" s="84"/>
      <c r="C22" s="79" t="s">
        <v>28</v>
      </c>
      <c r="D22" s="66"/>
      <c r="E22" s="66"/>
      <c r="F22" s="551">
        <f>560.798405103669*E16</f>
        <v>667.3501021</v>
      </c>
      <c r="G22" s="551">
        <f t="shared" ref="G22:G25" si="6">F22/$G$16</f>
        <v>533.8800817</v>
      </c>
      <c r="H22" s="551">
        <f t="shared" ref="H22:H25" si="7">F22/$H$16</f>
        <v>505.5682591</v>
      </c>
      <c r="I22" s="77">
        <v>1.0</v>
      </c>
      <c r="J22" s="68"/>
      <c r="K22" s="70"/>
      <c r="L22" s="552"/>
      <c r="M22" s="296"/>
      <c r="N22" s="553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customHeight="1">
      <c r="A23" s="34"/>
      <c r="B23" s="84"/>
      <c r="C23" s="79" t="s">
        <v>29</v>
      </c>
      <c r="D23" s="66"/>
      <c r="E23" s="66"/>
      <c r="F23" s="551">
        <f>F22*0.8</f>
        <v>533.8800817</v>
      </c>
      <c r="G23" s="551">
        <f t="shared" si="6"/>
        <v>427.1040653</v>
      </c>
      <c r="H23" s="551">
        <f t="shared" si="7"/>
        <v>404.4546073</v>
      </c>
      <c r="I23" s="77">
        <v>2.0</v>
      </c>
      <c r="J23" s="68"/>
      <c r="K23" s="70"/>
      <c r="L23" s="552"/>
      <c r="M23" s="296"/>
      <c r="N23" s="553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customHeight="1">
      <c r="A24" s="34"/>
      <c r="B24" s="84"/>
      <c r="C24" s="79" t="s">
        <v>30</v>
      </c>
      <c r="D24" s="66"/>
      <c r="E24" s="66"/>
      <c r="F24" s="551">
        <f>F22*1.3</f>
        <v>867.5551327</v>
      </c>
      <c r="G24" s="551">
        <f t="shared" si="6"/>
        <v>694.0441062</v>
      </c>
      <c r="H24" s="551">
        <f t="shared" si="7"/>
        <v>657.2387369</v>
      </c>
      <c r="I24" s="77">
        <v>3.0</v>
      </c>
      <c r="J24" s="68"/>
      <c r="K24" s="70"/>
      <c r="L24" s="552"/>
      <c r="M24" s="296"/>
      <c r="N24" s="553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customHeight="1">
      <c r="A25" s="34"/>
      <c r="B25" s="85"/>
      <c r="C25" s="79" t="s">
        <v>31</v>
      </c>
      <c r="D25" s="66"/>
      <c r="E25" s="66"/>
      <c r="F25" s="551">
        <v>0.0</v>
      </c>
      <c r="G25" s="551">
        <f t="shared" si="6"/>
        <v>0</v>
      </c>
      <c r="H25" s="551">
        <f t="shared" si="7"/>
        <v>0</v>
      </c>
      <c r="I25" s="77">
        <v>4.0</v>
      </c>
      <c r="J25" s="68"/>
      <c r="K25" s="70"/>
      <c r="L25" s="552"/>
      <c r="M25" s="296"/>
      <c r="N25" s="553"/>
      <c r="O25" s="34"/>
      <c r="P25" s="73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122</v>
      </c>
      <c r="D26" s="66"/>
      <c r="E26" s="66"/>
      <c r="F26" s="551"/>
      <c r="G26" s="551"/>
      <c r="H26" s="551"/>
      <c r="I26" s="68"/>
      <c r="J26" s="72" t="s">
        <v>34</v>
      </c>
      <c r="K26" s="70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68544</v>
      </c>
      <c r="L26" s="552" t="str">
        <f>AVERAGE(#REF!)</f>
        <v>#REF!</v>
      </c>
      <c r="M26" s="296">
        <f>115688.888888889+36011</f>
        <v>151699.8889</v>
      </c>
      <c r="N26" s="553">
        <f>M26/$M$11</f>
        <v>435.5020734</v>
      </c>
      <c r="O26" s="207" t="s">
        <v>82</v>
      </c>
      <c r="P26" s="73">
        <f>IF(O26="Delapidated",K26*0.6,IF(O26="Poor",K26*0.7,IF(O26="Fair",K26*0.8,IF(O26="Good",K26*0.85,IF(O26="Very Good",K26*0.9,IF(O26="Excellent",K26*1,IF(O26="Not Applicable",K26*1,0)))))))</f>
        <v>61689.6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customHeight="1">
      <c r="A27" s="34"/>
      <c r="B27" s="84"/>
      <c r="C27" s="79" t="s">
        <v>33</v>
      </c>
      <c r="D27" s="66"/>
      <c r="E27" s="66"/>
      <c r="F27" s="67">
        <f>90*E16</f>
        <v>107.1</v>
      </c>
      <c r="G27" s="551">
        <f t="shared" ref="G27:G30" si="8">F27/$G$16</f>
        <v>85.68</v>
      </c>
      <c r="H27" s="551">
        <f t="shared" ref="H27:H30" si="9">F27/$H$16</f>
        <v>81.13636364</v>
      </c>
      <c r="I27" s="77">
        <v>1.0</v>
      </c>
      <c r="J27" s="68"/>
      <c r="K27" s="70"/>
      <c r="L27" s="552"/>
      <c r="M27" s="296"/>
      <c r="N27" s="553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customHeight="1">
      <c r="A28" s="34"/>
      <c r="B28" s="84"/>
      <c r="C28" s="79" t="s">
        <v>34</v>
      </c>
      <c r="D28" s="66"/>
      <c r="E28" s="66"/>
      <c r="F28" s="67">
        <f>F27*1.6</f>
        <v>171.36</v>
      </c>
      <c r="G28" s="551">
        <f t="shared" si="8"/>
        <v>137.088</v>
      </c>
      <c r="H28" s="551">
        <f t="shared" si="9"/>
        <v>129.8181818</v>
      </c>
      <c r="I28" s="77">
        <v>2.0</v>
      </c>
      <c r="J28" s="68"/>
      <c r="K28" s="70"/>
      <c r="L28" s="552"/>
      <c r="M28" s="296"/>
      <c r="N28" s="553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customHeight="1">
      <c r="A29" s="34"/>
      <c r="B29" s="84"/>
      <c r="C29" s="79" t="s">
        <v>35</v>
      </c>
      <c r="D29" s="66"/>
      <c r="E29" s="66"/>
      <c r="F29" s="67">
        <f>F27*0.6</f>
        <v>64.26</v>
      </c>
      <c r="G29" s="551">
        <f t="shared" si="8"/>
        <v>51.408</v>
      </c>
      <c r="H29" s="551">
        <f t="shared" si="9"/>
        <v>48.68181818</v>
      </c>
      <c r="I29" s="77">
        <v>3.0</v>
      </c>
      <c r="J29" s="68"/>
      <c r="K29" s="70"/>
      <c r="L29" s="552"/>
      <c r="M29" s="296"/>
      <c r="N29" s="553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customHeight="1">
      <c r="A30" s="34"/>
      <c r="B30" s="85"/>
      <c r="C30" s="79" t="s">
        <v>36</v>
      </c>
      <c r="D30" s="66"/>
      <c r="E30" s="66"/>
      <c r="F30" s="67">
        <v>0.0</v>
      </c>
      <c r="G30" s="551">
        <f t="shared" si="8"/>
        <v>0</v>
      </c>
      <c r="H30" s="551">
        <f t="shared" si="9"/>
        <v>0</v>
      </c>
      <c r="I30" s="77">
        <v>4.0</v>
      </c>
      <c r="J30" s="68"/>
      <c r="K30" s="70"/>
      <c r="L30" s="552"/>
      <c r="M30" s="296"/>
      <c r="N30" s="553"/>
      <c r="O30" s="34"/>
      <c r="P30" s="73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75" customHeight="1">
      <c r="A31" s="34"/>
      <c r="B31" s="44">
        <f>B26+1</f>
        <v>5</v>
      </c>
      <c r="C31" s="74" t="s">
        <v>37</v>
      </c>
      <c r="D31" s="66"/>
      <c r="E31" s="66"/>
      <c r="F31" s="75"/>
      <c r="G31" s="67"/>
      <c r="H31" s="67"/>
      <c r="I31" s="68"/>
      <c r="J31" s="72" t="s">
        <v>38</v>
      </c>
      <c r="K31" s="70">
        <f>IF(J31="TIMBER ROOF TRUSSES",IF(J12="2010-2013",H32*$J$11,IF(J12="2014-2021",G32*$J$11,IF(J12="2021-2023",F32*$J$11,0))),IF(J31="STRUCTURAL STEEL TRUSSES",IF(J12="2010-2013",#REF!*$J$11,IF(J12="2014-2021",#REF!*$J$11,IF(J12="2021-2023",#REF!*$J$11,0))),0))</f>
        <v>138040</v>
      </c>
      <c r="L31" s="59" t="str">
        <f>AVERAGE(#REF!)</f>
        <v>#REF!</v>
      </c>
      <c r="M31" s="43">
        <f>51922.2222222222+844</f>
        <v>52766.22222</v>
      </c>
      <c r="N31" s="71" t="str">
        <f>M31/$M$10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82824</v>
      </c>
      <c r="Q31" s="20"/>
      <c r="R31" s="20"/>
      <c r="S31" s="20"/>
      <c r="T31" s="20"/>
      <c r="U31" s="34"/>
      <c r="V31" s="34"/>
      <c r="W31" s="34"/>
      <c r="X31" s="34"/>
      <c r="Y31" s="34"/>
      <c r="Z31" s="34"/>
    </row>
    <row r="32" ht="30.0" customHeight="1">
      <c r="A32" s="34"/>
      <c r="B32" s="44"/>
      <c r="C32" s="79" t="s">
        <v>38</v>
      </c>
      <c r="D32" s="66"/>
      <c r="E32" s="66"/>
      <c r="F32" s="67">
        <f>290*$E$16</f>
        <v>345.1</v>
      </c>
      <c r="G32" s="67">
        <f>F32/$G$16</f>
        <v>276.08</v>
      </c>
      <c r="H32" s="67">
        <f>F32/$H$16</f>
        <v>261.4393939</v>
      </c>
      <c r="I32" s="77">
        <v>1.0</v>
      </c>
      <c r="J32" s="78"/>
      <c r="K32" s="70"/>
      <c r="L32" s="59"/>
      <c r="M32" s="43"/>
      <c r="N32" s="71"/>
      <c r="O32" s="44"/>
      <c r="P32" s="212"/>
      <c r="Q32" s="20"/>
      <c r="R32" s="20"/>
      <c r="S32" s="20"/>
      <c r="T32" s="20"/>
      <c r="U32" s="142"/>
      <c r="V32" s="213"/>
      <c r="W32" s="34"/>
      <c r="X32" s="34"/>
      <c r="Y32" s="34"/>
      <c r="Z32" s="34"/>
    </row>
    <row r="33" ht="30.0" customHeight="1">
      <c r="A33" s="34"/>
      <c r="B33" s="44"/>
      <c r="C33" s="79" t="s">
        <v>41</v>
      </c>
      <c r="D33" s="66"/>
      <c r="E33" s="66"/>
      <c r="F33" s="67">
        <v>0.0</v>
      </c>
      <c r="G33" s="67">
        <v>0.0</v>
      </c>
      <c r="H33" s="67">
        <f>F33/$H$17</f>
        <v>0</v>
      </c>
      <c r="I33" s="77"/>
      <c r="J33" s="78"/>
      <c r="K33" s="70"/>
      <c r="L33" s="59"/>
      <c r="M33" s="43"/>
      <c r="N33" s="71"/>
      <c r="O33" s="44"/>
      <c r="P33" s="212"/>
      <c r="Q33" s="20"/>
      <c r="R33" s="20"/>
      <c r="S33" s="20"/>
      <c r="T33" s="20"/>
      <c r="U33" s="142"/>
      <c r="V33" s="213"/>
      <c r="W33" s="34"/>
      <c r="X33" s="34"/>
      <c r="Y33" s="34"/>
      <c r="Z33" s="34"/>
    </row>
    <row r="34" ht="30.0" customHeight="1">
      <c r="A34" s="34"/>
      <c r="B34" s="83">
        <v>6.0</v>
      </c>
      <c r="C34" s="208" t="s">
        <v>119</v>
      </c>
      <c r="D34" s="66"/>
      <c r="E34" s="66"/>
      <c r="F34" s="551"/>
      <c r="G34" s="551"/>
      <c r="H34" s="551"/>
      <c r="I34" s="68"/>
      <c r="J34" s="72" t="s">
        <v>25</v>
      </c>
      <c r="K34" s="70">
        <f>IF(J34="YES",IF(J12="2010-2013",H35*$J$11,IF(J12="2014-2021",G35*$J$11,IF(J12="2021-2023",F35*$J$11,0))),0)</f>
        <v>23800</v>
      </c>
      <c r="L34" s="552" t="str">
        <f>AVERAGE(#REF!)</f>
        <v>#REF!</v>
      </c>
      <c r="M34" s="296">
        <f>87188.8888888889+7500</f>
        <v>94688.88889</v>
      </c>
      <c r="N34" s="553">
        <f>M34/$M$11</f>
        <v>271.8341308</v>
      </c>
      <c r="O34" s="207" t="s">
        <v>82</v>
      </c>
      <c r="P34" s="73">
        <f>IF(O34="Delapidated",K34*0.6,IF(O34="Poor",K34*0.7,IF(O34="Fair",K34*0.8,IF(O34="Good",K34*0.85,IF(O34="Very Good",K34*0.9,IF(O34="Excellent",K34*1,IF(O34="Not Applicable",K34*1,0)))))))</f>
        <v>21420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4"/>
      <c r="C35" s="79" t="s">
        <v>25</v>
      </c>
      <c r="D35" s="66"/>
      <c r="E35" s="66"/>
      <c r="F35" s="67">
        <f>50*E16</f>
        <v>59.5</v>
      </c>
      <c r="G35" s="551">
        <f t="shared" ref="G35:G36" si="10">F35/$G$16</f>
        <v>47.6</v>
      </c>
      <c r="H35" s="551">
        <f t="shared" ref="H35:H36" si="11">F35/$H$16</f>
        <v>45.07575758</v>
      </c>
      <c r="I35" s="77">
        <v>1.0</v>
      </c>
      <c r="J35" s="68"/>
      <c r="K35" s="70"/>
      <c r="L35" s="552"/>
      <c r="M35" s="296"/>
      <c r="N35" s="553"/>
      <c r="O35" s="34"/>
      <c r="P35" s="73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customHeight="1">
      <c r="A36" s="34"/>
      <c r="B36" s="85"/>
      <c r="C36" s="79" t="s">
        <v>26</v>
      </c>
      <c r="D36" s="66"/>
      <c r="E36" s="66"/>
      <c r="F36" s="551">
        <v>0.0</v>
      </c>
      <c r="G36" s="551">
        <f t="shared" si="10"/>
        <v>0</v>
      </c>
      <c r="H36" s="551">
        <f t="shared" si="11"/>
        <v>0</v>
      </c>
      <c r="I36" s="77">
        <v>2.0</v>
      </c>
      <c r="J36" s="68"/>
      <c r="K36" s="70"/>
      <c r="L36" s="552"/>
      <c r="M36" s="296"/>
      <c r="N36" s="553"/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customHeight="1">
      <c r="A37" s="34"/>
      <c r="B37" s="83">
        <f>B34+1</f>
        <v>7</v>
      </c>
      <c r="C37" s="208" t="s">
        <v>45</v>
      </c>
      <c r="D37" s="66"/>
      <c r="E37" s="66"/>
      <c r="F37" s="551"/>
      <c r="G37" s="551"/>
      <c r="H37" s="551"/>
      <c r="I37" s="68"/>
      <c r="J37" s="72" t="s">
        <v>25</v>
      </c>
      <c r="K37" s="70">
        <f>IF(J37="YES",IF(J12="2010-2013",H38*$J$11,IF(J12="2014-2021",G38*$J$11,IF(J12="2021-2023",F38*$J$11,0))),0)</f>
        <v>90440</v>
      </c>
      <c r="L37" s="552"/>
      <c r="M37" s="296"/>
      <c r="N37" s="553"/>
      <c r="O37" s="207" t="s">
        <v>82</v>
      </c>
      <c r="P37" s="73">
        <f>IF(O37="Delapidated",K37*0.6,IF(O37="Poor",K37*0.7,IF(O37="Fair",K37*0.8,IF(O37="Good",K37*0.85,IF(O37="Very Good",K37*0.9,IF(O37="Excellent",K37*1,IF(O37="Not Applicable",K37*1,0)))))))</f>
        <v>81396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4"/>
      <c r="C38" s="79" t="s">
        <v>25</v>
      </c>
      <c r="D38" s="66"/>
      <c r="E38" s="66"/>
      <c r="F38" s="551">
        <f>190*E16</f>
        <v>226.1</v>
      </c>
      <c r="G38" s="551">
        <f t="shared" ref="G38:G39" si="12">F38/$G$16</f>
        <v>180.88</v>
      </c>
      <c r="H38" s="551">
        <f t="shared" ref="H38:H39" si="13">F38/$H$16</f>
        <v>171.2878788</v>
      </c>
      <c r="I38" s="77">
        <v>1.0</v>
      </c>
      <c r="J38" s="68"/>
      <c r="K38" s="70"/>
      <c r="L38" s="552"/>
      <c r="M38" s="296"/>
      <c r="N38" s="553"/>
      <c r="O38" s="34"/>
      <c r="P38" s="73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customHeight="1">
      <c r="A39" s="34"/>
      <c r="B39" s="85"/>
      <c r="C39" s="79" t="s">
        <v>26</v>
      </c>
      <c r="D39" s="66"/>
      <c r="E39" s="66"/>
      <c r="F39" s="551">
        <v>0.0</v>
      </c>
      <c r="G39" s="551">
        <f t="shared" si="12"/>
        <v>0</v>
      </c>
      <c r="H39" s="551">
        <f t="shared" si="13"/>
        <v>0</v>
      </c>
      <c r="I39" s="77">
        <v>2.0</v>
      </c>
      <c r="J39" s="68"/>
      <c r="K39" s="70"/>
      <c r="L39" s="552"/>
      <c r="M39" s="296"/>
      <c r="N39" s="553"/>
      <c r="O39" s="34"/>
      <c r="P39" s="73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customHeight="1">
      <c r="A40" s="34"/>
      <c r="B40" s="44"/>
      <c r="C40" s="214" t="s">
        <v>48</v>
      </c>
      <c r="D40" s="66"/>
      <c r="E40" s="66"/>
      <c r="F40" s="551"/>
      <c r="G40" s="551"/>
      <c r="H40" s="551"/>
      <c r="I40" s="77"/>
      <c r="J40" s="188">
        <v>6.0</v>
      </c>
      <c r="K40" s="34"/>
      <c r="L40" s="552"/>
      <c r="M40" s="296"/>
      <c r="N40" s="553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83">
        <f>B37+1</f>
        <v>8</v>
      </c>
      <c r="C41" s="208" t="s">
        <v>49</v>
      </c>
      <c r="D41" s="66"/>
      <c r="E41" s="66"/>
      <c r="F41" s="551"/>
      <c r="G41" s="551"/>
      <c r="H41" s="551"/>
      <c r="I41" s="68"/>
      <c r="J41" s="72" t="s">
        <v>25</v>
      </c>
      <c r="K41" s="70">
        <f>IF(J41="YES",IF(J12="2010-2013",H42*$J$40,IF(J12="2014-2021",G42*$J$40,IF(J12="2021-2023",F42*$J$40,0))),0)</f>
        <v>75000</v>
      </c>
      <c r="L41" s="552"/>
      <c r="M41" s="296"/>
      <c r="N41" s="553"/>
      <c r="O41" s="207" t="s">
        <v>82</v>
      </c>
      <c r="P41" s="73">
        <f>IF(O41="Delapidated",K41*0.6,IF(O41="Poor",K41*0.7,IF(O41="Fair",K41*0.8,IF(O41="Good",K41*0.85,IF(O41="Very Good",K41*0.9,IF(O41="Excellent",K41*1,IF(O41="Not Applicable",K41*1,0)))))))</f>
        <v>67500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4"/>
      <c r="C42" s="79" t="s">
        <v>25</v>
      </c>
      <c r="D42" s="66"/>
      <c r="E42" s="66"/>
      <c r="F42" s="551">
        <v>12500.0</v>
      </c>
      <c r="G42" s="551">
        <f t="shared" ref="G42:G43" si="14">F42/$G$16</f>
        <v>10000</v>
      </c>
      <c r="H42" s="551">
        <f t="shared" ref="H42:H43" si="15">F42/$H$16</f>
        <v>9469.69697</v>
      </c>
      <c r="I42" s="77">
        <v>1.0</v>
      </c>
      <c r="J42" s="68"/>
      <c r="K42" s="70"/>
      <c r="L42" s="552"/>
      <c r="M42" s="296"/>
      <c r="N42" s="553"/>
      <c r="O42" s="34"/>
      <c r="P42" s="73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customHeight="1">
      <c r="A43" s="34"/>
      <c r="B43" s="85"/>
      <c r="C43" s="79" t="s">
        <v>26</v>
      </c>
      <c r="D43" s="66"/>
      <c r="E43" s="66"/>
      <c r="F43" s="551">
        <v>0.0</v>
      </c>
      <c r="G43" s="551">
        <f t="shared" si="14"/>
        <v>0</v>
      </c>
      <c r="H43" s="551">
        <f t="shared" si="15"/>
        <v>0</v>
      </c>
      <c r="I43" s="77">
        <v>2.0</v>
      </c>
      <c r="J43" s="68"/>
      <c r="K43" s="70"/>
      <c r="L43" s="552"/>
      <c r="M43" s="296"/>
      <c r="N43" s="553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3">
        <f>B41+1</f>
        <v>9</v>
      </c>
      <c r="C44" s="208" t="s">
        <v>50</v>
      </c>
      <c r="D44" s="66"/>
      <c r="E44" s="66"/>
      <c r="F44" s="551"/>
      <c r="G44" s="551"/>
      <c r="H44" s="551"/>
      <c r="I44" s="68"/>
      <c r="J44" s="72" t="s">
        <v>25</v>
      </c>
      <c r="K44" s="70">
        <f>IF(J44="YES",IF(J12="2010-2013",H45*$J$11,IF(J12="2014-2021",G45*$J$11,IF(J12="2021-2023",F45*$J$11,0))),0)</f>
        <v>80016.58692</v>
      </c>
      <c r="L44" s="552" t="str">
        <f>AVERAGE(#REF!)</f>
        <v>#REF!</v>
      </c>
      <c r="M44" s="296">
        <v>58555.5555555556</v>
      </c>
      <c r="N44" s="553">
        <f>M44/$M$11</f>
        <v>168.1020734</v>
      </c>
      <c r="O44" s="207" t="s">
        <v>82</v>
      </c>
      <c r="P44" s="73">
        <f>IF(O44="Delapidated",K44*0.6,IF(O44="Poor",K44*0.7,IF(O44="Fair",K44*0.8,IF(O44="Good",K44*0.85,IF(O44="Very Good",K44*0.9,IF(O44="Excellent",K44*1,IF(O44="Not Applicable",K44*1,0)))))))</f>
        <v>72014.92823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84"/>
      <c r="C45" s="79" t="s">
        <v>25</v>
      </c>
      <c r="D45" s="66"/>
      <c r="E45" s="66"/>
      <c r="F45" s="551">
        <f>168.102073365231*E16</f>
        <v>200.0414673</v>
      </c>
      <c r="G45" s="551">
        <f t="shared" ref="G45:G46" si="16">F45/$G$16</f>
        <v>160.0331738</v>
      </c>
      <c r="H45" s="551">
        <f t="shared" ref="H45:H46" si="17">F45/$H$16</f>
        <v>151.5465661</v>
      </c>
      <c r="I45" s="77">
        <v>1.0</v>
      </c>
      <c r="J45" s="68"/>
      <c r="K45" s="70"/>
      <c r="L45" s="552"/>
      <c r="M45" s="296"/>
      <c r="N45" s="553"/>
      <c r="O45" s="34"/>
      <c r="P45" s="73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customHeight="1">
      <c r="A46" s="34"/>
      <c r="B46" s="85"/>
      <c r="C46" s="79" t="s">
        <v>26</v>
      </c>
      <c r="D46" s="66"/>
      <c r="E46" s="66"/>
      <c r="F46" s="551">
        <v>0.0</v>
      </c>
      <c r="G46" s="551">
        <f t="shared" si="16"/>
        <v>0</v>
      </c>
      <c r="H46" s="551">
        <f t="shared" si="17"/>
        <v>0</v>
      </c>
      <c r="I46" s="77">
        <v>2.0</v>
      </c>
      <c r="J46" s="68"/>
      <c r="K46" s="70"/>
      <c r="L46" s="552"/>
      <c r="M46" s="296"/>
      <c r="N46" s="553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44">
        <v>10.0</v>
      </c>
      <c r="C47" s="556" t="s">
        <v>51</v>
      </c>
      <c r="D47" s="66"/>
      <c r="E47" s="66"/>
      <c r="F47" s="551"/>
      <c r="G47" s="551"/>
      <c r="H47" s="551"/>
      <c r="I47" s="77"/>
      <c r="J47" s="72" t="s">
        <v>52</v>
      </c>
      <c r="K47" s="70">
        <f>IF(J47="VINYL FLOORING",IF(J12="2010-2013",H48*$J$11,IF(J12="2014-2021",G48*$J$11,IF(J12="2021-2023",F48*$J$11,0))),IF(J47="TILING FLOORING",IF(J12="2010-2013",H49*$J$11,IF(J12="2014-2021",G49*$J$11,IF(J12="2021-2023",F49*$J$11,0))),IF(J47="TIMBER FLOORING",IF(J12="2010-2013",H50*$J$11,IF(J12="2014-2021",G50*$J$11,IF(J12="2021-2023",F50*$J$11,0))),IF(J47="CARPETS FLOORING",IF(J12="2010-2013",H51*$J$11,IF(J12="2014-2021",G51*$J$11,IF(J12="2021-2023",F51*$J$11,0))),0))))</f>
        <v>114240</v>
      </c>
      <c r="L47" s="552"/>
      <c r="M47" s="296"/>
      <c r="N47" s="553"/>
      <c r="O47" s="207" t="s">
        <v>82</v>
      </c>
      <c r="P47" s="73">
        <f>IF(O47="Delapidated",K47*0.6,IF(O47="Poor",K47*0.7,IF(O47="Fair",K47*0.8,IF(O47="Good",K47*0.85,IF(O47="Very Good",K47*0.9,IF(O47="Excellent",K47*1,IF(O47="Not Applicable",K47*1,0)))))))</f>
        <v>102816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44"/>
      <c r="C48" s="79" t="s">
        <v>53</v>
      </c>
      <c r="D48" s="66"/>
      <c r="E48" s="66"/>
      <c r="F48" s="551">
        <f>F49*0.7</f>
        <v>199.92</v>
      </c>
      <c r="G48" s="551">
        <f t="shared" ref="G48:G52" si="18">F48/$G$16</f>
        <v>159.936</v>
      </c>
      <c r="H48" s="551">
        <f t="shared" ref="H48:H52" si="19">F48/$H$16</f>
        <v>151.4545455</v>
      </c>
      <c r="I48" s="77">
        <v>1.0</v>
      </c>
      <c r="J48" s="68"/>
      <c r="K48" s="70"/>
      <c r="L48" s="552"/>
      <c r="M48" s="296"/>
      <c r="N48" s="553"/>
      <c r="O48" s="34"/>
      <c r="P48" s="73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customHeight="1">
      <c r="A49" s="34"/>
      <c r="B49" s="44"/>
      <c r="C49" s="79" t="s">
        <v>52</v>
      </c>
      <c r="D49" s="66"/>
      <c r="E49" s="66"/>
      <c r="F49" s="551">
        <f>240*E16</f>
        <v>285.6</v>
      </c>
      <c r="G49" s="551">
        <f t="shared" si="18"/>
        <v>228.48</v>
      </c>
      <c r="H49" s="551">
        <f t="shared" si="19"/>
        <v>216.3636364</v>
      </c>
      <c r="I49" s="77">
        <v>2.0</v>
      </c>
      <c r="J49" s="68"/>
      <c r="K49" s="70"/>
      <c r="L49" s="552"/>
      <c r="M49" s="296"/>
      <c r="N49" s="553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customHeight="1">
      <c r="A50" s="34"/>
      <c r="B50" s="44"/>
      <c r="C50" s="79" t="s">
        <v>54</v>
      </c>
      <c r="D50" s="66"/>
      <c r="E50" s="66"/>
      <c r="F50" s="551">
        <f>F49*1.2</f>
        <v>342.72</v>
      </c>
      <c r="G50" s="551">
        <f t="shared" si="18"/>
        <v>274.176</v>
      </c>
      <c r="H50" s="551">
        <f t="shared" si="19"/>
        <v>259.6363636</v>
      </c>
      <c r="I50" s="77">
        <v>3.0</v>
      </c>
      <c r="J50" s="68"/>
      <c r="K50" s="70"/>
      <c r="L50" s="552"/>
      <c r="M50" s="296"/>
      <c r="N50" s="553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customHeight="1">
      <c r="A51" s="34"/>
      <c r="B51" s="44"/>
      <c r="C51" s="79" t="s">
        <v>55</v>
      </c>
      <c r="D51" s="66"/>
      <c r="E51" s="66"/>
      <c r="F51" s="551">
        <f>F49*1.3</f>
        <v>371.28</v>
      </c>
      <c r="G51" s="551">
        <f t="shared" si="18"/>
        <v>297.024</v>
      </c>
      <c r="H51" s="551">
        <f t="shared" si="19"/>
        <v>281.2727273</v>
      </c>
      <c r="I51" s="77">
        <v>4.0</v>
      </c>
      <c r="J51" s="68"/>
      <c r="K51" s="70"/>
      <c r="L51" s="552"/>
      <c r="M51" s="296"/>
      <c r="N51" s="553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customHeight="1">
      <c r="A52" s="34"/>
      <c r="B52" s="44"/>
      <c r="C52" s="79" t="s">
        <v>56</v>
      </c>
      <c r="D52" s="66"/>
      <c r="E52" s="66"/>
      <c r="F52" s="551">
        <v>0.0</v>
      </c>
      <c r="G52" s="551">
        <f t="shared" si="18"/>
        <v>0</v>
      </c>
      <c r="H52" s="551">
        <f t="shared" si="19"/>
        <v>0</v>
      </c>
      <c r="I52" s="77">
        <v>5.0</v>
      </c>
      <c r="J52" s="68"/>
      <c r="K52" s="70"/>
      <c r="L52" s="552"/>
      <c r="M52" s="296"/>
      <c r="N52" s="553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customHeight="1">
      <c r="A53" s="34"/>
      <c r="B53" s="83">
        <f>B47+1</f>
        <v>11</v>
      </c>
      <c r="C53" s="208" t="s">
        <v>57</v>
      </c>
      <c r="D53" s="66"/>
      <c r="E53" s="66"/>
      <c r="F53" s="551"/>
      <c r="G53" s="551"/>
      <c r="H53" s="551"/>
      <c r="I53" s="68"/>
      <c r="J53" s="72" t="s">
        <v>58</v>
      </c>
      <c r="K53" s="70">
        <f>IF(J53="STEEL WINDOW FRAMES",IF(J12="2010-2013",H54*$J$11,IF(J12="2014-2021",G54*$J$11,IF(J12="2021-2023",F54*$J$11,0))),IF(J53="ALUMINIUM WINDOW FRAMES",IF(J12="2010-2013",H55*$J$11,IF(J12="2014-2021",G55*$J$11,IF(J12="2021-2023",F55*$J$11,0))),0))</f>
        <v>147560</v>
      </c>
      <c r="L53" s="552" t="str">
        <f>AVERAGE(#REF!)</f>
        <v>#REF!</v>
      </c>
      <c r="M53" s="296">
        <v>128766.666666667</v>
      </c>
      <c r="N53" s="553">
        <f>M53/$M$11</f>
        <v>369.6650718</v>
      </c>
      <c r="O53" s="207" t="s">
        <v>82</v>
      </c>
      <c r="P53" s="73">
        <f>IF(O53="Delapidated",K53*0.6,IF(O53="Poor",K53*0.7,IF(O53="Fair",K53*0.8,IF(O53="Good",K53*0.85,IF(O53="Very Good",K53*0.9,IF(O53="Excellent",K53*1,IF(O53="Not Applicable",K53*1,0)))))))</f>
        <v>132804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34"/>
      <c r="B54" s="84"/>
      <c r="C54" s="79" t="s">
        <v>59</v>
      </c>
      <c r="D54" s="66"/>
      <c r="E54" s="66"/>
      <c r="F54" s="555">
        <f>F55*0.3</f>
        <v>110.67</v>
      </c>
      <c r="G54" s="551">
        <f t="shared" ref="G54:G56" si="20">F54/$G$16</f>
        <v>88.536</v>
      </c>
      <c r="H54" s="551">
        <f t="shared" ref="H54:H56" si="21">F54/$H$16</f>
        <v>83.84090909</v>
      </c>
      <c r="I54" s="77">
        <v>1.0</v>
      </c>
      <c r="J54" s="68"/>
      <c r="K54" s="70"/>
      <c r="L54" s="552"/>
      <c r="M54" s="296"/>
      <c r="N54" s="553"/>
      <c r="O54" s="34"/>
      <c r="P54" s="73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customHeight="1">
      <c r="A55" s="34"/>
      <c r="B55" s="84"/>
      <c r="C55" s="79" t="s">
        <v>58</v>
      </c>
      <c r="D55" s="66"/>
      <c r="E55" s="66"/>
      <c r="F55" s="551">
        <f>310*E16</f>
        <v>368.9</v>
      </c>
      <c r="G55" s="551">
        <f t="shared" si="20"/>
        <v>295.12</v>
      </c>
      <c r="H55" s="551">
        <f t="shared" si="21"/>
        <v>279.469697</v>
      </c>
      <c r="I55" s="77">
        <v>2.0</v>
      </c>
      <c r="J55" s="68"/>
      <c r="K55" s="70"/>
      <c r="L55" s="552"/>
      <c r="M55" s="296"/>
      <c r="N55" s="553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34"/>
      <c r="B56" s="85"/>
      <c r="C56" s="79" t="s">
        <v>60</v>
      </c>
      <c r="D56" s="66"/>
      <c r="E56" s="66"/>
      <c r="F56" s="551">
        <v>0.0</v>
      </c>
      <c r="G56" s="551">
        <f t="shared" si="20"/>
        <v>0</v>
      </c>
      <c r="H56" s="551">
        <f t="shared" si="21"/>
        <v>0</v>
      </c>
      <c r="I56" s="77">
        <v>3.0</v>
      </c>
      <c r="J56" s="68"/>
      <c r="K56" s="70"/>
      <c r="L56" s="552"/>
      <c r="M56" s="296"/>
      <c r="N56" s="553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customHeight="1">
      <c r="A57" s="34"/>
      <c r="B57" s="83">
        <f>B53+1</f>
        <v>12</v>
      </c>
      <c r="C57" s="208" t="s">
        <v>61</v>
      </c>
      <c r="D57" s="66"/>
      <c r="E57" s="66"/>
      <c r="F57" s="551"/>
      <c r="G57" s="551"/>
      <c r="H57" s="551"/>
      <c r="I57" s="68"/>
      <c r="J57" s="72" t="s">
        <v>25</v>
      </c>
      <c r="K57" s="70">
        <f>IF(J57="YES",IF(J12="2010-2013",H58*$J$11,IF(J12="2014-2021",G58*$J$11,IF(J12="2021-2023",F58*$J$11,0))),0)</f>
        <v>131275.7895</v>
      </c>
      <c r="L57" s="552" t="str">
        <f>AVERAGE(#REF!)</f>
        <v>#REF!</v>
      </c>
      <c r="M57" s="296">
        <v>96066.6666666667</v>
      </c>
      <c r="N57" s="553">
        <f>M57/$M$11</f>
        <v>275.7894737</v>
      </c>
      <c r="O57" s="207" t="s">
        <v>82</v>
      </c>
      <c r="P57" s="73">
        <f>IF(O57="Delapidated",K57*0.6,IF(O57="Poor",K57*0.7,IF(O57="Fair",K57*0.8,IF(O57="Good",K57*0.85,IF(O57="Very Good",K57*0.9,IF(O57="Excellent",K57*1,IF(O57="Not Applicable",K57*1,0)))))))</f>
        <v>118148.2105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customHeight="1">
      <c r="A58" s="34"/>
      <c r="B58" s="84"/>
      <c r="C58" s="79" t="s">
        <v>25</v>
      </c>
      <c r="D58" s="66"/>
      <c r="E58" s="66"/>
      <c r="F58" s="551">
        <f>275.789473684211*E16</f>
        <v>328.1894737</v>
      </c>
      <c r="G58" s="551">
        <f t="shared" ref="G58:G59" si="22">F58/$G$16</f>
        <v>262.5515789</v>
      </c>
      <c r="H58" s="551">
        <f t="shared" ref="H58:H59" si="23">F58/$H$16</f>
        <v>248.6283892</v>
      </c>
      <c r="I58" s="77">
        <v>1.0</v>
      </c>
      <c r="J58" s="68"/>
      <c r="K58" s="70"/>
      <c r="L58" s="552"/>
      <c r="M58" s="296"/>
      <c r="N58" s="553"/>
      <c r="O58" s="34"/>
      <c r="P58" s="73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customHeight="1">
      <c r="A59" s="34"/>
      <c r="B59" s="85"/>
      <c r="C59" s="79" t="s">
        <v>26</v>
      </c>
      <c r="D59" s="66"/>
      <c r="E59" s="66"/>
      <c r="F59" s="551">
        <v>0.0</v>
      </c>
      <c r="G59" s="551">
        <f t="shared" si="22"/>
        <v>0</v>
      </c>
      <c r="H59" s="551">
        <f t="shared" si="23"/>
        <v>0</v>
      </c>
      <c r="I59" s="77">
        <v>2.0</v>
      </c>
      <c r="J59" s="68"/>
      <c r="K59" s="70"/>
      <c r="L59" s="552"/>
      <c r="M59" s="296"/>
      <c r="N59" s="553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3">
        <f>B57+1</f>
        <v>13</v>
      </c>
      <c r="C60" s="208" t="s">
        <v>62</v>
      </c>
      <c r="D60" s="66"/>
      <c r="E60" s="66"/>
      <c r="F60" s="551"/>
      <c r="G60" s="551"/>
      <c r="H60" s="551"/>
      <c r="I60" s="68"/>
      <c r="J60" s="72" t="s">
        <v>25</v>
      </c>
      <c r="K60" s="70">
        <f>IF(J60="YES",IF(J12="2010-2013",H61*$J$11,IF(J12="2014-2021",G61*$J$11,IF(J12="2021-2023",F61*$J$11,0))),0)</f>
        <v>29512</v>
      </c>
      <c r="L60" s="552" t="str">
        <f>AVERAGE(#REF!)</f>
        <v>#REF!</v>
      </c>
      <c r="M60" s="296">
        <v>101355.555555556</v>
      </c>
      <c r="N60" s="553">
        <f>M60/$M$11</f>
        <v>290.9728868</v>
      </c>
      <c r="O60" s="207" t="s">
        <v>82</v>
      </c>
      <c r="P60" s="73">
        <f>IF(O60="Delapidated",K60*0.6,IF(O60="Poor",K60*0.7,IF(O60="Fair",K60*0.8,IF(O60="Good",K60*0.85,IF(O60="Very Good",K60*0.9,IF(O60="Excellent",K60*1,IF(O60="Not Applicable",K60*1,0)))))))</f>
        <v>26560.8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84"/>
      <c r="C61" s="79" t="s">
        <v>25</v>
      </c>
      <c r="D61" s="66"/>
      <c r="E61" s="66"/>
      <c r="F61" s="551">
        <f>310*0.2*E16</f>
        <v>73.78</v>
      </c>
      <c r="G61" s="551">
        <f t="shared" ref="G61:G62" si="24">F61/$G$16</f>
        <v>59.024</v>
      </c>
      <c r="H61" s="551">
        <f t="shared" ref="H61:H62" si="25">F61/$H$16</f>
        <v>55.89393939</v>
      </c>
      <c r="I61" s="77">
        <v>1.0</v>
      </c>
      <c r="J61" s="68"/>
      <c r="K61" s="70"/>
      <c r="L61" s="552"/>
      <c r="M61" s="296"/>
      <c r="N61" s="553"/>
      <c r="O61" s="34"/>
      <c r="P61" s="73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customHeight="1">
      <c r="A62" s="34"/>
      <c r="B62" s="85"/>
      <c r="C62" s="79" t="s">
        <v>26</v>
      </c>
      <c r="D62" s="66"/>
      <c r="E62" s="66"/>
      <c r="F62" s="551">
        <v>0.0</v>
      </c>
      <c r="G62" s="551">
        <f t="shared" si="24"/>
        <v>0</v>
      </c>
      <c r="H62" s="551">
        <f t="shared" si="25"/>
        <v>0</v>
      </c>
      <c r="I62" s="77">
        <v>2.0</v>
      </c>
      <c r="J62" s="68"/>
      <c r="K62" s="70"/>
      <c r="L62" s="552"/>
      <c r="M62" s="296"/>
      <c r="N62" s="553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34"/>
      <c r="B63" s="44"/>
      <c r="C63" s="214" t="s">
        <v>63</v>
      </c>
      <c r="D63" s="66"/>
      <c r="E63" s="66"/>
      <c r="F63" s="551"/>
      <c r="G63" s="551"/>
      <c r="H63" s="551"/>
      <c r="I63" s="77"/>
      <c r="J63" s="188">
        <v>4.0</v>
      </c>
      <c r="K63" s="34"/>
      <c r="L63" s="552"/>
      <c r="M63" s="296"/>
      <c r="N63" s="553"/>
      <c r="O63" s="34"/>
      <c r="P63" s="73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83">
        <f>B60+1</f>
        <v>14</v>
      </c>
      <c r="C64" s="208" t="s">
        <v>64</v>
      </c>
      <c r="D64" s="66"/>
      <c r="E64" s="66"/>
      <c r="F64" s="551"/>
      <c r="G64" s="551"/>
      <c r="H64" s="551"/>
      <c r="I64" s="68"/>
      <c r="J64" s="72" t="s">
        <v>25</v>
      </c>
      <c r="K64" s="70">
        <f>IF(J64="YES",IF(J12="2010-2013",H65*$J$63,IF(J12="2014-2021",G65*$J$63,IF(J12="2021-2023",F65*$J$63,0))),0)</f>
        <v>112000</v>
      </c>
      <c r="L64" s="552" t="str">
        <f>AVERAGE(#REF!)</f>
        <v>#REF!</v>
      </c>
      <c r="M64" s="296">
        <f>81722.2222222222+3100</f>
        <v>84822.22222</v>
      </c>
      <c r="N64" s="553">
        <f>M64/$M$11</f>
        <v>243.5087719</v>
      </c>
      <c r="O64" s="207" t="s">
        <v>82</v>
      </c>
      <c r="P64" s="73">
        <f>IF(O64="Delapidated",K64*0.6,IF(O64="Poor",K64*0.7,IF(O64="Fair",K64*0.8,IF(O64="Good",K64*0.85,IF(O64="Very Good",K64*0.9,IF(O64="Excellent",K64*1,IF(O64="Not Applicable",K64*1,0)))))))</f>
        <v>100800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84"/>
      <c r="C65" s="79" t="s">
        <v>25</v>
      </c>
      <c r="D65" s="66"/>
      <c r="E65" s="66"/>
      <c r="F65" s="551">
        <v>28000.0</v>
      </c>
      <c r="G65" s="551">
        <f t="shared" ref="G65:G66" si="26">F65/$G$16</f>
        <v>22400</v>
      </c>
      <c r="H65" s="551">
        <f t="shared" ref="H65:H66" si="27">F65/$H$16</f>
        <v>21212.12121</v>
      </c>
      <c r="I65" s="77">
        <v>1.0</v>
      </c>
      <c r="J65" s="68"/>
      <c r="K65" s="70"/>
      <c r="L65" s="552"/>
      <c r="M65" s="296"/>
      <c r="N65" s="553"/>
      <c r="O65" s="34"/>
      <c r="P65" s="73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34"/>
      <c r="B66" s="85"/>
      <c r="C66" s="79" t="s">
        <v>26</v>
      </c>
      <c r="D66" s="66"/>
      <c r="E66" s="66"/>
      <c r="F66" s="551">
        <v>0.0</v>
      </c>
      <c r="G66" s="551">
        <f t="shared" si="26"/>
        <v>0</v>
      </c>
      <c r="H66" s="551">
        <f t="shared" si="27"/>
        <v>0</v>
      </c>
      <c r="I66" s="77">
        <v>2.0</v>
      </c>
      <c r="J66" s="68"/>
      <c r="K66" s="70"/>
      <c r="L66" s="552"/>
      <c r="M66" s="296"/>
      <c r="N66" s="553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83">
        <f>B64+1</f>
        <v>15</v>
      </c>
      <c r="C67" s="208" t="s">
        <v>65</v>
      </c>
      <c r="D67" s="66"/>
      <c r="E67" s="66"/>
      <c r="F67" s="551"/>
      <c r="G67" s="551"/>
      <c r="H67" s="551"/>
      <c r="I67" s="68"/>
      <c r="J67" s="72" t="s">
        <v>25</v>
      </c>
      <c r="K67" s="70">
        <f>IF(J67="YES",IF(J12="2010-2013",H68*$J$11,IF(J12="2014-2021",G68*$J$11,IF(J12="2021-2023",F68*$J$11,0))),0)</f>
        <v>75674.13078</v>
      </c>
      <c r="L67" s="552" t="str">
        <f>AVERAGE(#REF!)</f>
        <v>#REF!</v>
      </c>
      <c r="M67" s="296">
        <v>55377.7777777778</v>
      </c>
      <c r="N67" s="553">
        <f>M67/$M$11</f>
        <v>158.9792663</v>
      </c>
      <c r="O67" s="207" t="s">
        <v>82</v>
      </c>
      <c r="P67" s="73">
        <f>IF(O67="Delapidated",K67*0.6,IF(O67="Poor",K67*0.7,IF(O67="Fair",K67*0.8,IF(O67="Good",K67*0.85,IF(O67="Very Good",K67*0.9,IF(O67="Excellent",K67*1,IF(O67="Not Applicable",K67*1,0)))))))</f>
        <v>68106.7177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84"/>
      <c r="C68" s="79" t="s">
        <v>25</v>
      </c>
      <c r="D68" s="66"/>
      <c r="E68" s="66"/>
      <c r="F68" s="551">
        <f>158.979266347687*E16</f>
        <v>189.185327</v>
      </c>
      <c r="G68" s="551">
        <f t="shared" ref="G68:G69" si="28">F68/$G$16</f>
        <v>151.3482616</v>
      </c>
      <c r="H68" s="551">
        <f t="shared" ref="H68:H69" si="29">F68/$H$16</f>
        <v>143.3222174</v>
      </c>
      <c r="I68" s="77">
        <v>1.0</v>
      </c>
      <c r="J68" s="68"/>
      <c r="K68" s="70"/>
      <c r="L68" s="552"/>
      <c r="M68" s="296"/>
      <c r="N68" s="553"/>
      <c r="O68" s="34"/>
      <c r="P68" s="73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customHeight="1">
      <c r="A69" s="34"/>
      <c r="B69" s="85"/>
      <c r="C69" s="79" t="s">
        <v>26</v>
      </c>
      <c r="D69" s="66"/>
      <c r="E69" s="66"/>
      <c r="F69" s="551">
        <v>0.0</v>
      </c>
      <c r="G69" s="551">
        <f t="shared" si="28"/>
        <v>0</v>
      </c>
      <c r="H69" s="551">
        <f t="shared" si="29"/>
        <v>0</v>
      </c>
      <c r="I69" s="77">
        <v>2.0</v>
      </c>
      <c r="J69" s="68"/>
      <c r="K69" s="70"/>
      <c r="L69" s="552"/>
      <c r="M69" s="296"/>
      <c r="N69" s="553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83">
        <f>B67+1</f>
        <v>16</v>
      </c>
      <c r="C70" s="208" t="s">
        <v>123</v>
      </c>
      <c r="D70" s="66"/>
      <c r="E70" s="66"/>
      <c r="F70" s="551"/>
      <c r="G70" s="551"/>
      <c r="H70" s="551"/>
      <c r="I70" s="68"/>
      <c r="J70" s="72" t="s">
        <v>25</v>
      </c>
      <c r="K70" s="70">
        <f>IF(J70="YES",IF(J12="2010-2013",H71*$J$11,IF(J12="2014-2021",G71*$J$11,IF(J12="2021-2023",F71*$J$11,0))),0)</f>
        <v>147560</v>
      </c>
      <c r="L70" s="552" t="str">
        <f>AVERAGE(#REF!)</f>
        <v>#REF!</v>
      </c>
      <c r="M70" s="296">
        <v>60000.0</v>
      </c>
      <c r="N70" s="553">
        <f>M70/$M$11</f>
        <v>172.2488038</v>
      </c>
      <c r="O70" s="207" t="s">
        <v>82</v>
      </c>
      <c r="P70" s="73">
        <f>IF(O70="Delapidated",K70*0.6,IF(O70="Poor",K70*0.7,IF(O70="Fair",K70*0.8,IF(O70="Good",K70*0.85,IF(O70="Very Good",K70*0.9,IF(O70="Excellent",K70*1,IF(O70="Not Applicable",K70*1,0)))))))</f>
        <v>132804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84"/>
      <c r="C71" s="79" t="s">
        <v>25</v>
      </c>
      <c r="D71" s="66"/>
      <c r="E71" s="66"/>
      <c r="F71" s="551">
        <f>310*E16</f>
        <v>368.9</v>
      </c>
      <c r="G71" s="551">
        <f t="shared" ref="G71:G72" si="30">F71/$G$16</f>
        <v>295.12</v>
      </c>
      <c r="H71" s="551">
        <f t="shared" ref="H71:H72" si="31">F71/$H$16</f>
        <v>279.469697</v>
      </c>
      <c r="I71" s="77">
        <v>1.0</v>
      </c>
      <c r="J71" s="68"/>
      <c r="K71" s="70"/>
      <c r="L71" s="552"/>
      <c r="M71" s="296"/>
      <c r="N71" s="553"/>
      <c r="O71" s="34"/>
      <c r="P71" s="73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customHeight="1">
      <c r="A72" s="34"/>
      <c r="B72" s="85"/>
      <c r="C72" s="79" t="s">
        <v>26</v>
      </c>
      <c r="D72" s="66"/>
      <c r="E72" s="66"/>
      <c r="F72" s="551">
        <v>0.0</v>
      </c>
      <c r="G72" s="551">
        <f t="shared" si="30"/>
        <v>0</v>
      </c>
      <c r="H72" s="551">
        <f t="shared" si="31"/>
        <v>0</v>
      </c>
      <c r="I72" s="77">
        <v>2.0</v>
      </c>
      <c r="J72" s="307"/>
      <c r="K72" s="70"/>
      <c r="L72" s="552"/>
      <c r="M72" s="296"/>
      <c r="N72" s="553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34"/>
      <c r="B73" s="44"/>
      <c r="C73" s="214" t="s">
        <v>89</v>
      </c>
      <c r="D73" s="66"/>
      <c r="E73" s="66"/>
      <c r="F73" s="551"/>
      <c r="G73" s="551"/>
      <c r="H73" s="551"/>
      <c r="I73" s="77"/>
      <c r="J73" s="188">
        <v>4.0</v>
      </c>
      <c r="K73" s="34"/>
      <c r="L73" s="552"/>
      <c r="M73" s="296"/>
      <c r="N73" s="553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customHeight="1">
      <c r="A74" s="34"/>
      <c r="B74" s="83">
        <f>B70+1</f>
        <v>17</v>
      </c>
      <c r="C74" s="208" t="s">
        <v>124</v>
      </c>
      <c r="D74" s="66"/>
      <c r="E74" s="66"/>
      <c r="F74" s="551"/>
      <c r="G74" s="551"/>
      <c r="H74" s="551"/>
      <c r="I74" s="68"/>
      <c r="J74" s="309" t="s">
        <v>25</v>
      </c>
      <c r="K74" s="70">
        <f>IF(J74="YES",IF(J12="2010-2013",H75*$J$73,IF(J12="2014-2021",G75*$J$73,IF(J12="2021-2023",F75*$J$73,0))),0)</f>
        <v>30000</v>
      </c>
      <c r="L74" s="552"/>
      <c r="M74" s="296"/>
      <c r="N74" s="553"/>
      <c r="O74" s="207" t="s">
        <v>82</v>
      </c>
      <c r="P74" s="73">
        <f>IF(O74="Delapidated",K74*0.6,IF(O74="Poor",K74*0.7,IF(O74="Fair",K74*0.8,IF(O74="Good",K74*0.85,IF(O74="Very Good",K74*0.9,IF(O74="Excellent",K74*1,IF(O74="Not Applicable",K74*1,0)))))))</f>
        <v>27000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34"/>
      <c r="B75" s="84"/>
      <c r="C75" s="79" t="s">
        <v>25</v>
      </c>
      <c r="D75" s="66"/>
      <c r="E75" s="66"/>
      <c r="F75" s="551">
        <v>7500.0</v>
      </c>
      <c r="G75" s="551">
        <f t="shared" ref="G75:G76" si="32">F75/$G$16</f>
        <v>6000</v>
      </c>
      <c r="H75" s="551">
        <f t="shared" ref="H75:H76" si="33">F75/$H$16</f>
        <v>5681.818182</v>
      </c>
      <c r="I75" s="77">
        <v>1.0</v>
      </c>
      <c r="J75" s="322"/>
      <c r="K75" s="70"/>
      <c r="L75" s="552"/>
      <c r="M75" s="296"/>
      <c r="N75" s="553"/>
      <c r="O75" s="34"/>
      <c r="P75" s="73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17"/>
      <c r="B76" s="85"/>
      <c r="C76" s="79" t="s">
        <v>26</v>
      </c>
      <c r="D76" s="97"/>
      <c r="E76" s="97"/>
      <c r="F76" s="557">
        <v>0.0</v>
      </c>
      <c r="G76" s="551">
        <f t="shared" si="32"/>
        <v>0</v>
      </c>
      <c r="H76" s="551">
        <f t="shared" si="33"/>
        <v>0</v>
      </c>
      <c r="I76" s="77">
        <v>2.0</v>
      </c>
      <c r="J76" s="322"/>
      <c r="K76" s="123"/>
      <c r="L76" s="558"/>
      <c r="M76" s="305"/>
      <c r="N76" s="559"/>
      <c r="O76" s="17"/>
      <c r="P76" s="125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30.0" customHeight="1">
      <c r="A77" s="17"/>
      <c r="B77" s="255"/>
      <c r="C77" s="220"/>
      <c r="D77" s="97"/>
      <c r="E77" s="97"/>
      <c r="F77" s="557"/>
      <c r="G77" s="551"/>
      <c r="H77" s="551"/>
      <c r="I77" s="77"/>
      <c r="J77" s="480"/>
      <c r="K77" s="197"/>
      <c r="L77" s="190"/>
      <c r="M77" s="224"/>
      <c r="N77" s="225"/>
      <c r="O77" s="193"/>
      <c r="P77" s="19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0.0" customHeight="1">
      <c r="A78" s="17"/>
      <c r="B78" s="44"/>
      <c r="C78" s="214" t="s">
        <v>69</v>
      </c>
      <c r="D78" s="97"/>
      <c r="E78" s="97"/>
      <c r="F78" s="557"/>
      <c r="G78" s="551"/>
      <c r="H78" s="551"/>
      <c r="I78" s="90"/>
      <c r="J78" s="227">
        <v>34.0</v>
      </c>
      <c r="K78" s="189"/>
      <c r="L78" s="190"/>
      <c r="M78" s="224"/>
      <c r="N78" s="225"/>
      <c r="O78" s="193"/>
      <c r="P78" s="19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30.0" customHeight="1">
      <c r="A79" s="17"/>
      <c r="B79" s="44">
        <v>18.0</v>
      </c>
      <c r="C79" s="92" t="s">
        <v>70</v>
      </c>
      <c r="D79" s="97"/>
      <c r="E79" s="97"/>
      <c r="F79" s="557"/>
      <c r="G79" s="551"/>
      <c r="H79" s="551"/>
      <c r="I79" s="77"/>
      <c r="J79" s="229" t="s">
        <v>25</v>
      </c>
      <c r="K79" s="58">
        <f>IF(J79="YES",IF(J12="2010-2013",H80*J78,IF(J12="2014-2021",G80*J78,IF(J12="2021-2023",F80*J78,0))),0)</f>
        <v>101150</v>
      </c>
      <c r="L79" s="552"/>
      <c r="M79" s="296"/>
      <c r="N79" s="553"/>
      <c r="O79" s="207" t="s">
        <v>82</v>
      </c>
      <c r="P79" s="99">
        <f>IF(O79="Delapidated",K79*0.6,IF(O79="Poor",K79*0.7,IF(O79="Fair",K79*0.8,IF(O79="Good",K79*0.85,IF(O79="Very Good",K79*0.9,IF(O79="Excellent",K79*1,IF(O79="Not Applicable",K79*1,0)))))))</f>
        <v>91035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0.0" customHeight="1">
      <c r="A80" s="17"/>
      <c r="B80" s="44"/>
      <c r="C80" s="79" t="s">
        <v>25</v>
      </c>
      <c r="D80" s="97"/>
      <c r="E80" s="97"/>
      <c r="F80" s="557">
        <f>2500*E16</f>
        <v>2975</v>
      </c>
      <c r="G80" s="551">
        <f>F80/$G$16</f>
        <v>2380</v>
      </c>
      <c r="H80" s="551">
        <f>F80/$H$16</f>
        <v>2253.787879</v>
      </c>
      <c r="I80" s="77">
        <v>1.0</v>
      </c>
      <c r="J80" s="322"/>
      <c r="K80" s="58"/>
      <c r="L80" s="552"/>
      <c r="M80" s="296"/>
      <c r="N80" s="553"/>
      <c r="O80" s="17"/>
      <c r="P80" s="234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0.0" customHeight="1">
      <c r="A81" s="17"/>
      <c r="B81" s="44"/>
      <c r="C81" s="79" t="s">
        <v>26</v>
      </c>
      <c r="D81" s="97"/>
      <c r="E81" s="97"/>
      <c r="F81" s="557"/>
      <c r="G81" s="557"/>
      <c r="H81" s="557"/>
      <c r="I81" s="77">
        <v>2.0</v>
      </c>
      <c r="J81" s="322"/>
      <c r="K81" s="58"/>
      <c r="L81" s="552"/>
      <c r="M81" s="296"/>
      <c r="N81" s="553"/>
      <c r="O81" s="17"/>
      <c r="P81" s="234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customHeight="1">
      <c r="A82" s="17"/>
      <c r="B82" s="44"/>
      <c r="C82" s="79"/>
      <c r="D82" s="97"/>
      <c r="E82" s="97"/>
      <c r="F82" s="557"/>
      <c r="G82" s="557"/>
      <c r="H82" s="557"/>
      <c r="I82" s="77"/>
      <c r="J82" s="322"/>
      <c r="K82" s="58"/>
      <c r="L82" s="552"/>
      <c r="M82" s="296"/>
      <c r="N82" s="553"/>
      <c r="O82" s="17"/>
      <c r="P82" s="234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17"/>
      <c r="B83" s="44"/>
      <c r="C83" s="79"/>
      <c r="D83" s="97"/>
      <c r="E83" s="97"/>
      <c r="F83" s="557"/>
      <c r="G83" s="557"/>
      <c r="H83" s="557"/>
      <c r="I83" s="77"/>
      <c r="J83" s="322"/>
      <c r="K83" s="58"/>
      <c r="L83" s="552"/>
      <c r="M83" s="296"/>
      <c r="N83" s="553"/>
      <c r="O83" s="34"/>
      <c r="P83" s="233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0.0" customHeight="1">
      <c r="A84" s="17"/>
      <c r="B84" s="44"/>
      <c r="C84" s="79"/>
      <c r="D84" s="97"/>
      <c r="E84" s="97"/>
      <c r="F84" s="557"/>
      <c r="G84" s="557"/>
      <c r="H84" s="557"/>
      <c r="I84" s="77"/>
      <c r="J84" s="322"/>
      <c r="K84" s="58"/>
      <c r="L84" s="552"/>
      <c r="M84" s="296"/>
      <c r="N84" s="553"/>
      <c r="O84" s="17"/>
      <c r="P84" s="234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30.0" customHeight="1">
      <c r="A85" s="17"/>
      <c r="B85" s="44"/>
      <c r="C85" s="79"/>
      <c r="D85" s="97"/>
      <c r="E85" s="97"/>
      <c r="F85" s="557"/>
      <c r="G85" s="557"/>
      <c r="H85" s="557"/>
      <c r="I85" s="77"/>
      <c r="J85" s="322"/>
      <c r="K85" s="58"/>
      <c r="L85" s="552"/>
      <c r="M85" s="296"/>
      <c r="N85" s="553"/>
      <c r="O85" s="17"/>
      <c r="P85" s="234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17"/>
      <c r="B86" s="83"/>
      <c r="C86" s="236"/>
      <c r="D86" s="97"/>
      <c r="E86" s="97"/>
      <c r="F86" s="557"/>
      <c r="G86" s="557"/>
      <c r="H86" s="557"/>
      <c r="I86" s="77"/>
      <c r="J86" s="322"/>
      <c r="K86" s="58"/>
      <c r="L86" s="552"/>
      <c r="M86" s="296"/>
      <c r="N86" s="553"/>
      <c r="O86" s="17"/>
      <c r="P86" s="234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customHeight="1">
      <c r="A87" s="17"/>
      <c r="B87" s="343"/>
      <c r="C87" s="17"/>
      <c r="D87" s="97"/>
      <c r="E87" s="97"/>
      <c r="F87" s="97"/>
      <c r="G87" s="97"/>
      <c r="H87" s="97"/>
      <c r="I87" s="97"/>
      <c r="J87" s="97"/>
      <c r="K87" s="102"/>
      <c r="L87" s="295"/>
      <c r="M87" s="296"/>
      <c r="N87" s="553"/>
      <c r="O87" s="17"/>
      <c r="P87" s="234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customHeight="1">
      <c r="A88" s="88"/>
      <c r="B88" s="560"/>
      <c r="C88" s="561" t="s">
        <v>71</v>
      </c>
      <c r="D88" s="562"/>
      <c r="E88" s="562"/>
      <c r="F88" s="562"/>
      <c r="G88" s="562"/>
      <c r="H88" s="562"/>
      <c r="I88" s="562"/>
      <c r="J88" s="562"/>
      <c r="K88" s="563"/>
      <c r="L88" s="295" t="str">
        <f>AVERAGE(#REF!)</f>
        <v>#REF!</v>
      </c>
      <c r="M88" s="296">
        <f>SUM(M17:M70)</f>
        <v>1599755.333</v>
      </c>
      <c r="N88" s="553">
        <f>M88/$M$11</f>
        <v>4592.599043</v>
      </c>
      <c r="O88" s="17"/>
      <c r="P88" s="2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30.0" customHeight="1">
      <c r="A89" s="17"/>
      <c r="B89" s="564"/>
      <c r="C89" s="565" t="s">
        <v>72</v>
      </c>
      <c r="D89" s="71"/>
      <c r="E89" s="71"/>
      <c r="F89" s="71">
        <v>3884.68131868132</v>
      </c>
      <c r="G89" s="71"/>
      <c r="H89" s="71"/>
      <c r="I89" s="71"/>
      <c r="J89" s="71"/>
      <c r="K89" s="43"/>
      <c r="L89" s="295"/>
      <c r="M89" s="296"/>
      <c r="N89" s="553"/>
      <c r="O89" s="17"/>
      <c r="P89" s="566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0.0" customHeight="1">
      <c r="A90" s="17"/>
      <c r="B90" s="343"/>
      <c r="C90" s="17"/>
      <c r="D90" s="97"/>
      <c r="E90" s="97"/>
      <c r="F90" s="97"/>
      <c r="G90" s="97"/>
      <c r="H90" s="97"/>
      <c r="I90" s="97"/>
      <c r="J90" s="97"/>
      <c r="K90" s="102"/>
      <c r="L90" s="295"/>
      <c r="M90" s="296"/>
      <c r="N90" s="553"/>
      <c r="O90" s="17"/>
      <c r="P90" s="62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0.0" customHeight="1">
      <c r="A91" s="17"/>
      <c r="B91" s="560"/>
      <c r="C91" s="561" t="s">
        <v>71</v>
      </c>
      <c r="D91" s="562"/>
      <c r="E91" s="562"/>
      <c r="F91" s="562"/>
      <c r="G91" s="562"/>
      <c r="H91" s="562"/>
      <c r="I91" s="562"/>
      <c r="J91" s="562"/>
      <c r="K91" s="563"/>
      <c r="L91" s="295" t="str">
        <f>AVERAGE(#REF!)</f>
        <v>#REF!</v>
      </c>
      <c r="M91" s="296">
        <f>M88</f>
        <v>1599755.333</v>
      </c>
      <c r="N91" s="553">
        <f>M91/$M$11</f>
        <v>4592.599043</v>
      </c>
      <c r="O91" s="17"/>
      <c r="P91" s="566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30.0" customHeight="1">
      <c r="A92" s="17"/>
      <c r="B92" s="340"/>
      <c r="C92" s="567" t="s">
        <v>73</v>
      </c>
      <c r="D92" s="568"/>
      <c r="E92" s="568"/>
      <c r="F92" s="568">
        <v>3884.68131868132</v>
      </c>
      <c r="G92" s="568"/>
      <c r="H92" s="568"/>
      <c r="I92" s="568"/>
      <c r="J92" s="568"/>
      <c r="K92" s="569"/>
      <c r="L92" s="295"/>
      <c r="M92" s="296"/>
      <c r="N92" s="553"/>
      <c r="O92" s="17"/>
      <c r="P92" s="566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30.0" customHeight="1">
      <c r="A93" s="17"/>
      <c r="B93" s="340"/>
      <c r="C93" s="570"/>
      <c r="D93" s="342"/>
      <c r="E93" s="342"/>
      <c r="F93" s="342"/>
      <c r="G93" s="342"/>
      <c r="H93" s="342"/>
      <c r="I93" s="342"/>
      <c r="J93" s="342"/>
      <c r="K93" s="141"/>
      <c r="L93" s="552"/>
      <c r="M93" s="296"/>
      <c r="N93" s="553"/>
      <c r="O93" s="17"/>
      <c r="P93" s="571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30.0" customHeight="1">
      <c r="A94" s="17"/>
      <c r="B94" s="340"/>
      <c r="C94" s="17"/>
      <c r="D94" s="572"/>
      <c r="E94" s="572"/>
      <c r="F94" s="572"/>
      <c r="G94" s="572"/>
      <c r="H94" s="572"/>
      <c r="I94" s="573"/>
      <c r="J94" s="144" t="s">
        <v>74</v>
      </c>
      <c r="K94" s="265">
        <f>SUM(K17:K79)</f>
        <v>2342761.416</v>
      </c>
      <c r="L94" s="552" t="str">
        <f t="shared" ref="L94:L95" si="34">AVERAGE(#REF!)</f>
        <v>#REF!</v>
      </c>
      <c r="M94" s="296">
        <f>SUM(M91:M92)</f>
        <v>1599755.333</v>
      </c>
      <c r="N94" s="553">
        <f>M94/$M$11</f>
        <v>4592.599043</v>
      </c>
      <c r="O94" s="17"/>
      <c r="P94" s="266">
        <f>SUM(P17:P87)</f>
        <v>2097169.835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30.0" customHeight="1">
      <c r="A95" s="147"/>
      <c r="B95" s="119"/>
      <c r="C95" s="17"/>
      <c r="D95" s="344"/>
      <c r="E95" s="344"/>
      <c r="F95" s="344">
        <v>3884.68131868132</v>
      </c>
      <c r="G95" s="344"/>
      <c r="H95" s="344"/>
      <c r="I95" s="344"/>
      <c r="J95" s="144" t="s">
        <v>75</v>
      </c>
      <c r="K95" s="265">
        <f>K94/J11</f>
        <v>5856.903539</v>
      </c>
      <c r="L95" s="552" t="str">
        <f t="shared" si="34"/>
        <v>#REF!</v>
      </c>
      <c r="M95" s="319">
        <f>M94/M11</f>
        <v>4592.599043</v>
      </c>
      <c r="N95" s="550"/>
      <c r="O95" s="17"/>
      <c r="P95" s="266">
        <f>P94/J11</f>
        <v>5242.924589</v>
      </c>
      <c r="Q95" s="147"/>
      <c r="R95" s="147"/>
      <c r="S95" s="147"/>
      <c r="T95" s="147"/>
      <c r="U95" s="147"/>
      <c r="V95" s="147"/>
      <c r="W95" s="147"/>
      <c r="X95" s="147"/>
      <c r="Y95" s="147"/>
      <c r="Z95" s="147"/>
    </row>
    <row r="96" ht="30.0" customHeight="1">
      <c r="B96" s="1"/>
      <c r="K96" s="151"/>
      <c r="P96" s="151"/>
    </row>
    <row r="97" ht="45.75" customHeight="1">
      <c r="B97" s="1"/>
      <c r="C97" s="574"/>
      <c r="J97" s="144" t="s">
        <v>76</v>
      </c>
      <c r="K97" s="150">
        <f>K94/1.14</f>
        <v>2055053.873</v>
      </c>
      <c r="P97" s="150">
        <f>P94/1.14</f>
        <v>1839622.663</v>
      </c>
    </row>
    <row r="98" ht="12.0" customHeight="1">
      <c r="B98" s="1"/>
      <c r="J98" s="144" t="s">
        <v>77</v>
      </c>
      <c r="K98" s="150">
        <f>K97/J11</f>
        <v>5137.634683</v>
      </c>
      <c r="P98" s="150">
        <f>P97/J11</f>
        <v>4599.056657</v>
      </c>
    </row>
    <row r="99" ht="12.0" customHeight="1">
      <c r="B99" s="1"/>
      <c r="K99" s="151"/>
      <c r="P99" s="151"/>
    </row>
    <row r="100" ht="12.0" customHeight="1">
      <c r="B100" s="1"/>
      <c r="K100" s="151"/>
      <c r="P100" s="151"/>
    </row>
    <row r="101" ht="12.0" customHeight="1">
      <c r="B101" s="1"/>
      <c r="K101" s="151"/>
      <c r="P101" s="151"/>
    </row>
    <row r="102" ht="12.0" customHeight="1">
      <c r="B102" s="1"/>
      <c r="K102" s="151"/>
      <c r="P102" s="151"/>
    </row>
    <row r="103" ht="12.0" customHeight="1">
      <c r="B103" s="1"/>
      <c r="K103" s="151"/>
      <c r="P103" s="151"/>
    </row>
    <row r="104" ht="12.0" customHeight="1">
      <c r="B104" s="1"/>
      <c r="K104" s="151"/>
      <c r="P104" s="151"/>
    </row>
    <row r="105" ht="12.0" customHeight="1">
      <c r="B105" s="1"/>
      <c r="K105" s="151"/>
      <c r="P105" s="151"/>
    </row>
    <row r="106" ht="12.0" customHeight="1">
      <c r="B106" s="1"/>
      <c r="K106" s="151"/>
      <c r="P106" s="151"/>
    </row>
    <row r="107" ht="12.0" customHeight="1">
      <c r="B107" s="1"/>
      <c r="K107" s="151"/>
      <c r="P107" s="151"/>
    </row>
    <row r="108" ht="12.0" customHeight="1">
      <c r="B108" s="1"/>
      <c r="K108" s="151"/>
      <c r="P108" s="151"/>
    </row>
    <row r="109" ht="12.0" customHeight="1">
      <c r="B109" s="1"/>
      <c r="K109" s="151"/>
      <c r="P109" s="151"/>
    </row>
    <row r="110" ht="12.0" customHeight="1">
      <c r="B110" s="1"/>
      <c r="K110" s="151"/>
      <c r="P110" s="151"/>
    </row>
    <row r="111" ht="12.0" customHeight="1">
      <c r="B111" s="1"/>
      <c r="K111" s="151"/>
      <c r="P111" s="151"/>
    </row>
    <row r="112" ht="12.0" customHeight="1">
      <c r="B112" s="1"/>
      <c r="K112" s="151"/>
      <c r="P112" s="151"/>
    </row>
    <row r="113" ht="12.0" customHeight="1">
      <c r="B113" s="1"/>
      <c r="K113" s="151"/>
      <c r="P113" s="151"/>
    </row>
    <row r="114" ht="12.0" customHeight="1">
      <c r="B114" s="1"/>
      <c r="K114" s="151"/>
      <c r="P114" s="151"/>
    </row>
    <row r="115" ht="12.0" customHeight="1">
      <c r="B115" s="1"/>
      <c r="K115" s="151"/>
      <c r="P115" s="151"/>
    </row>
    <row r="116" ht="12.0" customHeight="1">
      <c r="B116" s="1"/>
      <c r="K116" s="151"/>
      <c r="P116" s="151"/>
    </row>
    <row r="117" ht="12.0" customHeight="1">
      <c r="B117" s="1"/>
      <c r="K117" s="151"/>
      <c r="P117" s="151"/>
    </row>
    <row r="118" ht="12.0" customHeight="1">
      <c r="B118" s="1"/>
      <c r="K118" s="151"/>
      <c r="P118" s="151"/>
    </row>
    <row r="119" ht="12.0" customHeight="1">
      <c r="B119" s="1"/>
      <c r="K119" s="151"/>
      <c r="P119" s="151"/>
    </row>
    <row r="120" ht="12.0" customHeight="1">
      <c r="B120" s="1"/>
      <c r="K120" s="151"/>
      <c r="P120" s="151"/>
    </row>
    <row r="121" ht="12.0" customHeight="1">
      <c r="B121" s="1"/>
      <c r="K121" s="151"/>
      <c r="P121" s="151"/>
    </row>
    <row r="122" ht="12.0" customHeight="1">
      <c r="B122" s="1"/>
      <c r="K122" s="151"/>
      <c r="P122" s="151"/>
    </row>
    <row r="123" ht="12.0" customHeight="1">
      <c r="B123" s="1"/>
      <c r="K123" s="151"/>
      <c r="P123" s="151"/>
    </row>
    <row r="124" ht="12.0" customHeight="1">
      <c r="B124" s="1"/>
      <c r="K124" s="151"/>
      <c r="P124" s="151"/>
    </row>
    <row r="125" ht="12.0" customHeight="1">
      <c r="B125" s="1"/>
      <c r="K125" s="151"/>
      <c r="P125" s="151"/>
    </row>
    <row r="126" ht="12.0" customHeight="1">
      <c r="B126" s="1"/>
      <c r="K126" s="151"/>
      <c r="P126" s="151"/>
    </row>
    <row r="127" ht="12.0" customHeight="1">
      <c r="B127" s="1"/>
      <c r="K127" s="151"/>
      <c r="P127" s="151"/>
    </row>
    <row r="128" ht="12.0" customHeight="1">
      <c r="B128" s="1"/>
      <c r="K128" s="151"/>
      <c r="P128" s="151"/>
    </row>
    <row r="129" ht="12.0" customHeight="1">
      <c r="B129" s="1"/>
      <c r="K129" s="151"/>
      <c r="P129" s="151"/>
    </row>
    <row r="130" ht="12.0" customHeight="1">
      <c r="B130" s="1"/>
      <c r="K130" s="151"/>
      <c r="P130" s="151"/>
    </row>
    <row r="131" ht="12.0" customHeight="1">
      <c r="B131" s="1"/>
      <c r="K131" s="151"/>
      <c r="P131" s="151"/>
    </row>
    <row r="132" ht="12.0" customHeight="1">
      <c r="B132" s="1"/>
      <c r="K132" s="151"/>
      <c r="P132" s="151"/>
    </row>
    <row r="133" ht="12.0" customHeight="1">
      <c r="B133" s="1"/>
      <c r="K133" s="151"/>
      <c r="P133" s="151"/>
    </row>
    <row r="134" ht="12.0" customHeight="1">
      <c r="B134" s="1"/>
      <c r="K134" s="151"/>
      <c r="P134" s="151"/>
    </row>
    <row r="135" ht="12.0" customHeight="1">
      <c r="B135" s="1"/>
      <c r="K135" s="151"/>
      <c r="P135" s="151"/>
    </row>
    <row r="136" ht="12.0" customHeight="1">
      <c r="B136" s="1"/>
      <c r="K136" s="151"/>
      <c r="P136" s="151"/>
    </row>
    <row r="137" ht="12.0" customHeight="1">
      <c r="B137" s="1"/>
      <c r="K137" s="151"/>
      <c r="P137" s="151"/>
    </row>
    <row r="138" ht="12.0" customHeight="1">
      <c r="B138" s="1"/>
      <c r="K138" s="151"/>
      <c r="P138" s="151"/>
    </row>
    <row r="139" ht="12.0" customHeight="1">
      <c r="B139" s="1"/>
      <c r="K139" s="151"/>
      <c r="P139" s="151"/>
    </row>
    <row r="140" ht="12.0" customHeight="1">
      <c r="B140" s="1"/>
      <c r="K140" s="151"/>
      <c r="P140" s="151"/>
    </row>
    <row r="141" ht="12.0" customHeight="1">
      <c r="B141" s="1"/>
      <c r="K141" s="151"/>
      <c r="P141" s="151"/>
    </row>
    <row r="142" ht="12.0" customHeight="1">
      <c r="B142" s="1"/>
      <c r="K142" s="151"/>
      <c r="P142" s="151"/>
    </row>
    <row r="143" ht="12.0" customHeight="1">
      <c r="B143" s="1"/>
      <c r="K143" s="151"/>
      <c r="P143" s="151"/>
    </row>
    <row r="144" ht="12.0" customHeight="1">
      <c r="B144" s="1"/>
      <c r="K144" s="151"/>
      <c r="P144" s="151"/>
    </row>
    <row r="145" ht="12.0" customHeight="1">
      <c r="B145" s="1"/>
      <c r="K145" s="151"/>
      <c r="P145" s="151"/>
    </row>
    <row r="146" ht="12.0" customHeight="1">
      <c r="B146" s="1"/>
      <c r="K146" s="151"/>
      <c r="P146" s="151"/>
    </row>
    <row r="147" ht="12.0" customHeight="1">
      <c r="B147" s="1"/>
      <c r="K147" s="151"/>
      <c r="P147" s="151"/>
    </row>
    <row r="148" ht="12.0" customHeight="1">
      <c r="B148" s="1"/>
      <c r="K148" s="151"/>
      <c r="P148" s="151"/>
    </row>
    <row r="149" ht="12.0" customHeight="1">
      <c r="B149" s="1"/>
      <c r="K149" s="151"/>
      <c r="P149" s="151"/>
    </row>
    <row r="150" ht="12.0" customHeight="1">
      <c r="B150" s="1"/>
      <c r="K150" s="151"/>
      <c r="P150" s="151"/>
    </row>
    <row r="151" ht="12.0" customHeight="1">
      <c r="B151" s="1"/>
      <c r="K151" s="151"/>
      <c r="P151" s="151"/>
    </row>
    <row r="152" ht="12.0" customHeight="1">
      <c r="B152" s="1"/>
      <c r="K152" s="151"/>
      <c r="P152" s="151"/>
    </row>
    <row r="153" ht="12.0" customHeight="1">
      <c r="B153" s="1"/>
      <c r="K153" s="151"/>
      <c r="P153" s="151"/>
    </row>
    <row r="154" ht="12.0" customHeight="1">
      <c r="B154" s="1"/>
      <c r="K154" s="151"/>
      <c r="P154" s="151"/>
    </row>
    <row r="155" ht="12.0" customHeight="1">
      <c r="B155" s="1"/>
      <c r="K155" s="151"/>
      <c r="P155" s="151"/>
    </row>
    <row r="156" ht="12.0" customHeight="1">
      <c r="B156" s="1"/>
      <c r="K156" s="151"/>
      <c r="P156" s="151"/>
    </row>
    <row r="157" ht="12.0" customHeight="1">
      <c r="B157" s="1"/>
      <c r="K157" s="151"/>
      <c r="P157" s="151"/>
    </row>
    <row r="158" ht="12.0" customHeight="1">
      <c r="B158" s="1"/>
      <c r="K158" s="151"/>
      <c r="P158" s="151"/>
    </row>
    <row r="159" ht="12.0" customHeight="1">
      <c r="B159" s="1"/>
      <c r="K159" s="151"/>
      <c r="P159" s="151"/>
    </row>
    <row r="160" ht="12.0" customHeight="1">
      <c r="B160" s="1"/>
      <c r="K160" s="151"/>
      <c r="P160" s="151"/>
    </row>
    <row r="161" ht="12.0" customHeight="1">
      <c r="B161" s="1"/>
      <c r="K161" s="151"/>
      <c r="P161" s="151"/>
    </row>
    <row r="162" ht="12.0" customHeight="1">
      <c r="B162" s="1"/>
      <c r="K162" s="151"/>
      <c r="P162" s="151"/>
    </row>
    <row r="163" ht="12.0" customHeight="1">
      <c r="B163" s="1"/>
      <c r="K163" s="151"/>
      <c r="P163" s="151"/>
    </row>
    <row r="164" ht="12.0" customHeight="1">
      <c r="B164" s="1"/>
      <c r="K164" s="151"/>
      <c r="P164" s="151"/>
    </row>
    <row r="165" ht="12.0" customHeight="1">
      <c r="B165" s="1"/>
      <c r="K165" s="151"/>
      <c r="P165" s="151"/>
    </row>
    <row r="166" ht="12.0" customHeight="1">
      <c r="B166" s="1"/>
      <c r="K166" s="151"/>
      <c r="P166" s="151"/>
    </row>
    <row r="167" ht="12.0" customHeight="1">
      <c r="B167" s="1"/>
      <c r="K167" s="151"/>
      <c r="P167" s="151"/>
    </row>
    <row r="168" ht="12.0" customHeight="1">
      <c r="B168" s="1"/>
      <c r="K168" s="151"/>
      <c r="P168" s="151"/>
    </row>
    <row r="169" ht="12.0" customHeight="1">
      <c r="B169" s="1"/>
      <c r="K169" s="151"/>
      <c r="P169" s="151"/>
    </row>
    <row r="170" ht="12.0" customHeight="1">
      <c r="B170" s="1"/>
      <c r="K170" s="151"/>
      <c r="P170" s="151"/>
    </row>
    <row r="171" ht="12.0" customHeight="1">
      <c r="B171" s="1"/>
      <c r="K171" s="151"/>
      <c r="P171" s="151"/>
    </row>
    <row r="172" ht="12.0" customHeight="1">
      <c r="B172" s="1"/>
      <c r="K172" s="151"/>
      <c r="P172" s="151"/>
    </row>
    <row r="173" ht="12.0" customHeight="1">
      <c r="B173" s="1"/>
      <c r="K173" s="151"/>
      <c r="P173" s="151"/>
    </row>
    <row r="174" ht="12.0" customHeight="1">
      <c r="B174" s="1"/>
      <c r="K174" s="151"/>
      <c r="P174" s="151"/>
    </row>
    <row r="175" ht="12.0" customHeight="1">
      <c r="B175" s="1"/>
      <c r="K175" s="151"/>
      <c r="P175" s="151"/>
    </row>
    <row r="176" ht="12.0" customHeight="1">
      <c r="B176" s="1"/>
      <c r="K176" s="151"/>
      <c r="P176" s="151"/>
    </row>
    <row r="177" ht="12.0" customHeight="1">
      <c r="B177" s="1"/>
      <c r="K177" s="151"/>
      <c r="P177" s="151"/>
    </row>
    <row r="178" ht="12.0" customHeight="1">
      <c r="B178" s="1"/>
      <c r="K178" s="151"/>
      <c r="P178" s="151"/>
    </row>
    <row r="179" ht="12.0" customHeight="1">
      <c r="B179" s="1"/>
      <c r="K179" s="151"/>
      <c r="P179" s="151"/>
    </row>
    <row r="180" ht="12.0" customHeight="1">
      <c r="B180" s="1"/>
      <c r="K180" s="151"/>
      <c r="P180" s="151"/>
    </row>
    <row r="181" ht="12.0" customHeight="1">
      <c r="B181" s="1"/>
      <c r="K181" s="151"/>
      <c r="P181" s="151"/>
    </row>
    <row r="182" ht="12.0" customHeight="1">
      <c r="B182" s="1"/>
      <c r="K182" s="151"/>
      <c r="P182" s="151"/>
    </row>
    <row r="183" ht="12.0" customHeight="1">
      <c r="B183" s="1"/>
      <c r="K183" s="151"/>
      <c r="P183" s="151"/>
    </row>
    <row r="184" ht="12.0" customHeight="1">
      <c r="B184" s="1"/>
      <c r="K184" s="151"/>
      <c r="P184" s="151"/>
    </row>
    <row r="185" ht="12.0" customHeight="1">
      <c r="B185" s="1"/>
      <c r="K185" s="151"/>
      <c r="P185" s="151"/>
    </row>
    <row r="186" ht="12.0" customHeight="1">
      <c r="B186" s="1"/>
      <c r="K186" s="151"/>
      <c r="P186" s="151"/>
    </row>
    <row r="187" ht="12.0" customHeight="1">
      <c r="B187" s="1"/>
      <c r="K187" s="151"/>
      <c r="P187" s="151"/>
    </row>
    <row r="188" ht="12.0" customHeight="1">
      <c r="B188" s="1"/>
      <c r="K188" s="151"/>
      <c r="P188" s="151"/>
    </row>
    <row r="189" ht="12.0" customHeight="1">
      <c r="B189" s="1"/>
      <c r="K189" s="151"/>
      <c r="P189" s="151"/>
    </row>
    <row r="190" ht="12.0" customHeight="1">
      <c r="B190" s="1"/>
      <c r="K190" s="151"/>
      <c r="P190" s="151"/>
    </row>
    <row r="191" ht="12.0" customHeight="1">
      <c r="B191" s="1"/>
      <c r="K191" s="151"/>
      <c r="P191" s="151"/>
    </row>
    <row r="192" ht="12.0" customHeight="1">
      <c r="B192" s="1"/>
      <c r="K192" s="151"/>
      <c r="P192" s="151"/>
    </row>
    <row r="193" ht="12.0" customHeight="1">
      <c r="B193" s="1"/>
      <c r="K193" s="151"/>
      <c r="P193" s="151"/>
    </row>
    <row r="194" ht="12.0" customHeight="1">
      <c r="B194" s="1"/>
      <c r="K194" s="151"/>
      <c r="P194" s="151"/>
    </row>
    <row r="195" ht="12.0" customHeight="1">
      <c r="B195" s="1"/>
      <c r="K195" s="151"/>
      <c r="P195" s="151"/>
    </row>
    <row r="196" ht="12.0" customHeight="1">
      <c r="B196" s="1"/>
      <c r="K196" s="151"/>
      <c r="P196" s="151"/>
    </row>
    <row r="197" ht="12.0" customHeight="1">
      <c r="B197" s="1"/>
      <c r="K197" s="151"/>
      <c r="P197" s="151"/>
    </row>
    <row r="198" ht="12.0" customHeight="1">
      <c r="B198" s="1"/>
      <c r="K198" s="151"/>
      <c r="P198" s="151"/>
    </row>
    <row r="199" ht="12.0" customHeight="1">
      <c r="B199" s="1"/>
      <c r="K199" s="151"/>
      <c r="P199" s="151"/>
    </row>
    <row r="200" ht="12.0" customHeight="1">
      <c r="B200" s="1"/>
      <c r="K200" s="151"/>
      <c r="P200" s="151"/>
    </row>
    <row r="201" ht="12.0" customHeight="1">
      <c r="B201" s="1"/>
      <c r="K201" s="151"/>
      <c r="P201" s="151"/>
    </row>
    <row r="202" ht="12.0" customHeight="1">
      <c r="B202" s="1"/>
      <c r="K202" s="151"/>
      <c r="P202" s="151"/>
    </row>
    <row r="203" ht="12.0" customHeight="1">
      <c r="B203" s="1"/>
      <c r="K203" s="151"/>
      <c r="P203" s="151"/>
    </row>
    <row r="204" ht="12.0" customHeight="1">
      <c r="B204" s="1"/>
      <c r="K204" s="151"/>
      <c r="P204" s="151"/>
    </row>
    <row r="205" ht="12.0" customHeight="1">
      <c r="B205" s="1"/>
      <c r="K205" s="151"/>
      <c r="P205" s="151"/>
    </row>
    <row r="206" ht="12.0" customHeight="1">
      <c r="B206" s="1"/>
      <c r="K206" s="151"/>
      <c r="P206" s="151"/>
    </row>
    <row r="207" ht="12.0" customHeight="1">
      <c r="B207" s="1"/>
      <c r="K207" s="151"/>
      <c r="P207" s="151"/>
    </row>
    <row r="208" ht="12.0" customHeight="1">
      <c r="B208" s="1"/>
      <c r="K208" s="151"/>
      <c r="P208" s="151"/>
    </row>
    <row r="209" ht="12.0" customHeight="1">
      <c r="B209" s="1"/>
      <c r="K209" s="151"/>
      <c r="P209" s="151"/>
    </row>
    <row r="210" ht="12.0" customHeight="1">
      <c r="B210" s="1"/>
      <c r="K210" s="151"/>
      <c r="P210" s="151"/>
    </row>
    <row r="211" ht="12.0" customHeight="1">
      <c r="B211" s="1"/>
      <c r="K211" s="151"/>
      <c r="P211" s="151"/>
    </row>
    <row r="212" ht="12.0" customHeight="1">
      <c r="B212" s="1"/>
      <c r="K212" s="151"/>
      <c r="P212" s="151"/>
    </row>
    <row r="213" ht="12.0" customHeight="1">
      <c r="B213" s="1"/>
      <c r="K213" s="151"/>
      <c r="P213" s="151"/>
    </row>
    <row r="214" ht="12.0" customHeight="1">
      <c r="B214" s="1"/>
      <c r="K214" s="151"/>
      <c r="P214" s="151"/>
    </row>
    <row r="215" ht="12.0" customHeight="1">
      <c r="B215" s="1"/>
      <c r="K215" s="151"/>
      <c r="P215" s="151"/>
    </row>
    <row r="216" ht="12.0" customHeight="1">
      <c r="B216" s="1"/>
      <c r="K216" s="151"/>
      <c r="P216" s="151"/>
    </row>
    <row r="217" ht="12.0" customHeight="1">
      <c r="B217" s="1"/>
      <c r="K217" s="151"/>
      <c r="P217" s="151"/>
    </row>
    <row r="218" ht="12.0" customHeight="1">
      <c r="B218" s="1"/>
      <c r="K218" s="151"/>
      <c r="P218" s="151"/>
    </row>
    <row r="219" ht="12.0" customHeight="1">
      <c r="B219" s="1"/>
      <c r="K219" s="151"/>
      <c r="P219" s="151"/>
    </row>
    <row r="220" ht="12.0" customHeight="1">
      <c r="B220" s="1"/>
      <c r="K220" s="151"/>
      <c r="P220" s="151"/>
    </row>
    <row r="221" ht="12.0" customHeight="1">
      <c r="B221" s="1"/>
      <c r="K221" s="151"/>
      <c r="P221" s="151"/>
    </row>
    <row r="222" ht="12.0" customHeight="1">
      <c r="B222" s="1"/>
      <c r="K222" s="151"/>
      <c r="P222" s="151"/>
    </row>
    <row r="223" ht="12.0" customHeight="1">
      <c r="B223" s="1"/>
      <c r="K223" s="151"/>
      <c r="P223" s="151"/>
    </row>
    <row r="224" ht="12.0" customHeight="1">
      <c r="B224" s="1"/>
      <c r="K224" s="151"/>
      <c r="P224" s="151"/>
    </row>
    <row r="225" ht="12.0" customHeight="1">
      <c r="B225" s="1"/>
      <c r="K225" s="151"/>
      <c r="P225" s="151"/>
    </row>
    <row r="226" ht="12.0" customHeight="1">
      <c r="B226" s="1"/>
      <c r="K226" s="151"/>
      <c r="P226" s="151"/>
    </row>
    <row r="227" ht="12.0" customHeight="1">
      <c r="B227" s="1"/>
      <c r="K227" s="151"/>
      <c r="P227" s="151"/>
    </row>
    <row r="228" ht="12.0" customHeight="1">
      <c r="B228" s="1"/>
      <c r="K228" s="151"/>
      <c r="P228" s="151"/>
    </row>
    <row r="229" ht="12.0" customHeight="1">
      <c r="B229" s="1"/>
      <c r="K229" s="151"/>
      <c r="P229" s="151"/>
    </row>
    <row r="230" ht="12.0" customHeight="1">
      <c r="B230" s="1"/>
      <c r="K230" s="151"/>
      <c r="P230" s="151"/>
    </row>
    <row r="231" ht="12.0" customHeight="1">
      <c r="B231" s="1"/>
      <c r="K231" s="151"/>
      <c r="P231" s="151"/>
    </row>
    <row r="232" ht="12.0" customHeight="1">
      <c r="B232" s="1"/>
      <c r="K232" s="151"/>
      <c r="P232" s="151"/>
    </row>
    <row r="233" ht="12.0" customHeight="1">
      <c r="B233" s="1"/>
      <c r="K233" s="151"/>
      <c r="P233" s="151"/>
    </row>
    <row r="234" ht="12.0" customHeight="1">
      <c r="B234" s="1"/>
      <c r="K234" s="151"/>
      <c r="P234" s="151"/>
    </row>
    <row r="235" ht="12.0" customHeight="1">
      <c r="B235" s="1"/>
      <c r="K235" s="151"/>
      <c r="P235" s="151"/>
    </row>
    <row r="236" ht="12.0" customHeight="1">
      <c r="B236" s="1"/>
      <c r="K236" s="151"/>
      <c r="P236" s="151"/>
    </row>
    <row r="237" ht="12.0" customHeight="1">
      <c r="B237" s="1"/>
      <c r="K237" s="151"/>
      <c r="P237" s="151"/>
    </row>
    <row r="238" ht="12.0" customHeight="1">
      <c r="B238" s="1"/>
      <c r="K238" s="151"/>
      <c r="P238" s="151"/>
    </row>
    <row r="239" ht="12.0" customHeight="1">
      <c r="B239" s="1"/>
      <c r="K239" s="151"/>
      <c r="P239" s="151"/>
    </row>
    <row r="240" ht="12.0" customHeight="1">
      <c r="B240" s="1"/>
      <c r="K240" s="151"/>
      <c r="P240" s="151"/>
    </row>
    <row r="241" ht="12.0" customHeight="1">
      <c r="B241" s="1"/>
      <c r="K241" s="151"/>
      <c r="P241" s="151"/>
    </row>
    <row r="242" ht="12.0" customHeight="1">
      <c r="B242" s="1"/>
      <c r="K242" s="151"/>
      <c r="P242" s="151"/>
    </row>
    <row r="243" ht="12.0" customHeight="1">
      <c r="B243" s="1"/>
      <c r="K243" s="151"/>
      <c r="P243" s="151"/>
    </row>
    <row r="244" ht="12.0" customHeight="1">
      <c r="B244" s="1"/>
      <c r="K244" s="151"/>
      <c r="P244" s="151"/>
    </row>
    <row r="245" ht="12.0" customHeight="1">
      <c r="B245" s="1"/>
      <c r="K245" s="151"/>
      <c r="P245" s="151"/>
    </row>
    <row r="246" ht="12.0" customHeight="1">
      <c r="B246" s="1"/>
      <c r="K246" s="151"/>
      <c r="P246" s="151"/>
    </row>
    <row r="247" ht="12.0" customHeight="1">
      <c r="B247" s="1"/>
      <c r="K247" s="151"/>
      <c r="P247" s="151"/>
    </row>
    <row r="248" ht="12.0" customHeight="1">
      <c r="B248" s="1"/>
      <c r="K248" s="151"/>
      <c r="P248" s="151"/>
    </row>
    <row r="249" ht="12.0" customHeight="1">
      <c r="B249" s="1"/>
      <c r="K249" s="151"/>
      <c r="P249" s="151"/>
    </row>
    <row r="250" ht="12.0" customHeight="1">
      <c r="B250" s="1"/>
      <c r="K250" s="151"/>
      <c r="P250" s="151"/>
    </row>
    <row r="251" ht="12.0" customHeight="1">
      <c r="B251" s="1"/>
      <c r="K251" s="151"/>
      <c r="P251" s="151"/>
    </row>
    <row r="252" ht="12.0" customHeight="1">
      <c r="B252" s="1"/>
      <c r="K252" s="151"/>
      <c r="P252" s="151"/>
    </row>
    <row r="253" ht="12.0" customHeight="1">
      <c r="B253" s="1"/>
      <c r="K253" s="151"/>
      <c r="P253" s="151"/>
    </row>
    <row r="254" ht="12.0" customHeight="1">
      <c r="B254" s="1"/>
      <c r="K254" s="151"/>
      <c r="P254" s="151"/>
    </row>
    <row r="255" ht="12.0" customHeight="1">
      <c r="B255" s="1"/>
      <c r="K255" s="151"/>
      <c r="P255" s="151"/>
    </row>
    <row r="256" ht="12.0" customHeight="1">
      <c r="B256" s="1"/>
      <c r="K256" s="151"/>
      <c r="P256" s="151"/>
    </row>
    <row r="257" ht="12.0" customHeight="1">
      <c r="B257" s="1"/>
      <c r="K257" s="151"/>
      <c r="P257" s="151"/>
    </row>
    <row r="258" ht="12.0" customHeight="1">
      <c r="B258" s="1"/>
      <c r="K258" s="151"/>
      <c r="P258" s="151"/>
    </row>
    <row r="259" ht="12.0" customHeight="1">
      <c r="B259" s="1"/>
      <c r="K259" s="151"/>
      <c r="P259" s="151"/>
    </row>
    <row r="260" ht="12.0" customHeight="1">
      <c r="B260" s="1"/>
      <c r="K260" s="151"/>
      <c r="P260" s="151"/>
    </row>
    <row r="261" ht="12.0" customHeight="1">
      <c r="B261" s="1"/>
      <c r="K261" s="151"/>
      <c r="P261" s="151"/>
    </row>
    <row r="262" ht="12.0" customHeight="1">
      <c r="B262" s="1"/>
      <c r="K262" s="151"/>
      <c r="P262" s="151"/>
    </row>
    <row r="263" ht="12.0" customHeight="1">
      <c r="B263" s="1"/>
      <c r="K263" s="151"/>
      <c r="P263" s="151"/>
    </row>
    <row r="264" ht="12.0" customHeight="1">
      <c r="B264" s="1"/>
      <c r="K264" s="151"/>
      <c r="P264" s="151"/>
    </row>
    <row r="265" ht="12.0" customHeight="1">
      <c r="B265" s="1"/>
      <c r="K265" s="151"/>
      <c r="P265" s="151"/>
    </row>
    <row r="266" ht="12.0" customHeight="1">
      <c r="B266" s="1"/>
      <c r="K266" s="151"/>
      <c r="P266" s="151"/>
    </row>
    <row r="267" ht="12.0" customHeight="1">
      <c r="B267" s="1"/>
      <c r="K267" s="151"/>
      <c r="P267" s="151"/>
    </row>
    <row r="268" ht="12.0" customHeight="1">
      <c r="B268" s="1"/>
      <c r="K268" s="151"/>
      <c r="P268" s="151"/>
    </row>
    <row r="269" ht="12.0" customHeight="1">
      <c r="B269" s="1"/>
      <c r="K269" s="151"/>
      <c r="P269" s="151"/>
    </row>
    <row r="270" ht="12.0" customHeight="1">
      <c r="B270" s="1"/>
      <c r="K270" s="151"/>
      <c r="P270" s="151"/>
    </row>
    <row r="271" ht="12.0" customHeight="1">
      <c r="B271" s="1"/>
      <c r="K271" s="151"/>
      <c r="P271" s="151"/>
    </row>
    <row r="272" ht="12.0" customHeight="1">
      <c r="B272" s="1"/>
      <c r="K272" s="151"/>
      <c r="P272" s="151"/>
    </row>
    <row r="273" ht="12.0" customHeight="1">
      <c r="B273" s="1"/>
      <c r="K273" s="151"/>
      <c r="P273" s="151"/>
    </row>
    <row r="274" ht="12.0" customHeight="1">
      <c r="B274" s="1"/>
      <c r="K274" s="151"/>
      <c r="P274" s="151"/>
    </row>
    <row r="275" ht="12.0" customHeight="1">
      <c r="B275" s="1"/>
      <c r="K275" s="151"/>
      <c r="P275" s="151"/>
    </row>
    <row r="276" ht="12.0" customHeight="1">
      <c r="B276" s="1"/>
      <c r="K276" s="151"/>
      <c r="P276" s="151"/>
    </row>
    <row r="277" ht="12.0" customHeight="1">
      <c r="B277" s="1"/>
      <c r="K277" s="151"/>
      <c r="P277" s="151"/>
    </row>
    <row r="278" ht="12.0" customHeight="1">
      <c r="B278" s="1"/>
      <c r="K278" s="151"/>
      <c r="P278" s="151"/>
    </row>
    <row r="279" ht="12.0" customHeight="1">
      <c r="B279" s="1"/>
      <c r="K279" s="151"/>
      <c r="P279" s="151"/>
    </row>
    <row r="280" ht="12.0" customHeight="1">
      <c r="B280" s="1"/>
      <c r="K280" s="151"/>
      <c r="P280" s="151"/>
    </row>
    <row r="281" ht="12.0" customHeight="1">
      <c r="B281" s="1"/>
      <c r="K281" s="151"/>
      <c r="P281" s="151"/>
    </row>
    <row r="282" ht="12.0" customHeight="1">
      <c r="B282" s="1"/>
      <c r="K282" s="151"/>
      <c r="P282" s="151"/>
    </row>
    <row r="283" ht="12.0" customHeight="1">
      <c r="B283" s="1"/>
      <c r="K283" s="151"/>
      <c r="P283" s="151"/>
    </row>
    <row r="284" ht="12.0" customHeight="1">
      <c r="B284" s="1"/>
      <c r="K284" s="151"/>
      <c r="P284" s="151"/>
    </row>
    <row r="285" ht="12.0" customHeight="1">
      <c r="B285" s="1"/>
      <c r="K285" s="151"/>
      <c r="P285" s="151"/>
    </row>
    <row r="286" ht="12.0" customHeight="1">
      <c r="B286" s="1"/>
      <c r="K286" s="151"/>
      <c r="P286" s="151"/>
    </row>
    <row r="287" ht="12.0" customHeight="1">
      <c r="B287" s="1"/>
      <c r="K287" s="151"/>
      <c r="P287" s="151"/>
    </row>
    <row r="288" ht="12.0" customHeight="1">
      <c r="B288" s="1"/>
      <c r="K288" s="151"/>
      <c r="P288" s="151"/>
    </row>
    <row r="289" ht="12.0" customHeight="1">
      <c r="B289" s="1"/>
      <c r="K289" s="151"/>
      <c r="P289" s="151"/>
    </row>
    <row r="290" ht="12.0" customHeight="1">
      <c r="B290" s="1"/>
      <c r="K290" s="151"/>
      <c r="P290" s="151"/>
    </row>
    <row r="291" ht="12.0" customHeight="1">
      <c r="B291" s="1"/>
      <c r="K291" s="151"/>
      <c r="P291" s="151"/>
    </row>
    <row r="292" ht="12.0" customHeight="1">
      <c r="B292" s="1"/>
      <c r="K292" s="151"/>
      <c r="P292" s="151"/>
    </row>
    <row r="293" ht="12.0" customHeight="1">
      <c r="B293" s="1"/>
      <c r="K293" s="151"/>
      <c r="P293" s="151"/>
    </row>
    <row r="294" ht="12.0" customHeight="1">
      <c r="B294" s="1"/>
      <c r="K294" s="151"/>
      <c r="P294" s="151"/>
    </row>
    <row r="295" ht="12.0" customHeight="1">
      <c r="B295" s="1"/>
      <c r="K295" s="151"/>
      <c r="P295" s="151"/>
    </row>
    <row r="296" ht="12.0" customHeight="1">
      <c r="B296" s="1"/>
      <c r="K296" s="151"/>
      <c r="P296" s="151"/>
    </row>
    <row r="297" ht="12.0" customHeight="1">
      <c r="B297" s="1"/>
      <c r="K297" s="151"/>
      <c r="P297" s="151"/>
    </row>
    <row r="298" ht="12.0" customHeight="1">
      <c r="B298" s="1"/>
      <c r="K298" s="151"/>
      <c r="P298" s="151"/>
    </row>
    <row r="299" ht="12.0" customHeight="1">
      <c r="B299" s="1"/>
      <c r="K299" s="151"/>
      <c r="P299" s="151"/>
    </row>
    <row r="300" ht="12.0" customHeight="1">
      <c r="B300" s="1"/>
      <c r="K300" s="151"/>
      <c r="P300" s="151"/>
    </row>
    <row r="301" ht="12.0" customHeight="1">
      <c r="B301" s="1"/>
      <c r="K301" s="151"/>
      <c r="P301" s="151"/>
    </row>
    <row r="302" ht="12.0" customHeight="1">
      <c r="B302" s="1"/>
      <c r="K302" s="151"/>
      <c r="P302" s="151"/>
    </row>
    <row r="303" ht="12.0" customHeight="1">
      <c r="B303" s="1"/>
      <c r="K303" s="151"/>
      <c r="P303" s="151"/>
    </row>
    <row r="304" ht="12.0" customHeight="1">
      <c r="B304" s="1"/>
      <c r="K304" s="151"/>
      <c r="P304" s="151"/>
    </row>
    <row r="305" ht="12.0" customHeight="1">
      <c r="B305" s="1"/>
      <c r="K305" s="151"/>
      <c r="P305" s="151"/>
    </row>
    <row r="306" ht="12.0" customHeight="1">
      <c r="B306" s="1"/>
      <c r="K306" s="151"/>
      <c r="P306" s="151"/>
    </row>
    <row r="307" ht="12.0" customHeight="1">
      <c r="B307" s="1"/>
      <c r="K307" s="151"/>
      <c r="P307" s="151"/>
    </row>
    <row r="308" ht="12.0" customHeight="1">
      <c r="B308" s="1"/>
      <c r="K308" s="151"/>
      <c r="P308" s="151"/>
    </row>
    <row r="309" ht="12.0" customHeight="1">
      <c r="B309" s="1"/>
      <c r="K309" s="151"/>
      <c r="P309" s="151"/>
    </row>
    <row r="310" ht="12.0" customHeight="1">
      <c r="B310" s="1"/>
      <c r="K310" s="151"/>
      <c r="P310" s="151"/>
    </row>
    <row r="311" ht="12.0" customHeight="1">
      <c r="B311" s="1"/>
      <c r="K311" s="151"/>
      <c r="P311" s="151"/>
    </row>
    <row r="312" ht="12.0" customHeight="1">
      <c r="B312" s="1"/>
      <c r="K312" s="151"/>
      <c r="P312" s="151"/>
    </row>
    <row r="313" ht="12.0" customHeight="1">
      <c r="B313" s="1"/>
      <c r="K313" s="151"/>
      <c r="P313" s="151"/>
    </row>
    <row r="314" ht="12.0" customHeight="1">
      <c r="B314" s="1"/>
      <c r="K314" s="151"/>
      <c r="P314" s="151"/>
    </row>
    <row r="315" ht="12.0" customHeight="1">
      <c r="B315" s="1"/>
      <c r="K315" s="151"/>
      <c r="P315" s="151"/>
    </row>
    <row r="316" ht="12.0" customHeight="1">
      <c r="B316" s="1"/>
      <c r="K316" s="151"/>
      <c r="P316" s="151"/>
    </row>
    <row r="317" ht="12.0" customHeight="1">
      <c r="B317" s="1"/>
      <c r="K317" s="151"/>
      <c r="P317" s="151"/>
    </row>
    <row r="318" ht="12.0" customHeight="1">
      <c r="B318" s="1"/>
      <c r="K318" s="151"/>
      <c r="P318" s="151"/>
    </row>
    <row r="319" ht="12.0" customHeight="1">
      <c r="B319" s="1"/>
      <c r="K319" s="151"/>
      <c r="P319" s="151"/>
    </row>
    <row r="320" ht="12.0" customHeight="1">
      <c r="B320" s="1"/>
      <c r="K320" s="151"/>
      <c r="P320" s="151"/>
    </row>
    <row r="321" ht="12.0" customHeight="1">
      <c r="B321" s="1"/>
      <c r="K321" s="151"/>
      <c r="P321" s="151"/>
    </row>
    <row r="322" ht="12.0" customHeight="1">
      <c r="B322" s="1"/>
      <c r="K322" s="151"/>
      <c r="P322" s="151"/>
    </row>
    <row r="323" ht="12.0" customHeight="1">
      <c r="B323" s="1"/>
      <c r="K323" s="151"/>
      <c r="P323" s="151"/>
    </row>
    <row r="324" ht="12.0" customHeight="1">
      <c r="B324" s="1"/>
      <c r="K324" s="151"/>
      <c r="P324" s="151"/>
    </row>
    <row r="325" ht="12.0" customHeight="1">
      <c r="B325" s="1"/>
      <c r="K325" s="151"/>
      <c r="P325" s="151"/>
    </row>
    <row r="326" ht="12.0" customHeight="1">
      <c r="B326" s="1"/>
      <c r="K326" s="151"/>
      <c r="P326" s="151"/>
    </row>
    <row r="327" ht="12.0" customHeight="1">
      <c r="B327" s="1"/>
      <c r="K327" s="151"/>
      <c r="P327" s="151"/>
    </row>
    <row r="328" ht="12.0" customHeight="1">
      <c r="B328" s="1"/>
      <c r="K328" s="151"/>
      <c r="P328" s="151"/>
    </row>
    <row r="329" ht="12.0" customHeight="1">
      <c r="B329" s="1"/>
      <c r="K329" s="151"/>
      <c r="P329" s="151"/>
    </row>
    <row r="330" ht="12.0" customHeight="1">
      <c r="B330" s="1"/>
      <c r="K330" s="151"/>
      <c r="P330" s="151"/>
    </row>
    <row r="331" ht="12.0" customHeight="1">
      <c r="B331" s="1"/>
      <c r="K331" s="151"/>
      <c r="P331" s="151"/>
    </row>
    <row r="332" ht="12.0" customHeight="1">
      <c r="B332" s="1"/>
      <c r="K332" s="151"/>
      <c r="P332" s="151"/>
    </row>
    <row r="333" ht="12.0" customHeight="1">
      <c r="B333" s="1"/>
      <c r="K333" s="151"/>
      <c r="P333" s="151"/>
    </row>
    <row r="334" ht="12.0" customHeight="1">
      <c r="B334" s="1"/>
      <c r="K334" s="151"/>
      <c r="P334" s="151"/>
    </row>
    <row r="335" ht="12.0" customHeight="1">
      <c r="B335" s="1"/>
      <c r="K335" s="151"/>
      <c r="P335" s="151"/>
    </row>
    <row r="336" ht="12.0" customHeight="1">
      <c r="B336" s="1"/>
      <c r="K336" s="151"/>
      <c r="P336" s="151"/>
    </row>
    <row r="337" ht="12.0" customHeight="1">
      <c r="B337" s="1"/>
      <c r="K337" s="151"/>
      <c r="P337" s="151"/>
    </row>
    <row r="338" ht="12.0" customHeight="1">
      <c r="B338" s="1"/>
      <c r="K338" s="151"/>
      <c r="P338" s="151"/>
    </row>
    <row r="339" ht="12.0" customHeight="1">
      <c r="B339" s="1"/>
      <c r="K339" s="151"/>
      <c r="P339" s="151"/>
    </row>
    <row r="340" ht="12.0" customHeight="1">
      <c r="B340" s="1"/>
      <c r="K340" s="151"/>
      <c r="P340" s="151"/>
    </row>
    <row r="341" ht="12.0" customHeight="1">
      <c r="B341" s="1"/>
      <c r="K341" s="151"/>
      <c r="P341" s="151"/>
    </row>
    <row r="342" ht="12.0" customHeight="1">
      <c r="B342" s="1"/>
      <c r="K342" s="151"/>
      <c r="P342" s="151"/>
    </row>
    <row r="343" ht="12.0" customHeight="1">
      <c r="B343" s="1"/>
      <c r="K343" s="151"/>
      <c r="P343" s="151"/>
    </row>
    <row r="344" ht="12.0" customHeight="1">
      <c r="B344" s="1"/>
      <c r="K344" s="151"/>
      <c r="P344" s="151"/>
    </row>
    <row r="345" ht="12.0" customHeight="1">
      <c r="B345" s="1"/>
      <c r="K345" s="151"/>
      <c r="P345" s="151"/>
    </row>
    <row r="346" ht="12.0" customHeight="1">
      <c r="B346" s="1"/>
      <c r="K346" s="151"/>
      <c r="P346" s="151"/>
    </row>
    <row r="347" ht="12.0" customHeight="1">
      <c r="B347" s="1"/>
      <c r="K347" s="151"/>
      <c r="P347" s="151"/>
    </row>
    <row r="348" ht="12.0" customHeight="1">
      <c r="B348" s="1"/>
      <c r="K348" s="151"/>
      <c r="P348" s="151"/>
    </row>
    <row r="349" ht="12.0" customHeight="1">
      <c r="B349" s="1"/>
      <c r="K349" s="151"/>
      <c r="P349" s="151"/>
    </row>
    <row r="350" ht="12.0" customHeight="1">
      <c r="B350" s="1"/>
      <c r="K350" s="151"/>
      <c r="P350" s="151"/>
    </row>
    <row r="351" ht="12.0" customHeight="1">
      <c r="B351" s="1"/>
      <c r="K351" s="151"/>
      <c r="P351" s="151"/>
    </row>
    <row r="352" ht="12.0" customHeight="1">
      <c r="B352" s="1"/>
      <c r="K352" s="151"/>
      <c r="P352" s="151"/>
    </row>
    <row r="353" ht="12.0" customHeight="1">
      <c r="B353" s="1"/>
      <c r="K353" s="151"/>
      <c r="P353" s="151"/>
    </row>
    <row r="354" ht="12.0" customHeight="1">
      <c r="B354" s="1"/>
      <c r="K354" s="151"/>
      <c r="P354" s="151"/>
    </row>
    <row r="355" ht="12.0" customHeight="1">
      <c r="B355" s="1"/>
      <c r="K355" s="151"/>
      <c r="P355" s="151"/>
    </row>
    <row r="356" ht="12.0" customHeight="1">
      <c r="B356" s="1"/>
      <c r="K356" s="151"/>
      <c r="P356" s="151"/>
    </row>
    <row r="357" ht="12.0" customHeight="1">
      <c r="B357" s="1"/>
      <c r="K357" s="151"/>
      <c r="P357" s="151"/>
    </row>
    <row r="358" ht="12.0" customHeight="1">
      <c r="B358" s="1"/>
      <c r="K358" s="151"/>
      <c r="P358" s="151"/>
    </row>
    <row r="359" ht="12.0" customHeight="1">
      <c r="B359" s="1"/>
      <c r="K359" s="151"/>
      <c r="P359" s="151"/>
    </row>
    <row r="360" ht="12.0" customHeight="1">
      <c r="B360" s="1"/>
      <c r="K360" s="151"/>
      <c r="P360" s="151"/>
    </row>
    <row r="361" ht="12.0" customHeight="1">
      <c r="B361" s="1"/>
      <c r="K361" s="151"/>
      <c r="P361" s="151"/>
    </row>
    <row r="362" ht="12.0" customHeight="1">
      <c r="B362" s="1"/>
      <c r="K362" s="151"/>
      <c r="P362" s="151"/>
    </row>
    <row r="363" ht="12.0" customHeight="1">
      <c r="B363" s="1"/>
      <c r="K363" s="151"/>
      <c r="P363" s="151"/>
    </row>
    <row r="364" ht="12.0" customHeight="1">
      <c r="B364" s="1"/>
      <c r="K364" s="151"/>
      <c r="P364" s="151"/>
    </row>
    <row r="365" ht="12.0" customHeight="1">
      <c r="B365" s="1"/>
      <c r="K365" s="151"/>
      <c r="P365" s="151"/>
    </row>
    <row r="366" ht="12.0" customHeight="1">
      <c r="B366" s="1"/>
      <c r="K366" s="151"/>
      <c r="P366" s="151"/>
    </row>
    <row r="367" ht="12.0" customHeight="1">
      <c r="B367" s="1"/>
      <c r="K367" s="151"/>
      <c r="P367" s="151"/>
    </row>
    <row r="368" ht="12.0" customHeight="1">
      <c r="B368" s="1"/>
      <c r="K368" s="151"/>
      <c r="P368" s="151"/>
    </row>
    <row r="369" ht="12.0" customHeight="1">
      <c r="B369" s="1"/>
      <c r="K369" s="151"/>
      <c r="P369" s="151"/>
    </row>
    <row r="370" ht="12.0" customHeight="1">
      <c r="B370" s="1"/>
      <c r="K370" s="151"/>
      <c r="P370" s="151"/>
    </row>
    <row r="371" ht="12.0" customHeight="1">
      <c r="B371" s="1"/>
      <c r="K371" s="151"/>
      <c r="P371" s="151"/>
    </row>
    <row r="372" ht="12.0" customHeight="1">
      <c r="B372" s="1"/>
      <c r="K372" s="151"/>
      <c r="P372" s="151"/>
    </row>
    <row r="373" ht="12.0" customHeight="1">
      <c r="B373" s="1"/>
      <c r="K373" s="151"/>
      <c r="P373" s="151"/>
    </row>
    <row r="374" ht="12.0" customHeight="1">
      <c r="B374" s="1"/>
      <c r="K374" s="151"/>
      <c r="P374" s="151"/>
    </row>
    <row r="375" ht="12.0" customHeight="1">
      <c r="B375" s="1"/>
      <c r="K375" s="151"/>
      <c r="P375" s="151"/>
    </row>
    <row r="376" ht="12.0" customHeight="1">
      <c r="B376" s="1"/>
      <c r="K376" s="151"/>
      <c r="P376" s="151"/>
    </row>
    <row r="377" ht="12.0" customHeight="1">
      <c r="B377" s="1"/>
      <c r="K377" s="151"/>
      <c r="P377" s="151"/>
    </row>
    <row r="378" ht="12.0" customHeight="1">
      <c r="B378" s="1"/>
      <c r="K378" s="151"/>
      <c r="P378" s="151"/>
    </row>
    <row r="379" ht="12.0" customHeight="1">
      <c r="B379" s="1"/>
      <c r="K379" s="151"/>
      <c r="P379" s="151"/>
    </row>
    <row r="380" ht="12.0" customHeight="1">
      <c r="B380" s="1"/>
      <c r="K380" s="151"/>
      <c r="P380" s="151"/>
    </row>
    <row r="381" ht="12.0" customHeight="1">
      <c r="B381" s="1"/>
      <c r="K381" s="151"/>
      <c r="P381" s="151"/>
    </row>
    <row r="382" ht="12.0" customHeight="1">
      <c r="B382" s="1"/>
      <c r="K382" s="151"/>
      <c r="P382" s="151"/>
    </row>
    <row r="383" ht="12.0" customHeight="1">
      <c r="B383" s="1"/>
      <c r="K383" s="151"/>
      <c r="P383" s="151"/>
    </row>
    <row r="384" ht="12.0" customHeight="1">
      <c r="B384" s="1"/>
      <c r="K384" s="151"/>
      <c r="P384" s="151"/>
    </row>
    <row r="385" ht="12.0" customHeight="1">
      <c r="B385" s="1"/>
      <c r="K385" s="151"/>
      <c r="P385" s="151"/>
    </row>
    <row r="386" ht="12.0" customHeight="1">
      <c r="B386" s="1"/>
      <c r="K386" s="151"/>
      <c r="P386" s="151"/>
    </row>
    <row r="387" ht="12.0" customHeight="1">
      <c r="B387" s="1"/>
      <c r="K387" s="151"/>
      <c r="P387" s="151"/>
    </row>
    <row r="388" ht="12.0" customHeight="1">
      <c r="B388" s="1"/>
      <c r="K388" s="151"/>
      <c r="P388" s="151"/>
    </row>
    <row r="389" ht="12.0" customHeight="1">
      <c r="B389" s="1"/>
      <c r="K389" s="151"/>
      <c r="P389" s="151"/>
    </row>
    <row r="390" ht="12.0" customHeight="1">
      <c r="B390" s="1"/>
      <c r="K390" s="151"/>
      <c r="P390" s="151"/>
    </row>
    <row r="391" ht="12.0" customHeight="1">
      <c r="B391" s="1"/>
      <c r="K391" s="151"/>
      <c r="P391" s="151"/>
    </row>
    <row r="392" ht="12.0" customHeight="1">
      <c r="B392" s="1"/>
      <c r="K392" s="151"/>
      <c r="P392" s="151"/>
    </row>
    <row r="393" ht="12.0" customHeight="1">
      <c r="B393" s="1"/>
      <c r="K393" s="151"/>
      <c r="P393" s="151"/>
    </row>
    <row r="394" ht="12.0" customHeight="1">
      <c r="B394" s="1"/>
      <c r="K394" s="151"/>
      <c r="P394" s="151"/>
    </row>
    <row r="395" ht="12.0" customHeight="1">
      <c r="B395" s="1"/>
      <c r="K395" s="151"/>
      <c r="P395" s="151"/>
    </row>
    <row r="396" ht="12.0" customHeight="1">
      <c r="B396" s="1"/>
      <c r="K396" s="151"/>
      <c r="P396" s="151"/>
    </row>
    <row r="397" ht="12.0" customHeight="1">
      <c r="B397" s="1"/>
      <c r="K397" s="151"/>
      <c r="P397" s="151"/>
    </row>
    <row r="398" ht="12.0" customHeight="1">
      <c r="B398" s="1"/>
      <c r="K398" s="151"/>
      <c r="P398" s="151"/>
    </row>
    <row r="399" ht="12.0" customHeight="1">
      <c r="B399" s="1"/>
      <c r="K399" s="151"/>
      <c r="P399" s="151"/>
    </row>
    <row r="400" ht="12.0" customHeight="1">
      <c r="B400" s="1"/>
      <c r="K400" s="151"/>
      <c r="P400" s="151"/>
    </row>
    <row r="401" ht="12.0" customHeight="1">
      <c r="B401" s="1"/>
      <c r="K401" s="151"/>
      <c r="P401" s="151"/>
    </row>
    <row r="402" ht="12.0" customHeight="1">
      <c r="B402" s="1"/>
      <c r="K402" s="151"/>
      <c r="P402" s="151"/>
    </row>
    <row r="403" ht="12.0" customHeight="1">
      <c r="B403" s="1"/>
      <c r="K403" s="151"/>
      <c r="P403" s="151"/>
    </row>
    <row r="404" ht="12.0" customHeight="1">
      <c r="B404" s="1"/>
      <c r="K404" s="151"/>
      <c r="P404" s="151"/>
    </row>
    <row r="405" ht="12.0" customHeight="1">
      <c r="B405" s="1"/>
      <c r="K405" s="151"/>
      <c r="P405" s="151"/>
    </row>
    <row r="406" ht="12.0" customHeight="1">
      <c r="B406" s="1"/>
      <c r="K406" s="151"/>
      <c r="P406" s="151"/>
    </row>
    <row r="407" ht="12.0" customHeight="1">
      <c r="B407" s="1"/>
      <c r="K407" s="151"/>
      <c r="P407" s="151"/>
    </row>
    <row r="408" ht="12.0" customHeight="1">
      <c r="B408" s="1"/>
      <c r="K408" s="151"/>
      <c r="P408" s="151"/>
    </row>
    <row r="409" ht="12.0" customHeight="1">
      <c r="B409" s="1"/>
      <c r="K409" s="151"/>
      <c r="P409" s="151"/>
    </row>
    <row r="410" ht="12.0" customHeight="1">
      <c r="B410" s="1"/>
      <c r="K410" s="151"/>
      <c r="P410" s="151"/>
    </row>
    <row r="411" ht="12.0" customHeight="1">
      <c r="B411" s="1"/>
      <c r="K411" s="151"/>
      <c r="P411" s="151"/>
    </row>
    <row r="412" ht="12.0" customHeight="1">
      <c r="B412" s="1"/>
      <c r="K412" s="151"/>
      <c r="P412" s="151"/>
    </row>
    <row r="413" ht="12.0" customHeight="1">
      <c r="B413" s="1"/>
      <c r="K413" s="151"/>
      <c r="P413" s="151"/>
    </row>
    <row r="414" ht="12.0" customHeight="1">
      <c r="B414" s="1"/>
      <c r="K414" s="151"/>
      <c r="P414" s="151"/>
    </row>
    <row r="415" ht="12.0" customHeight="1">
      <c r="B415" s="1"/>
      <c r="K415" s="151"/>
      <c r="P415" s="151"/>
    </row>
    <row r="416" ht="12.0" customHeight="1">
      <c r="B416" s="1"/>
      <c r="K416" s="151"/>
      <c r="P416" s="151"/>
    </row>
    <row r="417" ht="12.0" customHeight="1">
      <c r="B417" s="1"/>
      <c r="K417" s="151"/>
      <c r="P417" s="151"/>
    </row>
    <row r="418" ht="12.0" customHeight="1">
      <c r="B418" s="1"/>
      <c r="K418" s="151"/>
      <c r="P418" s="151"/>
    </row>
    <row r="419" ht="12.0" customHeight="1">
      <c r="B419" s="1"/>
      <c r="K419" s="151"/>
      <c r="P419" s="151"/>
    </row>
    <row r="420" ht="12.0" customHeight="1">
      <c r="B420" s="1"/>
      <c r="K420" s="151"/>
      <c r="P420" s="151"/>
    </row>
    <row r="421" ht="12.0" customHeight="1">
      <c r="B421" s="1"/>
      <c r="K421" s="151"/>
      <c r="P421" s="151"/>
    </row>
    <row r="422" ht="12.0" customHeight="1">
      <c r="B422" s="1"/>
      <c r="K422" s="151"/>
      <c r="P422" s="151"/>
    </row>
    <row r="423" ht="12.0" customHeight="1">
      <c r="B423" s="1"/>
      <c r="K423" s="151"/>
      <c r="P423" s="151"/>
    </row>
    <row r="424" ht="12.0" customHeight="1">
      <c r="B424" s="1"/>
      <c r="K424" s="151"/>
      <c r="P424" s="151"/>
    </row>
    <row r="425" ht="12.0" customHeight="1">
      <c r="B425" s="1"/>
      <c r="K425" s="151"/>
      <c r="P425" s="151"/>
    </row>
    <row r="426" ht="12.0" customHeight="1">
      <c r="B426" s="1"/>
      <c r="K426" s="151"/>
      <c r="P426" s="151"/>
    </row>
    <row r="427" ht="12.0" customHeight="1">
      <c r="B427" s="1"/>
      <c r="K427" s="151"/>
      <c r="P427" s="151"/>
    </row>
    <row r="428" ht="12.0" customHeight="1">
      <c r="B428" s="1"/>
      <c r="K428" s="151"/>
      <c r="P428" s="151"/>
    </row>
    <row r="429" ht="12.0" customHeight="1">
      <c r="B429" s="1"/>
      <c r="K429" s="151"/>
      <c r="P429" s="151"/>
    </row>
    <row r="430" ht="12.0" customHeight="1">
      <c r="B430" s="1"/>
      <c r="K430" s="151"/>
      <c r="P430" s="151"/>
    </row>
    <row r="431" ht="12.0" customHeight="1">
      <c r="B431" s="1"/>
      <c r="K431" s="151"/>
      <c r="P431" s="151"/>
    </row>
    <row r="432" ht="12.0" customHeight="1">
      <c r="B432" s="1"/>
      <c r="K432" s="151"/>
      <c r="P432" s="151"/>
    </row>
    <row r="433" ht="12.0" customHeight="1">
      <c r="B433" s="1"/>
      <c r="K433" s="151"/>
      <c r="P433" s="151"/>
    </row>
    <row r="434" ht="12.0" customHeight="1">
      <c r="B434" s="1"/>
      <c r="K434" s="151"/>
      <c r="P434" s="151"/>
    </row>
    <row r="435" ht="12.0" customHeight="1">
      <c r="B435" s="1"/>
      <c r="K435" s="151"/>
      <c r="P435" s="151"/>
    </row>
    <row r="436" ht="12.0" customHeight="1">
      <c r="B436" s="1"/>
      <c r="K436" s="151"/>
      <c r="P436" s="151"/>
    </row>
    <row r="437" ht="12.0" customHeight="1">
      <c r="B437" s="1"/>
      <c r="K437" s="151"/>
      <c r="P437" s="151"/>
    </row>
    <row r="438" ht="12.0" customHeight="1">
      <c r="B438" s="1"/>
      <c r="K438" s="151"/>
      <c r="P438" s="151"/>
    </row>
    <row r="439" ht="12.0" customHeight="1">
      <c r="B439" s="1"/>
      <c r="K439" s="151"/>
      <c r="P439" s="151"/>
    </row>
    <row r="440" ht="12.0" customHeight="1">
      <c r="B440" s="1"/>
      <c r="K440" s="151"/>
      <c r="P440" s="151"/>
    </row>
    <row r="441" ht="12.0" customHeight="1">
      <c r="B441" s="1"/>
      <c r="K441" s="151"/>
      <c r="P441" s="151"/>
    </row>
    <row r="442" ht="12.0" customHeight="1">
      <c r="B442" s="1"/>
      <c r="K442" s="151"/>
      <c r="P442" s="151"/>
    </row>
    <row r="443" ht="12.0" customHeight="1">
      <c r="B443" s="1"/>
      <c r="K443" s="151"/>
      <c r="P443" s="151"/>
    </row>
    <row r="444" ht="12.0" customHeight="1">
      <c r="B444" s="1"/>
      <c r="K444" s="151"/>
      <c r="P444" s="151"/>
    </row>
    <row r="445" ht="12.0" customHeight="1">
      <c r="B445" s="1"/>
      <c r="K445" s="151"/>
      <c r="P445" s="151"/>
    </row>
    <row r="446" ht="12.0" customHeight="1">
      <c r="B446" s="1"/>
      <c r="K446" s="151"/>
      <c r="P446" s="151"/>
    </row>
    <row r="447" ht="12.0" customHeight="1">
      <c r="B447" s="1"/>
      <c r="K447" s="151"/>
      <c r="P447" s="151"/>
    </row>
    <row r="448" ht="12.0" customHeight="1">
      <c r="B448" s="1"/>
      <c r="K448" s="151"/>
      <c r="P448" s="151"/>
    </row>
    <row r="449" ht="12.0" customHeight="1">
      <c r="B449" s="1"/>
      <c r="K449" s="151"/>
      <c r="P449" s="151"/>
    </row>
    <row r="450" ht="12.0" customHeight="1">
      <c r="B450" s="1"/>
      <c r="K450" s="151"/>
      <c r="P450" s="151"/>
    </row>
    <row r="451" ht="12.0" customHeight="1">
      <c r="B451" s="1"/>
      <c r="K451" s="151"/>
      <c r="P451" s="151"/>
    </row>
    <row r="452" ht="12.0" customHeight="1">
      <c r="B452" s="1"/>
      <c r="K452" s="151"/>
      <c r="P452" s="151"/>
    </row>
    <row r="453" ht="12.0" customHeight="1">
      <c r="B453" s="1"/>
      <c r="K453" s="151"/>
      <c r="P453" s="151"/>
    </row>
    <row r="454" ht="12.0" customHeight="1">
      <c r="B454" s="1"/>
      <c r="K454" s="151"/>
      <c r="P454" s="151"/>
    </row>
    <row r="455" ht="12.0" customHeight="1">
      <c r="B455" s="1"/>
      <c r="K455" s="151"/>
      <c r="P455" s="151"/>
    </row>
    <row r="456" ht="12.0" customHeight="1">
      <c r="B456" s="1"/>
      <c r="K456" s="151"/>
      <c r="P456" s="151"/>
    </row>
    <row r="457" ht="12.0" customHeight="1">
      <c r="B457" s="1"/>
      <c r="K457" s="151"/>
      <c r="P457" s="151"/>
    </row>
    <row r="458" ht="12.0" customHeight="1">
      <c r="B458" s="1"/>
      <c r="K458" s="151"/>
      <c r="P458" s="151"/>
    </row>
    <row r="459" ht="12.0" customHeight="1">
      <c r="B459" s="1"/>
      <c r="K459" s="151"/>
      <c r="P459" s="151"/>
    </row>
    <row r="460" ht="12.0" customHeight="1">
      <c r="B460" s="1"/>
      <c r="K460" s="151"/>
      <c r="P460" s="151"/>
    </row>
    <row r="461" ht="12.0" customHeight="1">
      <c r="B461" s="1"/>
      <c r="K461" s="151"/>
      <c r="P461" s="151"/>
    </row>
    <row r="462" ht="12.0" customHeight="1">
      <c r="B462" s="1"/>
      <c r="K462" s="151"/>
      <c r="P462" s="151"/>
    </row>
    <row r="463" ht="12.0" customHeight="1">
      <c r="B463" s="1"/>
      <c r="K463" s="151"/>
      <c r="P463" s="151"/>
    </row>
    <row r="464" ht="12.0" customHeight="1">
      <c r="B464" s="1"/>
      <c r="K464" s="151"/>
      <c r="P464" s="151"/>
    </row>
    <row r="465" ht="12.0" customHeight="1">
      <c r="B465" s="1"/>
      <c r="K465" s="151"/>
      <c r="P465" s="151"/>
    </row>
    <row r="466" ht="12.0" customHeight="1">
      <c r="B466" s="1"/>
      <c r="K466" s="151"/>
      <c r="P466" s="151"/>
    </row>
    <row r="467" ht="12.0" customHeight="1">
      <c r="B467" s="1"/>
      <c r="K467" s="151"/>
      <c r="P467" s="151"/>
    </row>
    <row r="468" ht="12.0" customHeight="1">
      <c r="B468" s="1"/>
      <c r="K468" s="151"/>
      <c r="P468" s="151"/>
    </row>
    <row r="469" ht="12.0" customHeight="1">
      <c r="B469" s="1"/>
      <c r="K469" s="151"/>
      <c r="P469" s="151"/>
    </row>
    <row r="470" ht="12.0" customHeight="1">
      <c r="B470" s="1"/>
      <c r="K470" s="151"/>
      <c r="P470" s="151"/>
    </row>
    <row r="471" ht="12.0" customHeight="1">
      <c r="B471" s="1"/>
      <c r="K471" s="151"/>
      <c r="P471" s="151"/>
    </row>
    <row r="472" ht="12.0" customHeight="1">
      <c r="B472" s="1"/>
      <c r="K472" s="151"/>
      <c r="P472" s="151"/>
    </row>
    <row r="473" ht="12.0" customHeight="1">
      <c r="B473" s="1"/>
      <c r="K473" s="151"/>
      <c r="P473" s="151"/>
    </row>
    <row r="474" ht="12.0" customHeight="1">
      <c r="B474" s="1"/>
      <c r="K474" s="151"/>
      <c r="P474" s="151"/>
    </row>
    <row r="475" ht="12.0" customHeight="1">
      <c r="B475" s="1"/>
      <c r="K475" s="151"/>
      <c r="P475" s="151"/>
    </row>
    <row r="476" ht="12.0" customHeight="1">
      <c r="B476" s="1"/>
      <c r="K476" s="151"/>
      <c r="P476" s="151"/>
    </row>
    <row r="477" ht="12.0" customHeight="1">
      <c r="B477" s="1"/>
      <c r="K477" s="151"/>
      <c r="P477" s="151"/>
    </row>
    <row r="478" ht="12.0" customHeight="1">
      <c r="B478" s="1"/>
      <c r="K478" s="151"/>
      <c r="P478" s="151"/>
    </row>
    <row r="479" ht="12.0" customHeight="1">
      <c r="B479" s="1"/>
      <c r="K479" s="151"/>
      <c r="P479" s="151"/>
    </row>
    <row r="480" ht="12.0" customHeight="1">
      <c r="B480" s="1"/>
      <c r="K480" s="151"/>
      <c r="P480" s="151"/>
    </row>
    <row r="481" ht="12.0" customHeight="1">
      <c r="B481" s="1"/>
      <c r="K481" s="151"/>
      <c r="P481" s="151"/>
    </row>
    <row r="482" ht="12.0" customHeight="1">
      <c r="B482" s="1"/>
      <c r="K482" s="151"/>
      <c r="P482" s="151"/>
    </row>
    <row r="483" ht="12.0" customHeight="1">
      <c r="B483" s="1"/>
      <c r="K483" s="151"/>
      <c r="P483" s="151"/>
    </row>
    <row r="484" ht="12.0" customHeight="1">
      <c r="B484" s="1"/>
      <c r="K484" s="151"/>
      <c r="P484" s="151"/>
    </row>
    <row r="485" ht="12.0" customHeight="1">
      <c r="B485" s="1"/>
      <c r="K485" s="151"/>
      <c r="P485" s="151"/>
    </row>
    <row r="486" ht="12.0" customHeight="1">
      <c r="B486" s="1"/>
      <c r="K486" s="151"/>
      <c r="P486" s="151"/>
    </row>
    <row r="487" ht="12.0" customHeight="1">
      <c r="B487" s="1"/>
      <c r="K487" s="151"/>
      <c r="P487" s="151"/>
    </row>
    <row r="488" ht="12.0" customHeight="1">
      <c r="B488" s="1"/>
      <c r="K488" s="151"/>
      <c r="P488" s="151"/>
    </row>
    <row r="489" ht="12.0" customHeight="1">
      <c r="B489" s="1"/>
      <c r="K489" s="151"/>
      <c r="P489" s="151"/>
    </row>
    <row r="490" ht="12.0" customHeight="1">
      <c r="B490" s="1"/>
      <c r="K490" s="151"/>
      <c r="P490" s="151"/>
    </row>
    <row r="491" ht="12.0" customHeight="1">
      <c r="B491" s="1"/>
      <c r="K491" s="151"/>
      <c r="P491" s="151"/>
    </row>
    <row r="492" ht="12.0" customHeight="1">
      <c r="B492" s="1"/>
      <c r="K492" s="151"/>
      <c r="P492" s="151"/>
    </row>
    <row r="493" ht="12.0" customHeight="1">
      <c r="B493" s="1"/>
      <c r="K493" s="151"/>
      <c r="P493" s="151"/>
    </row>
    <row r="494" ht="12.0" customHeight="1">
      <c r="B494" s="1"/>
      <c r="K494" s="151"/>
      <c r="P494" s="151"/>
    </row>
    <row r="495" ht="12.0" customHeight="1">
      <c r="B495" s="1"/>
      <c r="K495" s="151"/>
      <c r="P495" s="151"/>
    </row>
    <row r="496" ht="12.0" customHeight="1">
      <c r="B496" s="1"/>
      <c r="K496" s="151"/>
      <c r="P496" s="151"/>
    </row>
    <row r="497" ht="12.0" customHeight="1">
      <c r="B497" s="1"/>
      <c r="K497" s="151"/>
      <c r="P497" s="151"/>
    </row>
    <row r="498" ht="12.0" customHeight="1">
      <c r="B498" s="1"/>
      <c r="K498" s="151"/>
      <c r="P498" s="151"/>
    </row>
    <row r="499" ht="12.0" customHeight="1">
      <c r="B499" s="1"/>
      <c r="K499" s="151"/>
      <c r="P499" s="151"/>
    </row>
    <row r="500" ht="12.0" customHeight="1">
      <c r="B500" s="1"/>
      <c r="K500" s="151"/>
      <c r="P500" s="151"/>
    </row>
    <row r="501" ht="12.0" customHeight="1">
      <c r="B501" s="1"/>
      <c r="K501" s="151"/>
      <c r="P501" s="151"/>
    </row>
    <row r="502" ht="12.0" customHeight="1">
      <c r="B502" s="1"/>
      <c r="K502" s="151"/>
      <c r="P502" s="151"/>
    </row>
    <row r="503" ht="12.0" customHeight="1">
      <c r="B503" s="1"/>
      <c r="K503" s="151"/>
      <c r="P503" s="151"/>
    </row>
    <row r="504" ht="12.0" customHeight="1">
      <c r="B504" s="1"/>
      <c r="K504" s="151"/>
      <c r="P504" s="151"/>
    </row>
    <row r="505" ht="12.0" customHeight="1">
      <c r="B505" s="1"/>
      <c r="K505" s="151"/>
      <c r="P505" s="151"/>
    </row>
    <row r="506" ht="12.0" customHeight="1">
      <c r="B506" s="1"/>
      <c r="K506" s="151"/>
      <c r="P506" s="151"/>
    </row>
    <row r="507" ht="12.0" customHeight="1">
      <c r="B507" s="1"/>
      <c r="K507" s="151"/>
      <c r="P507" s="151"/>
    </row>
    <row r="508" ht="12.0" customHeight="1">
      <c r="B508" s="1"/>
      <c r="K508" s="151"/>
      <c r="P508" s="151"/>
    </row>
    <row r="509" ht="12.0" customHeight="1">
      <c r="B509" s="1"/>
      <c r="K509" s="151"/>
      <c r="P509" s="151"/>
    </row>
    <row r="510" ht="12.0" customHeight="1">
      <c r="B510" s="1"/>
      <c r="K510" s="151"/>
      <c r="P510" s="151"/>
    </row>
    <row r="511" ht="12.0" customHeight="1">
      <c r="B511" s="1"/>
      <c r="K511" s="151"/>
      <c r="P511" s="151"/>
    </row>
    <row r="512" ht="12.0" customHeight="1">
      <c r="B512" s="1"/>
      <c r="K512" s="151"/>
      <c r="P512" s="151"/>
    </row>
    <row r="513" ht="12.0" customHeight="1">
      <c r="B513" s="1"/>
      <c r="K513" s="151"/>
      <c r="P513" s="151"/>
    </row>
    <row r="514" ht="12.0" customHeight="1">
      <c r="B514" s="1"/>
      <c r="K514" s="151"/>
      <c r="P514" s="151"/>
    </row>
    <row r="515" ht="12.0" customHeight="1">
      <c r="B515" s="1"/>
      <c r="K515" s="151"/>
      <c r="P515" s="151"/>
    </row>
    <row r="516" ht="12.0" customHeight="1">
      <c r="B516" s="1"/>
      <c r="K516" s="151"/>
      <c r="P516" s="151"/>
    </row>
    <row r="517" ht="12.0" customHeight="1">
      <c r="B517" s="1"/>
      <c r="K517" s="151"/>
      <c r="P517" s="151"/>
    </row>
    <row r="518" ht="12.0" customHeight="1">
      <c r="B518" s="1"/>
      <c r="K518" s="151"/>
      <c r="P518" s="151"/>
    </row>
    <row r="519" ht="12.0" customHeight="1">
      <c r="B519" s="1"/>
      <c r="K519" s="151"/>
      <c r="P519" s="151"/>
    </row>
    <row r="520" ht="12.0" customHeight="1">
      <c r="B520" s="1"/>
      <c r="K520" s="151"/>
      <c r="P520" s="151"/>
    </row>
    <row r="521" ht="12.0" customHeight="1">
      <c r="B521" s="1"/>
      <c r="K521" s="151"/>
      <c r="P521" s="151"/>
    </row>
    <row r="522" ht="12.0" customHeight="1">
      <c r="B522" s="1"/>
      <c r="K522" s="151"/>
      <c r="P522" s="151"/>
    </row>
    <row r="523" ht="12.0" customHeight="1">
      <c r="B523" s="1"/>
      <c r="K523" s="151"/>
      <c r="P523" s="151"/>
    </row>
    <row r="524" ht="12.0" customHeight="1">
      <c r="B524" s="1"/>
      <c r="K524" s="151"/>
      <c r="P524" s="151"/>
    </row>
    <row r="525" ht="12.0" customHeight="1">
      <c r="B525" s="1"/>
      <c r="K525" s="151"/>
      <c r="P525" s="151"/>
    </row>
    <row r="526" ht="12.0" customHeight="1">
      <c r="B526" s="1"/>
      <c r="K526" s="151"/>
      <c r="P526" s="151"/>
    </row>
    <row r="527" ht="12.0" customHeight="1">
      <c r="B527" s="1"/>
      <c r="K527" s="151"/>
      <c r="P527" s="151"/>
    </row>
    <row r="528" ht="12.0" customHeight="1">
      <c r="B528" s="1"/>
      <c r="K528" s="151"/>
      <c r="P528" s="151"/>
    </row>
    <row r="529" ht="12.0" customHeight="1">
      <c r="B529" s="1"/>
      <c r="K529" s="151"/>
      <c r="P529" s="151"/>
    </row>
    <row r="530" ht="12.0" customHeight="1">
      <c r="B530" s="1"/>
      <c r="K530" s="151"/>
      <c r="P530" s="151"/>
    </row>
    <row r="531" ht="12.0" customHeight="1">
      <c r="B531" s="1"/>
      <c r="K531" s="151"/>
      <c r="P531" s="151"/>
    </row>
    <row r="532" ht="12.0" customHeight="1">
      <c r="B532" s="1"/>
      <c r="K532" s="151"/>
      <c r="P532" s="151"/>
    </row>
    <row r="533" ht="12.0" customHeight="1">
      <c r="B533" s="1"/>
      <c r="K533" s="151"/>
      <c r="P533" s="151"/>
    </row>
    <row r="534" ht="12.0" customHeight="1">
      <c r="B534" s="1"/>
      <c r="K534" s="151"/>
      <c r="P534" s="151"/>
    </row>
    <row r="535" ht="12.0" customHeight="1">
      <c r="B535" s="1"/>
      <c r="K535" s="151"/>
      <c r="P535" s="151"/>
    </row>
    <row r="536" ht="12.0" customHeight="1">
      <c r="B536" s="1"/>
      <c r="K536" s="151"/>
      <c r="P536" s="151"/>
    </row>
    <row r="537" ht="12.0" customHeight="1">
      <c r="B537" s="1"/>
      <c r="K537" s="151"/>
      <c r="P537" s="151"/>
    </row>
    <row r="538" ht="12.0" customHeight="1">
      <c r="B538" s="1"/>
      <c r="K538" s="151"/>
      <c r="P538" s="151"/>
    </row>
    <row r="539" ht="12.0" customHeight="1">
      <c r="B539" s="1"/>
      <c r="K539" s="151"/>
      <c r="P539" s="151"/>
    </row>
    <row r="540" ht="12.0" customHeight="1">
      <c r="B540" s="1"/>
      <c r="K540" s="151"/>
      <c r="P540" s="151"/>
    </row>
    <row r="541" ht="12.0" customHeight="1">
      <c r="B541" s="1"/>
      <c r="K541" s="151"/>
      <c r="P541" s="151"/>
    </row>
    <row r="542" ht="12.0" customHeight="1">
      <c r="B542" s="1"/>
      <c r="K542" s="151"/>
      <c r="P542" s="151"/>
    </row>
    <row r="543" ht="12.0" customHeight="1">
      <c r="B543" s="1"/>
      <c r="K543" s="151"/>
      <c r="P543" s="151"/>
    </row>
    <row r="544" ht="12.0" customHeight="1">
      <c r="B544" s="1"/>
      <c r="K544" s="151"/>
      <c r="P544" s="151"/>
    </row>
    <row r="545" ht="12.0" customHeight="1">
      <c r="B545" s="1"/>
      <c r="K545" s="151"/>
      <c r="P545" s="151"/>
    </row>
    <row r="546" ht="12.0" customHeight="1">
      <c r="B546" s="1"/>
      <c r="K546" s="151"/>
      <c r="P546" s="151"/>
    </row>
    <row r="547" ht="12.0" customHeight="1">
      <c r="B547" s="1"/>
      <c r="K547" s="151"/>
      <c r="P547" s="151"/>
    </row>
    <row r="548" ht="12.0" customHeight="1">
      <c r="B548" s="1"/>
      <c r="K548" s="151"/>
      <c r="P548" s="151"/>
    </row>
    <row r="549" ht="12.0" customHeight="1">
      <c r="B549" s="1"/>
      <c r="K549" s="151"/>
      <c r="P549" s="151"/>
    </row>
    <row r="550" ht="12.0" customHeight="1">
      <c r="B550" s="1"/>
      <c r="K550" s="151"/>
      <c r="P550" s="151"/>
    </row>
    <row r="551" ht="12.0" customHeight="1">
      <c r="B551" s="1"/>
      <c r="K551" s="151"/>
      <c r="P551" s="151"/>
    </row>
    <row r="552" ht="12.0" customHeight="1">
      <c r="B552" s="1"/>
      <c r="K552" s="151"/>
      <c r="P552" s="151"/>
    </row>
    <row r="553" ht="12.0" customHeight="1">
      <c r="B553" s="1"/>
      <c r="K553" s="151"/>
      <c r="P553" s="151"/>
    </row>
    <row r="554" ht="12.0" customHeight="1">
      <c r="B554" s="1"/>
      <c r="K554" s="151"/>
      <c r="P554" s="151"/>
    </row>
    <row r="555" ht="12.0" customHeight="1">
      <c r="B555" s="1"/>
      <c r="K555" s="151"/>
      <c r="P555" s="151"/>
    </row>
    <row r="556" ht="12.0" customHeight="1">
      <c r="B556" s="1"/>
      <c r="K556" s="151"/>
      <c r="P556" s="151"/>
    </row>
    <row r="557" ht="12.0" customHeight="1">
      <c r="B557" s="1"/>
      <c r="K557" s="151"/>
      <c r="P557" s="151"/>
    </row>
    <row r="558" ht="12.0" customHeight="1">
      <c r="B558" s="1"/>
      <c r="K558" s="151"/>
      <c r="P558" s="151"/>
    </row>
    <row r="559" ht="12.0" customHeight="1">
      <c r="B559" s="1"/>
      <c r="K559" s="151"/>
      <c r="P559" s="151"/>
    </row>
    <row r="560" ht="12.0" customHeight="1">
      <c r="B560" s="1"/>
      <c r="K560" s="151"/>
      <c r="P560" s="151"/>
    </row>
    <row r="561" ht="12.0" customHeight="1">
      <c r="B561" s="1"/>
      <c r="K561" s="151"/>
      <c r="P561" s="151"/>
    </row>
    <row r="562" ht="12.0" customHeight="1">
      <c r="B562" s="1"/>
      <c r="K562" s="151"/>
      <c r="P562" s="151"/>
    </row>
    <row r="563" ht="12.0" customHeight="1">
      <c r="B563" s="1"/>
      <c r="K563" s="151"/>
      <c r="P563" s="151"/>
    </row>
    <row r="564" ht="12.0" customHeight="1">
      <c r="B564" s="1"/>
      <c r="K564" s="151"/>
      <c r="P564" s="151"/>
    </row>
    <row r="565" ht="12.0" customHeight="1">
      <c r="B565" s="1"/>
      <c r="K565" s="151"/>
      <c r="P565" s="151"/>
    </row>
    <row r="566" ht="12.0" customHeight="1">
      <c r="B566" s="1"/>
      <c r="K566" s="151"/>
      <c r="P566" s="151"/>
    </row>
    <row r="567" ht="12.0" customHeight="1">
      <c r="B567" s="1"/>
      <c r="K567" s="151"/>
      <c r="P567" s="151"/>
    </row>
    <row r="568" ht="12.0" customHeight="1">
      <c r="B568" s="1"/>
      <c r="K568" s="151"/>
      <c r="P568" s="151"/>
    </row>
    <row r="569" ht="12.0" customHeight="1">
      <c r="B569" s="1"/>
      <c r="K569" s="151"/>
      <c r="P569" s="151"/>
    </row>
    <row r="570" ht="12.0" customHeight="1">
      <c r="B570" s="1"/>
      <c r="K570" s="151"/>
      <c r="P570" s="151"/>
    </row>
    <row r="571" ht="12.0" customHeight="1">
      <c r="B571" s="1"/>
      <c r="K571" s="151"/>
      <c r="P571" s="151"/>
    </row>
    <row r="572" ht="12.0" customHeight="1">
      <c r="B572" s="1"/>
      <c r="K572" s="151"/>
      <c r="P572" s="151"/>
    </row>
    <row r="573" ht="12.0" customHeight="1">
      <c r="B573" s="1"/>
      <c r="K573" s="151"/>
      <c r="P573" s="151"/>
    </row>
    <row r="574" ht="12.0" customHeight="1">
      <c r="B574" s="1"/>
      <c r="K574" s="151"/>
      <c r="P574" s="151"/>
    </row>
    <row r="575" ht="12.0" customHeight="1">
      <c r="B575" s="1"/>
      <c r="K575" s="151"/>
      <c r="P575" s="151"/>
    </row>
    <row r="576" ht="12.0" customHeight="1">
      <c r="B576" s="1"/>
      <c r="K576" s="151"/>
      <c r="P576" s="151"/>
    </row>
    <row r="577" ht="12.0" customHeight="1">
      <c r="B577" s="1"/>
      <c r="K577" s="151"/>
      <c r="P577" s="151"/>
    </row>
    <row r="578" ht="12.0" customHeight="1">
      <c r="B578" s="1"/>
      <c r="K578" s="151"/>
      <c r="P578" s="151"/>
    </row>
    <row r="579" ht="12.0" customHeight="1">
      <c r="B579" s="1"/>
      <c r="K579" s="151"/>
      <c r="P579" s="151"/>
    </row>
    <row r="580" ht="12.0" customHeight="1">
      <c r="B580" s="1"/>
      <c r="K580" s="151"/>
      <c r="P580" s="151"/>
    </row>
    <row r="581" ht="12.0" customHeight="1">
      <c r="B581" s="1"/>
      <c r="K581" s="151"/>
      <c r="P581" s="151"/>
    </row>
    <row r="582" ht="12.0" customHeight="1">
      <c r="B582" s="1"/>
      <c r="K582" s="151"/>
      <c r="P582" s="151"/>
    </row>
    <row r="583" ht="12.0" customHeight="1">
      <c r="B583" s="1"/>
      <c r="K583" s="151"/>
      <c r="P583" s="151"/>
    </row>
    <row r="584" ht="12.0" customHeight="1">
      <c r="B584" s="1"/>
      <c r="K584" s="151"/>
      <c r="P584" s="151"/>
    </row>
    <row r="585" ht="12.0" customHeight="1">
      <c r="B585" s="1"/>
      <c r="K585" s="151"/>
      <c r="P585" s="151"/>
    </row>
    <row r="586" ht="12.0" customHeight="1">
      <c r="B586" s="1"/>
      <c r="K586" s="151"/>
      <c r="P586" s="151"/>
    </row>
    <row r="587" ht="12.0" customHeight="1">
      <c r="B587" s="1"/>
      <c r="K587" s="151"/>
      <c r="P587" s="151"/>
    </row>
    <row r="588" ht="12.0" customHeight="1">
      <c r="B588" s="1"/>
      <c r="K588" s="151"/>
      <c r="P588" s="151"/>
    </row>
    <row r="589" ht="12.0" customHeight="1">
      <c r="B589" s="1"/>
      <c r="K589" s="151"/>
      <c r="P589" s="151"/>
    </row>
    <row r="590" ht="12.0" customHeight="1">
      <c r="B590" s="1"/>
      <c r="K590" s="151"/>
      <c r="P590" s="151"/>
    </row>
    <row r="591" ht="12.0" customHeight="1">
      <c r="B591" s="1"/>
      <c r="K591" s="151"/>
      <c r="P591" s="151"/>
    </row>
    <row r="592" ht="12.0" customHeight="1">
      <c r="B592" s="1"/>
      <c r="K592" s="151"/>
      <c r="P592" s="151"/>
    </row>
    <row r="593" ht="12.0" customHeight="1">
      <c r="B593" s="1"/>
      <c r="K593" s="151"/>
      <c r="P593" s="151"/>
    </row>
    <row r="594" ht="12.0" customHeight="1">
      <c r="B594" s="1"/>
      <c r="K594" s="151"/>
      <c r="P594" s="151"/>
    </row>
    <row r="595" ht="12.0" customHeight="1">
      <c r="B595" s="1"/>
      <c r="K595" s="151"/>
      <c r="P595" s="151"/>
    </row>
    <row r="596" ht="12.0" customHeight="1">
      <c r="B596" s="1"/>
      <c r="K596" s="151"/>
      <c r="P596" s="151"/>
    </row>
    <row r="597" ht="12.0" customHeight="1">
      <c r="B597" s="1"/>
      <c r="K597" s="151"/>
      <c r="P597" s="151"/>
    </row>
    <row r="598" ht="12.0" customHeight="1">
      <c r="B598" s="1"/>
      <c r="K598" s="151"/>
      <c r="P598" s="151"/>
    </row>
    <row r="599" ht="12.0" customHeight="1">
      <c r="B599" s="1"/>
      <c r="K599" s="151"/>
      <c r="P599" s="151"/>
    </row>
    <row r="600" ht="12.0" customHeight="1">
      <c r="B600" s="1"/>
      <c r="K600" s="151"/>
      <c r="P600" s="151"/>
    </row>
    <row r="601" ht="12.0" customHeight="1">
      <c r="B601" s="1"/>
      <c r="K601" s="151"/>
      <c r="P601" s="151"/>
    </row>
    <row r="602" ht="12.0" customHeight="1">
      <c r="B602" s="1"/>
      <c r="K602" s="151"/>
      <c r="P602" s="151"/>
    </row>
    <row r="603" ht="12.0" customHeight="1">
      <c r="B603" s="1"/>
      <c r="K603" s="151"/>
      <c r="P603" s="151"/>
    </row>
    <row r="604" ht="12.0" customHeight="1">
      <c r="B604" s="1"/>
      <c r="K604" s="151"/>
      <c r="P604" s="151"/>
    </row>
    <row r="605" ht="12.0" customHeight="1">
      <c r="B605" s="1"/>
      <c r="K605" s="151"/>
      <c r="P605" s="151"/>
    </row>
    <row r="606" ht="12.0" customHeight="1">
      <c r="B606" s="1"/>
      <c r="K606" s="151"/>
      <c r="P606" s="151"/>
    </row>
    <row r="607" ht="12.0" customHeight="1">
      <c r="B607" s="1"/>
      <c r="K607" s="151"/>
      <c r="P607" s="151"/>
    </row>
    <row r="608" ht="12.0" customHeight="1">
      <c r="B608" s="1"/>
      <c r="K608" s="151"/>
      <c r="P608" s="151"/>
    </row>
    <row r="609" ht="12.0" customHeight="1">
      <c r="B609" s="1"/>
      <c r="K609" s="151"/>
      <c r="P609" s="151"/>
    </row>
    <row r="610" ht="12.0" customHeight="1">
      <c r="B610" s="1"/>
      <c r="K610" s="151"/>
      <c r="P610" s="151"/>
    </row>
    <row r="611" ht="12.0" customHeight="1">
      <c r="B611" s="1"/>
      <c r="K611" s="151"/>
      <c r="P611" s="151"/>
    </row>
    <row r="612" ht="12.0" customHeight="1">
      <c r="B612" s="1"/>
      <c r="K612" s="151"/>
      <c r="P612" s="151"/>
    </row>
    <row r="613" ht="12.0" customHeight="1">
      <c r="B613" s="1"/>
      <c r="K613" s="151"/>
      <c r="P613" s="151"/>
    </row>
    <row r="614" ht="12.0" customHeight="1">
      <c r="B614" s="1"/>
      <c r="K614" s="151"/>
      <c r="P614" s="151"/>
    </row>
    <row r="615" ht="12.0" customHeight="1">
      <c r="B615" s="1"/>
      <c r="K615" s="151"/>
      <c r="P615" s="151"/>
    </row>
    <row r="616" ht="12.0" customHeight="1">
      <c r="B616" s="1"/>
      <c r="K616" s="151"/>
      <c r="P616" s="151"/>
    </row>
    <row r="617" ht="12.0" customHeight="1">
      <c r="B617" s="1"/>
      <c r="K617" s="151"/>
      <c r="P617" s="151"/>
    </row>
    <row r="618" ht="12.0" customHeight="1">
      <c r="B618" s="1"/>
      <c r="K618" s="151"/>
      <c r="P618" s="151"/>
    </row>
    <row r="619" ht="12.0" customHeight="1">
      <c r="B619" s="1"/>
      <c r="K619" s="151"/>
      <c r="P619" s="151"/>
    </row>
    <row r="620" ht="12.0" customHeight="1">
      <c r="B620" s="1"/>
      <c r="K620" s="151"/>
      <c r="P620" s="151"/>
    </row>
    <row r="621" ht="12.0" customHeight="1">
      <c r="B621" s="1"/>
      <c r="K621" s="151"/>
      <c r="P621" s="151"/>
    </row>
    <row r="622" ht="12.0" customHeight="1">
      <c r="B622" s="1"/>
      <c r="K622" s="151"/>
      <c r="P622" s="151"/>
    </row>
    <row r="623" ht="12.0" customHeight="1">
      <c r="B623" s="1"/>
      <c r="K623" s="151"/>
      <c r="P623" s="151"/>
    </row>
    <row r="624" ht="12.0" customHeight="1">
      <c r="B624" s="1"/>
      <c r="K624" s="151"/>
      <c r="P624" s="151"/>
    </row>
    <row r="625" ht="12.0" customHeight="1">
      <c r="B625" s="1"/>
      <c r="K625" s="151"/>
      <c r="P625" s="151"/>
    </row>
    <row r="626" ht="12.0" customHeight="1">
      <c r="B626" s="1"/>
      <c r="K626" s="151"/>
      <c r="P626" s="151"/>
    </row>
    <row r="627" ht="12.0" customHeight="1">
      <c r="B627" s="1"/>
      <c r="K627" s="151"/>
      <c r="P627" s="151"/>
    </row>
    <row r="628" ht="12.0" customHeight="1">
      <c r="B628" s="1"/>
      <c r="K628" s="151"/>
      <c r="P628" s="151"/>
    </row>
    <row r="629" ht="12.0" customHeight="1">
      <c r="B629" s="1"/>
      <c r="K629" s="151"/>
      <c r="P629" s="151"/>
    </row>
    <row r="630" ht="12.0" customHeight="1">
      <c r="B630" s="1"/>
      <c r="K630" s="151"/>
      <c r="P630" s="151"/>
    </row>
    <row r="631" ht="12.0" customHeight="1">
      <c r="B631" s="1"/>
      <c r="K631" s="151"/>
      <c r="P631" s="151"/>
    </row>
    <row r="632" ht="12.0" customHeight="1">
      <c r="B632" s="1"/>
      <c r="K632" s="151"/>
      <c r="P632" s="151"/>
    </row>
    <row r="633" ht="12.0" customHeight="1">
      <c r="B633" s="1"/>
      <c r="K633" s="151"/>
      <c r="P633" s="151"/>
    </row>
    <row r="634" ht="12.0" customHeight="1">
      <c r="B634" s="1"/>
      <c r="K634" s="151"/>
      <c r="P634" s="151"/>
    </row>
    <row r="635" ht="12.0" customHeight="1">
      <c r="B635" s="1"/>
      <c r="K635" s="151"/>
      <c r="P635" s="151"/>
    </row>
    <row r="636" ht="12.0" customHeight="1">
      <c r="B636" s="1"/>
      <c r="K636" s="151"/>
      <c r="P636" s="151"/>
    </row>
    <row r="637" ht="12.0" customHeight="1">
      <c r="B637" s="1"/>
      <c r="K637" s="151"/>
      <c r="P637" s="151"/>
    </row>
    <row r="638" ht="12.0" customHeight="1">
      <c r="B638" s="1"/>
      <c r="K638" s="151"/>
      <c r="P638" s="151"/>
    </row>
    <row r="639" ht="12.0" customHeight="1">
      <c r="B639" s="1"/>
      <c r="K639" s="151"/>
      <c r="P639" s="151"/>
    </row>
    <row r="640" ht="12.0" customHeight="1">
      <c r="B640" s="1"/>
      <c r="K640" s="151"/>
      <c r="P640" s="151"/>
    </row>
    <row r="641" ht="12.0" customHeight="1">
      <c r="B641" s="1"/>
      <c r="K641" s="151"/>
      <c r="P641" s="151"/>
    </row>
    <row r="642" ht="12.0" customHeight="1">
      <c r="B642" s="1"/>
      <c r="K642" s="151"/>
      <c r="P642" s="151"/>
    </row>
    <row r="643" ht="12.0" customHeight="1">
      <c r="B643" s="1"/>
      <c r="K643" s="151"/>
      <c r="P643" s="151"/>
    </row>
    <row r="644" ht="12.0" customHeight="1">
      <c r="B644" s="1"/>
      <c r="K644" s="151"/>
      <c r="P644" s="151"/>
    </row>
    <row r="645" ht="12.0" customHeight="1">
      <c r="B645" s="1"/>
      <c r="K645" s="151"/>
      <c r="P645" s="151"/>
    </row>
    <row r="646" ht="12.0" customHeight="1">
      <c r="B646" s="1"/>
      <c r="K646" s="151"/>
      <c r="P646" s="151"/>
    </row>
    <row r="647" ht="12.0" customHeight="1">
      <c r="B647" s="1"/>
      <c r="K647" s="151"/>
      <c r="P647" s="151"/>
    </row>
    <row r="648" ht="12.0" customHeight="1">
      <c r="B648" s="1"/>
      <c r="K648" s="151"/>
      <c r="P648" s="151"/>
    </row>
    <row r="649" ht="12.0" customHeight="1">
      <c r="B649" s="1"/>
      <c r="K649" s="151"/>
      <c r="P649" s="151"/>
    </row>
    <row r="650" ht="12.0" customHeight="1">
      <c r="B650" s="1"/>
      <c r="K650" s="151"/>
      <c r="P650" s="151"/>
    </row>
    <row r="651" ht="12.0" customHeight="1">
      <c r="B651" s="1"/>
      <c r="K651" s="151"/>
      <c r="P651" s="151"/>
    </row>
    <row r="652" ht="12.0" customHeight="1">
      <c r="B652" s="1"/>
      <c r="K652" s="151"/>
      <c r="P652" s="151"/>
    </row>
    <row r="653" ht="12.0" customHeight="1">
      <c r="B653" s="1"/>
      <c r="K653" s="151"/>
      <c r="P653" s="151"/>
    </row>
    <row r="654" ht="12.0" customHeight="1">
      <c r="B654" s="1"/>
      <c r="K654" s="151"/>
      <c r="P654" s="151"/>
    </row>
    <row r="655" ht="12.0" customHeight="1">
      <c r="B655" s="1"/>
      <c r="K655" s="151"/>
      <c r="P655" s="151"/>
    </row>
    <row r="656" ht="12.0" customHeight="1">
      <c r="B656" s="1"/>
      <c r="K656" s="151"/>
      <c r="P656" s="151"/>
    </row>
    <row r="657" ht="12.0" customHeight="1">
      <c r="B657" s="1"/>
      <c r="K657" s="151"/>
      <c r="P657" s="151"/>
    </row>
    <row r="658" ht="12.0" customHeight="1">
      <c r="B658" s="1"/>
      <c r="K658" s="151"/>
      <c r="P658" s="151"/>
    </row>
    <row r="659" ht="12.0" customHeight="1">
      <c r="B659" s="1"/>
      <c r="K659" s="151"/>
      <c r="P659" s="151"/>
    </row>
    <row r="660" ht="12.0" customHeight="1">
      <c r="B660" s="1"/>
      <c r="K660" s="151"/>
      <c r="P660" s="151"/>
    </row>
    <row r="661" ht="12.0" customHeight="1">
      <c r="B661" s="1"/>
      <c r="K661" s="151"/>
      <c r="P661" s="151"/>
    </row>
    <row r="662" ht="12.0" customHeight="1">
      <c r="B662" s="1"/>
      <c r="K662" s="151"/>
      <c r="P662" s="151"/>
    </row>
    <row r="663" ht="12.0" customHeight="1">
      <c r="B663" s="1"/>
      <c r="K663" s="151"/>
      <c r="P663" s="151"/>
    </row>
    <row r="664" ht="12.0" customHeight="1">
      <c r="B664" s="1"/>
      <c r="K664" s="151"/>
      <c r="P664" s="151"/>
    </row>
    <row r="665" ht="12.0" customHeight="1">
      <c r="B665" s="1"/>
      <c r="K665" s="151"/>
      <c r="P665" s="151"/>
    </row>
    <row r="666" ht="12.0" customHeight="1">
      <c r="B666" s="1"/>
      <c r="K666" s="151"/>
      <c r="P666" s="151"/>
    </row>
    <row r="667" ht="12.0" customHeight="1">
      <c r="B667" s="1"/>
      <c r="K667" s="151"/>
      <c r="P667" s="151"/>
    </row>
    <row r="668" ht="12.0" customHeight="1">
      <c r="B668" s="1"/>
      <c r="K668" s="151"/>
      <c r="P668" s="151"/>
    </row>
    <row r="669" ht="12.0" customHeight="1">
      <c r="B669" s="1"/>
      <c r="K669" s="151"/>
      <c r="P669" s="151"/>
    </row>
    <row r="670" ht="12.0" customHeight="1">
      <c r="B670" s="1"/>
      <c r="K670" s="151"/>
      <c r="P670" s="151"/>
    </row>
    <row r="671" ht="12.0" customHeight="1">
      <c r="B671" s="1"/>
      <c r="K671" s="151"/>
      <c r="P671" s="151"/>
    </row>
    <row r="672" ht="12.0" customHeight="1">
      <c r="B672" s="1"/>
      <c r="K672" s="151"/>
      <c r="P672" s="151"/>
    </row>
    <row r="673" ht="12.0" customHeight="1">
      <c r="B673" s="1"/>
      <c r="K673" s="151"/>
      <c r="P673" s="151"/>
    </row>
    <row r="674" ht="12.0" customHeight="1">
      <c r="B674" s="1"/>
      <c r="K674" s="151"/>
      <c r="P674" s="151"/>
    </row>
    <row r="675" ht="12.0" customHeight="1">
      <c r="B675" s="1"/>
      <c r="K675" s="151"/>
      <c r="P675" s="151"/>
    </row>
    <row r="676" ht="12.0" customHeight="1">
      <c r="B676" s="1"/>
      <c r="K676" s="151"/>
      <c r="P676" s="151"/>
    </row>
    <row r="677" ht="12.0" customHeight="1">
      <c r="B677" s="1"/>
      <c r="K677" s="151"/>
      <c r="P677" s="151"/>
    </row>
    <row r="678" ht="12.0" customHeight="1">
      <c r="B678" s="1"/>
      <c r="K678" s="151"/>
      <c r="P678" s="151"/>
    </row>
    <row r="679" ht="12.0" customHeight="1">
      <c r="B679" s="1"/>
      <c r="K679" s="151"/>
      <c r="P679" s="151"/>
    </row>
    <row r="680" ht="12.0" customHeight="1">
      <c r="B680" s="1"/>
      <c r="K680" s="151"/>
      <c r="P680" s="151"/>
    </row>
    <row r="681" ht="12.0" customHeight="1">
      <c r="B681" s="1"/>
      <c r="K681" s="151"/>
      <c r="P681" s="151"/>
    </row>
    <row r="682" ht="12.0" customHeight="1">
      <c r="B682" s="1"/>
      <c r="K682" s="151"/>
      <c r="P682" s="151"/>
    </row>
    <row r="683" ht="12.0" customHeight="1">
      <c r="B683" s="1"/>
      <c r="K683" s="151"/>
      <c r="P683" s="151"/>
    </row>
    <row r="684" ht="12.0" customHeight="1">
      <c r="B684" s="1"/>
      <c r="K684" s="151"/>
      <c r="P684" s="151"/>
    </row>
    <row r="685" ht="12.0" customHeight="1">
      <c r="B685" s="1"/>
      <c r="K685" s="151"/>
      <c r="P685" s="151"/>
    </row>
    <row r="686" ht="12.0" customHeight="1">
      <c r="B686" s="1"/>
      <c r="K686" s="151"/>
      <c r="P686" s="151"/>
    </row>
    <row r="687" ht="12.0" customHeight="1">
      <c r="B687" s="1"/>
      <c r="K687" s="151"/>
      <c r="P687" s="151"/>
    </row>
    <row r="688" ht="12.0" customHeight="1">
      <c r="B688" s="1"/>
      <c r="K688" s="151"/>
      <c r="P688" s="151"/>
    </row>
    <row r="689" ht="12.0" customHeight="1">
      <c r="B689" s="1"/>
      <c r="K689" s="151"/>
      <c r="P689" s="151"/>
    </row>
    <row r="690" ht="12.0" customHeight="1">
      <c r="B690" s="1"/>
      <c r="K690" s="151"/>
      <c r="P690" s="151"/>
    </row>
    <row r="691" ht="12.0" customHeight="1">
      <c r="B691" s="1"/>
      <c r="K691" s="151"/>
      <c r="P691" s="151"/>
    </row>
    <row r="692" ht="12.0" customHeight="1">
      <c r="B692" s="1"/>
      <c r="K692" s="151"/>
      <c r="P692" s="151"/>
    </row>
    <row r="693" ht="12.0" customHeight="1">
      <c r="B693" s="1"/>
      <c r="K693" s="151"/>
      <c r="P693" s="151"/>
    </row>
    <row r="694" ht="12.0" customHeight="1">
      <c r="B694" s="1"/>
      <c r="K694" s="151"/>
      <c r="P694" s="151"/>
    </row>
    <row r="695" ht="12.0" customHeight="1">
      <c r="B695" s="1"/>
      <c r="K695" s="151"/>
      <c r="P695" s="151"/>
    </row>
    <row r="696" ht="12.0" customHeight="1">
      <c r="B696" s="1"/>
      <c r="K696" s="151"/>
      <c r="P696" s="151"/>
    </row>
    <row r="697" ht="12.0" customHeight="1">
      <c r="B697" s="1"/>
      <c r="K697" s="151"/>
      <c r="P697" s="151"/>
    </row>
    <row r="698" ht="12.0" customHeight="1">
      <c r="B698" s="1"/>
      <c r="K698" s="151"/>
      <c r="P698" s="151"/>
    </row>
    <row r="699" ht="12.0" customHeight="1">
      <c r="B699" s="1"/>
      <c r="K699" s="151"/>
      <c r="P699" s="151"/>
    </row>
    <row r="700" ht="12.0" customHeight="1">
      <c r="B700" s="1"/>
      <c r="K700" s="151"/>
      <c r="P700" s="151"/>
    </row>
    <row r="701" ht="12.0" customHeight="1">
      <c r="B701" s="1"/>
      <c r="K701" s="151"/>
      <c r="P701" s="151"/>
    </row>
    <row r="702" ht="12.0" customHeight="1">
      <c r="B702" s="1"/>
      <c r="K702" s="151"/>
      <c r="P702" s="151"/>
    </row>
    <row r="703" ht="12.0" customHeight="1">
      <c r="B703" s="1"/>
      <c r="K703" s="151"/>
      <c r="P703" s="151"/>
    </row>
    <row r="704" ht="12.0" customHeight="1">
      <c r="B704" s="1"/>
      <c r="K704" s="151"/>
      <c r="P704" s="151"/>
    </row>
    <row r="705" ht="12.0" customHeight="1">
      <c r="B705" s="1"/>
      <c r="K705" s="151"/>
      <c r="P705" s="151"/>
    </row>
    <row r="706" ht="12.0" customHeight="1">
      <c r="B706" s="1"/>
      <c r="K706" s="151"/>
      <c r="P706" s="151"/>
    </row>
    <row r="707" ht="12.0" customHeight="1">
      <c r="B707" s="1"/>
      <c r="K707" s="151"/>
      <c r="P707" s="151"/>
    </row>
    <row r="708" ht="12.0" customHeight="1">
      <c r="B708" s="1"/>
      <c r="K708" s="151"/>
      <c r="P708" s="151"/>
    </row>
    <row r="709" ht="12.0" customHeight="1">
      <c r="B709" s="1"/>
      <c r="K709" s="151"/>
      <c r="P709" s="151"/>
    </row>
    <row r="710" ht="12.0" customHeight="1">
      <c r="B710" s="1"/>
      <c r="K710" s="151"/>
      <c r="P710" s="151"/>
    </row>
    <row r="711" ht="12.0" customHeight="1">
      <c r="B711" s="1"/>
      <c r="K711" s="151"/>
      <c r="P711" s="151"/>
    </row>
    <row r="712" ht="12.0" customHeight="1">
      <c r="B712" s="1"/>
      <c r="K712" s="151"/>
      <c r="P712" s="151"/>
    </row>
    <row r="713" ht="12.0" customHeight="1">
      <c r="B713" s="1"/>
      <c r="K713" s="151"/>
      <c r="P713" s="151"/>
    </row>
    <row r="714" ht="12.0" customHeight="1">
      <c r="B714" s="1"/>
      <c r="K714" s="151"/>
      <c r="P714" s="151"/>
    </row>
    <row r="715" ht="12.0" customHeight="1">
      <c r="B715" s="1"/>
      <c r="K715" s="151"/>
      <c r="P715" s="151"/>
    </row>
    <row r="716" ht="12.0" customHeight="1">
      <c r="B716" s="1"/>
      <c r="K716" s="151"/>
      <c r="P716" s="151"/>
    </row>
    <row r="717" ht="12.0" customHeight="1">
      <c r="B717" s="1"/>
      <c r="K717" s="151"/>
      <c r="P717" s="151"/>
    </row>
    <row r="718" ht="12.0" customHeight="1">
      <c r="B718" s="1"/>
      <c r="K718" s="151"/>
      <c r="P718" s="151"/>
    </row>
    <row r="719" ht="12.0" customHeight="1">
      <c r="B719" s="1"/>
      <c r="K719" s="151"/>
      <c r="P719" s="151"/>
    </row>
    <row r="720" ht="12.0" customHeight="1">
      <c r="B720" s="1"/>
      <c r="K720" s="151"/>
      <c r="P720" s="151"/>
    </row>
    <row r="721" ht="12.0" customHeight="1">
      <c r="B721" s="1"/>
      <c r="K721" s="151"/>
      <c r="P721" s="151"/>
    </row>
    <row r="722" ht="12.0" customHeight="1">
      <c r="B722" s="1"/>
      <c r="K722" s="151"/>
      <c r="P722" s="151"/>
    </row>
    <row r="723" ht="12.0" customHeight="1">
      <c r="B723" s="1"/>
      <c r="K723" s="151"/>
      <c r="P723" s="151"/>
    </row>
    <row r="724" ht="12.0" customHeight="1">
      <c r="B724" s="1"/>
      <c r="K724" s="151"/>
      <c r="P724" s="151"/>
    </row>
    <row r="725" ht="12.0" customHeight="1">
      <c r="B725" s="1"/>
      <c r="K725" s="151"/>
      <c r="P725" s="151"/>
    </row>
    <row r="726" ht="12.0" customHeight="1">
      <c r="B726" s="1"/>
      <c r="K726" s="151"/>
      <c r="P726" s="151"/>
    </row>
    <row r="727" ht="12.0" customHeight="1">
      <c r="B727" s="1"/>
      <c r="K727" s="151"/>
      <c r="P727" s="151"/>
    </row>
    <row r="728" ht="12.0" customHeight="1">
      <c r="B728" s="1"/>
      <c r="K728" s="151"/>
      <c r="P728" s="151"/>
    </row>
    <row r="729" ht="12.0" customHeight="1">
      <c r="B729" s="1"/>
      <c r="K729" s="151"/>
      <c r="P729" s="151"/>
    </row>
    <row r="730" ht="12.0" customHeight="1">
      <c r="B730" s="1"/>
      <c r="K730" s="151"/>
      <c r="P730" s="151"/>
    </row>
    <row r="731" ht="12.0" customHeight="1">
      <c r="B731" s="1"/>
      <c r="K731" s="151"/>
      <c r="P731" s="151"/>
    </row>
    <row r="732" ht="12.0" customHeight="1">
      <c r="B732" s="1"/>
      <c r="K732" s="151"/>
      <c r="P732" s="151"/>
    </row>
    <row r="733" ht="12.0" customHeight="1">
      <c r="B733" s="1"/>
      <c r="K733" s="151"/>
      <c r="P733" s="151"/>
    </row>
    <row r="734" ht="12.0" customHeight="1">
      <c r="B734" s="1"/>
      <c r="K734" s="151"/>
      <c r="P734" s="151"/>
    </row>
    <row r="735" ht="12.0" customHeight="1">
      <c r="B735" s="1"/>
      <c r="K735" s="151"/>
      <c r="P735" s="151"/>
    </row>
    <row r="736" ht="12.0" customHeight="1">
      <c r="B736" s="1"/>
      <c r="K736" s="151"/>
      <c r="P736" s="151"/>
    </row>
    <row r="737" ht="12.0" customHeight="1">
      <c r="B737" s="1"/>
      <c r="K737" s="151"/>
      <c r="P737" s="151"/>
    </row>
    <row r="738" ht="12.0" customHeight="1">
      <c r="B738" s="1"/>
      <c r="K738" s="151"/>
      <c r="P738" s="151"/>
    </row>
    <row r="739" ht="12.0" customHeight="1">
      <c r="B739" s="1"/>
      <c r="K739" s="151"/>
      <c r="P739" s="151"/>
    </row>
    <row r="740" ht="12.0" customHeight="1">
      <c r="B740" s="1"/>
      <c r="K740" s="151"/>
      <c r="P740" s="151"/>
    </row>
    <row r="741" ht="12.0" customHeight="1">
      <c r="B741" s="1"/>
      <c r="K741" s="151"/>
      <c r="P741" s="151"/>
    </row>
    <row r="742" ht="12.0" customHeight="1">
      <c r="B742" s="1"/>
      <c r="K742" s="151"/>
      <c r="P742" s="151"/>
    </row>
    <row r="743" ht="12.0" customHeight="1">
      <c r="B743" s="1"/>
      <c r="K743" s="151"/>
      <c r="P743" s="151"/>
    </row>
    <row r="744" ht="12.0" customHeight="1">
      <c r="B744" s="1"/>
      <c r="K744" s="151"/>
      <c r="P744" s="151"/>
    </row>
    <row r="745" ht="12.0" customHeight="1">
      <c r="B745" s="1"/>
      <c r="K745" s="151"/>
      <c r="P745" s="151"/>
    </row>
    <row r="746" ht="12.0" customHeight="1">
      <c r="B746" s="1"/>
      <c r="K746" s="151"/>
      <c r="P746" s="151"/>
    </row>
    <row r="747" ht="12.0" customHeight="1">
      <c r="B747" s="1"/>
      <c r="K747" s="151"/>
      <c r="P747" s="151"/>
    </row>
    <row r="748" ht="12.0" customHeight="1">
      <c r="B748" s="1"/>
      <c r="K748" s="151"/>
      <c r="P748" s="151"/>
    </row>
    <row r="749" ht="12.0" customHeight="1">
      <c r="B749" s="1"/>
      <c r="K749" s="151"/>
      <c r="P749" s="151"/>
    </row>
    <row r="750" ht="12.0" customHeight="1">
      <c r="B750" s="1"/>
      <c r="K750" s="151"/>
      <c r="P750" s="151"/>
    </row>
    <row r="751" ht="12.0" customHeight="1">
      <c r="B751" s="1"/>
      <c r="K751" s="151"/>
      <c r="P751" s="151"/>
    </row>
    <row r="752" ht="12.0" customHeight="1">
      <c r="B752" s="1"/>
      <c r="K752" s="151"/>
      <c r="P752" s="151"/>
    </row>
    <row r="753" ht="12.0" customHeight="1">
      <c r="B753" s="1"/>
      <c r="K753" s="151"/>
      <c r="P753" s="151"/>
    </row>
    <row r="754" ht="12.0" customHeight="1">
      <c r="B754" s="1"/>
      <c r="K754" s="151"/>
      <c r="P754" s="151"/>
    </row>
    <row r="755" ht="12.0" customHeight="1">
      <c r="B755" s="1"/>
      <c r="K755" s="151"/>
      <c r="P755" s="151"/>
    </row>
    <row r="756" ht="12.0" customHeight="1">
      <c r="B756" s="1"/>
      <c r="K756" s="151"/>
      <c r="P756" s="151"/>
    </row>
    <row r="757" ht="12.0" customHeight="1">
      <c r="B757" s="1"/>
      <c r="K757" s="151"/>
      <c r="P757" s="151"/>
    </row>
    <row r="758" ht="12.0" customHeight="1">
      <c r="B758" s="1"/>
      <c r="K758" s="151"/>
      <c r="P758" s="151"/>
    </row>
    <row r="759" ht="12.0" customHeight="1">
      <c r="B759" s="1"/>
      <c r="K759" s="151"/>
      <c r="P759" s="151"/>
    </row>
    <row r="760" ht="12.0" customHeight="1">
      <c r="B760" s="1"/>
      <c r="K760" s="151"/>
      <c r="P760" s="151"/>
    </row>
    <row r="761" ht="12.0" customHeight="1">
      <c r="B761" s="1"/>
      <c r="K761" s="151"/>
      <c r="P761" s="151"/>
    </row>
    <row r="762" ht="12.0" customHeight="1">
      <c r="B762" s="1"/>
      <c r="K762" s="151"/>
      <c r="P762" s="151"/>
    </row>
    <row r="763" ht="12.0" customHeight="1">
      <c r="B763" s="1"/>
      <c r="K763" s="151"/>
      <c r="P763" s="151"/>
    </row>
    <row r="764" ht="12.0" customHeight="1">
      <c r="B764" s="1"/>
      <c r="K764" s="151"/>
      <c r="P764" s="151"/>
    </row>
    <row r="765" ht="12.0" customHeight="1">
      <c r="B765" s="1"/>
      <c r="K765" s="151"/>
      <c r="P765" s="151"/>
    </row>
    <row r="766" ht="12.0" customHeight="1">
      <c r="B766" s="1"/>
      <c r="K766" s="151"/>
      <c r="P766" s="151"/>
    </row>
    <row r="767" ht="12.0" customHeight="1">
      <c r="B767" s="1"/>
      <c r="K767" s="151"/>
      <c r="P767" s="151"/>
    </row>
    <row r="768" ht="12.0" customHeight="1">
      <c r="B768" s="1"/>
      <c r="K768" s="151"/>
      <c r="P768" s="151"/>
    </row>
    <row r="769" ht="12.0" customHeight="1">
      <c r="B769" s="1"/>
      <c r="K769" s="151"/>
      <c r="P769" s="151"/>
    </row>
    <row r="770" ht="12.0" customHeight="1">
      <c r="B770" s="1"/>
      <c r="K770" s="151"/>
      <c r="P770" s="151"/>
    </row>
    <row r="771" ht="12.0" customHeight="1">
      <c r="B771" s="1"/>
      <c r="K771" s="151"/>
      <c r="P771" s="151"/>
    </row>
    <row r="772" ht="12.0" customHeight="1">
      <c r="B772" s="1"/>
      <c r="K772" s="151"/>
      <c r="P772" s="151"/>
    </row>
    <row r="773" ht="12.0" customHeight="1">
      <c r="B773" s="1"/>
      <c r="K773" s="151"/>
      <c r="P773" s="151"/>
    </row>
    <row r="774" ht="12.0" customHeight="1">
      <c r="B774" s="1"/>
      <c r="K774" s="151"/>
      <c r="P774" s="151"/>
    </row>
    <row r="775" ht="12.0" customHeight="1">
      <c r="B775" s="1"/>
      <c r="K775" s="151"/>
      <c r="P775" s="151"/>
    </row>
    <row r="776" ht="12.0" customHeight="1">
      <c r="B776" s="1"/>
      <c r="K776" s="151"/>
      <c r="P776" s="151"/>
    </row>
    <row r="777" ht="12.0" customHeight="1">
      <c r="B777" s="1"/>
      <c r="K777" s="151"/>
      <c r="P777" s="151"/>
    </row>
    <row r="778" ht="12.0" customHeight="1">
      <c r="B778" s="1"/>
      <c r="K778" s="151"/>
      <c r="P778" s="151"/>
    </row>
    <row r="779" ht="12.0" customHeight="1">
      <c r="B779" s="1"/>
      <c r="K779" s="151"/>
      <c r="P779" s="151"/>
    </row>
    <row r="780" ht="12.0" customHeight="1">
      <c r="B780" s="1"/>
      <c r="K780" s="151"/>
      <c r="P780" s="151"/>
    </row>
    <row r="781" ht="12.0" customHeight="1">
      <c r="B781" s="1"/>
      <c r="K781" s="151"/>
      <c r="P781" s="151"/>
    </row>
    <row r="782" ht="12.0" customHeight="1">
      <c r="B782" s="1"/>
      <c r="K782" s="151"/>
      <c r="P782" s="151"/>
    </row>
    <row r="783" ht="12.0" customHeight="1">
      <c r="B783" s="1"/>
      <c r="K783" s="151"/>
      <c r="P783" s="151"/>
    </row>
    <row r="784" ht="12.0" customHeight="1">
      <c r="B784" s="1"/>
      <c r="K784" s="151"/>
      <c r="P784" s="151"/>
    </row>
    <row r="785" ht="12.0" customHeight="1">
      <c r="B785" s="1"/>
      <c r="K785" s="151"/>
      <c r="P785" s="151"/>
    </row>
    <row r="786" ht="12.0" customHeight="1">
      <c r="B786" s="1"/>
      <c r="K786" s="151"/>
      <c r="P786" s="151"/>
    </row>
    <row r="787" ht="12.0" customHeight="1">
      <c r="B787" s="1"/>
      <c r="K787" s="151"/>
      <c r="P787" s="151"/>
    </row>
    <row r="788" ht="12.0" customHeight="1">
      <c r="B788" s="1"/>
      <c r="K788" s="151"/>
      <c r="P788" s="151"/>
    </row>
    <row r="789" ht="12.0" customHeight="1">
      <c r="B789" s="1"/>
      <c r="K789" s="151"/>
      <c r="P789" s="151"/>
    </row>
    <row r="790" ht="12.0" customHeight="1">
      <c r="B790" s="1"/>
      <c r="K790" s="151"/>
      <c r="P790" s="151"/>
    </row>
    <row r="791" ht="12.0" customHeight="1">
      <c r="B791" s="1"/>
      <c r="K791" s="151"/>
      <c r="P791" s="151"/>
    </row>
    <row r="792" ht="12.0" customHeight="1">
      <c r="B792" s="1"/>
      <c r="K792" s="151"/>
      <c r="P792" s="151"/>
    </row>
    <row r="793" ht="12.0" customHeight="1">
      <c r="B793" s="1"/>
      <c r="K793" s="151"/>
      <c r="P793" s="151"/>
    </row>
    <row r="794" ht="12.0" customHeight="1">
      <c r="B794" s="1"/>
      <c r="K794" s="151"/>
      <c r="P794" s="151"/>
    </row>
    <row r="795" ht="12.0" customHeight="1">
      <c r="B795" s="1"/>
      <c r="K795" s="151"/>
      <c r="P795" s="151"/>
    </row>
    <row r="796" ht="12.0" customHeight="1">
      <c r="B796" s="1"/>
      <c r="K796" s="151"/>
      <c r="P796" s="151"/>
    </row>
    <row r="797" ht="12.0" customHeight="1">
      <c r="B797" s="1"/>
      <c r="K797" s="151"/>
      <c r="P797" s="151"/>
    </row>
    <row r="798" ht="12.0" customHeight="1">
      <c r="B798" s="1"/>
      <c r="K798" s="151"/>
      <c r="P798" s="151"/>
    </row>
    <row r="799" ht="12.0" customHeight="1">
      <c r="B799" s="1"/>
      <c r="K799" s="151"/>
      <c r="P799" s="151"/>
    </row>
    <row r="800" ht="12.0" customHeight="1">
      <c r="B800" s="1"/>
      <c r="K800" s="151"/>
      <c r="P800" s="151"/>
    </row>
    <row r="801" ht="12.0" customHeight="1">
      <c r="B801" s="1"/>
      <c r="K801" s="151"/>
      <c r="P801" s="151"/>
    </row>
    <row r="802" ht="12.0" customHeight="1">
      <c r="B802" s="1"/>
      <c r="K802" s="151"/>
      <c r="P802" s="151"/>
    </row>
    <row r="803" ht="12.0" customHeight="1">
      <c r="B803" s="1"/>
      <c r="K803" s="151"/>
      <c r="P803" s="151"/>
    </row>
    <row r="804" ht="12.0" customHeight="1">
      <c r="B804" s="1"/>
      <c r="K804" s="151"/>
      <c r="P804" s="151"/>
    </row>
    <row r="805" ht="12.0" customHeight="1">
      <c r="B805" s="1"/>
      <c r="K805" s="151"/>
      <c r="P805" s="151"/>
    </row>
    <row r="806" ht="12.0" customHeight="1">
      <c r="B806" s="1"/>
      <c r="K806" s="151"/>
      <c r="P806" s="151"/>
    </row>
    <row r="807" ht="12.0" customHeight="1">
      <c r="B807" s="1"/>
      <c r="K807" s="151"/>
      <c r="P807" s="151"/>
    </row>
    <row r="808" ht="12.0" customHeight="1">
      <c r="B808" s="1"/>
      <c r="K808" s="151"/>
      <c r="P808" s="151"/>
    </row>
    <row r="809" ht="12.0" customHeight="1">
      <c r="B809" s="1"/>
      <c r="K809" s="151"/>
      <c r="P809" s="151"/>
    </row>
    <row r="810" ht="12.0" customHeight="1">
      <c r="B810" s="1"/>
      <c r="K810" s="151"/>
      <c r="P810" s="151"/>
    </row>
    <row r="811" ht="12.0" customHeight="1">
      <c r="B811" s="1"/>
      <c r="K811" s="151"/>
      <c r="P811" s="151"/>
    </row>
    <row r="812" ht="12.0" customHeight="1">
      <c r="B812" s="1"/>
      <c r="K812" s="151"/>
      <c r="P812" s="151"/>
    </row>
    <row r="813" ht="12.0" customHeight="1">
      <c r="B813" s="1"/>
      <c r="K813" s="151"/>
      <c r="P813" s="151"/>
    </row>
    <row r="814" ht="12.0" customHeight="1">
      <c r="B814" s="1"/>
      <c r="K814" s="151"/>
      <c r="P814" s="151"/>
    </row>
    <row r="815" ht="12.0" customHeight="1">
      <c r="B815" s="1"/>
      <c r="K815" s="151"/>
      <c r="P815" s="151"/>
    </row>
    <row r="816" ht="12.0" customHeight="1">
      <c r="B816" s="1"/>
      <c r="K816" s="151"/>
      <c r="P816" s="151"/>
    </row>
    <row r="817" ht="12.0" customHeight="1">
      <c r="B817" s="1"/>
      <c r="K817" s="151"/>
      <c r="P817" s="151"/>
    </row>
    <row r="818" ht="12.0" customHeight="1">
      <c r="B818" s="1"/>
      <c r="K818" s="151"/>
      <c r="P818" s="151"/>
    </row>
    <row r="819" ht="12.0" customHeight="1">
      <c r="B819" s="1"/>
      <c r="K819" s="151"/>
      <c r="P819" s="151"/>
    </row>
    <row r="820" ht="12.0" customHeight="1">
      <c r="B820" s="1"/>
      <c r="K820" s="151"/>
      <c r="P820" s="151"/>
    </row>
    <row r="821" ht="12.0" customHeight="1">
      <c r="B821" s="1"/>
      <c r="K821" s="151"/>
      <c r="P821" s="151"/>
    </row>
    <row r="822" ht="12.0" customHeight="1">
      <c r="B822" s="1"/>
      <c r="K822" s="151"/>
      <c r="P822" s="151"/>
    </row>
    <row r="823" ht="12.0" customHeight="1">
      <c r="B823" s="1"/>
      <c r="K823" s="151"/>
      <c r="P823" s="151"/>
    </row>
    <row r="824" ht="12.0" customHeight="1">
      <c r="B824" s="1"/>
      <c r="K824" s="151"/>
      <c r="P824" s="151"/>
    </row>
    <row r="825" ht="12.0" customHeight="1">
      <c r="B825" s="1"/>
      <c r="K825" s="151"/>
      <c r="P825" s="151"/>
    </row>
    <row r="826" ht="12.0" customHeight="1">
      <c r="B826" s="1"/>
      <c r="K826" s="151"/>
      <c r="P826" s="151"/>
    </row>
    <row r="827" ht="12.0" customHeight="1">
      <c r="B827" s="1"/>
      <c r="K827" s="151"/>
      <c r="P827" s="151"/>
    </row>
    <row r="828" ht="12.0" customHeight="1">
      <c r="B828" s="1"/>
      <c r="K828" s="151"/>
      <c r="P828" s="151"/>
    </row>
    <row r="829" ht="12.0" customHeight="1">
      <c r="B829" s="1"/>
      <c r="K829" s="151"/>
      <c r="P829" s="151"/>
    </row>
    <row r="830" ht="12.0" customHeight="1">
      <c r="B830" s="1"/>
      <c r="K830" s="151"/>
      <c r="P830" s="151"/>
    </row>
    <row r="831" ht="12.0" customHeight="1">
      <c r="B831" s="1"/>
      <c r="K831" s="151"/>
      <c r="P831" s="151"/>
    </row>
    <row r="832" ht="12.0" customHeight="1">
      <c r="B832" s="1"/>
      <c r="K832" s="151"/>
      <c r="P832" s="151"/>
    </row>
    <row r="833" ht="12.0" customHeight="1">
      <c r="B833" s="1"/>
      <c r="K833" s="151"/>
      <c r="P833" s="151"/>
    </row>
    <row r="834" ht="12.0" customHeight="1">
      <c r="B834" s="1"/>
      <c r="K834" s="151"/>
      <c r="P834" s="151"/>
    </row>
    <row r="835" ht="12.0" customHeight="1">
      <c r="B835" s="1"/>
      <c r="K835" s="151"/>
      <c r="P835" s="151"/>
    </row>
    <row r="836" ht="12.0" customHeight="1">
      <c r="B836" s="1"/>
      <c r="K836" s="151"/>
      <c r="P836" s="151"/>
    </row>
    <row r="837" ht="12.0" customHeight="1">
      <c r="B837" s="1"/>
      <c r="K837" s="151"/>
      <c r="P837" s="151"/>
    </row>
    <row r="838" ht="12.0" customHeight="1">
      <c r="B838" s="1"/>
      <c r="K838" s="151"/>
      <c r="P838" s="151"/>
    </row>
    <row r="839" ht="12.0" customHeight="1">
      <c r="B839" s="1"/>
      <c r="K839" s="151"/>
      <c r="P839" s="151"/>
    </row>
    <row r="840" ht="12.0" customHeight="1">
      <c r="B840" s="1"/>
      <c r="K840" s="151"/>
      <c r="P840" s="151"/>
    </row>
    <row r="841" ht="12.0" customHeight="1">
      <c r="B841" s="1"/>
      <c r="K841" s="151"/>
      <c r="P841" s="151"/>
    </row>
    <row r="842" ht="12.0" customHeight="1">
      <c r="B842" s="1"/>
      <c r="K842" s="151"/>
      <c r="P842" s="151"/>
    </row>
    <row r="843" ht="12.0" customHeight="1">
      <c r="B843" s="1"/>
      <c r="K843" s="151"/>
      <c r="P843" s="151"/>
    </row>
    <row r="844" ht="12.0" customHeight="1">
      <c r="B844" s="1"/>
      <c r="K844" s="151"/>
      <c r="P844" s="151"/>
    </row>
    <row r="845" ht="12.0" customHeight="1">
      <c r="B845" s="1"/>
      <c r="K845" s="151"/>
      <c r="P845" s="151"/>
    </row>
    <row r="846" ht="12.0" customHeight="1">
      <c r="B846" s="1"/>
      <c r="K846" s="151"/>
      <c r="P846" s="151"/>
    </row>
    <row r="847" ht="12.0" customHeight="1">
      <c r="B847" s="1"/>
      <c r="K847" s="151"/>
      <c r="P847" s="151"/>
    </row>
    <row r="848" ht="12.0" customHeight="1">
      <c r="B848" s="1"/>
      <c r="K848" s="151"/>
      <c r="P848" s="151"/>
    </row>
    <row r="849" ht="12.0" customHeight="1">
      <c r="B849" s="1"/>
      <c r="K849" s="151"/>
      <c r="P849" s="151"/>
    </row>
    <row r="850" ht="12.0" customHeight="1">
      <c r="B850" s="1"/>
      <c r="K850" s="151"/>
      <c r="P850" s="151"/>
    </row>
    <row r="851" ht="12.0" customHeight="1">
      <c r="B851" s="1"/>
      <c r="K851" s="151"/>
      <c r="P851" s="151"/>
    </row>
    <row r="852" ht="12.0" customHeight="1">
      <c r="B852" s="1"/>
      <c r="K852" s="151"/>
      <c r="P852" s="151"/>
    </row>
    <row r="853" ht="12.0" customHeight="1">
      <c r="B853" s="1"/>
      <c r="K853" s="151"/>
      <c r="P853" s="151"/>
    </row>
    <row r="854" ht="12.0" customHeight="1">
      <c r="B854" s="1"/>
      <c r="K854" s="151"/>
      <c r="P854" s="151"/>
    </row>
    <row r="855" ht="12.0" customHeight="1">
      <c r="B855" s="1"/>
      <c r="K855" s="151"/>
      <c r="P855" s="151"/>
    </row>
    <row r="856" ht="12.0" customHeight="1">
      <c r="B856" s="1"/>
      <c r="K856" s="151"/>
      <c r="P856" s="151"/>
    </row>
    <row r="857" ht="12.0" customHeight="1">
      <c r="B857" s="1"/>
      <c r="K857" s="151"/>
      <c r="P857" s="151"/>
    </row>
    <row r="858" ht="12.0" customHeight="1">
      <c r="B858" s="1"/>
      <c r="K858" s="151"/>
      <c r="P858" s="151"/>
    </row>
    <row r="859" ht="12.0" customHeight="1">
      <c r="B859" s="1"/>
      <c r="K859" s="151"/>
      <c r="P859" s="151"/>
    </row>
    <row r="860" ht="12.0" customHeight="1">
      <c r="B860" s="1"/>
      <c r="K860" s="151"/>
      <c r="P860" s="151"/>
    </row>
    <row r="861" ht="12.0" customHeight="1">
      <c r="B861" s="1"/>
      <c r="K861" s="151"/>
      <c r="P861" s="151"/>
    </row>
    <row r="862" ht="12.0" customHeight="1">
      <c r="B862" s="1"/>
      <c r="K862" s="151"/>
      <c r="P862" s="151"/>
    </row>
    <row r="863" ht="12.0" customHeight="1">
      <c r="B863" s="1"/>
      <c r="K863" s="151"/>
      <c r="P863" s="151"/>
    </row>
    <row r="864" ht="12.0" customHeight="1">
      <c r="B864" s="1"/>
      <c r="K864" s="151"/>
      <c r="P864" s="151"/>
    </row>
    <row r="865" ht="12.0" customHeight="1">
      <c r="B865" s="1"/>
      <c r="K865" s="151"/>
      <c r="P865" s="151"/>
    </row>
    <row r="866" ht="12.0" customHeight="1">
      <c r="B866" s="1"/>
      <c r="K866" s="151"/>
      <c r="P866" s="151"/>
    </row>
    <row r="867" ht="12.0" customHeight="1">
      <c r="B867" s="1"/>
      <c r="K867" s="151"/>
      <c r="P867" s="151"/>
    </row>
    <row r="868" ht="12.0" customHeight="1">
      <c r="B868" s="1"/>
      <c r="K868" s="151"/>
      <c r="P868" s="151"/>
    </row>
    <row r="869" ht="12.0" customHeight="1">
      <c r="B869" s="1"/>
      <c r="K869" s="151"/>
      <c r="P869" s="151"/>
    </row>
    <row r="870" ht="12.0" customHeight="1">
      <c r="B870" s="1"/>
      <c r="K870" s="151"/>
      <c r="P870" s="151"/>
    </row>
    <row r="871" ht="12.0" customHeight="1">
      <c r="B871" s="1"/>
      <c r="K871" s="151"/>
      <c r="P871" s="151"/>
    </row>
    <row r="872" ht="12.0" customHeight="1">
      <c r="B872" s="1"/>
      <c r="K872" s="151"/>
      <c r="P872" s="151"/>
    </row>
    <row r="873" ht="12.0" customHeight="1">
      <c r="B873" s="1"/>
      <c r="K873" s="151"/>
      <c r="P873" s="151"/>
    </row>
    <row r="874" ht="12.0" customHeight="1">
      <c r="B874" s="1"/>
      <c r="K874" s="151"/>
      <c r="P874" s="151"/>
    </row>
    <row r="875" ht="12.0" customHeight="1">
      <c r="B875" s="1"/>
      <c r="K875" s="151"/>
      <c r="P875" s="151"/>
    </row>
    <row r="876" ht="12.0" customHeight="1">
      <c r="B876" s="1"/>
      <c r="K876" s="151"/>
      <c r="P876" s="151"/>
    </row>
    <row r="877" ht="12.0" customHeight="1">
      <c r="B877" s="1"/>
      <c r="K877" s="151"/>
      <c r="P877" s="151"/>
    </row>
    <row r="878" ht="12.0" customHeight="1">
      <c r="B878" s="1"/>
      <c r="K878" s="151"/>
      <c r="P878" s="151"/>
    </row>
    <row r="879" ht="12.0" customHeight="1">
      <c r="B879" s="1"/>
      <c r="K879" s="151"/>
      <c r="P879" s="151"/>
    </row>
    <row r="880" ht="12.0" customHeight="1">
      <c r="B880" s="1"/>
      <c r="K880" s="151"/>
      <c r="P880" s="151"/>
    </row>
    <row r="881" ht="12.0" customHeight="1">
      <c r="B881" s="1"/>
      <c r="K881" s="151"/>
      <c r="P881" s="151"/>
    </row>
    <row r="882" ht="12.0" customHeight="1">
      <c r="B882" s="1"/>
      <c r="K882" s="151"/>
      <c r="P882" s="151"/>
    </row>
    <row r="883" ht="12.0" customHeight="1">
      <c r="B883" s="1"/>
      <c r="K883" s="151"/>
      <c r="P883" s="151"/>
    </row>
    <row r="884" ht="12.0" customHeight="1">
      <c r="B884" s="1"/>
      <c r="K884" s="151"/>
      <c r="P884" s="151"/>
    </row>
    <row r="885" ht="12.0" customHeight="1">
      <c r="B885" s="1"/>
      <c r="K885" s="151"/>
      <c r="P885" s="151"/>
    </row>
    <row r="886" ht="12.0" customHeight="1">
      <c r="B886" s="1"/>
      <c r="K886" s="151"/>
      <c r="P886" s="151"/>
    </row>
    <row r="887" ht="12.0" customHeight="1">
      <c r="B887" s="1"/>
      <c r="K887" s="151"/>
      <c r="P887" s="151"/>
    </row>
    <row r="888" ht="12.0" customHeight="1">
      <c r="B888" s="1"/>
      <c r="K888" s="151"/>
      <c r="P888" s="151"/>
    </row>
    <row r="889" ht="12.0" customHeight="1">
      <c r="B889" s="1"/>
      <c r="K889" s="151"/>
      <c r="P889" s="151"/>
    </row>
    <row r="890" ht="12.0" customHeight="1">
      <c r="B890" s="1"/>
      <c r="K890" s="151"/>
      <c r="P890" s="151"/>
    </row>
    <row r="891" ht="12.0" customHeight="1">
      <c r="B891" s="1"/>
      <c r="K891" s="151"/>
      <c r="P891" s="151"/>
    </row>
    <row r="892" ht="12.0" customHeight="1">
      <c r="B892" s="1"/>
      <c r="K892" s="151"/>
      <c r="P892" s="151"/>
    </row>
    <row r="893" ht="12.0" customHeight="1">
      <c r="B893" s="1"/>
      <c r="K893" s="151"/>
      <c r="P893" s="151"/>
    </row>
    <row r="894" ht="12.0" customHeight="1">
      <c r="B894" s="1"/>
      <c r="K894" s="151"/>
      <c r="P894" s="151"/>
    </row>
    <row r="895" ht="12.0" customHeight="1">
      <c r="B895" s="1"/>
      <c r="K895" s="151"/>
      <c r="P895" s="151"/>
    </row>
    <row r="896" ht="12.0" customHeight="1">
      <c r="B896" s="1"/>
      <c r="K896" s="151"/>
      <c r="P896" s="151"/>
    </row>
    <row r="897" ht="12.0" customHeight="1">
      <c r="B897" s="1"/>
      <c r="K897" s="151"/>
      <c r="P897" s="151"/>
    </row>
    <row r="898" ht="12.0" customHeight="1">
      <c r="B898" s="1"/>
      <c r="K898" s="151"/>
      <c r="P898" s="151"/>
    </row>
    <row r="899" ht="12.0" customHeight="1">
      <c r="B899" s="1"/>
      <c r="K899" s="151"/>
      <c r="P899" s="151"/>
    </row>
    <row r="900" ht="12.0" customHeight="1">
      <c r="B900" s="1"/>
      <c r="K900" s="151"/>
      <c r="P900" s="151"/>
    </row>
    <row r="901" ht="12.0" customHeight="1">
      <c r="B901" s="1"/>
      <c r="K901" s="151"/>
      <c r="P901" s="151"/>
    </row>
    <row r="902" ht="12.0" customHeight="1">
      <c r="B902" s="1"/>
      <c r="K902" s="151"/>
      <c r="P902" s="151"/>
    </row>
    <row r="903" ht="12.0" customHeight="1">
      <c r="B903" s="1"/>
      <c r="K903" s="151"/>
      <c r="P903" s="151"/>
    </row>
    <row r="904" ht="12.0" customHeight="1">
      <c r="B904" s="1"/>
      <c r="K904" s="151"/>
      <c r="P904" s="151"/>
    </row>
    <row r="905" ht="12.0" customHeight="1">
      <c r="B905" s="1"/>
      <c r="K905" s="151"/>
      <c r="P905" s="151"/>
    </row>
    <row r="906" ht="12.0" customHeight="1">
      <c r="B906" s="1"/>
      <c r="K906" s="151"/>
      <c r="P906" s="151"/>
    </row>
    <row r="907" ht="12.0" customHeight="1">
      <c r="B907" s="1"/>
      <c r="K907" s="151"/>
      <c r="P907" s="151"/>
    </row>
    <row r="908" ht="12.0" customHeight="1">
      <c r="B908" s="1"/>
      <c r="K908" s="151"/>
      <c r="P908" s="151"/>
    </row>
    <row r="909" ht="12.0" customHeight="1">
      <c r="B909" s="1"/>
      <c r="K909" s="151"/>
      <c r="P909" s="151"/>
    </row>
    <row r="910" ht="12.0" customHeight="1">
      <c r="B910" s="1"/>
      <c r="K910" s="151"/>
      <c r="P910" s="151"/>
    </row>
    <row r="911" ht="12.0" customHeight="1">
      <c r="B911" s="1"/>
      <c r="K911" s="151"/>
      <c r="P911" s="151"/>
    </row>
    <row r="912" ht="12.0" customHeight="1">
      <c r="B912" s="1"/>
      <c r="K912" s="151"/>
      <c r="P912" s="151"/>
    </row>
    <row r="913" ht="12.0" customHeight="1">
      <c r="B913" s="1"/>
      <c r="K913" s="151"/>
      <c r="P913" s="151"/>
    </row>
    <row r="914" ht="12.0" customHeight="1">
      <c r="B914" s="1"/>
      <c r="K914" s="151"/>
      <c r="P914" s="151"/>
    </row>
    <row r="915" ht="12.0" customHeight="1">
      <c r="B915" s="1"/>
      <c r="K915" s="151"/>
      <c r="P915" s="151"/>
    </row>
    <row r="916" ht="12.0" customHeight="1">
      <c r="B916" s="1"/>
      <c r="K916" s="151"/>
      <c r="P916" s="151"/>
    </row>
    <row r="917" ht="12.0" customHeight="1">
      <c r="B917" s="1"/>
      <c r="K917" s="151"/>
      <c r="P917" s="151"/>
    </row>
    <row r="918" ht="12.0" customHeight="1">
      <c r="B918" s="1"/>
      <c r="K918" s="151"/>
      <c r="P918" s="151"/>
    </row>
    <row r="919" ht="12.0" customHeight="1">
      <c r="B919" s="1"/>
      <c r="K919" s="151"/>
      <c r="P919" s="151"/>
    </row>
    <row r="920" ht="12.0" customHeight="1">
      <c r="B920" s="1"/>
      <c r="K920" s="151"/>
      <c r="P920" s="151"/>
    </row>
    <row r="921" ht="12.0" customHeight="1">
      <c r="B921" s="1"/>
      <c r="K921" s="151"/>
      <c r="P921" s="151"/>
    </row>
    <row r="922" ht="12.0" customHeight="1">
      <c r="B922" s="1"/>
      <c r="K922" s="151"/>
      <c r="P922" s="151"/>
    </row>
    <row r="923" ht="12.0" customHeight="1">
      <c r="B923" s="1"/>
      <c r="K923" s="151"/>
      <c r="P923" s="151"/>
    </row>
    <row r="924" ht="12.0" customHeight="1">
      <c r="B924" s="1"/>
      <c r="K924" s="151"/>
      <c r="P924" s="151"/>
    </row>
    <row r="925" ht="12.0" customHeight="1">
      <c r="B925" s="1"/>
      <c r="K925" s="151"/>
      <c r="P925" s="151"/>
    </row>
    <row r="926" ht="12.0" customHeight="1">
      <c r="B926" s="1"/>
      <c r="K926" s="151"/>
      <c r="P926" s="151"/>
    </row>
    <row r="927" ht="12.0" customHeight="1">
      <c r="B927" s="1"/>
      <c r="K927" s="151"/>
      <c r="P927" s="151"/>
    </row>
    <row r="928" ht="12.0" customHeight="1">
      <c r="B928" s="1"/>
      <c r="K928" s="151"/>
      <c r="P928" s="151"/>
    </row>
    <row r="929" ht="12.0" customHeight="1">
      <c r="B929" s="1"/>
      <c r="K929" s="151"/>
      <c r="P929" s="151"/>
    </row>
    <row r="930" ht="12.0" customHeight="1">
      <c r="B930" s="1"/>
      <c r="K930" s="151"/>
      <c r="P930" s="151"/>
    </row>
    <row r="931" ht="12.0" customHeight="1">
      <c r="B931" s="1"/>
      <c r="K931" s="151"/>
      <c r="P931" s="151"/>
    </row>
    <row r="932" ht="12.0" customHeight="1">
      <c r="B932" s="1"/>
      <c r="K932" s="151"/>
      <c r="P932" s="151"/>
    </row>
    <row r="933" ht="12.0" customHeight="1">
      <c r="B933" s="1"/>
      <c r="K933" s="151"/>
      <c r="P933" s="151"/>
    </row>
    <row r="934" ht="12.0" customHeight="1">
      <c r="B934" s="1"/>
      <c r="K934" s="151"/>
      <c r="P934" s="151"/>
    </row>
    <row r="935" ht="12.0" customHeight="1">
      <c r="B935" s="1"/>
      <c r="K935" s="151"/>
      <c r="P935" s="151"/>
    </row>
    <row r="936" ht="12.0" customHeight="1">
      <c r="B936" s="1"/>
      <c r="K936" s="151"/>
      <c r="P936" s="151"/>
    </row>
    <row r="937" ht="12.0" customHeight="1">
      <c r="B937" s="1"/>
      <c r="K937" s="151"/>
      <c r="P937" s="151"/>
    </row>
    <row r="938" ht="12.0" customHeight="1">
      <c r="B938" s="1"/>
      <c r="K938" s="151"/>
      <c r="P938" s="151"/>
    </row>
    <row r="939" ht="12.0" customHeight="1">
      <c r="B939" s="1"/>
      <c r="K939" s="151"/>
      <c r="P939" s="151"/>
    </row>
    <row r="940" ht="12.0" customHeight="1">
      <c r="B940" s="1"/>
      <c r="K940" s="151"/>
      <c r="P940" s="151"/>
    </row>
    <row r="941" ht="12.0" customHeight="1">
      <c r="B941" s="1"/>
      <c r="K941" s="151"/>
      <c r="P941" s="151"/>
    </row>
    <row r="942" ht="12.0" customHeight="1">
      <c r="B942" s="1"/>
      <c r="K942" s="151"/>
      <c r="P942" s="151"/>
    </row>
    <row r="943" ht="12.0" customHeight="1">
      <c r="B943" s="1"/>
      <c r="K943" s="151"/>
      <c r="P943" s="151"/>
    </row>
    <row r="944" ht="12.0" customHeight="1">
      <c r="B944" s="1"/>
      <c r="K944" s="151"/>
      <c r="P944" s="151"/>
    </row>
    <row r="945" ht="12.0" customHeight="1">
      <c r="B945" s="1"/>
      <c r="K945" s="151"/>
      <c r="P945" s="151"/>
    </row>
    <row r="946" ht="12.0" customHeight="1">
      <c r="B946" s="1"/>
      <c r="K946" s="151"/>
      <c r="P946" s="151"/>
    </row>
    <row r="947" ht="12.0" customHeight="1">
      <c r="B947" s="1"/>
      <c r="K947" s="151"/>
      <c r="P947" s="151"/>
    </row>
    <row r="948" ht="12.0" customHeight="1">
      <c r="B948" s="1"/>
      <c r="K948" s="151"/>
      <c r="P948" s="151"/>
    </row>
    <row r="949" ht="12.0" customHeight="1">
      <c r="B949" s="1"/>
      <c r="K949" s="151"/>
      <c r="P949" s="151"/>
    </row>
    <row r="950" ht="12.0" customHeight="1">
      <c r="B950" s="1"/>
      <c r="K950" s="151"/>
      <c r="P950" s="151"/>
    </row>
    <row r="951" ht="12.0" customHeight="1">
      <c r="B951" s="1"/>
      <c r="K951" s="151"/>
      <c r="P951" s="151"/>
    </row>
    <row r="952" ht="12.0" customHeight="1">
      <c r="B952" s="1"/>
      <c r="K952" s="151"/>
      <c r="P952" s="151"/>
    </row>
    <row r="953" ht="12.0" customHeight="1">
      <c r="B953" s="1"/>
      <c r="K953" s="151"/>
      <c r="P953" s="151"/>
    </row>
    <row r="954" ht="12.0" customHeight="1">
      <c r="B954" s="1"/>
      <c r="K954" s="151"/>
      <c r="P954" s="151"/>
    </row>
    <row r="955" ht="12.0" customHeight="1">
      <c r="B955" s="1"/>
      <c r="K955" s="151"/>
      <c r="P955" s="151"/>
    </row>
    <row r="956" ht="12.0" customHeight="1">
      <c r="B956" s="1"/>
      <c r="K956" s="151"/>
      <c r="P956" s="151"/>
    </row>
    <row r="957" ht="12.0" customHeight="1">
      <c r="B957" s="1"/>
      <c r="K957" s="151"/>
      <c r="P957" s="151"/>
    </row>
    <row r="958" ht="12.0" customHeight="1">
      <c r="B958" s="1"/>
      <c r="K958" s="151"/>
      <c r="P958" s="151"/>
    </row>
    <row r="959" ht="12.0" customHeight="1">
      <c r="B959" s="1"/>
      <c r="K959" s="151"/>
      <c r="P959" s="151"/>
    </row>
    <row r="960" ht="12.0" customHeight="1">
      <c r="B960" s="1"/>
      <c r="K960" s="151"/>
      <c r="P960" s="151"/>
    </row>
    <row r="961" ht="12.0" customHeight="1">
      <c r="B961" s="1"/>
      <c r="K961" s="151"/>
      <c r="P961" s="151"/>
    </row>
    <row r="962" ht="12.0" customHeight="1">
      <c r="B962" s="1"/>
      <c r="K962" s="151"/>
      <c r="P962" s="151"/>
    </row>
    <row r="963" ht="12.0" customHeight="1">
      <c r="B963" s="1"/>
      <c r="K963" s="151"/>
      <c r="P963" s="151"/>
    </row>
    <row r="964" ht="12.0" customHeight="1">
      <c r="B964" s="1"/>
      <c r="K964" s="151"/>
      <c r="P964" s="151"/>
    </row>
    <row r="965" ht="12.0" customHeight="1">
      <c r="B965" s="1"/>
      <c r="K965" s="151"/>
      <c r="P965" s="151"/>
    </row>
    <row r="966" ht="12.0" customHeight="1">
      <c r="B966" s="1"/>
      <c r="K966" s="151"/>
      <c r="P966" s="151"/>
    </row>
    <row r="967" ht="12.0" customHeight="1">
      <c r="B967" s="1"/>
      <c r="K967" s="151"/>
      <c r="P967" s="151"/>
    </row>
    <row r="968" ht="12.0" customHeight="1">
      <c r="B968" s="1"/>
      <c r="K968" s="151"/>
      <c r="P968" s="151"/>
    </row>
    <row r="969" ht="12.0" customHeight="1">
      <c r="B969" s="1"/>
      <c r="K969" s="151"/>
      <c r="P969" s="151"/>
    </row>
    <row r="970" ht="12.0" customHeight="1">
      <c r="B970" s="1"/>
      <c r="K970" s="151"/>
      <c r="P970" s="151"/>
    </row>
    <row r="971" ht="12.0" customHeight="1">
      <c r="B971" s="1"/>
      <c r="K971" s="151"/>
      <c r="P971" s="151"/>
    </row>
    <row r="972" ht="12.0" customHeight="1">
      <c r="B972" s="1"/>
      <c r="K972" s="151"/>
      <c r="P972" s="151"/>
    </row>
    <row r="973" ht="12.0" customHeight="1">
      <c r="B973" s="1"/>
      <c r="K973" s="151"/>
      <c r="P973" s="151"/>
    </row>
    <row r="974" ht="12.0" customHeight="1">
      <c r="B974" s="1"/>
      <c r="K974" s="151"/>
      <c r="P974" s="151"/>
    </row>
    <row r="975" ht="12.0" customHeight="1">
      <c r="B975" s="1"/>
      <c r="K975" s="151"/>
      <c r="P975" s="151"/>
    </row>
    <row r="976" ht="12.0" customHeight="1">
      <c r="B976" s="1"/>
      <c r="K976" s="151"/>
      <c r="P976" s="151"/>
    </row>
    <row r="977" ht="12.0" customHeight="1">
      <c r="B977" s="1"/>
      <c r="K977" s="151"/>
      <c r="P977" s="151"/>
    </row>
    <row r="978" ht="12.0" customHeight="1">
      <c r="B978" s="1"/>
      <c r="K978" s="151"/>
      <c r="P978" s="151"/>
    </row>
    <row r="979" ht="12.0" customHeight="1">
      <c r="B979" s="1"/>
      <c r="K979" s="151"/>
      <c r="P979" s="151"/>
    </row>
    <row r="980" ht="12.0" customHeight="1">
      <c r="B980" s="1"/>
      <c r="K980" s="151"/>
      <c r="P980" s="151"/>
    </row>
    <row r="981" ht="12.0" customHeight="1">
      <c r="B981" s="1"/>
      <c r="K981" s="151"/>
      <c r="P981" s="151"/>
    </row>
    <row r="982" ht="12.0" customHeight="1">
      <c r="B982" s="1"/>
      <c r="K982" s="151"/>
      <c r="P982" s="151"/>
    </row>
    <row r="983" ht="12.0" customHeight="1">
      <c r="B983" s="1"/>
      <c r="K983" s="151"/>
      <c r="P983" s="151"/>
    </row>
    <row r="984" ht="12.0" customHeight="1">
      <c r="B984" s="1"/>
      <c r="K984" s="151"/>
      <c r="P984" s="151"/>
    </row>
    <row r="985" ht="12.0" customHeight="1">
      <c r="B985" s="1"/>
      <c r="K985" s="151"/>
      <c r="P985" s="151"/>
    </row>
    <row r="986" ht="12.0" customHeight="1">
      <c r="B986" s="1"/>
      <c r="K986" s="151"/>
      <c r="P986" s="151"/>
    </row>
    <row r="987" ht="12.0" customHeight="1">
      <c r="B987" s="1"/>
      <c r="K987" s="151"/>
      <c r="P987" s="151"/>
    </row>
    <row r="988" ht="12.0" customHeight="1">
      <c r="B988" s="1"/>
      <c r="K988" s="151"/>
      <c r="P988" s="151"/>
    </row>
    <row r="989" ht="12.0" customHeight="1">
      <c r="B989" s="1"/>
      <c r="K989" s="151"/>
      <c r="P989" s="151"/>
    </row>
    <row r="990" ht="12.0" customHeight="1">
      <c r="B990" s="1"/>
      <c r="K990" s="151"/>
      <c r="P990" s="151"/>
    </row>
    <row r="991" ht="12.0" customHeight="1">
      <c r="B991" s="1"/>
      <c r="K991" s="151"/>
      <c r="P991" s="151"/>
    </row>
    <row r="992" ht="12.0" customHeight="1">
      <c r="B992" s="1"/>
      <c r="K992" s="151"/>
      <c r="P992" s="151"/>
    </row>
    <row r="993" ht="12.0" customHeight="1">
      <c r="B993" s="1"/>
      <c r="K993" s="151"/>
      <c r="P993" s="151"/>
    </row>
    <row r="994" ht="12.0" customHeight="1">
      <c r="B994" s="1"/>
      <c r="K994" s="151"/>
      <c r="P994" s="151"/>
    </row>
    <row r="995" ht="12.0" customHeight="1">
      <c r="B995" s="1"/>
      <c r="K995" s="151"/>
      <c r="P995" s="151"/>
    </row>
    <row r="996" ht="12.0" customHeight="1">
      <c r="B996" s="1"/>
      <c r="K996" s="151"/>
      <c r="P996" s="151"/>
    </row>
    <row r="997" ht="12.0" customHeight="1">
      <c r="B997" s="1"/>
      <c r="K997" s="151"/>
      <c r="P997" s="151"/>
    </row>
    <row r="998" ht="12.0" customHeight="1">
      <c r="B998" s="1"/>
      <c r="K998" s="151"/>
      <c r="P998" s="151"/>
    </row>
    <row r="999" ht="12.0" customHeight="1">
      <c r="B999" s="1"/>
      <c r="K999" s="151"/>
      <c r="P999" s="151"/>
    </row>
    <row r="1000" ht="12.0" customHeight="1">
      <c r="B1000" s="1"/>
      <c r="K1000" s="151"/>
      <c r="P1000" s="151"/>
    </row>
  </sheetData>
  <mergeCells count="19">
    <mergeCell ref="J6:K6"/>
    <mergeCell ref="O6:P6"/>
    <mergeCell ref="F7:H7"/>
    <mergeCell ref="I7:K7"/>
    <mergeCell ref="L7:N7"/>
    <mergeCell ref="B18:B20"/>
    <mergeCell ref="B21:B25"/>
    <mergeCell ref="B60:B62"/>
    <mergeCell ref="B64:B66"/>
    <mergeCell ref="B67:B69"/>
    <mergeCell ref="B70:B72"/>
    <mergeCell ref="B74:B76"/>
    <mergeCell ref="B26:B30"/>
    <mergeCell ref="B34:B36"/>
    <mergeCell ref="B37:B39"/>
    <mergeCell ref="B41:B43"/>
    <mergeCell ref="B44:B46"/>
    <mergeCell ref="B53:B56"/>
    <mergeCell ref="B57:B59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31">
      <formula1>"TIMBER ROOF TRUSSES,NO ROOF TRUSSES"</formula1>
    </dataValidation>
    <dataValidation type="list" allowBlank="1" showErrorMessage="1" sqref="J18 J34 J37 J41 J44 J57 J60 J64 J67 J70 J74 J79">
      <formula1>"YES,NO"</formula1>
    </dataValidation>
    <dataValidation type="list" allowBlank="1" showErrorMessage="1" sqref="O17:O18 O21 O26 O31 O34 O37 O41 O44 O47 O53 O57 O60 O64 O67 O70 O74 O79">
      <formula1>"DELAPIDATED,POOR,FAIR,GOOD,VERY GOOD,EXCELLENT,NOT APPLICABLE"</formula1>
    </dataValidation>
    <dataValidation type="list" allowBlank="1" showErrorMessage="1" sqref="J53">
      <formula1>"STEEL WINDOW FRAMES,ALUMINIUM WINDOW FRAMES,NO WINDOWS FITTED"</formula1>
    </dataValidation>
    <dataValidation type="list" allowBlank="1" showErrorMessage="1" sqref="J12">
      <formula1>"2010-2013,2014-2021,2021-2023"</formula1>
    </dataValidation>
    <dataValidation type="list" allowBlank="1" showErrorMessage="1" sqref="J47">
      <formula1>"VINYL FLOORING,TILING FLOORING,TIMBER FLOORING,CARPETS FLOORING,NO FLOORING"</formula1>
    </dataValidation>
  </dataValidations>
  <printOptions/>
  <pageMargins bottom="0.75" footer="0.0" header="0.0" left="0.7" right="0.7" top="0.75"/>
  <pageSetup paperSize="9" orientation="portrait"/>
  <headerFooter>
    <oddFooter>&amp;C....Making Buildings Work Tel: 310 1353                         Cell: 74712201                    Email: temocs@gmail.com</oddFooter>
  </headerFooter>
  <rowBreaks count="1" manualBreakCount="1">
    <brk id="102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0.75"/>
    <col customWidth="1" min="3" max="3" width="46.75"/>
    <col customWidth="1" hidden="1" min="4" max="4" width="22.13"/>
    <col customWidth="1" hidden="1" min="5" max="6" width="18.63"/>
    <col customWidth="1" hidden="1" min="7" max="7" width="20.0"/>
    <col customWidth="1" hidden="1" min="8" max="8" width="19.38"/>
    <col customWidth="1" hidden="1" min="9" max="9" width="18.13"/>
    <col customWidth="1" hidden="1" min="10" max="10" width="50.75"/>
    <col customWidth="1" min="11" max="11" width="30.75"/>
    <col customWidth="1" hidden="1" min="12" max="12" width="3.88"/>
    <col customWidth="1" hidden="1" min="13" max="13" width="5.63"/>
    <col customWidth="1" hidden="1" min="14" max="14" width="4.63"/>
    <col customWidth="1" hidden="1" min="15" max="15" width="50.75"/>
    <col customWidth="1" min="16" max="16" width="30.75"/>
    <col customWidth="1" min="17" max="30" width="9.0"/>
  </cols>
  <sheetData>
    <row r="1" ht="12.0" customHeight="1">
      <c r="K1" s="151"/>
      <c r="P1" s="151"/>
    </row>
    <row r="2" ht="12.0" customHeight="1">
      <c r="B2" s="575" t="s">
        <v>125</v>
      </c>
      <c r="G2" s="576"/>
      <c r="H2" s="576"/>
      <c r="I2" s="576"/>
      <c r="J2" s="576"/>
      <c r="K2" s="577"/>
      <c r="P2" s="151"/>
    </row>
    <row r="3" ht="37.5" customHeight="1">
      <c r="B3" s="576"/>
      <c r="C3" s="576"/>
      <c r="D3" s="576"/>
      <c r="E3" s="576"/>
      <c r="F3" s="576"/>
      <c r="G3" s="576"/>
      <c r="H3" s="576"/>
      <c r="I3" s="576"/>
      <c r="J3" s="576"/>
      <c r="K3" s="577"/>
      <c r="P3" s="151"/>
    </row>
    <row r="4" ht="37.5" customHeight="1">
      <c r="B4" s="576"/>
      <c r="C4" s="576"/>
      <c r="D4" s="576"/>
      <c r="E4" s="576"/>
      <c r="F4" s="576"/>
      <c r="G4" s="576"/>
      <c r="H4" s="576"/>
      <c r="I4" s="576"/>
      <c r="J4" s="576"/>
      <c r="K4" s="577"/>
      <c r="P4" s="151"/>
    </row>
    <row r="5" ht="37.5" customHeight="1">
      <c r="B5" s="576"/>
      <c r="C5" s="576"/>
      <c r="D5" s="576"/>
      <c r="E5" s="576"/>
      <c r="F5" s="576"/>
      <c r="G5" s="576"/>
      <c r="H5" s="576"/>
      <c r="I5" s="576"/>
      <c r="J5" s="576"/>
      <c r="K5" s="577"/>
      <c r="P5" s="151"/>
    </row>
    <row r="6" ht="37.5" customHeight="1">
      <c r="B6" s="576"/>
      <c r="C6" s="576"/>
      <c r="D6" s="576"/>
      <c r="E6" s="576"/>
      <c r="F6" s="576"/>
      <c r="G6" s="576"/>
      <c r="H6" s="576"/>
      <c r="I6" s="576"/>
      <c r="J6" s="576"/>
      <c r="K6" s="577"/>
      <c r="P6" s="151"/>
    </row>
    <row r="7" ht="30.75" customHeight="1">
      <c r="B7" s="576"/>
      <c r="C7" s="576"/>
      <c r="D7" s="576"/>
      <c r="E7" s="576"/>
      <c r="F7" s="576"/>
      <c r="G7" s="576"/>
      <c r="H7" s="576"/>
      <c r="I7" s="576"/>
      <c r="J7" s="6" t="s">
        <v>2</v>
      </c>
      <c r="K7" s="7"/>
      <c r="L7" s="578"/>
      <c r="M7" s="578"/>
      <c r="N7" s="578"/>
      <c r="O7" s="8" t="s">
        <v>3</v>
      </c>
      <c r="P7" s="7"/>
    </row>
    <row r="8" ht="15.75" customHeight="1">
      <c r="B8" s="504"/>
      <c r="C8" s="504"/>
      <c r="D8" s="504"/>
      <c r="E8" s="579"/>
      <c r="F8" s="580" t="s">
        <v>79</v>
      </c>
      <c r="G8" s="274"/>
      <c r="H8" s="7"/>
      <c r="I8" s="581" t="s">
        <v>126</v>
      </c>
      <c r="J8" s="274"/>
      <c r="K8" s="7"/>
      <c r="L8" s="17"/>
      <c r="M8" s="17"/>
      <c r="N8" s="17"/>
      <c r="O8" s="17"/>
      <c r="P8" s="433"/>
    </row>
    <row r="9" ht="68.25" customHeight="1">
      <c r="B9" s="582" t="s">
        <v>6</v>
      </c>
      <c r="C9" s="583" t="s">
        <v>7</v>
      </c>
      <c r="D9" s="583"/>
      <c r="E9" s="584"/>
      <c r="F9" s="584" t="s">
        <v>9</v>
      </c>
      <c r="G9" s="584" t="s">
        <v>10</v>
      </c>
      <c r="H9" s="584" t="s">
        <v>11</v>
      </c>
      <c r="I9" s="585" t="s">
        <v>12</v>
      </c>
      <c r="J9" s="26" t="s">
        <v>13</v>
      </c>
      <c r="K9" s="24" t="s">
        <v>14</v>
      </c>
      <c r="L9" s="31"/>
      <c r="M9" s="31"/>
      <c r="N9" s="31"/>
      <c r="O9" s="31" t="s">
        <v>18</v>
      </c>
      <c r="P9" s="24" t="s">
        <v>14</v>
      </c>
    </row>
    <row r="10" ht="30.0" customHeight="1">
      <c r="B10" s="504"/>
      <c r="C10" s="586"/>
      <c r="D10" s="586"/>
      <c r="E10" s="587"/>
      <c r="F10" s="587">
        <v>3.0</v>
      </c>
      <c r="G10" s="587">
        <v>2.0</v>
      </c>
      <c r="H10" s="587">
        <v>1.0</v>
      </c>
      <c r="I10" s="470"/>
      <c r="J10" s="588"/>
      <c r="K10" s="589"/>
      <c r="L10" s="20"/>
      <c r="M10" s="20"/>
      <c r="N10" s="20"/>
      <c r="O10" s="20"/>
      <c r="P10" s="183"/>
    </row>
    <row r="11" ht="30.0" customHeight="1">
      <c r="B11" s="504"/>
      <c r="C11" s="184" t="s">
        <v>19</v>
      </c>
      <c r="D11" s="590"/>
      <c r="E11" s="591"/>
      <c r="F11" s="591"/>
      <c r="G11" s="591"/>
      <c r="H11" s="591"/>
      <c r="I11" s="592"/>
      <c r="J11" s="593">
        <v>120.0</v>
      </c>
      <c r="K11" s="486"/>
      <c r="L11" s="594"/>
      <c r="M11" s="594"/>
      <c r="N11" s="594"/>
      <c r="O11" s="193"/>
      <c r="P11" s="191"/>
    </row>
    <row r="12" ht="30.0" customHeight="1">
      <c r="B12" s="504"/>
      <c r="C12" s="194" t="s">
        <v>20</v>
      </c>
      <c r="D12" s="595" t="s">
        <v>81</v>
      </c>
      <c r="E12" s="591"/>
      <c r="F12" s="591"/>
      <c r="G12" s="591"/>
      <c r="H12" s="591"/>
      <c r="I12" s="596"/>
      <c r="J12" s="196" t="s">
        <v>9</v>
      </c>
      <c r="K12" s="481"/>
      <c r="L12" s="193"/>
      <c r="M12" s="193"/>
      <c r="N12" s="193"/>
      <c r="O12" s="193"/>
      <c r="P12" s="191"/>
    </row>
    <row r="13" ht="30.0" customHeight="1">
      <c r="B13" s="504"/>
      <c r="C13" s="597"/>
      <c r="D13" s="595" t="s">
        <v>11</v>
      </c>
      <c r="E13" s="591"/>
      <c r="F13" s="591"/>
      <c r="G13" s="591"/>
      <c r="H13" s="591"/>
      <c r="I13" s="596"/>
      <c r="J13" s="56"/>
      <c r="K13" s="598"/>
      <c r="L13" s="17"/>
      <c r="M13" s="17"/>
      <c r="N13" s="17"/>
      <c r="O13" s="17"/>
      <c r="P13" s="201"/>
    </row>
    <row r="14" ht="30.0" customHeight="1">
      <c r="B14" s="504"/>
      <c r="C14" s="597"/>
      <c r="D14" s="595" t="s">
        <v>10</v>
      </c>
      <c r="E14" s="591"/>
      <c r="F14" s="591"/>
      <c r="G14" s="591"/>
      <c r="H14" s="591"/>
      <c r="I14" s="596"/>
      <c r="J14" s="56"/>
      <c r="K14" s="476"/>
      <c r="L14" s="17"/>
      <c r="M14" s="17"/>
      <c r="N14" s="17"/>
      <c r="O14" s="17"/>
      <c r="P14" s="202"/>
    </row>
    <row r="15" ht="30.0" customHeight="1">
      <c r="B15" s="504"/>
      <c r="C15" s="597"/>
      <c r="D15" s="595" t="s">
        <v>9</v>
      </c>
      <c r="E15" s="591"/>
      <c r="F15" s="591"/>
      <c r="G15" s="591"/>
      <c r="H15" s="591"/>
      <c r="I15" s="596"/>
      <c r="J15" s="56"/>
      <c r="K15" s="476"/>
      <c r="L15" s="17"/>
      <c r="M15" s="17"/>
      <c r="N15" s="17"/>
      <c r="O15" s="17"/>
      <c r="P15" s="202"/>
    </row>
    <row r="16" ht="30.0" customHeight="1">
      <c r="B16" s="504"/>
      <c r="C16" s="597"/>
      <c r="D16" s="595" t="s">
        <v>21</v>
      </c>
      <c r="E16" s="591"/>
      <c r="F16" s="591"/>
      <c r="G16" s="599">
        <v>1.25</v>
      </c>
      <c r="H16" s="599">
        <v>1.32</v>
      </c>
      <c r="I16" s="596"/>
      <c r="J16" s="600"/>
      <c r="K16" s="476"/>
      <c r="L16" s="17"/>
      <c r="M16" s="17"/>
      <c r="N16" s="17"/>
      <c r="O16" s="17"/>
      <c r="P16" s="202"/>
    </row>
    <row r="17" ht="30.0" customHeight="1">
      <c r="B17" s="456">
        <v>1.0</v>
      </c>
      <c r="C17" s="457" t="s">
        <v>22</v>
      </c>
      <c r="D17" s="458"/>
      <c r="E17" s="459"/>
      <c r="F17" s="459">
        <v>420.0</v>
      </c>
      <c r="G17" s="459">
        <f>F17/$G$16</f>
        <v>336</v>
      </c>
      <c r="H17" s="459">
        <f>F17/$H$16</f>
        <v>318.1818182</v>
      </c>
      <c r="I17" s="460"/>
      <c r="J17" s="460"/>
      <c r="K17" s="462">
        <f>IF(J12="2010-2013",J11*H17,IF(J12="2014-2021",J11*G17,IF(J12="2021-2023",J11*F17,-2)))</f>
        <v>50400</v>
      </c>
      <c r="L17" s="601"/>
      <c r="M17" s="601"/>
      <c r="N17" s="601"/>
      <c r="O17" s="207" t="s">
        <v>23</v>
      </c>
      <c r="P17" s="73">
        <f>IF(O17="Delapidated",K17*0.6,IF(O17="Poor",K17*0.7,IF(O17="Fair",K17*0.8,IF(O17="Good",K17*0.85,IF(O17="Very Good",K17*0.9,IF(O17="Excellent",K17*1,IF(O17="Not Applicable",K17*1,0)))))))</f>
        <v>50400</v>
      </c>
    </row>
    <row r="18" ht="30.0" customHeight="1">
      <c r="B18" s="456"/>
      <c r="C18" s="465"/>
      <c r="D18" s="466"/>
      <c r="E18" s="459"/>
      <c r="F18" s="459"/>
      <c r="G18" s="459"/>
      <c r="H18" s="459"/>
      <c r="I18" s="460"/>
      <c r="J18" s="72"/>
      <c r="K18" s="462"/>
      <c r="L18" s="601"/>
      <c r="M18" s="601"/>
      <c r="N18" s="601"/>
      <c r="O18" s="207"/>
      <c r="P18" s="73"/>
    </row>
    <row r="19" ht="30.0" customHeight="1">
      <c r="B19" s="456"/>
      <c r="C19" s="465"/>
      <c r="D19" s="466"/>
      <c r="E19" s="459"/>
      <c r="F19" s="459"/>
      <c r="G19" s="459"/>
      <c r="H19" s="459"/>
      <c r="I19" s="460"/>
      <c r="J19" s="72"/>
      <c r="K19" s="462"/>
      <c r="L19" s="601"/>
      <c r="M19" s="601"/>
      <c r="N19" s="601"/>
      <c r="O19" s="207"/>
      <c r="P19" s="73"/>
    </row>
    <row r="20" ht="30.0" customHeight="1">
      <c r="B20" s="456"/>
      <c r="C20" s="465"/>
      <c r="D20" s="466"/>
      <c r="E20" s="459"/>
      <c r="F20" s="459"/>
      <c r="G20" s="459"/>
      <c r="H20" s="459"/>
      <c r="I20" s="460"/>
      <c r="J20" s="72"/>
      <c r="K20" s="462"/>
      <c r="L20" s="601"/>
      <c r="M20" s="601"/>
      <c r="N20" s="601"/>
      <c r="O20" s="207"/>
      <c r="P20" s="73"/>
    </row>
    <row r="21" ht="30.0" customHeight="1">
      <c r="B21" s="456">
        <v>2.0</v>
      </c>
      <c r="C21" s="465" t="s">
        <v>83</v>
      </c>
      <c r="D21" s="466"/>
      <c r="E21" s="459"/>
      <c r="F21" s="459"/>
      <c r="G21" s="459"/>
      <c r="H21" s="459"/>
      <c r="I21" s="460"/>
      <c r="J21" s="72" t="s">
        <v>29</v>
      </c>
      <c r="K21" s="462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51250</v>
      </c>
      <c r="L21" s="601"/>
      <c r="M21" s="601"/>
      <c r="N21" s="601"/>
      <c r="O21" s="207" t="s">
        <v>23</v>
      </c>
      <c r="P21" s="73">
        <f>IF(O21="Delapidated",K21*0.6,IF(O21="Poor",K21*0.7,IF(O21="Fair",K21*0.8,IF(O21="Good",K21*0.85,IF(O21="Very Good",K21*0.9,IF(O21="Excellent",K21*1,IF(O21="Not Applicable",K21*1,0)))))))</f>
        <v>51250</v>
      </c>
    </row>
    <row r="22" ht="30.0" customHeight="1">
      <c r="B22" s="456"/>
      <c r="C22" s="468" t="s">
        <v>28</v>
      </c>
      <c r="D22" s="469"/>
      <c r="E22" s="459"/>
      <c r="F22" s="459">
        <f>427.083333333333*0.2+427.08</f>
        <v>512.4966667</v>
      </c>
      <c r="G22" s="459">
        <f t="shared" ref="G22:G25" si="1">F22/$G$16</f>
        <v>409.9973333</v>
      </c>
      <c r="H22" s="459">
        <f t="shared" ref="H22:H25" si="2">F22/$H$16</f>
        <v>388.2550505</v>
      </c>
      <c r="I22" s="470">
        <v>1.0</v>
      </c>
      <c r="J22" s="68"/>
      <c r="K22" s="462"/>
      <c r="L22" s="34"/>
      <c r="M22" s="34"/>
      <c r="N22" s="34"/>
      <c r="O22" s="34"/>
      <c r="P22" s="73"/>
    </row>
    <row r="23" ht="30.0" customHeight="1">
      <c r="B23" s="456"/>
      <c r="C23" s="468" t="s">
        <v>29</v>
      </c>
      <c r="D23" s="469"/>
      <c r="E23" s="459"/>
      <c r="F23" s="459">
        <v>427.083333333333</v>
      </c>
      <c r="G23" s="459">
        <f t="shared" si="1"/>
        <v>341.6666667</v>
      </c>
      <c r="H23" s="459">
        <f t="shared" si="2"/>
        <v>323.5479798</v>
      </c>
      <c r="I23" s="470">
        <v>2.0</v>
      </c>
      <c r="J23" s="68"/>
      <c r="K23" s="462"/>
      <c r="L23" s="34"/>
      <c r="M23" s="34"/>
      <c r="N23" s="34"/>
      <c r="O23" s="34"/>
      <c r="P23" s="73"/>
    </row>
    <row r="24" ht="30.0" customHeight="1">
      <c r="B24" s="456"/>
      <c r="C24" s="468" t="s">
        <v>30</v>
      </c>
      <c r="D24" s="469"/>
      <c r="E24" s="459"/>
      <c r="F24" s="459">
        <f>F22*1.3</f>
        <v>666.2456667</v>
      </c>
      <c r="G24" s="459">
        <f t="shared" si="1"/>
        <v>532.9965333</v>
      </c>
      <c r="H24" s="459">
        <f t="shared" si="2"/>
        <v>504.7315657</v>
      </c>
      <c r="I24" s="470">
        <v>3.0</v>
      </c>
      <c r="J24" s="68"/>
      <c r="K24" s="462"/>
      <c r="L24" s="17"/>
      <c r="M24" s="17"/>
      <c r="N24" s="17"/>
      <c r="O24" s="17"/>
      <c r="P24" s="602"/>
    </row>
    <row r="25" ht="30.0" customHeight="1">
      <c r="B25" s="456"/>
      <c r="C25" s="468" t="s">
        <v>31</v>
      </c>
      <c r="D25" s="469"/>
      <c r="E25" s="459"/>
      <c r="F25" s="459">
        <v>0.0</v>
      </c>
      <c r="G25" s="459">
        <f t="shared" si="1"/>
        <v>0</v>
      </c>
      <c r="H25" s="459">
        <f t="shared" si="2"/>
        <v>0</v>
      </c>
      <c r="I25" s="470">
        <v>4.0</v>
      </c>
      <c r="J25" s="68"/>
      <c r="K25" s="462"/>
      <c r="L25" s="34"/>
      <c r="M25" s="34"/>
      <c r="N25" s="34"/>
      <c r="O25" s="34"/>
      <c r="P25" s="73"/>
    </row>
    <row r="26" ht="30.0" customHeight="1">
      <c r="B26" s="456">
        <v>3.0</v>
      </c>
      <c r="C26" s="465" t="s">
        <v>127</v>
      </c>
      <c r="D26" s="466"/>
      <c r="E26" s="459"/>
      <c r="F26" s="459"/>
      <c r="G26" s="459"/>
      <c r="H26" s="459"/>
      <c r="I26" s="460"/>
      <c r="J26" s="72" t="s">
        <v>35</v>
      </c>
      <c r="K26" s="462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9360</v>
      </c>
      <c r="L26" s="601"/>
      <c r="M26" s="601"/>
      <c r="N26" s="601"/>
      <c r="O26" s="207" t="s">
        <v>23</v>
      </c>
      <c r="P26" s="73">
        <f>IF(O26="Delapidated",K26*0.6,IF(O26="Poor",K26*0.7,IF(O26="Fair",K26*0.8,IF(O26="Good",K26*0.85,IF(O26="Very Good",K26*0.9,IF(O26="Excellent",K26*1,IF(O26="Not Applicable",K26*1,0)))))))</f>
        <v>9360</v>
      </c>
    </row>
    <row r="27" ht="30.0" customHeight="1">
      <c r="B27" s="456"/>
      <c r="C27" s="468" t="s">
        <v>33</v>
      </c>
      <c r="D27" s="469"/>
      <c r="E27" s="67"/>
      <c r="F27" s="67">
        <v>130.0</v>
      </c>
      <c r="G27" s="459">
        <f t="shared" ref="G27:G30" si="3">F27/$G$16</f>
        <v>104</v>
      </c>
      <c r="H27" s="459">
        <f t="shared" ref="H27:H30" si="4">F27/$H$16</f>
        <v>98.48484848</v>
      </c>
      <c r="I27" s="470">
        <v>1.0</v>
      </c>
      <c r="J27" s="68"/>
      <c r="K27" s="462"/>
      <c r="L27" s="34"/>
      <c r="M27" s="34"/>
      <c r="N27" s="34"/>
      <c r="O27" s="34"/>
      <c r="P27" s="73"/>
    </row>
    <row r="28" ht="30.0" customHeight="1">
      <c r="B28" s="456"/>
      <c r="C28" s="468" t="s">
        <v>34</v>
      </c>
      <c r="D28" s="469"/>
      <c r="E28" s="67"/>
      <c r="F28" s="67">
        <f>F27*1.6</f>
        <v>208</v>
      </c>
      <c r="G28" s="459">
        <f t="shared" si="3"/>
        <v>166.4</v>
      </c>
      <c r="H28" s="459">
        <f t="shared" si="4"/>
        <v>157.5757576</v>
      </c>
      <c r="I28" s="470">
        <v>2.0</v>
      </c>
      <c r="J28" s="68"/>
      <c r="K28" s="462"/>
      <c r="L28" s="34"/>
      <c r="M28" s="34"/>
      <c r="N28" s="34"/>
      <c r="O28" s="34"/>
      <c r="P28" s="73"/>
    </row>
    <row r="29" ht="30.0" customHeight="1">
      <c r="B29" s="456"/>
      <c r="C29" s="468" t="s">
        <v>35</v>
      </c>
      <c r="D29" s="469"/>
      <c r="E29" s="67"/>
      <c r="F29" s="67">
        <f>F27*0.6</f>
        <v>78</v>
      </c>
      <c r="G29" s="459">
        <f t="shared" si="3"/>
        <v>62.4</v>
      </c>
      <c r="H29" s="459">
        <f t="shared" si="4"/>
        <v>59.09090909</v>
      </c>
      <c r="I29" s="470">
        <v>3.0</v>
      </c>
      <c r="J29" s="68"/>
      <c r="K29" s="462"/>
      <c r="L29" s="17"/>
      <c r="M29" s="17"/>
      <c r="N29" s="17"/>
      <c r="O29" s="17"/>
      <c r="P29" s="602"/>
    </row>
    <row r="30" ht="30.0" customHeight="1">
      <c r="B30" s="456"/>
      <c r="C30" s="468" t="s">
        <v>36</v>
      </c>
      <c r="D30" s="469"/>
      <c r="E30" s="67"/>
      <c r="F30" s="67">
        <v>0.0</v>
      </c>
      <c r="G30" s="459">
        <f t="shared" si="3"/>
        <v>0</v>
      </c>
      <c r="H30" s="459">
        <f t="shared" si="4"/>
        <v>0</v>
      </c>
      <c r="I30" s="470">
        <v>4.0</v>
      </c>
      <c r="J30" s="68"/>
      <c r="K30" s="462"/>
      <c r="L30" s="34"/>
      <c r="M30" s="34"/>
      <c r="N30" s="34"/>
      <c r="O30" s="34"/>
      <c r="P30" s="73"/>
    </row>
    <row r="31" ht="30.0" customHeight="1">
      <c r="B31" s="44">
        <v>4.0</v>
      </c>
      <c r="C31" s="74" t="s">
        <v>37</v>
      </c>
      <c r="D31" s="469"/>
      <c r="E31" s="67"/>
      <c r="F31" s="67"/>
      <c r="G31" s="67"/>
      <c r="H31" s="67"/>
      <c r="I31" s="77"/>
      <c r="J31" s="72" t="s">
        <v>38</v>
      </c>
      <c r="K31" s="462">
        <f>IF(J31="TIMBER ROOF TRUSSES",IF(J12="2010-2013",H32*$J$11,IF(J12="2014-2021",G32*$J$11,IF(J12="2021-2023",F32*$J$11,0))),IF(J31="STRUCTURAL STEEL TRUSSES",IF(J12="2010-2013",#REF!*$J$11,IF(J12="2014-2021",#REF!*$J$11,IF(J12="2021-2023",#REF!*$J$11,0))),0))</f>
        <v>42000</v>
      </c>
      <c r="L31" s="72"/>
      <c r="M31" s="72"/>
      <c r="N31" s="72"/>
      <c r="O31" s="72" t="s">
        <v>23</v>
      </c>
      <c r="P31" s="211">
        <f>IF(O31="Delapidated",K31*0.6,IF(O31="Poor",K31*0.7,IF(O31="Fair",K31*0.8,IF(O31="Good",K31*0.85,IF(O31="Very Good",K31*0.9,IF(O31="Excellent",K31*1,IF(O31="Not Applicable",K31*1,0)))))))</f>
        <v>42000</v>
      </c>
    </row>
    <row r="32" ht="30.0" customHeight="1">
      <c r="B32" s="44"/>
      <c r="C32" s="79" t="s">
        <v>38</v>
      </c>
      <c r="D32" s="469"/>
      <c r="E32" s="67"/>
      <c r="F32" s="67">
        <f>350</f>
        <v>350</v>
      </c>
      <c r="G32" s="67">
        <f>F32/$G$16</f>
        <v>280</v>
      </c>
      <c r="H32" s="67">
        <f t="shared" ref="H32:H33" si="5">F32/$H$16</f>
        <v>265.1515152</v>
      </c>
      <c r="I32" s="77"/>
      <c r="J32" s="68"/>
      <c r="K32" s="70"/>
      <c r="L32" s="552"/>
      <c r="M32" s="552"/>
      <c r="N32" s="552"/>
      <c r="O32" s="552"/>
      <c r="P32" s="296"/>
      <c r="Q32" s="553"/>
      <c r="R32" s="34"/>
      <c r="S32" s="73"/>
    </row>
    <row r="33" ht="30.0" customHeight="1">
      <c r="B33" s="44"/>
      <c r="C33" s="79" t="s">
        <v>41</v>
      </c>
      <c r="D33" s="469"/>
      <c r="E33" s="67"/>
      <c r="F33" s="67">
        <v>0.0</v>
      </c>
      <c r="G33" s="67">
        <v>0.0</v>
      </c>
      <c r="H33" s="67">
        <f t="shared" si="5"/>
        <v>0</v>
      </c>
      <c r="I33" s="77"/>
      <c r="J33" s="68"/>
      <c r="K33" s="70"/>
      <c r="L33" s="552"/>
      <c r="M33" s="552"/>
      <c r="N33" s="552"/>
      <c r="O33" s="552"/>
      <c r="P33" s="296"/>
      <c r="Q33" s="553"/>
      <c r="R33" s="34"/>
      <c r="S33" s="73"/>
    </row>
    <row r="34" ht="30.0" customHeight="1">
      <c r="B34" s="456">
        <v>5.0</v>
      </c>
      <c r="C34" s="465" t="s">
        <v>119</v>
      </c>
      <c r="D34" s="466"/>
      <c r="E34" s="475"/>
      <c r="F34" s="475"/>
      <c r="G34" s="459"/>
      <c r="H34" s="459"/>
      <c r="I34" s="460"/>
      <c r="J34" s="72" t="s">
        <v>25</v>
      </c>
      <c r="K34" s="462">
        <f>IF(J34="YES",IF(J12="2010-2013",H35*$J$11,IF(J12="2014-2021",G35*$J$11,IF(J12="2021-2023",F35*$J$11,0))),0)</f>
        <v>4223.8</v>
      </c>
      <c r="L34" s="601"/>
      <c r="M34" s="601"/>
      <c r="N34" s="601"/>
      <c r="O34" s="207" t="s">
        <v>23</v>
      </c>
      <c r="P34" s="73">
        <f>IF(O34="Delapidated",K34*0.6,IF(O34="Poor",K34*0.7,IF(O34="Fair",K34*0.8,IF(O34="Good",K34*0.85,IF(O34="Very Good",K34*0.9,IF(O34="Excellent",K34*1,IF(O34="Not Applicable",K34*1,0)))))))</f>
        <v>4223.8</v>
      </c>
    </row>
    <row r="35" ht="30.0" customHeight="1">
      <c r="B35" s="456"/>
      <c r="C35" s="468" t="s">
        <v>25</v>
      </c>
      <c r="D35" s="469"/>
      <c r="E35" s="459"/>
      <c r="F35" s="459">
        <f>408.333333333333*8.62%</f>
        <v>35.19833333</v>
      </c>
      <c r="G35" s="459">
        <f t="shared" ref="G35:G36" si="6">F35/$G$16</f>
        <v>28.15866667</v>
      </c>
      <c r="H35" s="459">
        <f t="shared" ref="H35:H36" si="7">F35/$H$16</f>
        <v>26.66540404</v>
      </c>
      <c r="I35" s="470">
        <v>1.0</v>
      </c>
      <c r="J35" s="68"/>
      <c r="K35" s="462"/>
      <c r="L35" s="34"/>
      <c r="M35" s="34"/>
      <c r="N35" s="34"/>
      <c r="O35" s="34"/>
      <c r="P35" s="73"/>
    </row>
    <row r="36" ht="30.0" customHeight="1">
      <c r="B36" s="456"/>
      <c r="C36" s="468" t="s">
        <v>26</v>
      </c>
      <c r="D36" s="469"/>
      <c r="E36" s="459"/>
      <c r="F36" s="459">
        <v>0.0</v>
      </c>
      <c r="G36" s="459">
        <f t="shared" si="6"/>
        <v>0</v>
      </c>
      <c r="H36" s="459">
        <f t="shared" si="7"/>
        <v>0</v>
      </c>
      <c r="I36" s="470">
        <v>2.0</v>
      </c>
      <c r="J36" s="68"/>
      <c r="K36" s="462"/>
      <c r="L36" s="34"/>
      <c r="M36" s="34"/>
      <c r="N36" s="34"/>
      <c r="O36" s="34"/>
      <c r="P36" s="73"/>
    </row>
    <row r="37" ht="30.0" customHeight="1">
      <c r="B37" s="456">
        <v>6.0</v>
      </c>
      <c r="C37" s="465" t="s">
        <v>45</v>
      </c>
      <c r="D37" s="466"/>
      <c r="E37" s="459"/>
      <c r="F37" s="459"/>
      <c r="G37" s="459"/>
      <c r="H37" s="459"/>
      <c r="I37" s="460"/>
      <c r="J37" s="72" t="s">
        <v>25</v>
      </c>
      <c r="K37" s="462">
        <f>IF(J37="YES",IF(J12="2010-2013",H38,IF(J12="2014-2021",G38,IF(J12="2021-2023",F38,0))),0)</f>
        <v>5000</v>
      </c>
      <c r="L37" s="601"/>
      <c r="M37" s="601"/>
      <c r="N37" s="601"/>
      <c r="O37" s="207" t="s">
        <v>82</v>
      </c>
      <c r="P37" s="73">
        <f>IF(O37="Delapidated",K37*0.6,IF(O37="Poor",K37*0.7,IF(O37="Fair",K37*0.8,IF(O37="Good",K37*0.85,IF(O37="Very Good",K37*0.9,IF(O37="Excellent",K37*1,IF(O37="Not Applicable",K37*1,0)))))))</f>
        <v>4500</v>
      </c>
    </row>
    <row r="38" ht="30.0" customHeight="1">
      <c r="B38" s="456"/>
      <c r="C38" s="468" t="s">
        <v>25</v>
      </c>
      <c r="D38" s="469"/>
      <c r="E38" s="459"/>
      <c r="F38" s="459">
        <v>5000.0</v>
      </c>
      <c r="G38" s="459">
        <f t="shared" ref="G38:G39" si="8">F38/$G$16</f>
        <v>4000</v>
      </c>
      <c r="H38" s="459">
        <f t="shared" ref="H38:H39" si="9">F38/$H$16</f>
        <v>3787.878788</v>
      </c>
      <c r="I38" s="470">
        <v>1.0</v>
      </c>
      <c r="J38" s="68"/>
      <c r="K38" s="462"/>
      <c r="L38" s="34"/>
      <c r="M38" s="34"/>
      <c r="N38" s="34"/>
      <c r="O38" s="34"/>
      <c r="P38" s="73"/>
    </row>
    <row r="39" ht="30.0" customHeight="1">
      <c r="B39" s="456"/>
      <c r="C39" s="468" t="s">
        <v>26</v>
      </c>
      <c r="D39" s="469"/>
      <c r="E39" s="459"/>
      <c r="F39" s="459">
        <v>0.0</v>
      </c>
      <c r="G39" s="459">
        <f t="shared" si="8"/>
        <v>0</v>
      </c>
      <c r="H39" s="459">
        <f t="shared" si="9"/>
        <v>0</v>
      </c>
      <c r="I39" s="470">
        <v>2.0</v>
      </c>
      <c r="J39" s="68"/>
      <c r="K39" s="462"/>
      <c r="L39" s="34"/>
      <c r="M39" s="34"/>
      <c r="N39" s="34"/>
      <c r="O39" s="34"/>
      <c r="P39" s="73"/>
    </row>
    <row r="40" ht="30.0" customHeight="1">
      <c r="B40" s="456"/>
      <c r="C40" s="214" t="s">
        <v>48</v>
      </c>
      <c r="D40" s="469"/>
      <c r="E40" s="459"/>
      <c r="F40" s="459"/>
      <c r="G40" s="459"/>
      <c r="H40" s="459"/>
      <c r="I40" s="470"/>
      <c r="J40" s="227">
        <v>3.0</v>
      </c>
      <c r="K40" s="255"/>
      <c r="L40" s="34"/>
      <c r="M40" s="34"/>
      <c r="N40" s="34"/>
      <c r="O40" s="34"/>
      <c r="P40" s="51"/>
    </row>
    <row r="41" ht="30.0" customHeight="1">
      <c r="B41" s="456">
        <v>7.0</v>
      </c>
      <c r="C41" s="465" t="s">
        <v>49</v>
      </c>
      <c r="D41" s="466"/>
      <c r="E41" s="459"/>
      <c r="F41" s="459"/>
      <c r="G41" s="459"/>
      <c r="H41" s="459"/>
      <c r="I41" s="460"/>
      <c r="J41" s="72" t="s">
        <v>25</v>
      </c>
      <c r="K41" s="462">
        <f>IF(J41="YES",IF(J12="2010-2013",H42*J40,IF(J12="2014-2021",G42*J40,IF(J12="2021-2023",F42*J40,0))),0)</f>
        <v>4500</v>
      </c>
      <c r="L41" s="601"/>
      <c r="M41" s="601"/>
      <c r="N41" s="601"/>
      <c r="O41" s="207" t="s">
        <v>82</v>
      </c>
      <c r="P41" s="73">
        <f>IF(O41="Delapidated",K41*0.6,IF(O41="Poor",K41*0.7,IF(O41="Fair",K41*0.8,IF(O41="Good",K41*0.85,IF(O41="Very Good",K41*0.9,IF(O41="Excellent",K41*1,IF(O41="Not Applicable",K41*1,0)))))))</f>
        <v>4050</v>
      </c>
    </row>
    <row r="42" ht="30.0" customHeight="1">
      <c r="B42" s="456"/>
      <c r="C42" s="468" t="s">
        <v>25</v>
      </c>
      <c r="D42" s="469"/>
      <c r="E42" s="459"/>
      <c r="F42" s="459">
        <v>1500.0</v>
      </c>
      <c r="G42" s="459">
        <f t="shared" ref="G42:G43" si="10">F42/$G$16</f>
        <v>1200</v>
      </c>
      <c r="H42" s="459">
        <f t="shared" ref="H42:H43" si="11">F42/$H$16</f>
        <v>1136.363636</v>
      </c>
      <c r="I42" s="470">
        <v>1.0</v>
      </c>
      <c r="J42" s="68"/>
      <c r="K42" s="462"/>
      <c r="L42" s="34"/>
      <c r="M42" s="34"/>
      <c r="N42" s="34"/>
      <c r="O42" s="34"/>
      <c r="P42" s="73"/>
    </row>
    <row r="43" ht="30.0" customHeight="1">
      <c r="B43" s="456"/>
      <c r="C43" s="468" t="s">
        <v>26</v>
      </c>
      <c r="D43" s="469"/>
      <c r="E43" s="459"/>
      <c r="F43" s="459">
        <v>0.0</v>
      </c>
      <c r="G43" s="459">
        <f t="shared" si="10"/>
        <v>0</v>
      </c>
      <c r="H43" s="459">
        <f t="shared" si="11"/>
        <v>0</v>
      </c>
      <c r="I43" s="470">
        <v>2.0</v>
      </c>
      <c r="J43" s="68"/>
      <c r="K43" s="462"/>
      <c r="L43" s="34"/>
      <c r="M43" s="34"/>
      <c r="N43" s="34"/>
      <c r="O43" s="34"/>
      <c r="P43" s="73"/>
    </row>
    <row r="44" ht="30.0" customHeight="1">
      <c r="B44" s="456">
        <v>8.0</v>
      </c>
      <c r="C44" s="465" t="s">
        <v>50</v>
      </c>
      <c r="D44" s="466"/>
      <c r="E44" s="475"/>
      <c r="F44" s="475"/>
      <c r="G44" s="459"/>
      <c r="H44" s="459"/>
      <c r="I44" s="460"/>
      <c r="J44" s="72" t="s">
        <v>25</v>
      </c>
      <c r="K44" s="462">
        <f>IF(J44="YES",IF(J12="2010-2013",H45*$J$11,IF(J12="2014-2021",G45*$J$12,IF(J12="2021-2023",F45*$J$11,0))),0)</f>
        <v>15500</v>
      </c>
      <c r="L44" s="601"/>
      <c r="M44" s="601"/>
      <c r="N44" s="601"/>
      <c r="O44" s="207" t="s">
        <v>82</v>
      </c>
      <c r="P44" s="73">
        <f>IF(O44="Delapidated",K44*0.6,IF(O44="Poor",K44*0.7,IF(O44="Fair",K44*0.8,IF(O44="Good",K44*0.85,IF(O44="Very Good",K44*0.9,IF(O44="Excellent",K44*1,IF(O44="Not Applicable",K44*1,0)))))))</f>
        <v>13950</v>
      </c>
    </row>
    <row r="45" ht="30.0" customHeight="1">
      <c r="B45" s="456"/>
      <c r="C45" s="468" t="s">
        <v>25</v>
      </c>
      <c r="D45" s="469"/>
      <c r="E45" s="459"/>
      <c r="F45" s="459">
        <v>129.166666666667</v>
      </c>
      <c r="G45" s="459">
        <f t="shared" ref="G45:G46" si="12">F45/$G$16</f>
        <v>103.3333333</v>
      </c>
      <c r="H45" s="459">
        <f t="shared" ref="H45:H46" si="13">F45/$H$16</f>
        <v>97.85353535</v>
      </c>
      <c r="I45" s="470">
        <v>1.0</v>
      </c>
      <c r="J45" s="68"/>
      <c r="K45" s="462"/>
      <c r="L45" s="34"/>
      <c r="M45" s="34"/>
      <c r="N45" s="34"/>
      <c r="O45" s="34"/>
      <c r="P45" s="73"/>
    </row>
    <row r="46" ht="30.0" customHeight="1">
      <c r="B46" s="456"/>
      <c r="C46" s="468" t="s">
        <v>26</v>
      </c>
      <c r="D46" s="469"/>
      <c r="E46" s="459"/>
      <c r="F46" s="459"/>
      <c r="G46" s="459">
        <f t="shared" si="12"/>
        <v>0</v>
      </c>
      <c r="H46" s="459">
        <f t="shared" si="13"/>
        <v>0</v>
      </c>
      <c r="I46" s="470">
        <v>2.0</v>
      </c>
      <c r="J46" s="68"/>
      <c r="K46" s="462"/>
      <c r="L46" s="34"/>
      <c r="M46" s="34"/>
      <c r="N46" s="34"/>
      <c r="O46" s="34"/>
      <c r="P46" s="73"/>
    </row>
    <row r="47" ht="30.0" customHeight="1">
      <c r="B47" s="464">
        <v>9.0</v>
      </c>
      <c r="C47" s="603" t="s">
        <v>51</v>
      </c>
      <c r="D47" s="469"/>
      <c r="E47" s="459"/>
      <c r="F47" s="459"/>
      <c r="G47" s="459"/>
      <c r="H47" s="459"/>
      <c r="I47" s="470"/>
      <c r="J47" s="72" t="s">
        <v>52</v>
      </c>
      <c r="K47" s="462">
        <f>IF(J47="VINYL FLOORING",IF(J12="2010-2013",H48*$J$11,IF(J12="2014-2021",G48*$J$11,IF(J12="2021-2023",F48*$J$11,0))),IF(J47="TILING FLOORING",IF(J12="2010-2013",H49*$J$11,IF(J12="2014-2021",G49*$J$11,IF(J12="2021-2023",F49*$J$11,0))),IF(J47="TIMBER FLOORING",IF(J12="2010-2013",H50*$J$11,IF(J12="2014-2021",G50*$J$11,IF(J12="2021-2023",F50*$J$11,0))),IF(J47="CARPETS FLOORING",IF(J12="2010-2013",H51*$J$11,IF(J12="2014-2021",G51*$J$11,IF(J12="2021-2023",F51*$J$11,0))),0))))</f>
        <v>21120</v>
      </c>
      <c r="L47" s="601"/>
      <c r="M47" s="601"/>
      <c r="N47" s="601"/>
      <c r="O47" s="207" t="s">
        <v>82</v>
      </c>
      <c r="P47" s="73">
        <f>IF(O47="Delapidated",K47*0.6,IF(O47="Poor",K47*0.7,IF(O47="Fair",K47*0.8,IF(O47="Good",K47*0.85,IF(O47="Very Good",K47*0.9,IF(O47="Excellent",K47*1,IF(O47="Not Applicable",K47*1,0)))))))</f>
        <v>19008</v>
      </c>
    </row>
    <row r="48" ht="30.0" customHeight="1">
      <c r="B48" s="84"/>
      <c r="C48" s="468" t="s">
        <v>53</v>
      </c>
      <c r="D48" s="469"/>
      <c r="E48" s="459"/>
      <c r="F48" s="459">
        <f>F49*0.7</f>
        <v>123.2</v>
      </c>
      <c r="G48" s="459">
        <f t="shared" ref="G48:G52" si="14">F48/$G$16</f>
        <v>98.56</v>
      </c>
      <c r="H48" s="459">
        <f t="shared" ref="H48:H52" si="15">F48/$H$16</f>
        <v>93.33333333</v>
      </c>
      <c r="I48" s="470">
        <v>1.0</v>
      </c>
      <c r="J48" s="68"/>
      <c r="K48" s="462"/>
      <c r="L48" s="34"/>
      <c r="M48" s="34"/>
      <c r="N48" s="34"/>
      <c r="O48" s="34"/>
      <c r="P48" s="73"/>
    </row>
    <row r="49" ht="30.0" customHeight="1">
      <c r="B49" s="84"/>
      <c r="C49" s="468" t="s">
        <v>52</v>
      </c>
      <c r="D49" s="469"/>
      <c r="E49" s="459"/>
      <c r="F49" s="459">
        <f>220*0.8</f>
        <v>176</v>
      </c>
      <c r="G49" s="459">
        <f t="shared" si="14"/>
        <v>140.8</v>
      </c>
      <c r="H49" s="459">
        <f t="shared" si="15"/>
        <v>133.3333333</v>
      </c>
      <c r="I49" s="470">
        <v>2.0</v>
      </c>
      <c r="J49" s="68"/>
      <c r="K49" s="462"/>
      <c r="L49" s="34"/>
      <c r="M49" s="34"/>
      <c r="N49" s="34"/>
      <c r="O49" s="34"/>
      <c r="P49" s="73"/>
    </row>
    <row r="50" ht="30.0" customHeight="1">
      <c r="B50" s="84"/>
      <c r="C50" s="468" t="s">
        <v>54</v>
      </c>
      <c r="D50" s="469"/>
      <c r="E50" s="459"/>
      <c r="F50" s="459">
        <f>F49*1.2</f>
        <v>211.2</v>
      </c>
      <c r="G50" s="459">
        <f t="shared" si="14"/>
        <v>168.96</v>
      </c>
      <c r="H50" s="459">
        <f t="shared" si="15"/>
        <v>160</v>
      </c>
      <c r="I50" s="470">
        <v>3.0</v>
      </c>
      <c r="J50" s="68"/>
      <c r="K50" s="462"/>
      <c r="L50" s="17"/>
      <c r="M50" s="17"/>
      <c r="N50" s="17"/>
      <c r="O50" s="17"/>
      <c r="P50" s="602"/>
    </row>
    <row r="51" ht="30.0" customHeight="1">
      <c r="B51" s="84"/>
      <c r="C51" s="468" t="s">
        <v>55</v>
      </c>
      <c r="D51" s="469"/>
      <c r="E51" s="459"/>
      <c r="F51" s="459">
        <f>F49*1.3</f>
        <v>228.8</v>
      </c>
      <c r="G51" s="459">
        <f t="shared" si="14"/>
        <v>183.04</v>
      </c>
      <c r="H51" s="459">
        <f t="shared" si="15"/>
        <v>173.3333333</v>
      </c>
      <c r="I51" s="470">
        <v>4.0</v>
      </c>
      <c r="J51" s="68"/>
      <c r="K51" s="462"/>
      <c r="L51" s="34"/>
      <c r="M51" s="34"/>
      <c r="N51" s="34"/>
      <c r="O51" s="34"/>
      <c r="P51" s="73"/>
    </row>
    <row r="52" ht="30.0" customHeight="1">
      <c r="B52" s="85"/>
      <c r="C52" s="468" t="s">
        <v>56</v>
      </c>
      <c r="D52" s="469"/>
      <c r="E52" s="459"/>
      <c r="F52" s="459">
        <v>0.0</v>
      </c>
      <c r="G52" s="459">
        <f t="shared" si="14"/>
        <v>0</v>
      </c>
      <c r="H52" s="459">
        <f t="shared" si="15"/>
        <v>0</v>
      </c>
      <c r="I52" s="470">
        <v>5.0</v>
      </c>
      <c r="J52" s="68"/>
      <c r="K52" s="462"/>
      <c r="L52" s="34"/>
      <c r="M52" s="34"/>
      <c r="N52" s="34"/>
      <c r="O52" s="34"/>
      <c r="P52" s="602"/>
    </row>
    <row r="53" ht="30.0" customHeight="1">
      <c r="B53" s="456">
        <v>10.0</v>
      </c>
      <c r="C53" s="465" t="s">
        <v>57</v>
      </c>
      <c r="D53" s="466"/>
      <c r="E53" s="459"/>
      <c r="F53" s="459"/>
      <c r="G53" s="459"/>
      <c r="H53" s="459"/>
      <c r="I53" s="460"/>
      <c r="J53" s="72" t="s">
        <v>59</v>
      </c>
      <c r="K53" s="462">
        <f>IF(J53="STEEL WINDOW FRAMES",IF(J12="2010-2013",H54*$J$11,IF(J12="2014-2021",G54*$J$11,IF(J12="2021-2023",F54*$J$11,0))),IF(J53="ALUMINIUM WINDOW FRAMES",IF(J12="2010-2013",H55*$J$11,IF(J12="2014-2021",G55*$J$11,IF(J12="2021-2023",F55*$J$11,0))),0))</f>
        <v>6000</v>
      </c>
      <c r="L53" s="601"/>
      <c r="M53" s="601"/>
      <c r="N53" s="601"/>
      <c r="O53" s="207" t="s">
        <v>82</v>
      </c>
      <c r="P53" s="73">
        <f>IF(O53="Delapidated",K53*0.6,IF(O53="Poor",K53*0.7,IF(O53="Fair",K53*0.8,IF(O53="Good",K53*0.85,IF(O53="Very Good",K53*0.9,IF(O53="Excellent",K53*1,IF(O53="Not Applicable",K53*1,0)))))))</f>
        <v>5400</v>
      </c>
    </row>
    <row r="54" ht="30.0" customHeight="1">
      <c r="B54" s="456"/>
      <c r="C54" s="468" t="s">
        <v>59</v>
      </c>
      <c r="D54" s="469"/>
      <c r="E54" s="604"/>
      <c r="F54" s="604">
        <f>F55*0.3</f>
        <v>50</v>
      </c>
      <c r="G54" s="459">
        <f t="shared" ref="G54:G56" si="16">F54/$G$16</f>
        <v>40</v>
      </c>
      <c r="H54" s="459">
        <f t="shared" ref="H54:H56" si="17">F54/$H$16</f>
        <v>37.87878788</v>
      </c>
      <c r="I54" s="470">
        <v>1.0</v>
      </c>
      <c r="J54" s="68"/>
      <c r="K54" s="462"/>
      <c r="L54" s="34"/>
      <c r="M54" s="34"/>
      <c r="N54" s="34"/>
      <c r="O54" s="34"/>
      <c r="P54" s="73"/>
    </row>
    <row r="55" ht="30.0" customHeight="1">
      <c r="B55" s="456"/>
      <c r="C55" s="468" t="s">
        <v>58</v>
      </c>
      <c r="D55" s="469"/>
      <c r="E55" s="459"/>
      <c r="F55" s="459">
        <v>166.666666666667</v>
      </c>
      <c r="G55" s="459">
        <f t="shared" si="16"/>
        <v>133.3333333</v>
      </c>
      <c r="H55" s="459">
        <f t="shared" si="17"/>
        <v>126.2626263</v>
      </c>
      <c r="I55" s="470">
        <v>2.0</v>
      </c>
      <c r="J55" s="68"/>
      <c r="K55" s="462"/>
      <c r="L55" s="34"/>
      <c r="M55" s="34"/>
      <c r="N55" s="34"/>
      <c r="O55" s="34"/>
      <c r="P55" s="73"/>
    </row>
    <row r="56" ht="30.0" customHeight="1">
      <c r="B56" s="456"/>
      <c r="C56" s="468" t="s">
        <v>60</v>
      </c>
      <c r="D56" s="469"/>
      <c r="E56" s="459"/>
      <c r="F56" s="459">
        <v>0.0</v>
      </c>
      <c r="G56" s="459">
        <f t="shared" si="16"/>
        <v>0</v>
      </c>
      <c r="H56" s="459">
        <f t="shared" si="17"/>
        <v>0</v>
      </c>
      <c r="I56" s="470">
        <v>3.0</v>
      </c>
      <c r="J56" s="68"/>
      <c r="K56" s="462"/>
      <c r="L56" s="605"/>
      <c r="M56" s="605"/>
      <c r="N56" s="605"/>
      <c r="O56" s="606" t="s">
        <v>128</v>
      </c>
      <c r="P56" s="73">
        <f t="shared" ref="P56:P57" si="18">IF(O56="Delapidated",K56*0.6,IF(O56="Poor",K56*0.7,IF(O56="Fair",K56*0.8,IF(O56="Good",K56*0.85,IF(O56="Very Good",K56*0.9,IF(O56="Excellent",K56*1,IF(O56="Not Applicable",K56*1,0)))))))</f>
        <v>0</v>
      </c>
    </row>
    <row r="57" ht="30.0" customHeight="1">
      <c r="B57" s="456">
        <v>11.0</v>
      </c>
      <c r="C57" s="465" t="s">
        <v>61</v>
      </c>
      <c r="D57" s="466"/>
      <c r="E57" s="459"/>
      <c r="F57" s="459"/>
      <c r="G57" s="459"/>
      <c r="H57" s="459"/>
      <c r="I57" s="460"/>
      <c r="J57" s="72" t="s">
        <v>25</v>
      </c>
      <c r="K57" s="462">
        <f>IF(J57="YES",IF(J12="2010-2013",H58*$J$11,IF(J12="2014-2021",G58*$J$11,IF(J12="2021-2023",F58*$J$11,0))),0)</f>
        <v>26400</v>
      </c>
      <c r="L57" s="601"/>
      <c r="M57" s="601"/>
      <c r="N57" s="601"/>
      <c r="O57" s="207" t="s">
        <v>23</v>
      </c>
      <c r="P57" s="73">
        <f t="shared" si="18"/>
        <v>26400</v>
      </c>
    </row>
    <row r="58" ht="30.0" customHeight="1">
      <c r="B58" s="456"/>
      <c r="C58" s="468" t="s">
        <v>25</v>
      </c>
      <c r="D58" s="469"/>
      <c r="E58" s="459"/>
      <c r="F58" s="459">
        <v>220.0</v>
      </c>
      <c r="G58" s="459">
        <f t="shared" ref="G58:G59" si="19">F58/$G$16</f>
        <v>176</v>
      </c>
      <c r="H58" s="459">
        <f t="shared" ref="H58:H59" si="20">F58/$H$16</f>
        <v>166.6666667</v>
      </c>
      <c r="I58" s="470">
        <v>1.0</v>
      </c>
      <c r="J58" s="68"/>
      <c r="K58" s="462"/>
      <c r="L58" s="34"/>
      <c r="M58" s="34"/>
      <c r="N58" s="34"/>
      <c r="O58" s="34"/>
      <c r="P58" s="73"/>
    </row>
    <row r="59" ht="30.0" customHeight="1">
      <c r="B59" s="456"/>
      <c r="C59" s="468" t="s">
        <v>26</v>
      </c>
      <c r="D59" s="469"/>
      <c r="E59" s="459"/>
      <c r="F59" s="459">
        <v>0.0</v>
      </c>
      <c r="G59" s="459">
        <f t="shared" si="19"/>
        <v>0</v>
      </c>
      <c r="H59" s="459">
        <f t="shared" si="20"/>
        <v>0</v>
      </c>
      <c r="I59" s="470">
        <v>2.0</v>
      </c>
      <c r="J59" s="68"/>
      <c r="K59" s="462"/>
      <c r="L59" s="34"/>
      <c r="M59" s="34"/>
      <c r="N59" s="34"/>
      <c r="O59" s="34"/>
      <c r="P59" s="73"/>
    </row>
    <row r="60" ht="30.0" customHeight="1">
      <c r="B60" s="456">
        <v>12.0</v>
      </c>
      <c r="C60" s="465" t="s">
        <v>62</v>
      </c>
      <c r="D60" s="466"/>
      <c r="E60" s="459"/>
      <c r="F60" s="459"/>
      <c r="G60" s="459"/>
      <c r="H60" s="459"/>
      <c r="I60" s="460"/>
      <c r="J60" s="72" t="s">
        <v>25</v>
      </c>
      <c r="K60" s="462">
        <f>IF(J60="YES",IF(J12="2010-2013",H61*$J$11,IF(J12="2014-2021",G61*$J$11,IF(J12="2021-2023",F61*$J$11,0))),0)</f>
        <v>7008</v>
      </c>
      <c r="L60" s="601"/>
      <c r="M60" s="601"/>
      <c r="N60" s="601"/>
      <c r="O60" s="207" t="s">
        <v>82</v>
      </c>
      <c r="P60" s="73">
        <f>IF(O60="Delapidated",K60*0.6,IF(O60="Poor",K60*0.7,IF(O60="Fair",K60*0.8,IF(O60="Good",K60*0.85,IF(O60="Very Good",K60*0.9,IF(O60="Excellent",K60*1,IF(O60="Not Applicable",K60*1,0)))))))</f>
        <v>6307.2</v>
      </c>
    </row>
    <row r="61" ht="30.0" customHeight="1">
      <c r="B61" s="456"/>
      <c r="C61" s="468" t="s">
        <v>25</v>
      </c>
      <c r="D61" s="469"/>
      <c r="E61" s="459"/>
      <c r="F61" s="459">
        <f>292*0.2</f>
        <v>58.4</v>
      </c>
      <c r="G61" s="459">
        <f t="shared" ref="G61:G62" si="21">F61/$G$16</f>
        <v>46.72</v>
      </c>
      <c r="H61" s="459">
        <f t="shared" ref="H61:H62" si="22">F61/$H$16</f>
        <v>44.24242424</v>
      </c>
      <c r="I61" s="470">
        <v>1.0</v>
      </c>
      <c r="J61" s="68"/>
      <c r="K61" s="462"/>
      <c r="L61" s="34"/>
      <c r="M61" s="34"/>
      <c r="N61" s="34"/>
      <c r="O61" s="34"/>
      <c r="P61" s="73"/>
    </row>
    <row r="62" ht="30.0" customHeight="1">
      <c r="B62" s="456"/>
      <c r="C62" s="468" t="s">
        <v>26</v>
      </c>
      <c r="D62" s="469"/>
      <c r="E62" s="459"/>
      <c r="F62" s="459">
        <v>0.0</v>
      </c>
      <c r="G62" s="459">
        <f t="shared" si="21"/>
        <v>0</v>
      </c>
      <c r="H62" s="459">
        <f t="shared" si="22"/>
        <v>0</v>
      </c>
      <c r="I62" s="470">
        <v>2.0</v>
      </c>
      <c r="J62" s="68"/>
      <c r="K62" s="462"/>
      <c r="L62" s="34"/>
      <c r="M62" s="34"/>
      <c r="N62" s="34"/>
      <c r="O62" s="34"/>
      <c r="P62" s="73"/>
    </row>
    <row r="63" ht="30.0" customHeight="1">
      <c r="B63" s="456"/>
      <c r="C63" s="214" t="s">
        <v>63</v>
      </c>
      <c r="D63" s="469"/>
      <c r="E63" s="459"/>
      <c r="F63" s="459"/>
      <c r="G63" s="459"/>
      <c r="H63" s="459"/>
      <c r="I63" s="470"/>
      <c r="J63" s="227">
        <v>3.0</v>
      </c>
      <c r="K63" s="255"/>
      <c r="L63" s="34"/>
      <c r="M63" s="34"/>
      <c r="N63" s="34"/>
      <c r="O63" s="34"/>
      <c r="P63" s="51"/>
    </row>
    <row r="64" ht="33.0" customHeight="1">
      <c r="B64" s="456">
        <v>13.0</v>
      </c>
      <c r="C64" s="465" t="s">
        <v>93</v>
      </c>
      <c r="D64" s="466"/>
      <c r="E64" s="459"/>
      <c r="F64" s="459"/>
      <c r="G64" s="459"/>
      <c r="H64" s="459"/>
      <c r="I64" s="460"/>
      <c r="J64" s="72" t="s">
        <v>25</v>
      </c>
      <c r="K64" s="462">
        <f>IF(J64="YES",IF(J12="2010-2013",H65*J63,IF(J12="2014-2021",G65*J63,IF(J12="2021-2023",F65*J63,0))),0)</f>
        <v>37500</v>
      </c>
      <c r="L64" s="601"/>
      <c r="M64" s="601"/>
      <c r="N64" s="601"/>
      <c r="O64" s="207" t="s">
        <v>82</v>
      </c>
      <c r="P64" s="73">
        <f>IF(O64="Delapidated",K64*0.6,IF(O64="Poor",K64*0.7,IF(O64="Fair",K64*0.8,IF(O64="Good",K64*0.85,IF(O64="Very Good",K64*0.9,IF(O64="Excellent",K64*1,IF(O64="Not Applicable",K64*1,0)))))))</f>
        <v>33750</v>
      </c>
    </row>
    <row r="65" ht="30.0" customHeight="1">
      <c r="B65" s="456"/>
      <c r="C65" s="468" t="s">
        <v>25</v>
      </c>
      <c r="D65" s="469"/>
      <c r="E65" s="459"/>
      <c r="F65" s="459">
        <v>12500.0</v>
      </c>
      <c r="G65" s="459">
        <f t="shared" ref="G65:G66" si="23">F65/$G$16</f>
        <v>10000</v>
      </c>
      <c r="H65" s="459">
        <f t="shared" ref="H65:H66" si="24">F65/$H$16</f>
        <v>9469.69697</v>
      </c>
      <c r="I65" s="470">
        <v>1.0</v>
      </c>
      <c r="J65" s="68"/>
      <c r="K65" s="462"/>
      <c r="L65" s="34"/>
      <c r="M65" s="34"/>
      <c r="N65" s="34"/>
      <c r="O65" s="34"/>
      <c r="P65" s="73"/>
    </row>
    <row r="66" ht="30.0" customHeight="1">
      <c r="B66" s="456"/>
      <c r="C66" s="468" t="s">
        <v>26</v>
      </c>
      <c r="D66" s="469"/>
      <c r="E66" s="459"/>
      <c r="F66" s="459">
        <v>0.0</v>
      </c>
      <c r="G66" s="459">
        <f t="shared" si="23"/>
        <v>0</v>
      </c>
      <c r="H66" s="459">
        <f t="shared" si="24"/>
        <v>0</v>
      </c>
      <c r="I66" s="470">
        <v>2.0</v>
      </c>
      <c r="J66" s="68"/>
      <c r="K66" s="473"/>
      <c r="L66" s="34"/>
      <c r="M66" s="34"/>
      <c r="N66" s="34"/>
      <c r="O66" s="34"/>
      <c r="P66" s="73"/>
    </row>
    <row r="67" ht="30.0" customHeight="1">
      <c r="B67" s="456">
        <v>14.0</v>
      </c>
      <c r="C67" s="465" t="s">
        <v>65</v>
      </c>
      <c r="D67" s="466"/>
      <c r="E67" s="459"/>
      <c r="F67" s="459"/>
      <c r="G67" s="459"/>
      <c r="H67" s="459"/>
      <c r="I67" s="460"/>
      <c r="J67" s="72" t="s">
        <v>25</v>
      </c>
      <c r="K67" s="462">
        <f>IF(J67="YES",IF(J12="2010-2013",H68*$J$11,IF(J12="2014-2021",G68*$J$11,IF(J12="2021-2023",F68*$J$11,0))),0)</f>
        <v>13500</v>
      </c>
      <c r="L67" s="601"/>
      <c r="M67" s="601"/>
      <c r="N67" s="601"/>
      <c r="O67" s="207" t="s">
        <v>82</v>
      </c>
      <c r="P67" s="73">
        <f>IF(O67="Delapidated",K67*0.6,IF(O67="Poor",K67*0.7,IF(O67="Fair",K67*0.8,IF(O67="Good",K67*0.85,IF(O67="Very Good",K67*0.9,IF(O67="Excellent",K67*1,IF(O67="Not Applicable",K67*1,0)))))))</f>
        <v>12150</v>
      </c>
    </row>
    <row r="68" ht="30.0" customHeight="1">
      <c r="B68" s="456"/>
      <c r="C68" s="468" t="s">
        <v>25</v>
      </c>
      <c r="D68" s="469"/>
      <c r="E68" s="459"/>
      <c r="F68" s="459">
        <v>112.5</v>
      </c>
      <c r="G68" s="459">
        <f t="shared" ref="G68:G69" si="25">F68/$G$16</f>
        <v>90</v>
      </c>
      <c r="H68" s="459">
        <f t="shared" ref="H68:H69" si="26">F68/$H$16</f>
        <v>85.22727273</v>
      </c>
      <c r="I68" s="470">
        <v>1.0</v>
      </c>
      <c r="J68" s="68"/>
      <c r="K68" s="462"/>
      <c r="L68" s="34"/>
      <c r="M68" s="34"/>
      <c r="N68" s="34"/>
      <c r="O68" s="34"/>
      <c r="P68" s="73"/>
    </row>
    <row r="69" ht="30.0" customHeight="1">
      <c r="B69" s="456"/>
      <c r="C69" s="468" t="s">
        <v>26</v>
      </c>
      <c r="D69" s="469"/>
      <c r="E69" s="459"/>
      <c r="F69" s="459">
        <v>0.0</v>
      </c>
      <c r="G69" s="459">
        <f t="shared" si="25"/>
        <v>0</v>
      </c>
      <c r="H69" s="459">
        <f t="shared" si="26"/>
        <v>0</v>
      </c>
      <c r="I69" s="470">
        <v>2.0</v>
      </c>
      <c r="J69" s="68"/>
      <c r="K69" s="462"/>
      <c r="L69" s="34"/>
      <c r="M69" s="34"/>
      <c r="N69" s="34"/>
      <c r="O69" s="34"/>
      <c r="P69" s="73"/>
    </row>
    <row r="70" ht="30.0" customHeight="1">
      <c r="B70" s="456">
        <v>15.0</v>
      </c>
      <c r="C70" s="465" t="s">
        <v>94</v>
      </c>
      <c r="D70" s="466"/>
      <c r="E70" s="459"/>
      <c r="F70" s="459"/>
      <c r="G70" s="459"/>
      <c r="H70" s="459"/>
      <c r="I70" s="460"/>
      <c r="J70" s="72" t="s">
        <v>25</v>
      </c>
      <c r="K70" s="462">
        <f>IF(J70="YES",IF(J12="2010-2013",H71*$J$11,IF(J12="2014-2021",G71*$J$11,IF(J12="2021-2023",F71*$J$11,0))),0)</f>
        <v>14400</v>
      </c>
      <c r="L70" s="601"/>
      <c r="M70" s="601"/>
      <c r="N70" s="601"/>
      <c r="O70" s="207" t="s">
        <v>82</v>
      </c>
      <c r="P70" s="73">
        <f>IF(O70="Delapidated",K70*0.6,IF(O70="Poor",K70*0.7,IF(O70="Fair",K70*0.8,IF(O70="Good",K70*0.85,IF(O70="Very Good",K70*0.9,IF(O70="Excellent",K70*1,IF(O70="Not Applicable",K70*1,0)))))))</f>
        <v>12960</v>
      </c>
    </row>
    <row r="71" ht="30.0" customHeight="1">
      <c r="B71" s="456"/>
      <c r="C71" s="468" t="s">
        <v>25</v>
      </c>
      <c r="D71" s="469"/>
      <c r="E71" s="459"/>
      <c r="F71" s="459">
        <v>120.0</v>
      </c>
      <c r="G71" s="459">
        <f t="shared" ref="G71:G72" si="27">F71/$G$16</f>
        <v>96</v>
      </c>
      <c r="H71" s="459">
        <f t="shared" ref="H71:H72" si="28">F71/$H$16</f>
        <v>90.90909091</v>
      </c>
      <c r="I71" s="470">
        <v>1.0</v>
      </c>
      <c r="J71" s="68"/>
      <c r="K71" s="462"/>
      <c r="L71" s="34"/>
      <c r="M71" s="34"/>
      <c r="N71" s="34"/>
      <c r="O71" s="34"/>
      <c r="P71" s="73"/>
    </row>
    <row r="72" ht="30.0" customHeight="1">
      <c r="B72" s="456"/>
      <c r="C72" s="468" t="s">
        <v>26</v>
      </c>
      <c r="D72" s="469"/>
      <c r="E72" s="459"/>
      <c r="F72" s="459">
        <v>0.0</v>
      </c>
      <c r="G72" s="459">
        <f t="shared" si="27"/>
        <v>0</v>
      </c>
      <c r="H72" s="459">
        <f t="shared" si="28"/>
        <v>0</v>
      </c>
      <c r="I72" s="470">
        <v>2.0</v>
      </c>
      <c r="J72" s="68"/>
      <c r="K72" s="462"/>
      <c r="L72" s="34"/>
      <c r="M72" s="34"/>
      <c r="N72" s="34"/>
      <c r="O72" s="34"/>
      <c r="P72" s="73"/>
    </row>
    <row r="73" ht="30.0" customHeight="1">
      <c r="B73" s="456"/>
      <c r="C73" s="214" t="s">
        <v>89</v>
      </c>
      <c r="D73" s="469"/>
      <c r="E73" s="459"/>
      <c r="F73" s="459"/>
      <c r="G73" s="459"/>
      <c r="H73" s="459"/>
      <c r="I73" s="470"/>
      <c r="J73" s="227">
        <v>3.0</v>
      </c>
      <c r="K73" s="255"/>
      <c r="L73" s="34"/>
      <c r="M73" s="34"/>
      <c r="N73" s="34"/>
      <c r="O73" s="34"/>
      <c r="P73" s="51"/>
    </row>
    <row r="74" ht="30.0" customHeight="1">
      <c r="B74" s="456">
        <v>16.0</v>
      </c>
      <c r="C74" s="465" t="s">
        <v>68</v>
      </c>
      <c r="D74" s="466"/>
      <c r="E74" s="459"/>
      <c r="F74" s="459"/>
      <c r="G74" s="459"/>
      <c r="H74" s="459"/>
      <c r="I74" s="460"/>
      <c r="J74" s="72" t="s">
        <v>25</v>
      </c>
      <c r="K74" s="462">
        <f>IF(J74="YES",IF(J12="2010-2013",H75*J73,IF(J12="2014-2021",G75*J73,IF(J12="2021-2023",F75*J73,0))),0)</f>
        <v>13500</v>
      </c>
      <c r="L74" s="601"/>
      <c r="M74" s="601"/>
      <c r="N74" s="601"/>
      <c r="O74" s="207" t="s">
        <v>82</v>
      </c>
      <c r="P74" s="73">
        <f>IF(O74="Delapidated",K74*0.6,IF(O74="Poor",K74*0.7,IF(O74="Fair",K74*0.8,IF(O74="Good",K74*0.85,IF(O74="Very Good",K74*0.9,IF(O74="Excellent",K74*1,IF(O74="Not Applicable",K74*1,0)))))))</f>
        <v>12150</v>
      </c>
      <c r="AB74" s="607"/>
    </row>
    <row r="75" ht="30.0" customHeight="1">
      <c r="B75" s="456"/>
      <c r="C75" s="468" t="s">
        <v>25</v>
      </c>
      <c r="D75" s="469"/>
      <c r="E75" s="459"/>
      <c r="F75" s="459">
        <v>4500.0</v>
      </c>
      <c r="G75" s="459">
        <f t="shared" ref="G75:G76" si="29">F75/$G$16</f>
        <v>3600</v>
      </c>
      <c r="H75" s="459">
        <f t="shared" ref="H75:H76" si="30">F75/$H$16</f>
        <v>3409.090909</v>
      </c>
      <c r="I75" s="470">
        <v>1.0</v>
      </c>
      <c r="J75" s="322"/>
      <c r="K75" s="462"/>
      <c r="L75" s="34"/>
      <c r="M75" s="34"/>
      <c r="N75" s="34"/>
      <c r="O75" s="34"/>
      <c r="P75" s="73"/>
    </row>
    <row r="76" ht="30.0" customHeight="1">
      <c r="B76" s="456"/>
      <c r="C76" s="468" t="s">
        <v>26</v>
      </c>
      <c r="D76" s="469"/>
      <c r="E76" s="475"/>
      <c r="F76" s="475">
        <v>0.0</v>
      </c>
      <c r="G76" s="459">
        <f t="shared" si="29"/>
        <v>0</v>
      </c>
      <c r="H76" s="459">
        <f t="shared" si="30"/>
        <v>0</v>
      </c>
      <c r="I76" s="470">
        <v>2.0</v>
      </c>
      <c r="J76" s="322"/>
      <c r="K76" s="608"/>
      <c r="L76" s="34"/>
      <c r="M76" s="34"/>
      <c r="N76" s="34"/>
      <c r="O76" s="34"/>
      <c r="P76" s="217"/>
    </row>
    <row r="77" ht="30.0" customHeight="1">
      <c r="A77" s="386"/>
      <c r="B77" s="609"/>
      <c r="C77" s="469"/>
      <c r="D77" s="469"/>
      <c r="E77" s="478"/>
      <c r="F77" s="478"/>
      <c r="G77" s="478"/>
      <c r="H77" s="478"/>
      <c r="I77" s="479"/>
      <c r="J77" s="480"/>
      <c r="K77" s="481"/>
      <c r="L77" s="193"/>
      <c r="M77" s="193"/>
      <c r="N77" s="193"/>
      <c r="O77" s="193"/>
      <c r="P77" s="610"/>
      <c r="Q77" s="386"/>
      <c r="R77" s="386"/>
      <c r="S77" s="386"/>
      <c r="T77" s="386"/>
      <c r="U77" s="386"/>
      <c r="V77" s="386"/>
      <c r="W77" s="386"/>
      <c r="X77" s="386"/>
      <c r="Y77" s="386"/>
      <c r="Z77" s="386"/>
      <c r="AA77" s="386"/>
      <c r="AB77" s="386"/>
      <c r="AC77" s="386"/>
      <c r="AD77" s="386"/>
    </row>
    <row r="78" ht="30.0" customHeight="1">
      <c r="B78" s="472"/>
      <c r="C78" s="214" t="s">
        <v>69</v>
      </c>
      <c r="D78" s="469"/>
      <c r="E78" s="484"/>
      <c r="F78" s="484"/>
      <c r="G78" s="484"/>
      <c r="H78" s="484"/>
      <c r="I78" s="485"/>
      <c r="J78" s="227">
        <v>25.0</v>
      </c>
      <c r="K78" s="486"/>
      <c r="L78" s="611"/>
      <c r="M78" s="611"/>
      <c r="N78" s="611"/>
      <c r="O78" s="612"/>
      <c r="P78" s="45"/>
    </row>
    <row r="79" ht="30.0" customHeight="1">
      <c r="B79" s="472">
        <v>17.0</v>
      </c>
      <c r="C79" s="603" t="s">
        <v>70</v>
      </c>
      <c r="D79" s="469"/>
      <c r="E79" s="484"/>
      <c r="F79" s="484"/>
      <c r="G79" s="484"/>
      <c r="H79" s="484"/>
      <c r="I79" s="470"/>
      <c r="J79" s="229" t="s">
        <v>25</v>
      </c>
      <c r="K79" s="476">
        <f>IF(J79="YES",IF(J12="2010-2013",H80*J78,IF(J12="2014-2021",G80*J78,IF(J12="2021-2023",F80*J78,0))),0)</f>
        <v>45000</v>
      </c>
      <c r="L79" s="601"/>
      <c r="M79" s="601"/>
      <c r="N79" s="601"/>
      <c r="O79" s="207" t="s">
        <v>82</v>
      </c>
      <c r="P79" s="73">
        <f>IF(O79="Delapidated",K79*0.6,IF(O79="Poor",K79*0.7,IF(O79="Fair",K79*0.8,IF(O79="Good",K79*0.85,IF(O79="Very Good",K79*0.9,IF(O79="Excellent",K79*1,IF(O79="Not Applicable",K79*1,0)))))))</f>
        <v>40500</v>
      </c>
    </row>
    <row r="80" ht="30.0" customHeight="1">
      <c r="B80" s="472"/>
      <c r="C80" s="468" t="s">
        <v>25</v>
      </c>
      <c r="D80" s="469"/>
      <c r="E80" s="475"/>
      <c r="F80" s="475">
        <v>1800.0</v>
      </c>
      <c r="G80" s="475">
        <v>2610.0</v>
      </c>
      <c r="H80" s="475">
        <v>2030.0</v>
      </c>
      <c r="I80" s="470"/>
      <c r="J80" s="489"/>
      <c r="K80" s="476"/>
      <c r="L80" s="613"/>
      <c r="M80" s="613"/>
      <c r="N80" s="613"/>
      <c r="O80" s="250"/>
      <c r="P80" s="202"/>
    </row>
    <row r="81" ht="30.0" customHeight="1">
      <c r="B81" s="464"/>
      <c r="C81" s="614" t="s">
        <v>26</v>
      </c>
      <c r="D81" s="469"/>
      <c r="E81" s="484"/>
      <c r="F81" s="484"/>
      <c r="G81" s="484"/>
      <c r="H81" s="484"/>
      <c r="I81" s="470"/>
      <c r="J81" s="615"/>
      <c r="K81" s="476"/>
      <c r="L81" s="17"/>
      <c r="M81" s="17"/>
      <c r="N81" s="17"/>
      <c r="O81" s="17"/>
      <c r="P81" s="202"/>
    </row>
    <row r="82" ht="30.0" customHeight="1">
      <c r="B82" s="529"/>
      <c r="C82" s="529"/>
      <c r="D82" s="530"/>
      <c r="E82" s="616"/>
      <c r="F82" s="617"/>
      <c r="G82" s="617"/>
      <c r="H82" s="617"/>
      <c r="I82" s="618"/>
      <c r="J82" s="529"/>
      <c r="K82" s="619"/>
      <c r="L82" s="17"/>
      <c r="M82" s="17"/>
      <c r="N82" s="17"/>
      <c r="O82" s="17"/>
      <c r="P82" s="620"/>
    </row>
    <row r="83" ht="30.0" customHeight="1">
      <c r="B83" s="529"/>
      <c r="C83" s="529"/>
      <c r="D83" s="530"/>
      <c r="E83" s="616"/>
      <c r="F83" s="617"/>
      <c r="G83" s="617"/>
      <c r="H83" s="617"/>
      <c r="I83" s="618"/>
      <c r="J83" s="529"/>
      <c r="K83" s="621"/>
      <c r="L83" s="17"/>
      <c r="M83" s="17"/>
      <c r="N83" s="17"/>
      <c r="O83" s="17"/>
      <c r="P83" s="622"/>
    </row>
    <row r="84" ht="30.0" customHeight="1">
      <c r="B84" s="529"/>
      <c r="C84" s="529"/>
      <c r="D84" s="530"/>
      <c r="E84" s="616"/>
      <c r="F84" s="617"/>
      <c r="G84" s="617"/>
      <c r="H84" s="617"/>
      <c r="I84" s="618"/>
      <c r="J84" s="529"/>
      <c r="K84" s="621"/>
      <c r="L84" s="17"/>
      <c r="M84" s="17"/>
      <c r="N84" s="17"/>
      <c r="O84" s="17"/>
      <c r="P84" s="622"/>
    </row>
    <row r="85" ht="30.0" customHeight="1">
      <c r="B85" s="529"/>
      <c r="C85" s="529"/>
      <c r="D85" s="530"/>
      <c r="E85" s="616"/>
      <c r="F85" s="617"/>
      <c r="G85" s="617"/>
      <c r="H85" s="617"/>
      <c r="I85" s="618"/>
      <c r="J85" s="529"/>
      <c r="K85" s="621"/>
      <c r="L85" s="17"/>
      <c r="M85" s="17"/>
      <c r="N85" s="17"/>
      <c r="O85" s="17"/>
      <c r="P85" s="622"/>
    </row>
    <row r="86" ht="30.0" customHeight="1">
      <c r="B86" s="529"/>
      <c r="C86" s="529"/>
      <c r="D86" s="530"/>
      <c r="E86" s="616"/>
      <c r="F86" s="617"/>
      <c r="G86" s="617"/>
      <c r="H86" s="617"/>
      <c r="I86" s="618"/>
      <c r="J86" s="529"/>
      <c r="K86" s="621"/>
      <c r="L86" s="17"/>
      <c r="M86" s="17"/>
      <c r="N86" s="17"/>
      <c r="O86" s="17"/>
      <c r="P86" s="622"/>
    </row>
    <row r="87" ht="30.0" customHeight="1">
      <c r="B87" s="529"/>
      <c r="C87" s="529"/>
      <c r="D87" s="530"/>
      <c r="E87" s="616"/>
      <c r="F87" s="617"/>
      <c r="G87" s="617"/>
      <c r="H87" s="617"/>
      <c r="I87" s="618"/>
      <c r="J87" s="529"/>
      <c r="K87" s="621"/>
      <c r="L87" s="17"/>
      <c r="M87" s="17"/>
      <c r="N87" s="17"/>
      <c r="O87" s="17"/>
      <c r="P87" s="622"/>
    </row>
    <row r="88" ht="30.0" customHeight="1">
      <c r="B88" s="529"/>
      <c r="C88" s="529"/>
      <c r="D88" s="530"/>
      <c r="E88" s="616"/>
      <c r="F88" s="617"/>
      <c r="G88" s="617"/>
      <c r="H88" s="617"/>
      <c r="I88" s="618"/>
      <c r="J88" s="529"/>
      <c r="K88" s="621"/>
      <c r="L88" s="17"/>
      <c r="M88" s="17"/>
      <c r="N88" s="17"/>
      <c r="O88" s="17"/>
      <c r="P88" s="622"/>
    </row>
    <row r="89" ht="30.0" customHeight="1">
      <c r="B89" s="524"/>
      <c r="C89" s="17"/>
      <c r="D89" s="525"/>
      <c r="E89" s="623"/>
      <c r="F89" s="526"/>
      <c r="G89" s="526"/>
      <c r="H89" s="526"/>
      <c r="I89" s="521"/>
      <c r="J89" s="144" t="s">
        <v>74</v>
      </c>
      <c r="K89" s="527">
        <f>SUM(K17:K79)</f>
        <v>366661.8</v>
      </c>
      <c r="L89" s="17"/>
      <c r="M89" s="17"/>
      <c r="N89" s="17"/>
      <c r="O89" s="17"/>
      <c r="P89" s="266">
        <f>SUM(P14:P79)</f>
        <v>348359</v>
      </c>
    </row>
    <row r="90" ht="30.0" customHeight="1">
      <c r="B90" s="529"/>
      <c r="C90" s="529"/>
      <c r="D90" s="530"/>
      <c r="E90" s="624"/>
      <c r="F90" s="531"/>
      <c r="G90" s="531"/>
      <c r="H90" s="531"/>
      <c r="I90" s="532"/>
      <c r="J90" s="144" t="s">
        <v>75</v>
      </c>
      <c r="K90" s="527">
        <f>K89/J11</f>
        <v>3055.515</v>
      </c>
      <c r="L90" s="17"/>
      <c r="M90" s="17"/>
      <c r="N90" s="17"/>
      <c r="O90" s="17"/>
      <c r="P90" s="266">
        <f>P89/J11</f>
        <v>2902.991667</v>
      </c>
    </row>
    <row r="91" ht="12.0" customHeight="1">
      <c r="K91" s="151"/>
      <c r="L91" s="34"/>
      <c r="M91" s="34"/>
      <c r="N91" s="34"/>
      <c r="O91" s="34"/>
      <c r="P91" s="136"/>
    </row>
    <row r="92" ht="12.0" customHeight="1">
      <c r="J92" s="144" t="s">
        <v>76</v>
      </c>
      <c r="K92" s="150">
        <f>K89/1.14</f>
        <v>321633.1579</v>
      </c>
      <c r="L92" s="17"/>
      <c r="M92" s="17"/>
      <c r="N92" s="17"/>
      <c r="O92" s="17"/>
      <c r="P92" s="150">
        <f>P89/1.14</f>
        <v>305578.0702</v>
      </c>
    </row>
    <row r="93" ht="12.0" customHeight="1">
      <c r="J93" s="144" t="s">
        <v>77</v>
      </c>
      <c r="K93" s="150">
        <f>K92/J11</f>
        <v>2680.276316</v>
      </c>
      <c r="L93" s="17"/>
      <c r="M93" s="17"/>
      <c r="N93" s="17"/>
      <c r="O93" s="17"/>
      <c r="P93" s="150">
        <f>P92/J11</f>
        <v>2546.483918</v>
      </c>
    </row>
    <row r="94" ht="12.0" customHeight="1">
      <c r="L94" s="17"/>
      <c r="M94" s="17"/>
      <c r="N94" s="17"/>
      <c r="O94" s="17"/>
      <c r="P94" s="117"/>
    </row>
    <row r="95" ht="12.0" customHeight="1">
      <c r="L95" s="17"/>
      <c r="M95" s="17"/>
      <c r="N95" s="17"/>
      <c r="O95" s="17"/>
      <c r="P95" s="117"/>
    </row>
    <row r="96" ht="12.0" customHeight="1">
      <c r="L96" s="17"/>
      <c r="M96" s="17"/>
      <c r="N96" s="17"/>
      <c r="O96" s="17"/>
      <c r="P96" s="151"/>
    </row>
    <row r="97" ht="12.0" customHeight="1">
      <c r="L97" s="147"/>
      <c r="M97" s="147"/>
      <c r="N97" s="147"/>
      <c r="O97" s="147"/>
      <c r="P97" s="625"/>
    </row>
    <row r="98" ht="12.0" customHeight="1">
      <c r="K98" s="151"/>
      <c r="P98" s="151"/>
    </row>
    <row r="99" ht="12.0" customHeight="1">
      <c r="K99" s="151"/>
      <c r="P99" s="151"/>
    </row>
    <row r="100" ht="12.0" customHeight="1">
      <c r="K100" s="151"/>
      <c r="P100" s="151"/>
    </row>
    <row r="101" ht="12.0" customHeight="1">
      <c r="K101" s="151"/>
      <c r="P101" s="151"/>
    </row>
    <row r="102" ht="12.0" customHeight="1">
      <c r="K102" s="151"/>
      <c r="P102" s="151"/>
    </row>
    <row r="103" ht="12.0" customHeight="1">
      <c r="K103" s="151"/>
      <c r="P103" s="151"/>
    </row>
    <row r="104" ht="12.0" customHeight="1">
      <c r="K104" s="151"/>
      <c r="P104" s="151"/>
    </row>
    <row r="105" ht="12.0" customHeight="1">
      <c r="K105" s="151"/>
      <c r="P105" s="151"/>
    </row>
    <row r="106" ht="12.0" customHeight="1">
      <c r="K106" s="151"/>
      <c r="P106" s="151"/>
    </row>
    <row r="107" ht="12.0" customHeight="1">
      <c r="K107" s="151"/>
      <c r="P107" s="151"/>
    </row>
    <row r="108" ht="12.0" customHeight="1">
      <c r="K108" s="151"/>
      <c r="P108" s="151"/>
    </row>
    <row r="109" ht="12.0" customHeight="1">
      <c r="K109" s="151"/>
      <c r="P109" s="151"/>
    </row>
    <row r="110" ht="12.0" customHeight="1">
      <c r="K110" s="151"/>
      <c r="P110" s="151"/>
    </row>
    <row r="111" ht="12.0" customHeight="1">
      <c r="K111" s="151"/>
      <c r="P111" s="151"/>
    </row>
    <row r="112" ht="12.0" customHeight="1">
      <c r="K112" s="151"/>
      <c r="P112" s="151"/>
    </row>
    <row r="113" ht="12.0" customHeight="1">
      <c r="K113" s="151"/>
      <c r="P113" s="151"/>
    </row>
    <row r="114" ht="12.0" customHeight="1">
      <c r="K114" s="151"/>
      <c r="P114" s="151"/>
    </row>
    <row r="115" ht="12.0" customHeight="1">
      <c r="K115" s="151"/>
      <c r="P115" s="151"/>
    </row>
    <row r="116" ht="12.0" customHeight="1">
      <c r="K116" s="151"/>
      <c r="P116" s="151"/>
    </row>
    <row r="117" ht="12.0" customHeight="1">
      <c r="K117" s="151"/>
      <c r="P117" s="151"/>
    </row>
    <row r="118" ht="12.0" customHeight="1">
      <c r="K118" s="151"/>
      <c r="P118" s="151"/>
    </row>
    <row r="119" ht="12.0" customHeight="1">
      <c r="K119" s="151"/>
      <c r="P119" s="151"/>
    </row>
    <row r="120" ht="12.0" customHeight="1">
      <c r="K120" s="151"/>
      <c r="P120" s="151"/>
    </row>
    <row r="121" ht="12.0" customHeight="1">
      <c r="K121" s="151"/>
      <c r="P121" s="151"/>
    </row>
    <row r="122" ht="12.0" customHeight="1">
      <c r="K122" s="151"/>
      <c r="P122" s="151"/>
    </row>
    <row r="123" ht="12.0" customHeight="1">
      <c r="K123" s="151"/>
      <c r="P123" s="151"/>
    </row>
    <row r="124" ht="12.0" customHeight="1">
      <c r="K124" s="151"/>
      <c r="P124" s="151"/>
    </row>
    <row r="125" ht="12.0" customHeight="1">
      <c r="K125" s="151"/>
      <c r="P125" s="151"/>
    </row>
    <row r="126" ht="12.0" customHeight="1">
      <c r="K126" s="151"/>
      <c r="P126" s="151"/>
    </row>
    <row r="127" ht="12.0" customHeight="1">
      <c r="K127" s="151"/>
      <c r="P127" s="151"/>
    </row>
    <row r="128" ht="12.0" customHeight="1">
      <c r="K128" s="151"/>
      <c r="P128" s="151"/>
    </row>
    <row r="129" ht="12.0" customHeight="1">
      <c r="K129" s="151"/>
      <c r="P129" s="151"/>
    </row>
    <row r="130" ht="12.0" customHeight="1">
      <c r="K130" s="151"/>
      <c r="P130" s="151"/>
    </row>
    <row r="131" ht="12.0" customHeight="1">
      <c r="K131" s="151"/>
      <c r="P131" s="151"/>
    </row>
    <row r="132" ht="12.0" customHeight="1">
      <c r="K132" s="151"/>
      <c r="P132" s="151"/>
    </row>
    <row r="133" ht="12.0" customHeight="1">
      <c r="K133" s="151"/>
      <c r="P133" s="151"/>
    </row>
    <row r="134" ht="12.0" customHeight="1">
      <c r="K134" s="151"/>
      <c r="P134" s="151"/>
    </row>
    <row r="135" ht="12.0" customHeight="1">
      <c r="K135" s="151"/>
      <c r="P135" s="151"/>
    </row>
    <row r="136" ht="12.0" customHeight="1">
      <c r="K136" s="151"/>
      <c r="P136" s="151"/>
    </row>
    <row r="137" ht="12.0" customHeight="1">
      <c r="K137" s="151"/>
      <c r="P137" s="151"/>
    </row>
    <row r="138" ht="12.0" customHeight="1">
      <c r="K138" s="151"/>
      <c r="P138" s="151"/>
    </row>
    <row r="139" ht="12.0" customHeight="1">
      <c r="K139" s="151"/>
      <c r="P139" s="151"/>
    </row>
    <row r="140" ht="12.0" customHeight="1">
      <c r="K140" s="151"/>
      <c r="P140" s="151"/>
    </row>
    <row r="141" ht="12.0" customHeight="1">
      <c r="K141" s="151"/>
      <c r="P141" s="151"/>
    </row>
    <row r="142" ht="12.0" customHeight="1">
      <c r="K142" s="151"/>
      <c r="P142" s="151"/>
    </row>
    <row r="143" ht="12.0" customHeight="1">
      <c r="K143" s="151"/>
      <c r="P143" s="151"/>
    </row>
    <row r="144" ht="12.0" customHeight="1">
      <c r="K144" s="151"/>
      <c r="P144" s="151"/>
    </row>
    <row r="145" ht="12.0" customHeight="1">
      <c r="K145" s="151"/>
      <c r="P145" s="151"/>
    </row>
    <row r="146" ht="12.0" customHeight="1">
      <c r="K146" s="151"/>
      <c r="P146" s="151"/>
    </row>
    <row r="147" ht="12.0" customHeight="1">
      <c r="K147" s="151"/>
      <c r="P147" s="151"/>
    </row>
    <row r="148" ht="12.0" customHeight="1">
      <c r="K148" s="151"/>
      <c r="P148" s="151"/>
    </row>
    <row r="149" ht="12.0" customHeight="1">
      <c r="K149" s="151"/>
      <c r="P149" s="151"/>
    </row>
    <row r="150" ht="12.0" customHeight="1">
      <c r="K150" s="151"/>
      <c r="P150" s="151"/>
    </row>
    <row r="151" ht="12.0" customHeight="1">
      <c r="K151" s="151"/>
      <c r="P151" s="151"/>
    </row>
    <row r="152" ht="12.0" customHeight="1">
      <c r="K152" s="151"/>
      <c r="P152" s="151"/>
    </row>
    <row r="153" ht="12.0" customHeight="1">
      <c r="K153" s="151"/>
      <c r="P153" s="151"/>
    </row>
    <row r="154" ht="12.0" customHeight="1">
      <c r="K154" s="151"/>
      <c r="P154" s="151"/>
    </row>
    <row r="155" ht="12.0" customHeight="1">
      <c r="K155" s="151"/>
      <c r="P155" s="151"/>
    </row>
    <row r="156" ht="12.0" customHeight="1">
      <c r="K156" s="151"/>
      <c r="P156" s="151"/>
    </row>
    <row r="157" ht="12.0" customHeight="1">
      <c r="K157" s="151"/>
      <c r="P157" s="151"/>
    </row>
    <row r="158" ht="12.0" customHeight="1">
      <c r="K158" s="151"/>
      <c r="P158" s="151"/>
    </row>
    <row r="159" ht="12.0" customHeight="1">
      <c r="K159" s="151"/>
      <c r="P159" s="151"/>
    </row>
    <row r="160" ht="12.0" customHeight="1">
      <c r="K160" s="151"/>
      <c r="P160" s="151"/>
    </row>
    <row r="161" ht="12.0" customHeight="1">
      <c r="K161" s="151"/>
      <c r="P161" s="151"/>
    </row>
    <row r="162" ht="12.0" customHeight="1">
      <c r="K162" s="151"/>
      <c r="P162" s="151"/>
    </row>
    <row r="163" ht="12.0" customHeight="1">
      <c r="K163" s="151"/>
      <c r="P163" s="151"/>
    </row>
    <row r="164" ht="12.0" customHeight="1">
      <c r="K164" s="151"/>
      <c r="P164" s="151"/>
    </row>
    <row r="165" ht="12.0" customHeight="1">
      <c r="K165" s="151"/>
      <c r="P165" s="151"/>
    </row>
    <row r="166" ht="12.0" customHeight="1">
      <c r="K166" s="151"/>
      <c r="P166" s="151"/>
    </row>
    <row r="167" ht="12.0" customHeight="1">
      <c r="K167" s="151"/>
      <c r="P167" s="151"/>
    </row>
    <row r="168" ht="12.0" customHeight="1">
      <c r="K168" s="151"/>
      <c r="P168" s="151"/>
    </row>
    <row r="169" ht="12.0" customHeight="1">
      <c r="K169" s="151"/>
      <c r="P169" s="151"/>
    </row>
    <row r="170" ht="12.0" customHeight="1">
      <c r="K170" s="151"/>
      <c r="P170" s="151"/>
    </row>
    <row r="171" ht="12.0" customHeight="1">
      <c r="K171" s="151"/>
      <c r="P171" s="151"/>
    </row>
    <row r="172" ht="12.0" customHeight="1">
      <c r="K172" s="151"/>
      <c r="P172" s="151"/>
    </row>
    <row r="173" ht="12.0" customHeight="1">
      <c r="K173" s="151"/>
      <c r="P173" s="151"/>
    </row>
    <row r="174" ht="12.0" customHeight="1">
      <c r="K174" s="151"/>
      <c r="P174" s="151"/>
    </row>
    <row r="175" ht="12.0" customHeight="1">
      <c r="K175" s="151"/>
      <c r="P175" s="151"/>
    </row>
    <row r="176" ht="12.0" customHeight="1">
      <c r="K176" s="151"/>
      <c r="P176" s="151"/>
    </row>
    <row r="177" ht="12.0" customHeight="1">
      <c r="K177" s="151"/>
      <c r="P177" s="151"/>
    </row>
    <row r="178" ht="12.0" customHeight="1">
      <c r="K178" s="151"/>
      <c r="P178" s="151"/>
    </row>
    <row r="179" ht="12.0" customHeight="1">
      <c r="K179" s="151"/>
      <c r="P179" s="151"/>
    </row>
    <row r="180" ht="12.0" customHeight="1">
      <c r="K180" s="151"/>
      <c r="P180" s="151"/>
    </row>
    <row r="181" ht="12.0" customHeight="1">
      <c r="K181" s="151"/>
      <c r="P181" s="151"/>
    </row>
    <row r="182" ht="12.0" customHeight="1">
      <c r="K182" s="151"/>
      <c r="P182" s="151"/>
    </row>
    <row r="183" ht="12.0" customHeight="1">
      <c r="K183" s="151"/>
      <c r="P183" s="151"/>
    </row>
    <row r="184" ht="12.0" customHeight="1">
      <c r="K184" s="151"/>
      <c r="P184" s="151"/>
    </row>
    <row r="185" ht="12.0" customHeight="1">
      <c r="K185" s="151"/>
      <c r="P185" s="151"/>
    </row>
    <row r="186" ht="12.0" customHeight="1">
      <c r="K186" s="151"/>
      <c r="P186" s="151"/>
    </row>
    <row r="187" ht="12.0" customHeight="1">
      <c r="K187" s="151"/>
      <c r="P187" s="151"/>
    </row>
    <row r="188" ht="12.0" customHeight="1">
      <c r="K188" s="151"/>
      <c r="P188" s="151"/>
    </row>
    <row r="189" ht="12.0" customHeight="1">
      <c r="K189" s="151"/>
      <c r="P189" s="151"/>
    </row>
    <row r="190" ht="12.0" customHeight="1">
      <c r="K190" s="151"/>
      <c r="P190" s="151"/>
    </row>
    <row r="191" ht="12.0" customHeight="1">
      <c r="K191" s="151"/>
      <c r="P191" s="151"/>
    </row>
    <row r="192" ht="12.0" customHeight="1">
      <c r="K192" s="151"/>
      <c r="P192" s="151"/>
    </row>
    <row r="193" ht="12.0" customHeight="1">
      <c r="K193" s="151"/>
      <c r="P193" s="151"/>
    </row>
    <row r="194" ht="12.0" customHeight="1">
      <c r="K194" s="151"/>
      <c r="P194" s="151"/>
    </row>
    <row r="195" ht="12.0" customHeight="1">
      <c r="K195" s="151"/>
      <c r="P195" s="151"/>
    </row>
    <row r="196" ht="12.0" customHeight="1">
      <c r="K196" s="151"/>
      <c r="P196" s="151"/>
    </row>
    <row r="197" ht="12.0" customHeight="1">
      <c r="K197" s="151"/>
      <c r="P197" s="151"/>
    </row>
    <row r="198" ht="12.0" customHeight="1">
      <c r="K198" s="151"/>
      <c r="P198" s="151"/>
    </row>
    <row r="199" ht="12.0" customHeight="1">
      <c r="K199" s="151"/>
      <c r="P199" s="151"/>
    </row>
    <row r="200" ht="12.0" customHeight="1">
      <c r="K200" s="151"/>
      <c r="P200" s="151"/>
    </row>
    <row r="201" ht="12.0" customHeight="1">
      <c r="K201" s="151"/>
      <c r="P201" s="151"/>
    </row>
    <row r="202" ht="12.0" customHeight="1">
      <c r="K202" s="151"/>
      <c r="P202" s="151"/>
    </row>
    <row r="203" ht="12.0" customHeight="1">
      <c r="K203" s="151"/>
      <c r="P203" s="151"/>
    </row>
    <row r="204" ht="12.0" customHeight="1">
      <c r="K204" s="151"/>
      <c r="P204" s="151"/>
    </row>
    <row r="205" ht="12.0" customHeight="1">
      <c r="K205" s="151"/>
      <c r="P205" s="151"/>
    </row>
    <row r="206" ht="12.0" customHeight="1">
      <c r="K206" s="151"/>
      <c r="P206" s="151"/>
    </row>
    <row r="207" ht="12.0" customHeight="1">
      <c r="K207" s="151"/>
      <c r="P207" s="151"/>
    </row>
    <row r="208" ht="12.0" customHeight="1">
      <c r="K208" s="151"/>
      <c r="P208" s="151"/>
    </row>
    <row r="209" ht="12.0" customHeight="1">
      <c r="K209" s="151"/>
      <c r="P209" s="151"/>
    </row>
    <row r="210" ht="12.0" customHeight="1">
      <c r="K210" s="151"/>
      <c r="P210" s="151"/>
    </row>
    <row r="211" ht="12.0" customHeight="1">
      <c r="K211" s="151"/>
      <c r="P211" s="151"/>
    </row>
    <row r="212" ht="12.0" customHeight="1">
      <c r="K212" s="151"/>
      <c r="P212" s="151"/>
    </row>
    <row r="213" ht="12.0" customHeight="1">
      <c r="K213" s="151"/>
      <c r="P213" s="151"/>
    </row>
    <row r="214" ht="12.0" customHeight="1">
      <c r="K214" s="151"/>
      <c r="P214" s="151"/>
    </row>
    <row r="215" ht="12.0" customHeight="1">
      <c r="K215" s="151"/>
      <c r="P215" s="151"/>
    </row>
    <row r="216" ht="12.0" customHeight="1">
      <c r="K216" s="151"/>
      <c r="P216" s="151"/>
    </row>
    <row r="217" ht="12.0" customHeight="1">
      <c r="K217" s="151"/>
      <c r="P217" s="151"/>
    </row>
    <row r="218" ht="12.0" customHeight="1">
      <c r="K218" s="151"/>
      <c r="P218" s="151"/>
    </row>
    <row r="219" ht="12.0" customHeight="1">
      <c r="K219" s="151"/>
      <c r="P219" s="151"/>
    </row>
    <row r="220" ht="12.0" customHeight="1">
      <c r="K220" s="151"/>
      <c r="P220" s="151"/>
    </row>
    <row r="221" ht="12.0" customHeight="1">
      <c r="K221" s="151"/>
      <c r="P221" s="151"/>
    </row>
    <row r="222" ht="12.0" customHeight="1">
      <c r="K222" s="151"/>
      <c r="P222" s="151"/>
    </row>
    <row r="223" ht="12.0" customHeight="1">
      <c r="K223" s="151"/>
      <c r="P223" s="151"/>
    </row>
    <row r="224" ht="12.0" customHeight="1">
      <c r="K224" s="151"/>
      <c r="P224" s="151"/>
    </row>
    <row r="225" ht="12.0" customHeight="1">
      <c r="K225" s="151"/>
      <c r="P225" s="151"/>
    </row>
    <row r="226" ht="12.0" customHeight="1">
      <c r="K226" s="151"/>
      <c r="P226" s="151"/>
    </row>
    <row r="227" ht="12.0" customHeight="1">
      <c r="K227" s="151"/>
      <c r="P227" s="151"/>
    </row>
    <row r="228" ht="12.0" customHeight="1">
      <c r="K228" s="151"/>
      <c r="P228" s="151"/>
    </row>
    <row r="229" ht="12.0" customHeight="1">
      <c r="K229" s="151"/>
      <c r="P229" s="151"/>
    </row>
    <row r="230" ht="12.0" customHeight="1">
      <c r="K230" s="151"/>
      <c r="P230" s="151"/>
    </row>
    <row r="231" ht="12.0" customHeight="1">
      <c r="K231" s="151"/>
      <c r="P231" s="151"/>
    </row>
    <row r="232" ht="12.0" customHeight="1">
      <c r="K232" s="151"/>
      <c r="P232" s="151"/>
    </row>
    <row r="233" ht="12.0" customHeight="1">
      <c r="K233" s="151"/>
      <c r="P233" s="151"/>
    </row>
    <row r="234" ht="12.0" customHeight="1">
      <c r="K234" s="151"/>
      <c r="P234" s="151"/>
    </row>
    <row r="235" ht="12.0" customHeight="1">
      <c r="K235" s="151"/>
      <c r="P235" s="151"/>
    </row>
    <row r="236" ht="12.0" customHeight="1">
      <c r="K236" s="151"/>
      <c r="P236" s="151"/>
    </row>
    <row r="237" ht="12.0" customHeight="1">
      <c r="K237" s="151"/>
      <c r="P237" s="151"/>
    </row>
    <row r="238" ht="12.0" customHeight="1">
      <c r="K238" s="151"/>
      <c r="P238" s="151"/>
    </row>
    <row r="239" ht="12.0" customHeight="1">
      <c r="K239" s="151"/>
      <c r="P239" s="151"/>
    </row>
    <row r="240" ht="12.0" customHeight="1">
      <c r="K240" s="151"/>
      <c r="P240" s="151"/>
    </row>
    <row r="241" ht="12.0" customHeight="1">
      <c r="K241" s="151"/>
      <c r="P241" s="151"/>
    </row>
    <row r="242" ht="12.0" customHeight="1">
      <c r="K242" s="151"/>
      <c r="P242" s="151"/>
    </row>
    <row r="243" ht="12.0" customHeight="1">
      <c r="K243" s="151"/>
      <c r="P243" s="151"/>
    </row>
    <row r="244" ht="12.0" customHeight="1">
      <c r="K244" s="151"/>
      <c r="P244" s="151"/>
    </row>
    <row r="245" ht="12.0" customHeight="1">
      <c r="K245" s="151"/>
      <c r="P245" s="151"/>
    </row>
    <row r="246" ht="12.0" customHeight="1">
      <c r="K246" s="151"/>
      <c r="P246" s="151"/>
    </row>
    <row r="247" ht="12.0" customHeight="1">
      <c r="K247" s="151"/>
      <c r="P247" s="151"/>
    </row>
    <row r="248" ht="12.0" customHeight="1">
      <c r="K248" s="151"/>
      <c r="P248" s="151"/>
    </row>
    <row r="249" ht="12.0" customHeight="1">
      <c r="K249" s="151"/>
      <c r="P249" s="151"/>
    </row>
    <row r="250" ht="12.0" customHeight="1">
      <c r="K250" s="151"/>
      <c r="P250" s="151"/>
    </row>
    <row r="251" ht="12.0" customHeight="1">
      <c r="K251" s="151"/>
      <c r="P251" s="151"/>
    </row>
    <row r="252" ht="12.0" customHeight="1">
      <c r="K252" s="151"/>
      <c r="P252" s="151"/>
    </row>
    <row r="253" ht="12.0" customHeight="1">
      <c r="K253" s="151"/>
      <c r="P253" s="151"/>
    </row>
    <row r="254" ht="12.0" customHeight="1">
      <c r="K254" s="151"/>
      <c r="P254" s="151"/>
    </row>
    <row r="255" ht="12.0" customHeight="1">
      <c r="K255" s="151"/>
      <c r="P255" s="151"/>
    </row>
    <row r="256" ht="12.0" customHeight="1">
      <c r="K256" s="151"/>
      <c r="P256" s="151"/>
    </row>
    <row r="257" ht="12.0" customHeight="1">
      <c r="K257" s="151"/>
      <c r="P257" s="151"/>
    </row>
    <row r="258" ht="12.0" customHeight="1">
      <c r="K258" s="151"/>
      <c r="P258" s="151"/>
    </row>
    <row r="259" ht="12.0" customHeight="1">
      <c r="K259" s="151"/>
      <c r="P259" s="151"/>
    </row>
    <row r="260" ht="12.0" customHeight="1">
      <c r="K260" s="151"/>
      <c r="P260" s="151"/>
    </row>
    <row r="261" ht="12.0" customHeight="1">
      <c r="K261" s="151"/>
      <c r="P261" s="151"/>
    </row>
    <row r="262" ht="12.0" customHeight="1">
      <c r="K262" s="151"/>
      <c r="P262" s="151"/>
    </row>
    <row r="263" ht="12.0" customHeight="1">
      <c r="K263" s="151"/>
      <c r="P263" s="151"/>
    </row>
    <row r="264" ht="12.0" customHeight="1">
      <c r="K264" s="151"/>
      <c r="P264" s="151"/>
    </row>
    <row r="265" ht="12.0" customHeight="1">
      <c r="K265" s="151"/>
      <c r="P265" s="151"/>
    </row>
    <row r="266" ht="12.0" customHeight="1">
      <c r="K266" s="151"/>
      <c r="P266" s="151"/>
    </row>
    <row r="267" ht="12.0" customHeight="1">
      <c r="K267" s="151"/>
      <c r="P267" s="151"/>
    </row>
    <row r="268" ht="12.0" customHeight="1">
      <c r="K268" s="151"/>
      <c r="P268" s="151"/>
    </row>
    <row r="269" ht="12.0" customHeight="1">
      <c r="K269" s="151"/>
      <c r="P269" s="151"/>
    </row>
    <row r="270" ht="12.0" customHeight="1">
      <c r="K270" s="151"/>
      <c r="P270" s="151"/>
    </row>
    <row r="271" ht="12.0" customHeight="1">
      <c r="K271" s="151"/>
      <c r="P271" s="151"/>
    </row>
    <row r="272" ht="12.0" customHeight="1">
      <c r="K272" s="151"/>
      <c r="P272" s="151"/>
    </row>
    <row r="273" ht="12.0" customHeight="1">
      <c r="K273" s="151"/>
      <c r="P273" s="151"/>
    </row>
    <row r="274" ht="12.0" customHeight="1">
      <c r="K274" s="151"/>
      <c r="P274" s="151"/>
    </row>
    <row r="275" ht="12.0" customHeight="1">
      <c r="K275" s="151"/>
      <c r="P275" s="151"/>
    </row>
    <row r="276" ht="12.0" customHeight="1">
      <c r="K276" s="151"/>
      <c r="P276" s="151"/>
    </row>
    <row r="277" ht="12.0" customHeight="1">
      <c r="K277" s="151"/>
      <c r="P277" s="151"/>
    </row>
    <row r="278" ht="12.0" customHeight="1">
      <c r="K278" s="151"/>
      <c r="P278" s="151"/>
    </row>
    <row r="279" ht="12.0" customHeight="1">
      <c r="K279" s="151"/>
      <c r="P279" s="151"/>
    </row>
    <row r="280" ht="12.0" customHeight="1">
      <c r="K280" s="151"/>
      <c r="P280" s="151"/>
    </row>
    <row r="281" ht="12.0" customHeight="1">
      <c r="K281" s="151"/>
      <c r="P281" s="151"/>
    </row>
    <row r="282" ht="12.0" customHeight="1">
      <c r="K282" s="151"/>
      <c r="P282" s="151"/>
    </row>
    <row r="283" ht="12.0" customHeight="1">
      <c r="K283" s="151"/>
      <c r="P283" s="151"/>
    </row>
    <row r="284" ht="12.0" customHeight="1">
      <c r="K284" s="151"/>
      <c r="P284" s="151"/>
    </row>
    <row r="285" ht="12.0" customHeight="1">
      <c r="K285" s="151"/>
      <c r="P285" s="151"/>
    </row>
    <row r="286" ht="12.0" customHeight="1">
      <c r="K286" s="151"/>
      <c r="P286" s="151"/>
    </row>
    <row r="287" ht="12.0" customHeight="1">
      <c r="K287" s="151"/>
      <c r="P287" s="151"/>
    </row>
    <row r="288" ht="12.0" customHeight="1">
      <c r="K288" s="151"/>
      <c r="P288" s="151"/>
    </row>
    <row r="289" ht="12.0" customHeight="1">
      <c r="K289" s="151"/>
      <c r="P289" s="151"/>
    </row>
    <row r="290" ht="12.0" customHeight="1">
      <c r="K290" s="151"/>
      <c r="P290" s="151"/>
    </row>
    <row r="291" ht="12.0" customHeight="1">
      <c r="K291" s="151"/>
      <c r="P291" s="151"/>
    </row>
    <row r="292" ht="12.0" customHeight="1">
      <c r="K292" s="151"/>
      <c r="P292" s="151"/>
    </row>
    <row r="293" ht="12.0" customHeight="1">
      <c r="K293" s="151"/>
      <c r="P293" s="151"/>
    </row>
    <row r="294" ht="12.0" customHeight="1">
      <c r="K294" s="151"/>
      <c r="P294" s="151"/>
    </row>
    <row r="295" ht="12.0" customHeight="1">
      <c r="K295" s="151"/>
      <c r="P295" s="151"/>
    </row>
    <row r="296" ht="12.0" customHeight="1">
      <c r="K296" s="151"/>
      <c r="P296" s="151"/>
    </row>
    <row r="297" ht="12.0" customHeight="1">
      <c r="K297" s="151"/>
      <c r="P297" s="151"/>
    </row>
    <row r="298" ht="12.0" customHeight="1">
      <c r="K298" s="151"/>
      <c r="P298" s="151"/>
    </row>
    <row r="299" ht="12.0" customHeight="1">
      <c r="K299" s="151"/>
      <c r="P299" s="151"/>
    </row>
    <row r="300" ht="12.0" customHeight="1">
      <c r="K300" s="151"/>
      <c r="P300" s="151"/>
    </row>
    <row r="301" ht="12.0" customHeight="1">
      <c r="K301" s="151"/>
      <c r="P301" s="151"/>
    </row>
    <row r="302" ht="12.0" customHeight="1">
      <c r="K302" s="151"/>
      <c r="P302" s="151"/>
    </row>
    <row r="303" ht="12.0" customHeight="1">
      <c r="K303" s="151"/>
      <c r="P303" s="151"/>
    </row>
    <row r="304" ht="12.0" customHeight="1">
      <c r="K304" s="151"/>
      <c r="P304" s="151"/>
    </row>
    <row r="305" ht="12.0" customHeight="1">
      <c r="K305" s="151"/>
      <c r="P305" s="151"/>
    </row>
    <row r="306" ht="12.0" customHeight="1">
      <c r="K306" s="151"/>
      <c r="P306" s="151"/>
    </row>
    <row r="307" ht="12.0" customHeight="1">
      <c r="K307" s="151"/>
      <c r="P307" s="151"/>
    </row>
    <row r="308" ht="12.0" customHeight="1">
      <c r="K308" s="151"/>
      <c r="P308" s="151"/>
    </row>
    <row r="309" ht="12.0" customHeight="1">
      <c r="K309" s="151"/>
      <c r="P309" s="151"/>
    </row>
    <row r="310" ht="12.0" customHeight="1">
      <c r="K310" s="151"/>
      <c r="P310" s="151"/>
    </row>
    <row r="311" ht="12.0" customHeight="1">
      <c r="K311" s="151"/>
      <c r="P311" s="151"/>
    </row>
    <row r="312" ht="12.0" customHeight="1">
      <c r="K312" s="151"/>
      <c r="P312" s="151"/>
    </row>
    <row r="313" ht="12.0" customHeight="1">
      <c r="K313" s="151"/>
      <c r="P313" s="151"/>
    </row>
    <row r="314" ht="12.0" customHeight="1">
      <c r="K314" s="151"/>
      <c r="P314" s="151"/>
    </row>
    <row r="315" ht="12.0" customHeight="1">
      <c r="K315" s="151"/>
      <c r="P315" s="151"/>
    </row>
    <row r="316" ht="12.0" customHeight="1">
      <c r="K316" s="151"/>
      <c r="P316" s="151"/>
    </row>
    <row r="317" ht="12.0" customHeight="1">
      <c r="K317" s="151"/>
      <c r="P317" s="151"/>
    </row>
    <row r="318" ht="12.0" customHeight="1">
      <c r="K318" s="151"/>
      <c r="P318" s="151"/>
    </row>
    <row r="319" ht="12.0" customHeight="1">
      <c r="K319" s="151"/>
      <c r="P319" s="151"/>
    </row>
    <row r="320" ht="12.0" customHeight="1">
      <c r="K320" s="151"/>
      <c r="P320" s="151"/>
    </row>
    <row r="321" ht="12.0" customHeight="1">
      <c r="K321" s="151"/>
      <c r="P321" s="151"/>
    </row>
    <row r="322" ht="12.0" customHeight="1">
      <c r="K322" s="151"/>
      <c r="P322" s="151"/>
    </row>
    <row r="323" ht="12.0" customHeight="1">
      <c r="K323" s="151"/>
      <c r="P323" s="151"/>
    </row>
    <row r="324" ht="12.0" customHeight="1">
      <c r="K324" s="151"/>
      <c r="P324" s="151"/>
    </row>
    <row r="325" ht="12.0" customHeight="1">
      <c r="K325" s="151"/>
      <c r="P325" s="151"/>
    </row>
    <row r="326" ht="12.0" customHeight="1">
      <c r="K326" s="151"/>
      <c r="P326" s="151"/>
    </row>
    <row r="327" ht="12.0" customHeight="1">
      <c r="K327" s="151"/>
      <c r="P327" s="151"/>
    </row>
    <row r="328" ht="12.0" customHeight="1">
      <c r="K328" s="151"/>
      <c r="P328" s="151"/>
    </row>
    <row r="329" ht="12.0" customHeight="1">
      <c r="K329" s="151"/>
      <c r="P329" s="151"/>
    </row>
    <row r="330" ht="12.0" customHeight="1">
      <c r="K330" s="151"/>
      <c r="P330" s="151"/>
    </row>
    <row r="331" ht="12.0" customHeight="1">
      <c r="K331" s="151"/>
      <c r="P331" s="151"/>
    </row>
    <row r="332" ht="12.0" customHeight="1">
      <c r="K332" s="151"/>
      <c r="P332" s="151"/>
    </row>
    <row r="333" ht="12.0" customHeight="1">
      <c r="K333" s="151"/>
      <c r="P333" s="151"/>
    </row>
    <row r="334" ht="12.0" customHeight="1">
      <c r="K334" s="151"/>
      <c r="P334" s="151"/>
    </row>
    <row r="335" ht="12.0" customHeight="1">
      <c r="K335" s="151"/>
      <c r="P335" s="151"/>
    </row>
    <row r="336" ht="12.0" customHeight="1">
      <c r="K336" s="151"/>
      <c r="P336" s="151"/>
    </row>
    <row r="337" ht="12.0" customHeight="1">
      <c r="K337" s="151"/>
      <c r="P337" s="151"/>
    </row>
    <row r="338" ht="12.0" customHeight="1">
      <c r="K338" s="151"/>
      <c r="P338" s="151"/>
    </row>
    <row r="339" ht="12.0" customHeight="1">
      <c r="K339" s="151"/>
      <c r="P339" s="151"/>
    </row>
    <row r="340" ht="12.0" customHeight="1">
      <c r="K340" s="151"/>
      <c r="P340" s="151"/>
    </row>
    <row r="341" ht="12.0" customHeight="1">
      <c r="K341" s="151"/>
      <c r="P341" s="151"/>
    </row>
    <row r="342" ht="12.0" customHeight="1">
      <c r="K342" s="151"/>
      <c r="P342" s="151"/>
    </row>
    <row r="343" ht="12.0" customHeight="1">
      <c r="K343" s="151"/>
      <c r="P343" s="151"/>
    </row>
    <row r="344" ht="12.0" customHeight="1">
      <c r="K344" s="151"/>
      <c r="P344" s="151"/>
    </row>
    <row r="345" ht="12.0" customHeight="1">
      <c r="K345" s="151"/>
      <c r="P345" s="151"/>
    </row>
    <row r="346" ht="12.0" customHeight="1">
      <c r="K346" s="151"/>
      <c r="P346" s="151"/>
    </row>
    <row r="347" ht="12.0" customHeight="1">
      <c r="K347" s="151"/>
      <c r="P347" s="151"/>
    </row>
    <row r="348" ht="12.0" customHeight="1">
      <c r="K348" s="151"/>
      <c r="P348" s="151"/>
    </row>
    <row r="349" ht="12.0" customHeight="1">
      <c r="K349" s="151"/>
      <c r="P349" s="151"/>
    </row>
    <row r="350" ht="12.0" customHeight="1">
      <c r="K350" s="151"/>
      <c r="P350" s="151"/>
    </row>
    <row r="351" ht="12.0" customHeight="1">
      <c r="K351" s="151"/>
      <c r="P351" s="151"/>
    </row>
    <row r="352" ht="12.0" customHeight="1">
      <c r="K352" s="151"/>
      <c r="P352" s="151"/>
    </row>
    <row r="353" ht="12.0" customHeight="1">
      <c r="K353" s="151"/>
      <c r="P353" s="151"/>
    </row>
    <row r="354" ht="12.0" customHeight="1">
      <c r="K354" s="151"/>
      <c r="P354" s="151"/>
    </row>
    <row r="355" ht="12.0" customHeight="1">
      <c r="K355" s="151"/>
      <c r="P355" s="151"/>
    </row>
    <row r="356" ht="12.0" customHeight="1">
      <c r="K356" s="151"/>
      <c r="P356" s="151"/>
    </row>
    <row r="357" ht="12.0" customHeight="1">
      <c r="K357" s="151"/>
      <c r="P357" s="151"/>
    </row>
    <row r="358" ht="12.0" customHeight="1">
      <c r="K358" s="151"/>
      <c r="P358" s="151"/>
    </row>
    <row r="359" ht="12.0" customHeight="1">
      <c r="K359" s="151"/>
      <c r="P359" s="151"/>
    </row>
    <row r="360" ht="12.0" customHeight="1">
      <c r="K360" s="151"/>
      <c r="P360" s="151"/>
    </row>
    <row r="361" ht="12.0" customHeight="1">
      <c r="K361" s="151"/>
      <c r="P361" s="151"/>
    </row>
    <row r="362" ht="12.0" customHeight="1">
      <c r="K362" s="151"/>
      <c r="P362" s="151"/>
    </row>
    <row r="363" ht="12.0" customHeight="1">
      <c r="K363" s="151"/>
      <c r="P363" s="151"/>
    </row>
    <row r="364" ht="12.0" customHeight="1">
      <c r="K364" s="151"/>
      <c r="P364" s="151"/>
    </row>
    <row r="365" ht="12.0" customHeight="1">
      <c r="K365" s="151"/>
      <c r="P365" s="151"/>
    </row>
    <row r="366" ht="12.0" customHeight="1">
      <c r="K366" s="151"/>
      <c r="P366" s="151"/>
    </row>
    <row r="367" ht="12.0" customHeight="1">
      <c r="K367" s="151"/>
      <c r="P367" s="151"/>
    </row>
    <row r="368" ht="12.0" customHeight="1">
      <c r="K368" s="151"/>
      <c r="P368" s="151"/>
    </row>
    <row r="369" ht="12.0" customHeight="1">
      <c r="K369" s="151"/>
      <c r="P369" s="151"/>
    </row>
    <row r="370" ht="12.0" customHeight="1">
      <c r="K370" s="151"/>
      <c r="P370" s="151"/>
    </row>
    <row r="371" ht="12.0" customHeight="1">
      <c r="K371" s="151"/>
      <c r="P371" s="151"/>
    </row>
    <row r="372" ht="12.0" customHeight="1">
      <c r="K372" s="151"/>
      <c r="P372" s="151"/>
    </row>
    <row r="373" ht="12.0" customHeight="1">
      <c r="K373" s="151"/>
      <c r="P373" s="151"/>
    </row>
    <row r="374" ht="12.0" customHeight="1">
      <c r="K374" s="151"/>
      <c r="P374" s="151"/>
    </row>
    <row r="375" ht="12.0" customHeight="1">
      <c r="K375" s="151"/>
      <c r="P375" s="151"/>
    </row>
    <row r="376" ht="12.0" customHeight="1">
      <c r="K376" s="151"/>
      <c r="P376" s="151"/>
    </row>
    <row r="377" ht="12.0" customHeight="1">
      <c r="K377" s="151"/>
      <c r="P377" s="151"/>
    </row>
    <row r="378" ht="12.0" customHeight="1">
      <c r="K378" s="151"/>
      <c r="P378" s="151"/>
    </row>
    <row r="379" ht="12.0" customHeight="1">
      <c r="K379" s="151"/>
      <c r="P379" s="151"/>
    </row>
    <row r="380" ht="12.0" customHeight="1">
      <c r="K380" s="151"/>
      <c r="P380" s="151"/>
    </row>
    <row r="381" ht="12.0" customHeight="1">
      <c r="K381" s="151"/>
      <c r="P381" s="151"/>
    </row>
    <row r="382" ht="12.0" customHeight="1">
      <c r="K382" s="151"/>
      <c r="P382" s="151"/>
    </row>
    <row r="383" ht="12.0" customHeight="1">
      <c r="K383" s="151"/>
      <c r="P383" s="151"/>
    </row>
    <row r="384" ht="12.0" customHeight="1">
      <c r="K384" s="151"/>
      <c r="P384" s="151"/>
    </row>
    <row r="385" ht="12.0" customHeight="1">
      <c r="K385" s="151"/>
      <c r="P385" s="151"/>
    </row>
    <row r="386" ht="12.0" customHeight="1">
      <c r="K386" s="151"/>
      <c r="P386" s="151"/>
    </row>
    <row r="387" ht="12.0" customHeight="1">
      <c r="K387" s="151"/>
      <c r="P387" s="151"/>
    </row>
    <row r="388" ht="12.0" customHeight="1">
      <c r="K388" s="151"/>
      <c r="P388" s="151"/>
    </row>
    <row r="389" ht="12.0" customHeight="1">
      <c r="K389" s="151"/>
      <c r="P389" s="151"/>
    </row>
    <row r="390" ht="12.0" customHeight="1">
      <c r="K390" s="151"/>
      <c r="P390" s="151"/>
    </row>
    <row r="391" ht="12.0" customHeight="1">
      <c r="K391" s="151"/>
      <c r="P391" s="151"/>
    </row>
    <row r="392" ht="12.0" customHeight="1">
      <c r="K392" s="151"/>
      <c r="P392" s="151"/>
    </row>
    <row r="393" ht="12.0" customHeight="1">
      <c r="K393" s="151"/>
      <c r="P393" s="151"/>
    </row>
    <row r="394" ht="12.0" customHeight="1">
      <c r="K394" s="151"/>
      <c r="P394" s="151"/>
    </row>
    <row r="395" ht="12.0" customHeight="1">
      <c r="K395" s="151"/>
      <c r="P395" s="151"/>
    </row>
    <row r="396" ht="12.0" customHeight="1">
      <c r="K396" s="151"/>
      <c r="P396" s="151"/>
    </row>
    <row r="397" ht="12.0" customHeight="1">
      <c r="K397" s="151"/>
      <c r="P397" s="151"/>
    </row>
    <row r="398" ht="12.0" customHeight="1">
      <c r="K398" s="151"/>
      <c r="P398" s="151"/>
    </row>
    <row r="399" ht="12.0" customHeight="1">
      <c r="K399" s="151"/>
      <c r="P399" s="151"/>
    </row>
    <row r="400" ht="12.0" customHeight="1">
      <c r="K400" s="151"/>
      <c r="P400" s="151"/>
    </row>
    <row r="401" ht="12.0" customHeight="1">
      <c r="K401" s="151"/>
      <c r="P401" s="151"/>
    </row>
    <row r="402" ht="12.0" customHeight="1">
      <c r="K402" s="151"/>
      <c r="P402" s="151"/>
    </row>
    <row r="403" ht="12.0" customHeight="1">
      <c r="K403" s="151"/>
      <c r="P403" s="151"/>
    </row>
    <row r="404" ht="12.0" customHeight="1">
      <c r="K404" s="151"/>
      <c r="P404" s="151"/>
    </row>
    <row r="405" ht="12.0" customHeight="1">
      <c r="K405" s="151"/>
      <c r="P405" s="151"/>
    </row>
    <row r="406" ht="12.0" customHeight="1">
      <c r="K406" s="151"/>
      <c r="P406" s="151"/>
    </row>
    <row r="407" ht="12.0" customHeight="1">
      <c r="K407" s="151"/>
      <c r="P407" s="151"/>
    </row>
    <row r="408" ht="12.0" customHeight="1">
      <c r="K408" s="151"/>
      <c r="P408" s="151"/>
    </row>
    <row r="409" ht="12.0" customHeight="1">
      <c r="K409" s="151"/>
      <c r="P409" s="151"/>
    </row>
    <row r="410" ht="12.0" customHeight="1">
      <c r="K410" s="151"/>
      <c r="P410" s="151"/>
    </row>
    <row r="411" ht="12.0" customHeight="1">
      <c r="K411" s="151"/>
      <c r="P411" s="151"/>
    </row>
    <row r="412" ht="12.0" customHeight="1">
      <c r="K412" s="151"/>
      <c r="P412" s="151"/>
    </row>
    <row r="413" ht="12.0" customHeight="1">
      <c r="K413" s="151"/>
      <c r="P413" s="151"/>
    </row>
    <row r="414" ht="12.0" customHeight="1">
      <c r="K414" s="151"/>
      <c r="P414" s="151"/>
    </row>
    <row r="415" ht="12.0" customHeight="1">
      <c r="K415" s="151"/>
      <c r="P415" s="151"/>
    </row>
    <row r="416" ht="12.0" customHeight="1">
      <c r="K416" s="151"/>
      <c r="P416" s="151"/>
    </row>
    <row r="417" ht="12.0" customHeight="1">
      <c r="K417" s="151"/>
      <c r="P417" s="151"/>
    </row>
    <row r="418" ht="12.0" customHeight="1">
      <c r="K418" s="151"/>
      <c r="P418" s="151"/>
    </row>
    <row r="419" ht="12.0" customHeight="1">
      <c r="K419" s="151"/>
      <c r="P419" s="151"/>
    </row>
    <row r="420" ht="12.0" customHeight="1">
      <c r="K420" s="151"/>
      <c r="P420" s="151"/>
    </row>
    <row r="421" ht="12.0" customHeight="1">
      <c r="K421" s="151"/>
      <c r="P421" s="151"/>
    </row>
    <row r="422" ht="12.0" customHeight="1">
      <c r="K422" s="151"/>
      <c r="P422" s="151"/>
    </row>
    <row r="423" ht="12.0" customHeight="1">
      <c r="K423" s="151"/>
      <c r="P423" s="151"/>
    </row>
    <row r="424" ht="12.0" customHeight="1">
      <c r="K424" s="151"/>
      <c r="P424" s="151"/>
    </row>
    <row r="425" ht="12.0" customHeight="1">
      <c r="K425" s="151"/>
      <c r="P425" s="151"/>
    </row>
    <row r="426" ht="12.0" customHeight="1">
      <c r="K426" s="151"/>
      <c r="P426" s="151"/>
    </row>
    <row r="427" ht="12.0" customHeight="1">
      <c r="K427" s="151"/>
      <c r="P427" s="151"/>
    </row>
    <row r="428" ht="12.0" customHeight="1">
      <c r="K428" s="151"/>
      <c r="P428" s="151"/>
    </row>
    <row r="429" ht="12.0" customHeight="1">
      <c r="K429" s="151"/>
      <c r="P429" s="151"/>
    </row>
    <row r="430" ht="12.0" customHeight="1">
      <c r="K430" s="151"/>
      <c r="P430" s="151"/>
    </row>
    <row r="431" ht="12.0" customHeight="1">
      <c r="K431" s="151"/>
      <c r="P431" s="151"/>
    </row>
    <row r="432" ht="12.0" customHeight="1">
      <c r="K432" s="151"/>
      <c r="P432" s="151"/>
    </row>
    <row r="433" ht="12.0" customHeight="1">
      <c r="K433" s="151"/>
      <c r="P433" s="151"/>
    </row>
    <row r="434" ht="12.0" customHeight="1">
      <c r="K434" s="151"/>
      <c r="P434" s="151"/>
    </row>
    <row r="435" ht="12.0" customHeight="1">
      <c r="K435" s="151"/>
      <c r="P435" s="151"/>
    </row>
    <row r="436" ht="12.0" customHeight="1">
      <c r="K436" s="151"/>
      <c r="P436" s="151"/>
    </row>
    <row r="437" ht="12.0" customHeight="1">
      <c r="K437" s="151"/>
      <c r="P437" s="151"/>
    </row>
    <row r="438" ht="12.0" customHeight="1">
      <c r="K438" s="151"/>
      <c r="P438" s="151"/>
    </row>
    <row r="439" ht="12.0" customHeight="1">
      <c r="K439" s="151"/>
      <c r="P439" s="151"/>
    </row>
    <row r="440" ht="12.0" customHeight="1">
      <c r="K440" s="151"/>
      <c r="P440" s="151"/>
    </row>
    <row r="441" ht="12.0" customHeight="1">
      <c r="K441" s="151"/>
      <c r="P441" s="151"/>
    </row>
    <row r="442" ht="12.0" customHeight="1">
      <c r="K442" s="151"/>
      <c r="P442" s="151"/>
    </row>
    <row r="443" ht="12.0" customHeight="1">
      <c r="K443" s="151"/>
      <c r="P443" s="151"/>
    </row>
    <row r="444" ht="12.0" customHeight="1">
      <c r="K444" s="151"/>
      <c r="P444" s="151"/>
    </row>
    <row r="445" ht="12.0" customHeight="1">
      <c r="K445" s="151"/>
      <c r="P445" s="151"/>
    </row>
    <row r="446" ht="12.0" customHeight="1">
      <c r="K446" s="151"/>
      <c r="P446" s="151"/>
    </row>
    <row r="447" ht="12.0" customHeight="1">
      <c r="K447" s="151"/>
      <c r="P447" s="151"/>
    </row>
    <row r="448" ht="12.0" customHeight="1">
      <c r="K448" s="151"/>
      <c r="P448" s="151"/>
    </row>
    <row r="449" ht="12.0" customHeight="1">
      <c r="K449" s="151"/>
      <c r="P449" s="151"/>
    </row>
    <row r="450" ht="12.0" customHeight="1">
      <c r="K450" s="151"/>
      <c r="P450" s="151"/>
    </row>
    <row r="451" ht="12.0" customHeight="1">
      <c r="K451" s="151"/>
      <c r="P451" s="151"/>
    </row>
    <row r="452" ht="12.0" customHeight="1">
      <c r="K452" s="151"/>
      <c r="P452" s="151"/>
    </row>
    <row r="453" ht="12.0" customHeight="1">
      <c r="K453" s="151"/>
      <c r="P453" s="151"/>
    </row>
    <row r="454" ht="12.0" customHeight="1">
      <c r="K454" s="151"/>
      <c r="P454" s="151"/>
    </row>
    <row r="455" ht="12.0" customHeight="1">
      <c r="K455" s="151"/>
      <c r="P455" s="151"/>
    </row>
    <row r="456" ht="12.0" customHeight="1">
      <c r="K456" s="151"/>
      <c r="P456" s="151"/>
    </row>
    <row r="457" ht="12.0" customHeight="1">
      <c r="K457" s="151"/>
      <c r="P457" s="151"/>
    </row>
    <row r="458" ht="12.0" customHeight="1">
      <c r="K458" s="151"/>
      <c r="P458" s="151"/>
    </row>
    <row r="459" ht="12.0" customHeight="1">
      <c r="K459" s="151"/>
      <c r="P459" s="151"/>
    </row>
    <row r="460" ht="12.0" customHeight="1">
      <c r="K460" s="151"/>
      <c r="P460" s="151"/>
    </row>
    <row r="461" ht="12.0" customHeight="1">
      <c r="K461" s="151"/>
      <c r="P461" s="151"/>
    </row>
    <row r="462" ht="12.0" customHeight="1">
      <c r="K462" s="151"/>
      <c r="P462" s="151"/>
    </row>
    <row r="463" ht="12.0" customHeight="1">
      <c r="K463" s="151"/>
      <c r="P463" s="151"/>
    </row>
    <row r="464" ht="12.0" customHeight="1">
      <c r="K464" s="151"/>
      <c r="P464" s="151"/>
    </row>
    <row r="465" ht="12.0" customHeight="1">
      <c r="K465" s="151"/>
      <c r="P465" s="151"/>
    </row>
    <row r="466" ht="12.0" customHeight="1">
      <c r="K466" s="151"/>
      <c r="P466" s="151"/>
    </row>
    <row r="467" ht="12.0" customHeight="1">
      <c r="K467" s="151"/>
      <c r="P467" s="151"/>
    </row>
    <row r="468" ht="12.0" customHeight="1">
      <c r="K468" s="151"/>
      <c r="P468" s="151"/>
    </row>
    <row r="469" ht="12.0" customHeight="1">
      <c r="K469" s="151"/>
      <c r="P469" s="151"/>
    </row>
    <row r="470" ht="12.0" customHeight="1">
      <c r="K470" s="151"/>
      <c r="P470" s="151"/>
    </row>
    <row r="471" ht="12.0" customHeight="1">
      <c r="K471" s="151"/>
      <c r="P471" s="151"/>
    </row>
    <row r="472" ht="12.0" customHeight="1">
      <c r="K472" s="151"/>
      <c r="P472" s="151"/>
    </row>
    <row r="473" ht="12.0" customHeight="1">
      <c r="K473" s="151"/>
      <c r="P473" s="151"/>
    </row>
    <row r="474" ht="12.0" customHeight="1">
      <c r="K474" s="151"/>
      <c r="P474" s="151"/>
    </row>
    <row r="475" ht="12.0" customHeight="1">
      <c r="K475" s="151"/>
      <c r="P475" s="151"/>
    </row>
    <row r="476" ht="12.0" customHeight="1">
      <c r="K476" s="151"/>
      <c r="P476" s="151"/>
    </row>
    <row r="477" ht="12.0" customHeight="1">
      <c r="K477" s="151"/>
      <c r="P477" s="151"/>
    </row>
    <row r="478" ht="12.0" customHeight="1">
      <c r="K478" s="151"/>
      <c r="P478" s="151"/>
    </row>
    <row r="479" ht="12.0" customHeight="1">
      <c r="K479" s="151"/>
      <c r="P479" s="151"/>
    </row>
    <row r="480" ht="12.0" customHeight="1">
      <c r="K480" s="151"/>
      <c r="P480" s="151"/>
    </row>
    <row r="481" ht="12.0" customHeight="1">
      <c r="K481" s="151"/>
      <c r="P481" s="151"/>
    </row>
    <row r="482" ht="12.0" customHeight="1">
      <c r="K482" s="151"/>
      <c r="P482" s="151"/>
    </row>
    <row r="483" ht="12.0" customHeight="1">
      <c r="K483" s="151"/>
      <c r="P483" s="151"/>
    </row>
    <row r="484" ht="12.0" customHeight="1">
      <c r="K484" s="151"/>
      <c r="P484" s="151"/>
    </row>
    <row r="485" ht="12.0" customHeight="1">
      <c r="K485" s="151"/>
      <c r="P485" s="151"/>
    </row>
    <row r="486" ht="12.0" customHeight="1">
      <c r="K486" s="151"/>
      <c r="P486" s="151"/>
    </row>
    <row r="487" ht="12.0" customHeight="1">
      <c r="K487" s="151"/>
      <c r="P487" s="151"/>
    </row>
    <row r="488" ht="12.0" customHeight="1">
      <c r="K488" s="151"/>
      <c r="P488" s="151"/>
    </row>
    <row r="489" ht="12.0" customHeight="1">
      <c r="K489" s="151"/>
      <c r="P489" s="151"/>
    </row>
    <row r="490" ht="12.0" customHeight="1">
      <c r="K490" s="151"/>
      <c r="P490" s="151"/>
    </row>
    <row r="491" ht="12.0" customHeight="1">
      <c r="K491" s="151"/>
      <c r="P491" s="151"/>
    </row>
    <row r="492" ht="12.0" customHeight="1">
      <c r="K492" s="151"/>
      <c r="P492" s="151"/>
    </row>
    <row r="493" ht="12.0" customHeight="1">
      <c r="K493" s="151"/>
      <c r="P493" s="151"/>
    </row>
    <row r="494" ht="12.0" customHeight="1">
      <c r="K494" s="151"/>
      <c r="P494" s="151"/>
    </row>
    <row r="495" ht="12.0" customHeight="1">
      <c r="K495" s="151"/>
      <c r="P495" s="151"/>
    </row>
    <row r="496" ht="12.0" customHeight="1">
      <c r="K496" s="151"/>
      <c r="P496" s="151"/>
    </row>
    <row r="497" ht="12.0" customHeight="1">
      <c r="K497" s="151"/>
      <c r="P497" s="151"/>
    </row>
    <row r="498" ht="12.0" customHeight="1">
      <c r="K498" s="151"/>
      <c r="P498" s="151"/>
    </row>
    <row r="499" ht="12.0" customHeight="1">
      <c r="K499" s="151"/>
      <c r="P499" s="151"/>
    </row>
    <row r="500" ht="12.0" customHeight="1">
      <c r="K500" s="151"/>
      <c r="P500" s="151"/>
    </row>
    <row r="501" ht="12.0" customHeight="1">
      <c r="K501" s="151"/>
      <c r="P501" s="151"/>
    </row>
    <row r="502" ht="12.0" customHeight="1">
      <c r="K502" s="151"/>
      <c r="P502" s="151"/>
    </row>
    <row r="503" ht="12.0" customHeight="1">
      <c r="K503" s="151"/>
      <c r="P503" s="151"/>
    </row>
    <row r="504" ht="12.0" customHeight="1">
      <c r="K504" s="151"/>
      <c r="P504" s="151"/>
    </row>
    <row r="505" ht="12.0" customHeight="1">
      <c r="K505" s="151"/>
      <c r="P505" s="151"/>
    </row>
    <row r="506" ht="12.0" customHeight="1">
      <c r="K506" s="151"/>
      <c r="P506" s="151"/>
    </row>
    <row r="507" ht="12.0" customHeight="1">
      <c r="K507" s="151"/>
      <c r="P507" s="151"/>
    </row>
    <row r="508" ht="12.0" customHeight="1">
      <c r="K508" s="151"/>
      <c r="P508" s="151"/>
    </row>
    <row r="509" ht="12.0" customHeight="1">
      <c r="K509" s="151"/>
      <c r="P509" s="151"/>
    </row>
    <row r="510" ht="12.0" customHeight="1">
      <c r="K510" s="151"/>
      <c r="P510" s="151"/>
    </row>
    <row r="511" ht="12.0" customHeight="1">
      <c r="K511" s="151"/>
      <c r="P511" s="151"/>
    </row>
    <row r="512" ht="12.0" customHeight="1">
      <c r="K512" s="151"/>
      <c r="P512" s="151"/>
    </row>
    <row r="513" ht="12.0" customHeight="1">
      <c r="K513" s="151"/>
      <c r="P513" s="151"/>
    </row>
    <row r="514" ht="12.0" customHeight="1">
      <c r="K514" s="151"/>
      <c r="P514" s="151"/>
    </row>
    <row r="515" ht="12.0" customHeight="1">
      <c r="K515" s="151"/>
      <c r="P515" s="151"/>
    </row>
    <row r="516" ht="12.0" customHeight="1">
      <c r="K516" s="151"/>
      <c r="P516" s="151"/>
    </row>
    <row r="517" ht="12.0" customHeight="1">
      <c r="K517" s="151"/>
      <c r="P517" s="151"/>
    </row>
    <row r="518" ht="12.0" customHeight="1">
      <c r="K518" s="151"/>
      <c r="P518" s="151"/>
    </row>
    <row r="519" ht="12.0" customHeight="1">
      <c r="K519" s="151"/>
      <c r="P519" s="151"/>
    </row>
    <row r="520" ht="12.0" customHeight="1">
      <c r="K520" s="151"/>
      <c r="P520" s="151"/>
    </row>
    <row r="521" ht="12.0" customHeight="1">
      <c r="K521" s="151"/>
      <c r="P521" s="151"/>
    </row>
    <row r="522" ht="12.0" customHeight="1">
      <c r="K522" s="151"/>
      <c r="P522" s="151"/>
    </row>
    <row r="523" ht="12.0" customHeight="1">
      <c r="K523" s="151"/>
      <c r="P523" s="151"/>
    </row>
    <row r="524" ht="12.0" customHeight="1">
      <c r="K524" s="151"/>
      <c r="P524" s="151"/>
    </row>
    <row r="525" ht="12.0" customHeight="1">
      <c r="K525" s="151"/>
      <c r="P525" s="151"/>
    </row>
    <row r="526" ht="12.0" customHeight="1">
      <c r="K526" s="151"/>
      <c r="P526" s="151"/>
    </row>
    <row r="527" ht="12.0" customHeight="1">
      <c r="K527" s="151"/>
      <c r="P527" s="151"/>
    </row>
    <row r="528" ht="12.0" customHeight="1">
      <c r="K528" s="151"/>
      <c r="P528" s="151"/>
    </row>
    <row r="529" ht="12.0" customHeight="1">
      <c r="K529" s="151"/>
      <c r="P529" s="151"/>
    </row>
    <row r="530" ht="12.0" customHeight="1">
      <c r="K530" s="151"/>
      <c r="P530" s="151"/>
    </row>
    <row r="531" ht="12.0" customHeight="1">
      <c r="K531" s="151"/>
      <c r="P531" s="151"/>
    </row>
    <row r="532" ht="12.0" customHeight="1">
      <c r="K532" s="151"/>
      <c r="P532" s="151"/>
    </row>
    <row r="533" ht="12.0" customHeight="1">
      <c r="K533" s="151"/>
      <c r="P533" s="151"/>
    </row>
    <row r="534" ht="12.0" customHeight="1">
      <c r="K534" s="151"/>
      <c r="P534" s="151"/>
    </row>
    <row r="535" ht="12.0" customHeight="1">
      <c r="K535" s="151"/>
      <c r="P535" s="151"/>
    </row>
    <row r="536" ht="12.0" customHeight="1">
      <c r="K536" s="151"/>
      <c r="P536" s="151"/>
    </row>
    <row r="537" ht="12.0" customHeight="1">
      <c r="K537" s="151"/>
      <c r="P537" s="151"/>
    </row>
    <row r="538" ht="12.0" customHeight="1">
      <c r="K538" s="151"/>
      <c r="P538" s="151"/>
    </row>
    <row r="539" ht="12.0" customHeight="1">
      <c r="K539" s="151"/>
      <c r="P539" s="151"/>
    </row>
    <row r="540" ht="12.0" customHeight="1">
      <c r="K540" s="151"/>
      <c r="P540" s="151"/>
    </row>
    <row r="541" ht="12.0" customHeight="1">
      <c r="K541" s="151"/>
      <c r="P541" s="151"/>
    </row>
    <row r="542" ht="12.0" customHeight="1">
      <c r="K542" s="151"/>
      <c r="P542" s="151"/>
    </row>
    <row r="543" ht="12.0" customHeight="1">
      <c r="K543" s="151"/>
      <c r="P543" s="151"/>
    </row>
    <row r="544" ht="12.0" customHeight="1">
      <c r="K544" s="151"/>
      <c r="P544" s="151"/>
    </row>
    <row r="545" ht="12.0" customHeight="1">
      <c r="K545" s="151"/>
      <c r="P545" s="151"/>
    </row>
    <row r="546" ht="12.0" customHeight="1">
      <c r="K546" s="151"/>
      <c r="P546" s="151"/>
    </row>
    <row r="547" ht="12.0" customHeight="1">
      <c r="K547" s="151"/>
      <c r="P547" s="151"/>
    </row>
    <row r="548" ht="12.0" customHeight="1">
      <c r="K548" s="151"/>
      <c r="P548" s="151"/>
    </row>
    <row r="549" ht="12.0" customHeight="1">
      <c r="K549" s="151"/>
      <c r="P549" s="151"/>
    </row>
    <row r="550" ht="12.0" customHeight="1">
      <c r="K550" s="151"/>
      <c r="P550" s="151"/>
    </row>
    <row r="551" ht="12.0" customHeight="1">
      <c r="K551" s="151"/>
      <c r="P551" s="151"/>
    </row>
    <row r="552" ht="12.0" customHeight="1">
      <c r="K552" s="151"/>
      <c r="P552" s="151"/>
    </row>
    <row r="553" ht="12.0" customHeight="1">
      <c r="K553" s="151"/>
      <c r="P553" s="151"/>
    </row>
    <row r="554" ht="12.0" customHeight="1">
      <c r="K554" s="151"/>
      <c r="P554" s="151"/>
    </row>
    <row r="555" ht="12.0" customHeight="1">
      <c r="K555" s="151"/>
      <c r="P555" s="151"/>
    </row>
    <row r="556" ht="12.0" customHeight="1">
      <c r="K556" s="151"/>
      <c r="P556" s="151"/>
    </row>
    <row r="557" ht="12.0" customHeight="1">
      <c r="K557" s="151"/>
      <c r="P557" s="151"/>
    </row>
    <row r="558" ht="12.0" customHeight="1">
      <c r="K558" s="151"/>
      <c r="P558" s="151"/>
    </row>
    <row r="559" ht="12.0" customHeight="1">
      <c r="K559" s="151"/>
      <c r="P559" s="151"/>
    </row>
    <row r="560" ht="12.0" customHeight="1">
      <c r="K560" s="151"/>
      <c r="P560" s="151"/>
    </row>
    <row r="561" ht="12.0" customHeight="1">
      <c r="K561" s="151"/>
      <c r="P561" s="151"/>
    </row>
    <row r="562" ht="12.0" customHeight="1">
      <c r="K562" s="151"/>
      <c r="P562" s="151"/>
    </row>
    <row r="563" ht="12.0" customHeight="1">
      <c r="K563" s="151"/>
      <c r="P563" s="151"/>
    </row>
    <row r="564" ht="12.0" customHeight="1">
      <c r="K564" s="151"/>
      <c r="P564" s="151"/>
    </row>
    <row r="565" ht="12.0" customHeight="1">
      <c r="K565" s="151"/>
      <c r="P565" s="151"/>
    </row>
    <row r="566" ht="12.0" customHeight="1">
      <c r="K566" s="151"/>
      <c r="P566" s="151"/>
    </row>
    <row r="567" ht="12.0" customHeight="1">
      <c r="K567" s="151"/>
      <c r="P567" s="151"/>
    </row>
    <row r="568" ht="12.0" customHeight="1">
      <c r="K568" s="151"/>
      <c r="P568" s="151"/>
    </row>
    <row r="569" ht="12.0" customHeight="1">
      <c r="K569" s="151"/>
      <c r="P569" s="151"/>
    </row>
    <row r="570" ht="12.0" customHeight="1">
      <c r="K570" s="151"/>
      <c r="P570" s="151"/>
    </row>
    <row r="571" ht="12.0" customHeight="1">
      <c r="K571" s="151"/>
      <c r="P571" s="151"/>
    </row>
    <row r="572" ht="12.0" customHeight="1">
      <c r="K572" s="151"/>
      <c r="P572" s="151"/>
    </row>
    <row r="573" ht="12.0" customHeight="1">
      <c r="K573" s="151"/>
      <c r="P573" s="151"/>
    </row>
    <row r="574" ht="12.0" customHeight="1">
      <c r="K574" s="151"/>
      <c r="P574" s="151"/>
    </row>
    <row r="575" ht="12.0" customHeight="1">
      <c r="K575" s="151"/>
      <c r="P575" s="151"/>
    </row>
    <row r="576" ht="12.0" customHeight="1">
      <c r="K576" s="151"/>
      <c r="P576" s="151"/>
    </row>
    <row r="577" ht="12.0" customHeight="1">
      <c r="K577" s="151"/>
      <c r="P577" s="151"/>
    </row>
    <row r="578" ht="12.0" customHeight="1">
      <c r="K578" s="151"/>
      <c r="P578" s="151"/>
    </row>
    <row r="579" ht="12.0" customHeight="1">
      <c r="K579" s="151"/>
      <c r="P579" s="151"/>
    </row>
    <row r="580" ht="12.0" customHeight="1">
      <c r="K580" s="151"/>
      <c r="P580" s="151"/>
    </row>
    <row r="581" ht="12.0" customHeight="1">
      <c r="K581" s="151"/>
      <c r="P581" s="151"/>
    </row>
    <row r="582" ht="12.0" customHeight="1">
      <c r="K582" s="151"/>
      <c r="P582" s="151"/>
    </row>
    <row r="583" ht="12.0" customHeight="1">
      <c r="K583" s="151"/>
      <c r="P583" s="151"/>
    </row>
    <row r="584" ht="12.0" customHeight="1">
      <c r="K584" s="151"/>
      <c r="P584" s="151"/>
    </row>
    <row r="585" ht="12.0" customHeight="1">
      <c r="K585" s="151"/>
      <c r="P585" s="151"/>
    </row>
    <row r="586" ht="12.0" customHeight="1">
      <c r="K586" s="151"/>
      <c r="P586" s="151"/>
    </row>
    <row r="587" ht="12.0" customHeight="1">
      <c r="K587" s="151"/>
      <c r="P587" s="151"/>
    </row>
    <row r="588" ht="12.0" customHeight="1">
      <c r="K588" s="151"/>
      <c r="P588" s="151"/>
    </row>
    <row r="589" ht="12.0" customHeight="1">
      <c r="K589" s="151"/>
      <c r="P589" s="151"/>
    </row>
    <row r="590" ht="12.0" customHeight="1">
      <c r="K590" s="151"/>
      <c r="P590" s="151"/>
    </row>
    <row r="591" ht="12.0" customHeight="1">
      <c r="K591" s="151"/>
      <c r="P591" s="151"/>
    </row>
    <row r="592" ht="12.0" customHeight="1">
      <c r="K592" s="151"/>
      <c r="P592" s="151"/>
    </row>
    <row r="593" ht="12.0" customHeight="1">
      <c r="K593" s="151"/>
      <c r="P593" s="151"/>
    </row>
    <row r="594" ht="12.0" customHeight="1">
      <c r="K594" s="151"/>
      <c r="P594" s="151"/>
    </row>
    <row r="595" ht="12.0" customHeight="1">
      <c r="K595" s="151"/>
      <c r="P595" s="151"/>
    </row>
    <row r="596" ht="12.0" customHeight="1">
      <c r="K596" s="151"/>
      <c r="P596" s="151"/>
    </row>
    <row r="597" ht="12.0" customHeight="1">
      <c r="K597" s="151"/>
      <c r="P597" s="151"/>
    </row>
    <row r="598" ht="12.0" customHeight="1">
      <c r="K598" s="151"/>
      <c r="P598" s="151"/>
    </row>
    <row r="599" ht="12.0" customHeight="1">
      <c r="K599" s="151"/>
      <c r="P599" s="151"/>
    </row>
    <row r="600" ht="12.0" customHeight="1">
      <c r="K600" s="151"/>
      <c r="P600" s="151"/>
    </row>
    <row r="601" ht="12.0" customHeight="1">
      <c r="K601" s="151"/>
      <c r="P601" s="151"/>
    </row>
    <row r="602" ht="12.0" customHeight="1">
      <c r="K602" s="151"/>
      <c r="P602" s="151"/>
    </row>
    <row r="603" ht="12.0" customHeight="1">
      <c r="K603" s="151"/>
      <c r="P603" s="151"/>
    </row>
    <row r="604" ht="12.0" customHeight="1">
      <c r="K604" s="151"/>
      <c r="P604" s="151"/>
    </row>
    <row r="605" ht="12.0" customHeight="1">
      <c r="K605" s="151"/>
      <c r="P605" s="151"/>
    </row>
    <row r="606" ht="12.0" customHeight="1">
      <c r="K606" s="151"/>
      <c r="P606" s="151"/>
    </row>
    <row r="607" ht="12.0" customHeight="1">
      <c r="K607" s="151"/>
      <c r="P607" s="151"/>
    </row>
    <row r="608" ht="12.0" customHeight="1">
      <c r="K608" s="151"/>
      <c r="P608" s="151"/>
    </row>
    <row r="609" ht="12.0" customHeight="1">
      <c r="K609" s="151"/>
      <c r="P609" s="151"/>
    </row>
    <row r="610" ht="12.0" customHeight="1">
      <c r="K610" s="151"/>
      <c r="P610" s="151"/>
    </row>
    <row r="611" ht="12.0" customHeight="1">
      <c r="K611" s="151"/>
      <c r="P611" s="151"/>
    </row>
    <row r="612" ht="12.0" customHeight="1">
      <c r="K612" s="151"/>
      <c r="P612" s="151"/>
    </row>
    <row r="613" ht="12.0" customHeight="1">
      <c r="K613" s="151"/>
      <c r="P613" s="151"/>
    </row>
    <row r="614" ht="12.0" customHeight="1">
      <c r="K614" s="151"/>
      <c r="P614" s="151"/>
    </row>
    <row r="615" ht="12.0" customHeight="1">
      <c r="K615" s="151"/>
      <c r="P615" s="151"/>
    </row>
    <row r="616" ht="12.0" customHeight="1">
      <c r="K616" s="151"/>
      <c r="P616" s="151"/>
    </row>
    <row r="617" ht="12.0" customHeight="1">
      <c r="K617" s="151"/>
      <c r="P617" s="151"/>
    </row>
    <row r="618" ht="12.0" customHeight="1">
      <c r="K618" s="151"/>
      <c r="P618" s="151"/>
    </row>
    <row r="619" ht="12.0" customHeight="1">
      <c r="K619" s="151"/>
      <c r="P619" s="151"/>
    </row>
    <row r="620" ht="12.0" customHeight="1">
      <c r="K620" s="151"/>
      <c r="P620" s="151"/>
    </row>
    <row r="621" ht="12.0" customHeight="1">
      <c r="K621" s="151"/>
      <c r="P621" s="151"/>
    </row>
    <row r="622" ht="12.0" customHeight="1">
      <c r="K622" s="151"/>
      <c r="P622" s="151"/>
    </row>
    <row r="623" ht="12.0" customHeight="1">
      <c r="K623" s="151"/>
      <c r="P623" s="151"/>
    </row>
    <row r="624" ht="12.0" customHeight="1">
      <c r="K624" s="151"/>
      <c r="P624" s="151"/>
    </row>
    <row r="625" ht="12.0" customHeight="1">
      <c r="K625" s="151"/>
      <c r="P625" s="151"/>
    </row>
    <row r="626" ht="12.0" customHeight="1">
      <c r="K626" s="151"/>
      <c r="P626" s="151"/>
    </row>
    <row r="627" ht="12.0" customHeight="1">
      <c r="K627" s="151"/>
      <c r="P627" s="151"/>
    </row>
    <row r="628" ht="12.0" customHeight="1">
      <c r="K628" s="151"/>
      <c r="P628" s="151"/>
    </row>
    <row r="629" ht="12.0" customHeight="1">
      <c r="K629" s="151"/>
      <c r="P629" s="151"/>
    </row>
    <row r="630" ht="12.0" customHeight="1">
      <c r="K630" s="151"/>
      <c r="P630" s="151"/>
    </row>
    <row r="631" ht="12.0" customHeight="1">
      <c r="K631" s="151"/>
      <c r="P631" s="151"/>
    </row>
    <row r="632" ht="12.0" customHeight="1">
      <c r="K632" s="151"/>
      <c r="P632" s="151"/>
    </row>
    <row r="633" ht="12.0" customHeight="1">
      <c r="K633" s="151"/>
      <c r="P633" s="151"/>
    </row>
    <row r="634" ht="12.0" customHeight="1">
      <c r="K634" s="151"/>
      <c r="P634" s="151"/>
    </row>
    <row r="635" ht="12.0" customHeight="1">
      <c r="K635" s="151"/>
      <c r="P635" s="151"/>
    </row>
    <row r="636" ht="12.0" customHeight="1">
      <c r="K636" s="151"/>
      <c r="P636" s="151"/>
    </row>
    <row r="637" ht="12.0" customHeight="1">
      <c r="K637" s="151"/>
      <c r="P637" s="151"/>
    </row>
    <row r="638" ht="12.0" customHeight="1">
      <c r="K638" s="151"/>
      <c r="P638" s="151"/>
    </row>
    <row r="639" ht="12.0" customHeight="1">
      <c r="K639" s="151"/>
      <c r="P639" s="151"/>
    </row>
    <row r="640" ht="12.0" customHeight="1">
      <c r="K640" s="151"/>
      <c r="P640" s="151"/>
    </row>
    <row r="641" ht="12.0" customHeight="1">
      <c r="K641" s="151"/>
      <c r="P641" s="151"/>
    </row>
    <row r="642" ht="12.0" customHeight="1">
      <c r="K642" s="151"/>
      <c r="P642" s="151"/>
    </row>
    <row r="643" ht="12.0" customHeight="1">
      <c r="K643" s="151"/>
      <c r="P643" s="151"/>
    </row>
    <row r="644" ht="12.0" customHeight="1">
      <c r="K644" s="151"/>
      <c r="P644" s="151"/>
    </row>
    <row r="645" ht="12.0" customHeight="1">
      <c r="K645" s="151"/>
      <c r="P645" s="151"/>
    </row>
    <row r="646" ht="12.0" customHeight="1">
      <c r="K646" s="151"/>
      <c r="P646" s="151"/>
    </row>
    <row r="647" ht="12.0" customHeight="1">
      <c r="K647" s="151"/>
      <c r="P647" s="151"/>
    </row>
    <row r="648" ht="12.0" customHeight="1">
      <c r="K648" s="151"/>
      <c r="P648" s="151"/>
    </row>
    <row r="649" ht="12.0" customHeight="1">
      <c r="K649" s="151"/>
      <c r="P649" s="151"/>
    </row>
    <row r="650" ht="12.0" customHeight="1">
      <c r="K650" s="151"/>
      <c r="P650" s="151"/>
    </row>
    <row r="651" ht="12.0" customHeight="1">
      <c r="K651" s="151"/>
      <c r="P651" s="151"/>
    </row>
    <row r="652" ht="12.0" customHeight="1">
      <c r="K652" s="151"/>
      <c r="P652" s="151"/>
    </row>
    <row r="653" ht="12.0" customHeight="1">
      <c r="K653" s="151"/>
      <c r="P653" s="151"/>
    </row>
    <row r="654" ht="12.0" customHeight="1">
      <c r="K654" s="151"/>
      <c r="P654" s="151"/>
    </row>
    <row r="655" ht="12.0" customHeight="1">
      <c r="K655" s="151"/>
      <c r="P655" s="151"/>
    </row>
    <row r="656" ht="12.0" customHeight="1">
      <c r="K656" s="151"/>
      <c r="P656" s="151"/>
    </row>
    <row r="657" ht="12.0" customHeight="1">
      <c r="K657" s="151"/>
      <c r="P657" s="151"/>
    </row>
    <row r="658" ht="12.0" customHeight="1">
      <c r="K658" s="151"/>
      <c r="P658" s="151"/>
    </row>
    <row r="659" ht="12.0" customHeight="1">
      <c r="K659" s="151"/>
      <c r="P659" s="151"/>
    </row>
    <row r="660" ht="12.0" customHeight="1">
      <c r="K660" s="151"/>
      <c r="P660" s="151"/>
    </row>
    <row r="661" ht="12.0" customHeight="1">
      <c r="K661" s="151"/>
      <c r="P661" s="151"/>
    </row>
    <row r="662" ht="12.0" customHeight="1">
      <c r="K662" s="151"/>
      <c r="P662" s="151"/>
    </row>
    <row r="663" ht="12.0" customHeight="1">
      <c r="K663" s="151"/>
      <c r="P663" s="151"/>
    </row>
    <row r="664" ht="12.0" customHeight="1">
      <c r="K664" s="151"/>
      <c r="P664" s="151"/>
    </row>
    <row r="665" ht="12.0" customHeight="1">
      <c r="K665" s="151"/>
      <c r="P665" s="151"/>
    </row>
    <row r="666" ht="12.0" customHeight="1">
      <c r="K666" s="151"/>
      <c r="P666" s="151"/>
    </row>
    <row r="667" ht="12.0" customHeight="1">
      <c r="K667" s="151"/>
      <c r="P667" s="151"/>
    </row>
    <row r="668" ht="12.0" customHeight="1">
      <c r="K668" s="151"/>
      <c r="P668" s="151"/>
    </row>
    <row r="669" ht="12.0" customHeight="1">
      <c r="K669" s="151"/>
      <c r="P669" s="151"/>
    </row>
    <row r="670" ht="12.0" customHeight="1">
      <c r="K670" s="151"/>
      <c r="P670" s="151"/>
    </row>
    <row r="671" ht="12.0" customHeight="1">
      <c r="K671" s="151"/>
      <c r="P671" s="151"/>
    </row>
    <row r="672" ht="12.0" customHeight="1">
      <c r="K672" s="151"/>
      <c r="P672" s="151"/>
    </row>
    <row r="673" ht="12.0" customHeight="1">
      <c r="K673" s="151"/>
      <c r="P673" s="151"/>
    </row>
    <row r="674" ht="12.0" customHeight="1">
      <c r="K674" s="151"/>
      <c r="P674" s="151"/>
    </row>
    <row r="675" ht="12.0" customHeight="1">
      <c r="K675" s="151"/>
      <c r="P675" s="151"/>
    </row>
    <row r="676" ht="12.0" customHeight="1">
      <c r="K676" s="151"/>
      <c r="P676" s="151"/>
    </row>
    <row r="677" ht="12.0" customHeight="1">
      <c r="K677" s="151"/>
      <c r="P677" s="151"/>
    </row>
    <row r="678" ht="12.0" customHeight="1">
      <c r="K678" s="151"/>
      <c r="P678" s="151"/>
    </row>
    <row r="679" ht="12.0" customHeight="1">
      <c r="K679" s="151"/>
      <c r="P679" s="151"/>
    </row>
    <row r="680" ht="12.0" customHeight="1">
      <c r="K680" s="151"/>
      <c r="P680" s="151"/>
    </row>
    <row r="681" ht="12.0" customHeight="1">
      <c r="K681" s="151"/>
      <c r="P681" s="151"/>
    </row>
    <row r="682" ht="12.0" customHeight="1">
      <c r="K682" s="151"/>
      <c r="P682" s="151"/>
    </row>
    <row r="683" ht="12.0" customHeight="1">
      <c r="K683" s="151"/>
      <c r="P683" s="151"/>
    </row>
    <row r="684" ht="12.0" customHeight="1">
      <c r="K684" s="151"/>
      <c r="P684" s="151"/>
    </row>
    <row r="685" ht="12.0" customHeight="1">
      <c r="K685" s="151"/>
      <c r="P685" s="151"/>
    </row>
    <row r="686" ht="12.0" customHeight="1">
      <c r="K686" s="151"/>
      <c r="P686" s="151"/>
    </row>
    <row r="687" ht="12.0" customHeight="1">
      <c r="K687" s="151"/>
      <c r="P687" s="151"/>
    </row>
    <row r="688" ht="12.0" customHeight="1">
      <c r="K688" s="151"/>
      <c r="P688" s="151"/>
    </row>
    <row r="689" ht="12.0" customHeight="1">
      <c r="K689" s="151"/>
      <c r="P689" s="151"/>
    </row>
    <row r="690" ht="12.0" customHeight="1">
      <c r="K690" s="151"/>
      <c r="P690" s="151"/>
    </row>
    <row r="691" ht="12.0" customHeight="1">
      <c r="K691" s="151"/>
      <c r="P691" s="151"/>
    </row>
    <row r="692" ht="12.0" customHeight="1">
      <c r="K692" s="151"/>
      <c r="P692" s="151"/>
    </row>
    <row r="693" ht="12.0" customHeight="1">
      <c r="K693" s="151"/>
      <c r="P693" s="151"/>
    </row>
    <row r="694" ht="12.0" customHeight="1">
      <c r="K694" s="151"/>
      <c r="P694" s="151"/>
    </row>
    <row r="695" ht="12.0" customHeight="1">
      <c r="K695" s="151"/>
      <c r="P695" s="151"/>
    </row>
    <row r="696" ht="12.0" customHeight="1">
      <c r="K696" s="151"/>
      <c r="P696" s="151"/>
    </row>
    <row r="697" ht="12.0" customHeight="1">
      <c r="K697" s="151"/>
      <c r="P697" s="151"/>
    </row>
    <row r="698" ht="12.0" customHeight="1">
      <c r="K698" s="151"/>
      <c r="P698" s="151"/>
    </row>
    <row r="699" ht="12.0" customHeight="1">
      <c r="K699" s="151"/>
      <c r="P699" s="151"/>
    </row>
    <row r="700" ht="12.0" customHeight="1">
      <c r="K700" s="151"/>
      <c r="P700" s="151"/>
    </row>
    <row r="701" ht="12.0" customHeight="1">
      <c r="K701" s="151"/>
      <c r="P701" s="151"/>
    </row>
    <row r="702" ht="12.0" customHeight="1">
      <c r="K702" s="151"/>
      <c r="P702" s="151"/>
    </row>
    <row r="703" ht="12.0" customHeight="1">
      <c r="K703" s="151"/>
      <c r="P703" s="151"/>
    </row>
    <row r="704" ht="12.0" customHeight="1">
      <c r="K704" s="151"/>
      <c r="P704" s="151"/>
    </row>
    <row r="705" ht="12.0" customHeight="1">
      <c r="K705" s="151"/>
      <c r="P705" s="151"/>
    </row>
    <row r="706" ht="12.0" customHeight="1">
      <c r="K706" s="151"/>
      <c r="P706" s="151"/>
    </row>
    <row r="707" ht="12.0" customHeight="1">
      <c r="K707" s="151"/>
      <c r="P707" s="151"/>
    </row>
    <row r="708" ht="12.0" customHeight="1">
      <c r="K708" s="151"/>
      <c r="P708" s="151"/>
    </row>
    <row r="709" ht="12.0" customHeight="1">
      <c r="K709" s="151"/>
      <c r="P709" s="151"/>
    </row>
    <row r="710" ht="12.0" customHeight="1">
      <c r="K710" s="151"/>
      <c r="P710" s="151"/>
    </row>
    <row r="711" ht="12.0" customHeight="1">
      <c r="K711" s="151"/>
      <c r="P711" s="151"/>
    </row>
    <row r="712" ht="12.0" customHeight="1">
      <c r="K712" s="151"/>
      <c r="P712" s="151"/>
    </row>
    <row r="713" ht="12.0" customHeight="1">
      <c r="K713" s="151"/>
      <c r="P713" s="151"/>
    </row>
    <row r="714" ht="12.0" customHeight="1">
      <c r="K714" s="151"/>
      <c r="P714" s="151"/>
    </row>
    <row r="715" ht="12.0" customHeight="1">
      <c r="K715" s="151"/>
      <c r="P715" s="151"/>
    </row>
    <row r="716" ht="12.0" customHeight="1">
      <c r="K716" s="151"/>
      <c r="P716" s="151"/>
    </row>
    <row r="717" ht="12.0" customHeight="1">
      <c r="K717" s="151"/>
      <c r="P717" s="151"/>
    </row>
    <row r="718" ht="12.0" customHeight="1">
      <c r="K718" s="151"/>
      <c r="P718" s="151"/>
    </row>
    <row r="719" ht="12.0" customHeight="1">
      <c r="K719" s="151"/>
      <c r="P719" s="151"/>
    </row>
    <row r="720" ht="12.0" customHeight="1">
      <c r="K720" s="151"/>
      <c r="P720" s="151"/>
    </row>
    <row r="721" ht="12.0" customHeight="1">
      <c r="K721" s="151"/>
      <c r="P721" s="151"/>
    </row>
    <row r="722" ht="12.0" customHeight="1">
      <c r="K722" s="151"/>
      <c r="P722" s="151"/>
    </row>
    <row r="723" ht="12.0" customHeight="1">
      <c r="K723" s="151"/>
      <c r="P723" s="151"/>
    </row>
    <row r="724" ht="12.0" customHeight="1">
      <c r="K724" s="151"/>
      <c r="P724" s="151"/>
    </row>
    <row r="725" ht="12.0" customHeight="1">
      <c r="K725" s="151"/>
      <c r="P725" s="151"/>
    </row>
    <row r="726" ht="12.0" customHeight="1">
      <c r="K726" s="151"/>
      <c r="P726" s="151"/>
    </row>
    <row r="727" ht="12.0" customHeight="1">
      <c r="K727" s="151"/>
      <c r="P727" s="151"/>
    </row>
    <row r="728" ht="12.0" customHeight="1">
      <c r="K728" s="151"/>
      <c r="P728" s="151"/>
    </row>
    <row r="729" ht="12.0" customHeight="1">
      <c r="K729" s="151"/>
      <c r="P729" s="151"/>
    </row>
    <row r="730" ht="12.0" customHeight="1">
      <c r="K730" s="151"/>
      <c r="P730" s="151"/>
    </row>
    <row r="731" ht="12.0" customHeight="1">
      <c r="K731" s="151"/>
      <c r="P731" s="151"/>
    </row>
    <row r="732" ht="12.0" customHeight="1">
      <c r="K732" s="151"/>
      <c r="P732" s="151"/>
    </row>
    <row r="733" ht="12.0" customHeight="1">
      <c r="K733" s="151"/>
      <c r="P733" s="151"/>
    </row>
    <row r="734" ht="12.0" customHeight="1">
      <c r="K734" s="151"/>
      <c r="P734" s="151"/>
    </row>
    <row r="735" ht="12.0" customHeight="1">
      <c r="K735" s="151"/>
      <c r="P735" s="151"/>
    </row>
    <row r="736" ht="12.0" customHeight="1">
      <c r="K736" s="151"/>
      <c r="P736" s="151"/>
    </row>
    <row r="737" ht="12.0" customHeight="1">
      <c r="K737" s="151"/>
      <c r="P737" s="151"/>
    </row>
    <row r="738" ht="12.0" customHeight="1">
      <c r="K738" s="151"/>
      <c r="P738" s="151"/>
    </row>
    <row r="739" ht="12.0" customHeight="1">
      <c r="K739" s="151"/>
      <c r="P739" s="151"/>
    </row>
    <row r="740" ht="12.0" customHeight="1">
      <c r="K740" s="151"/>
      <c r="P740" s="151"/>
    </row>
    <row r="741" ht="12.0" customHeight="1">
      <c r="K741" s="151"/>
      <c r="P741" s="151"/>
    </row>
    <row r="742" ht="12.0" customHeight="1">
      <c r="K742" s="151"/>
      <c r="P742" s="151"/>
    </row>
    <row r="743" ht="12.0" customHeight="1">
      <c r="K743" s="151"/>
      <c r="P743" s="151"/>
    </row>
    <row r="744" ht="12.0" customHeight="1">
      <c r="K744" s="151"/>
      <c r="P744" s="151"/>
    </row>
    <row r="745" ht="12.0" customHeight="1">
      <c r="K745" s="151"/>
      <c r="P745" s="151"/>
    </row>
    <row r="746" ht="12.0" customHeight="1">
      <c r="K746" s="151"/>
      <c r="P746" s="151"/>
    </row>
    <row r="747" ht="12.0" customHeight="1">
      <c r="K747" s="151"/>
      <c r="P747" s="151"/>
    </row>
    <row r="748" ht="12.0" customHeight="1">
      <c r="K748" s="151"/>
      <c r="P748" s="151"/>
    </row>
    <row r="749" ht="12.0" customHeight="1">
      <c r="K749" s="151"/>
      <c r="P749" s="151"/>
    </row>
    <row r="750" ht="12.0" customHeight="1">
      <c r="K750" s="151"/>
      <c r="P750" s="151"/>
    </row>
    <row r="751" ht="12.0" customHeight="1">
      <c r="K751" s="151"/>
      <c r="P751" s="151"/>
    </row>
    <row r="752" ht="12.0" customHeight="1">
      <c r="K752" s="151"/>
      <c r="P752" s="151"/>
    </row>
    <row r="753" ht="12.0" customHeight="1">
      <c r="K753" s="151"/>
      <c r="P753" s="151"/>
    </row>
    <row r="754" ht="12.0" customHeight="1">
      <c r="K754" s="151"/>
      <c r="P754" s="151"/>
    </row>
    <row r="755" ht="12.0" customHeight="1">
      <c r="K755" s="151"/>
      <c r="P755" s="151"/>
    </row>
    <row r="756" ht="12.0" customHeight="1">
      <c r="K756" s="151"/>
      <c r="P756" s="151"/>
    </row>
    <row r="757" ht="12.0" customHeight="1">
      <c r="K757" s="151"/>
      <c r="P757" s="151"/>
    </row>
    <row r="758" ht="12.0" customHeight="1">
      <c r="K758" s="151"/>
      <c r="P758" s="151"/>
    </row>
    <row r="759" ht="12.0" customHeight="1">
      <c r="K759" s="151"/>
      <c r="P759" s="151"/>
    </row>
    <row r="760" ht="12.0" customHeight="1">
      <c r="K760" s="151"/>
      <c r="P760" s="151"/>
    </row>
    <row r="761" ht="12.0" customHeight="1">
      <c r="K761" s="151"/>
      <c r="P761" s="151"/>
    </row>
    <row r="762" ht="12.0" customHeight="1">
      <c r="K762" s="151"/>
      <c r="P762" s="151"/>
    </row>
    <row r="763" ht="12.0" customHeight="1">
      <c r="K763" s="151"/>
      <c r="P763" s="151"/>
    </row>
    <row r="764" ht="12.0" customHeight="1">
      <c r="K764" s="151"/>
      <c r="P764" s="151"/>
    </row>
    <row r="765" ht="12.0" customHeight="1">
      <c r="K765" s="151"/>
      <c r="P765" s="151"/>
    </row>
    <row r="766" ht="12.0" customHeight="1">
      <c r="K766" s="151"/>
      <c r="P766" s="151"/>
    </row>
    <row r="767" ht="12.0" customHeight="1">
      <c r="K767" s="151"/>
      <c r="P767" s="151"/>
    </row>
    <row r="768" ht="12.0" customHeight="1">
      <c r="K768" s="151"/>
      <c r="P768" s="151"/>
    </row>
    <row r="769" ht="12.0" customHeight="1">
      <c r="K769" s="151"/>
      <c r="P769" s="151"/>
    </row>
    <row r="770" ht="12.0" customHeight="1">
      <c r="K770" s="151"/>
      <c r="P770" s="151"/>
    </row>
    <row r="771" ht="12.0" customHeight="1">
      <c r="K771" s="151"/>
      <c r="P771" s="151"/>
    </row>
    <row r="772" ht="12.0" customHeight="1">
      <c r="K772" s="151"/>
      <c r="P772" s="151"/>
    </row>
    <row r="773" ht="12.0" customHeight="1">
      <c r="K773" s="151"/>
      <c r="P773" s="151"/>
    </row>
    <row r="774" ht="12.0" customHeight="1">
      <c r="K774" s="151"/>
      <c r="P774" s="151"/>
    </row>
    <row r="775" ht="12.0" customHeight="1">
      <c r="K775" s="151"/>
      <c r="P775" s="151"/>
    </row>
    <row r="776" ht="12.0" customHeight="1">
      <c r="K776" s="151"/>
      <c r="P776" s="151"/>
    </row>
    <row r="777" ht="12.0" customHeight="1">
      <c r="K777" s="151"/>
      <c r="P777" s="151"/>
    </row>
    <row r="778" ht="12.0" customHeight="1">
      <c r="K778" s="151"/>
      <c r="P778" s="151"/>
    </row>
    <row r="779" ht="12.0" customHeight="1">
      <c r="K779" s="151"/>
      <c r="P779" s="151"/>
    </row>
    <row r="780" ht="12.0" customHeight="1">
      <c r="K780" s="151"/>
      <c r="P780" s="151"/>
    </row>
    <row r="781" ht="12.0" customHeight="1">
      <c r="K781" s="151"/>
      <c r="P781" s="151"/>
    </row>
    <row r="782" ht="12.0" customHeight="1">
      <c r="K782" s="151"/>
      <c r="P782" s="151"/>
    </row>
    <row r="783" ht="12.0" customHeight="1">
      <c r="K783" s="151"/>
      <c r="P783" s="151"/>
    </row>
    <row r="784" ht="12.0" customHeight="1">
      <c r="K784" s="151"/>
      <c r="P784" s="151"/>
    </row>
    <row r="785" ht="12.0" customHeight="1">
      <c r="K785" s="151"/>
      <c r="P785" s="151"/>
    </row>
    <row r="786" ht="12.0" customHeight="1">
      <c r="K786" s="151"/>
      <c r="P786" s="151"/>
    </row>
    <row r="787" ht="12.0" customHeight="1">
      <c r="K787" s="151"/>
      <c r="P787" s="151"/>
    </row>
    <row r="788" ht="12.0" customHeight="1">
      <c r="K788" s="151"/>
      <c r="P788" s="151"/>
    </row>
    <row r="789" ht="12.0" customHeight="1">
      <c r="K789" s="151"/>
      <c r="P789" s="151"/>
    </row>
    <row r="790" ht="12.0" customHeight="1">
      <c r="K790" s="151"/>
      <c r="P790" s="151"/>
    </row>
    <row r="791" ht="12.0" customHeight="1">
      <c r="K791" s="151"/>
      <c r="P791" s="151"/>
    </row>
    <row r="792" ht="12.0" customHeight="1">
      <c r="K792" s="151"/>
      <c r="P792" s="151"/>
    </row>
    <row r="793" ht="12.0" customHeight="1">
      <c r="K793" s="151"/>
      <c r="P793" s="151"/>
    </row>
    <row r="794" ht="12.0" customHeight="1">
      <c r="K794" s="151"/>
      <c r="P794" s="151"/>
    </row>
    <row r="795" ht="12.0" customHeight="1">
      <c r="K795" s="151"/>
      <c r="P795" s="151"/>
    </row>
    <row r="796" ht="12.0" customHeight="1">
      <c r="K796" s="151"/>
      <c r="P796" s="151"/>
    </row>
    <row r="797" ht="12.0" customHeight="1">
      <c r="K797" s="151"/>
      <c r="P797" s="151"/>
    </row>
    <row r="798" ht="12.0" customHeight="1">
      <c r="K798" s="151"/>
      <c r="P798" s="151"/>
    </row>
    <row r="799" ht="12.0" customHeight="1">
      <c r="K799" s="151"/>
      <c r="P799" s="151"/>
    </row>
    <row r="800" ht="12.0" customHeight="1">
      <c r="K800" s="151"/>
      <c r="P800" s="151"/>
    </row>
    <row r="801" ht="12.0" customHeight="1">
      <c r="K801" s="151"/>
      <c r="P801" s="151"/>
    </row>
    <row r="802" ht="12.0" customHeight="1">
      <c r="K802" s="151"/>
      <c r="P802" s="151"/>
    </row>
    <row r="803" ht="12.0" customHeight="1">
      <c r="K803" s="151"/>
      <c r="P803" s="151"/>
    </row>
    <row r="804" ht="12.0" customHeight="1">
      <c r="K804" s="151"/>
      <c r="P804" s="151"/>
    </row>
    <row r="805" ht="12.0" customHeight="1">
      <c r="K805" s="151"/>
      <c r="P805" s="151"/>
    </row>
    <row r="806" ht="12.0" customHeight="1">
      <c r="K806" s="151"/>
      <c r="P806" s="151"/>
    </row>
    <row r="807" ht="12.0" customHeight="1">
      <c r="K807" s="151"/>
      <c r="P807" s="151"/>
    </row>
    <row r="808" ht="12.0" customHeight="1">
      <c r="K808" s="151"/>
      <c r="P808" s="151"/>
    </row>
    <row r="809" ht="12.0" customHeight="1">
      <c r="K809" s="151"/>
      <c r="P809" s="151"/>
    </row>
    <row r="810" ht="12.0" customHeight="1">
      <c r="K810" s="151"/>
      <c r="P810" s="151"/>
    </row>
    <row r="811" ht="12.0" customHeight="1">
      <c r="K811" s="151"/>
      <c r="P811" s="151"/>
    </row>
    <row r="812" ht="12.0" customHeight="1">
      <c r="K812" s="151"/>
      <c r="P812" s="151"/>
    </row>
    <row r="813" ht="12.0" customHeight="1">
      <c r="K813" s="151"/>
      <c r="P813" s="151"/>
    </row>
    <row r="814" ht="12.0" customHeight="1">
      <c r="K814" s="151"/>
      <c r="P814" s="151"/>
    </row>
    <row r="815" ht="12.0" customHeight="1">
      <c r="K815" s="151"/>
      <c r="P815" s="151"/>
    </row>
    <row r="816" ht="12.0" customHeight="1">
      <c r="K816" s="151"/>
      <c r="P816" s="151"/>
    </row>
    <row r="817" ht="12.0" customHeight="1">
      <c r="K817" s="151"/>
      <c r="P817" s="151"/>
    </row>
    <row r="818" ht="12.0" customHeight="1">
      <c r="K818" s="151"/>
      <c r="P818" s="151"/>
    </row>
    <row r="819" ht="12.0" customHeight="1">
      <c r="K819" s="151"/>
      <c r="P819" s="151"/>
    </row>
    <row r="820" ht="12.0" customHeight="1">
      <c r="K820" s="151"/>
      <c r="P820" s="151"/>
    </row>
    <row r="821" ht="12.0" customHeight="1">
      <c r="K821" s="151"/>
      <c r="P821" s="151"/>
    </row>
    <row r="822" ht="12.0" customHeight="1">
      <c r="K822" s="151"/>
      <c r="P822" s="151"/>
    </row>
    <row r="823" ht="12.0" customHeight="1">
      <c r="K823" s="151"/>
      <c r="P823" s="151"/>
    </row>
    <row r="824" ht="12.0" customHeight="1">
      <c r="K824" s="151"/>
      <c r="P824" s="151"/>
    </row>
    <row r="825" ht="12.0" customHeight="1">
      <c r="K825" s="151"/>
      <c r="P825" s="151"/>
    </row>
    <row r="826" ht="12.0" customHeight="1">
      <c r="K826" s="151"/>
      <c r="P826" s="151"/>
    </row>
    <row r="827" ht="12.0" customHeight="1">
      <c r="K827" s="151"/>
      <c r="P827" s="151"/>
    </row>
    <row r="828" ht="12.0" customHeight="1">
      <c r="K828" s="151"/>
      <c r="P828" s="151"/>
    </row>
    <row r="829" ht="12.0" customHeight="1">
      <c r="K829" s="151"/>
      <c r="P829" s="151"/>
    </row>
    <row r="830" ht="12.0" customHeight="1">
      <c r="K830" s="151"/>
      <c r="P830" s="151"/>
    </row>
    <row r="831" ht="12.0" customHeight="1">
      <c r="K831" s="151"/>
      <c r="P831" s="151"/>
    </row>
    <row r="832" ht="12.0" customHeight="1">
      <c r="K832" s="151"/>
      <c r="P832" s="151"/>
    </row>
    <row r="833" ht="12.0" customHeight="1">
      <c r="K833" s="151"/>
      <c r="P833" s="151"/>
    </row>
    <row r="834" ht="12.0" customHeight="1">
      <c r="K834" s="151"/>
      <c r="P834" s="151"/>
    </row>
    <row r="835" ht="12.0" customHeight="1">
      <c r="K835" s="151"/>
      <c r="P835" s="151"/>
    </row>
    <row r="836" ht="12.0" customHeight="1">
      <c r="K836" s="151"/>
      <c r="P836" s="151"/>
    </row>
    <row r="837" ht="12.0" customHeight="1">
      <c r="K837" s="151"/>
      <c r="P837" s="151"/>
    </row>
    <row r="838" ht="12.0" customHeight="1">
      <c r="K838" s="151"/>
      <c r="P838" s="151"/>
    </row>
    <row r="839" ht="12.0" customHeight="1">
      <c r="K839" s="151"/>
      <c r="P839" s="151"/>
    </row>
    <row r="840" ht="12.0" customHeight="1">
      <c r="K840" s="151"/>
      <c r="P840" s="151"/>
    </row>
    <row r="841" ht="12.0" customHeight="1">
      <c r="K841" s="151"/>
      <c r="P841" s="151"/>
    </row>
    <row r="842" ht="12.0" customHeight="1">
      <c r="K842" s="151"/>
      <c r="P842" s="151"/>
    </row>
    <row r="843" ht="12.0" customHeight="1">
      <c r="K843" s="151"/>
      <c r="P843" s="151"/>
    </row>
    <row r="844" ht="12.0" customHeight="1">
      <c r="K844" s="151"/>
      <c r="P844" s="151"/>
    </row>
    <row r="845" ht="12.0" customHeight="1">
      <c r="K845" s="151"/>
      <c r="P845" s="151"/>
    </row>
    <row r="846" ht="12.0" customHeight="1">
      <c r="K846" s="151"/>
      <c r="P846" s="151"/>
    </row>
    <row r="847" ht="12.0" customHeight="1">
      <c r="K847" s="151"/>
      <c r="P847" s="151"/>
    </row>
    <row r="848" ht="12.0" customHeight="1">
      <c r="K848" s="151"/>
      <c r="P848" s="151"/>
    </row>
    <row r="849" ht="12.0" customHeight="1">
      <c r="K849" s="151"/>
      <c r="P849" s="151"/>
    </row>
    <row r="850" ht="12.0" customHeight="1">
      <c r="K850" s="151"/>
      <c r="P850" s="151"/>
    </row>
    <row r="851" ht="12.0" customHeight="1">
      <c r="K851" s="151"/>
      <c r="P851" s="151"/>
    </row>
    <row r="852" ht="12.0" customHeight="1">
      <c r="K852" s="151"/>
      <c r="P852" s="151"/>
    </row>
    <row r="853" ht="12.0" customHeight="1">
      <c r="K853" s="151"/>
      <c r="P853" s="151"/>
    </row>
    <row r="854" ht="12.0" customHeight="1">
      <c r="K854" s="151"/>
      <c r="P854" s="151"/>
    </row>
    <row r="855" ht="12.0" customHeight="1">
      <c r="K855" s="151"/>
      <c r="P855" s="151"/>
    </row>
    <row r="856" ht="12.0" customHeight="1">
      <c r="K856" s="151"/>
      <c r="P856" s="151"/>
    </row>
    <row r="857" ht="12.0" customHeight="1">
      <c r="K857" s="151"/>
      <c r="P857" s="151"/>
    </row>
    <row r="858" ht="12.0" customHeight="1">
      <c r="K858" s="151"/>
      <c r="P858" s="151"/>
    </row>
    <row r="859" ht="12.0" customHeight="1">
      <c r="K859" s="151"/>
      <c r="P859" s="151"/>
    </row>
    <row r="860" ht="12.0" customHeight="1">
      <c r="K860" s="151"/>
      <c r="P860" s="151"/>
    </row>
    <row r="861" ht="12.0" customHeight="1">
      <c r="K861" s="151"/>
      <c r="P861" s="151"/>
    </row>
    <row r="862" ht="12.0" customHeight="1">
      <c r="K862" s="151"/>
      <c r="P862" s="151"/>
    </row>
    <row r="863" ht="12.0" customHeight="1">
      <c r="K863" s="151"/>
      <c r="P863" s="151"/>
    </row>
    <row r="864" ht="12.0" customHeight="1">
      <c r="K864" s="151"/>
      <c r="P864" s="151"/>
    </row>
    <row r="865" ht="12.0" customHeight="1">
      <c r="K865" s="151"/>
      <c r="P865" s="151"/>
    </row>
    <row r="866" ht="12.0" customHeight="1">
      <c r="K866" s="151"/>
      <c r="P866" s="151"/>
    </row>
    <row r="867" ht="12.0" customHeight="1">
      <c r="K867" s="151"/>
      <c r="P867" s="151"/>
    </row>
    <row r="868" ht="12.0" customHeight="1">
      <c r="K868" s="151"/>
      <c r="P868" s="151"/>
    </row>
    <row r="869" ht="12.0" customHeight="1">
      <c r="K869" s="151"/>
      <c r="P869" s="151"/>
    </row>
    <row r="870" ht="12.0" customHeight="1">
      <c r="K870" s="151"/>
      <c r="P870" s="151"/>
    </row>
    <row r="871" ht="12.0" customHeight="1">
      <c r="K871" s="151"/>
      <c r="P871" s="151"/>
    </row>
    <row r="872" ht="12.0" customHeight="1">
      <c r="K872" s="151"/>
      <c r="P872" s="151"/>
    </row>
    <row r="873" ht="12.0" customHeight="1">
      <c r="K873" s="151"/>
      <c r="P873" s="151"/>
    </row>
    <row r="874" ht="12.0" customHeight="1">
      <c r="K874" s="151"/>
      <c r="P874" s="151"/>
    </row>
    <row r="875" ht="12.0" customHeight="1">
      <c r="K875" s="151"/>
      <c r="P875" s="151"/>
    </row>
    <row r="876" ht="12.0" customHeight="1">
      <c r="K876" s="151"/>
      <c r="P876" s="151"/>
    </row>
    <row r="877" ht="12.0" customHeight="1">
      <c r="K877" s="151"/>
      <c r="P877" s="151"/>
    </row>
    <row r="878" ht="12.0" customHeight="1">
      <c r="K878" s="151"/>
      <c r="P878" s="151"/>
    </row>
    <row r="879" ht="12.0" customHeight="1">
      <c r="K879" s="151"/>
      <c r="P879" s="151"/>
    </row>
    <row r="880" ht="12.0" customHeight="1">
      <c r="K880" s="151"/>
      <c r="P880" s="151"/>
    </row>
    <row r="881" ht="12.0" customHeight="1">
      <c r="K881" s="151"/>
      <c r="P881" s="151"/>
    </row>
    <row r="882" ht="12.0" customHeight="1">
      <c r="K882" s="151"/>
      <c r="P882" s="151"/>
    </row>
    <row r="883" ht="12.0" customHeight="1">
      <c r="K883" s="151"/>
      <c r="P883" s="151"/>
    </row>
    <row r="884" ht="12.0" customHeight="1">
      <c r="K884" s="151"/>
      <c r="P884" s="151"/>
    </row>
    <row r="885" ht="12.0" customHeight="1">
      <c r="K885" s="151"/>
      <c r="P885" s="151"/>
    </row>
    <row r="886" ht="12.0" customHeight="1">
      <c r="K886" s="151"/>
      <c r="P886" s="151"/>
    </row>
    <row r="887" ht="12.0" customHeight="1">
      <c r="K887" s="151"/>
      <c r="P887" s="151"/>
    </row>
    <row r="888" ht="12.0" customHeight="1">
      <c r="K888" s="151"/>
      <c r="P888" s="151"/>
    </row>
    <row r="889" ht="12.0" customHeight="1">
      <c r="K889" s="151"/>
      <c r="P889" s="151"/>
    </row>
    <row r="890" ht="12.0" customHeight="1">
      <c r="K890" s="151"/>
      <c r="P890" s="151"/>
    </row>
    <row r="891" ht="12.0" customHeight="1">
      <c r="K891" s="151"/>
      <c r="P891" s="151"/>
    </row>
    <row r="892" ht="12.0" customHeight="1">
      <c r="K892" s="151"/>
      <c r="P892" s="151"/>
    </row>
    <row r="893" ht="12.0" customHeight="1">
      <c r="K893" s="151"/>
      <c r="P893" s="151"/>
    </row>
    <row r="894" ht="12.0" customHeight="1">
      <c r="K894" s="151"/>
      <c r="P894" s="151"/>
    </row>
    <row r="895" ht="12.0" customHeight="1">
      <c r="K895" s="151"/>
      <c r="P895" s="151"/>
    </row>
    <row r="896" ht="12.0" customHeight="1">
      <c r="K896" s="151"/>
      <c r="P896" s="151"/>
    </row>
    <row r="897" ht="12.0" customHeight="1">
      <c r="K897" s="151"/>
      <c r="P897" s="151"/>
    </row>
    <row r="898" ht="12.0" customHeight="1">
      <c r="K898" s="151"/>
      <c r="P898" s="151"/>
    </row>
    <row r="899" ht="12.0" customHeight="1">
      <c r="K899" s="151"/>
      <c r="P899" s="151"/>
    </row>
    <row r="900" ht="12.0" customHeight="1">
      <c r="K900" s="151"/>
      <c r="P900" s="151"/>
    </row>
    <row r="901" ht="12.0" customHeight="1">
      <c r="K901" s="151"/>
      <c r="P901" s="151"/>
    </row>
    <row r="902" ht="12.0" customHeight="1">
      <c r="K902" s="151"/>
      <c r="P902" s="151"/>
    </row>
    <row r="903" ht="12.0" customHeight="1">
      <c r="K903" s="151"/>
      <c r="P903" s="151"/>
    </row>
    <row r="904" ht="12.0" customHeight="1">
      <c r="K904" s="151"/>
      <c r="P904" s="151"/>
    </row>
    <row r="905" ht="12.0" customHeight="1">
      <c r="K905" s="151"/>
      <c r="P905" s="151"/>
    </row>
    <row r="906" ht="12.0" customHeight="1">
      <c r="K906" s="151"/>
      <c r="P906" s="151"/>
    </row>
    <row r="907" ht="12.0" customHeight="1">
      <c r="K907" s="151"/>
      <c r="P907" s="151"/>
    </row>
    <row r="908" ht="12.0" customHeight="1">
      <c r="K908" s="151"/>
      <c r="P908" s="151"/>
    </row>
    <row r="909" ht="12.0" customHeight="1">
      <c r="K909" s="151"/>
      <c r="P909" s="151"/>
    </row>
    <row r="910" ht="12.0" customHeight="1">
      <c r="K910" s="151"/>
      <c r="P910" s="151"/>
    </row>
    <row r="911" ht="12.0" customHeight="1">
      <c r="K911" s="151"/>
      <c r="P911" s="151"/>
    </row>
    <row r="912" ht="12.0" customHeight="1">
      <c r="K912" s="151"/>
      <c r="P912" s="151"/>
    </row>
    <row r="913" ht="12.0" customHeight="1">
      <c r="K913" s="151"/>
      <c r="P913" s="151"/>
    </row>
    <row r="914" ht="12.0" customHeight="1">
      <c r="K914" s="151"/>
      <c r="P914" s="151"/>
    </row>
    <row r="915" ht="12.0" customHeight="1">
      <c r="K915" s="151"/>
      <c r="P915" s="151"/>
    </row>
    <row r="916" ht="12.0" customHeight="1">
      <c r="K916" s="151"/>
      <c r="P916" s="151"/>
    </row>
    <row r="917" ht="12.0" customHeight="1">
      <c r="K917" s="151"/>
      <c r="P917" s="151"/>
    </row>
    <row r="918" ht="12.0" customHeight="1">
      <c r="K918" s="151"/>
      <c r="P918" s="151"/>
    </row>
    <row r="919" ht="12.0" customHeight="1">
      <c r="K919" s="151"/>
      <c r="P919" s="151"/>
    </row>
    <row r="920" ht="12.0" customHeight="1">
      <c r="K920" s="151"/>
      <c r="P920" s="151"/>
    </row>
    <row r="921" ht="12.0" customHeight="1">
      <c r="K921" s="151"/>
      <c r="P921" s="151"/>
    </row>
    <row r="922" ht="12.0" customHeight="1">
      <c r="K922" s="151"/>
      <c r="P922" s="151"/>
    </row>
    <row r="923" ht="12.0" customHeight="1">
      <c r="K923" s="151"/>
      <c r="P923" s="151"/>
    </row>
    <row r="924" ht="12.0" customHeight="1">
      <c r="K924" s="151"/>
      <c r="P924" s="151"/>
    </row>
    <row r="925" ht="12.0" customHeight="1">
      <c r="K925" s="151"/>
      <c r="P925" s="151"/>
    </row>
    <row r="926" ht="12.0" customHeight="1">
      <c r="K926" s="151"/>
      <c r="P926" s="151"/>
    </row>
    <row r="927" ht="12.0" customHeight="1">
      <c r="K927" s="151"/>
      <c r="P927" s="151"/>
    </row>
    <row r="928" ht="12.0" customHeight="1">
      <c r="K928" s="151"/>
      <c r="P928" s="151"/>
    </row>
    <row r="929" ht="12.0" customHeight="1">
      <c r="K929" s="151"/>
      <c r="P929" s="151"/>
    </row>
    <row r="930" ht="12.0" customHeight="1">
      <c r="K930" s="151"/>
      <c r="P930" s="151"/>
    </row>
    <row r="931" ht="12.0" customHeight="1">
      <c r="K931" s="151"/>
      <c r="P931" s="151"/>
    </row>
    <row r="932" ht="12.0" customHeight="1">
      <c r="K932" s="151"/>
      <c r="P932" s="151"/>
    </row>
    <row r="933" ht="12.0" customHeight="1">
      <c r="K933" s="151"/>
      <c r="P933" s="151"/>
    </row>
    <row r="934" ht="12.0" customHeight="1">
      <c r="K934" s="151"/>
      <c r="P934" s="151"/>
    </row>
    <row r="935" ht="12.0" customHeight="1">
      <c r="K935" s="151"/>
      <c r="P935" s="151"/>
    </row>
    <row r="936" ht="12.0" customHeight="1">
      <c r="K936" s="151"/>
      <c r="P936" s="151"/>
    </row>
    <row r="937" ht="12.0" customHeight="1">
      <c r="K937" s="151"/>
      <c r="P937" s="151"/>
    </row>
    <row r="938" ht="12.0" customHeight="1">
      <c r="K938" s="151"/>
      <c r="P938" s="151"/>
    </row>
    <row r="939" ht="12.0" customHeight="1">
      <c r="K939" s="151"/>
      <c r="P939" s="151"/>
    </row>
    <row r="940" ht="12.0" customHeight="1">
      <c r="K940" s="151"/>
      <c r="P940" s="151"/>
    </row>
    <row r="941" ht="12.0" customHeight="1">
      <c r="K941" s="151"/>
      <c r="P941" s="151"/>
    </row>
    <row r="942" ht="12.0" customHeight="1">
      <c r="K942" s="151"/>
      <c r="P942" s="151"/>
    </row>
    <row r="943" ht="12.0" customHeight="1">
      <c r="K943" s="151"/>
      <c r="P943" s="151"/>
    </row>
    <row r="944" ht="12.0" customHeight="1">
      <c r="K944" s="151"/>
      <c r="P944" s="151"/>
    </row>
    <row r="945" ht="12.0" customHeight="1">
      <c r="K945" s="151"/>
      <c r="P945" s="151"/>
    </row>
    <row r="946" ht="12.0" customHeight="1">
      <c r="K946" s="151"/>
      <c r="P946" s="151"/>
    </row>
    <row r="947" ht="12.0" customHeight="1">
      <c r="K947" s="151"/>
      <c r="P947" s="151"/>
    </row>
    <row r="948" ht="12.0" customHeight="1">
      <c r="K948" s="151"/>
      <c r="P948" s="151"/>
    </row>
    <row r="949" ht="12.0" customHeight="1">
      <c r="K949" s="151"/>
      <c r="P949" s="151"/>
    </row>
    <row r="950" ht="12.0" customHeight="1">
      <c r="K950" s="151"/>
      <c r="P950" s="151"/>
    </row>
    <row r="951" ht="12.0" customHeight="1">
      <c r="K951" s="151"/>
      <c r="P951" s="151"/>
    </row>
    <row r="952" ht="12.0" customHeight="1">
      <c r="K952" s="151"/>
      <c r="P952" s="151"/>
    </row>
    <row r="953" ht="12.0" customHeight="1">
      <c r="K953" s="151"/>
      <c r="P953" s="151"/>
    </row>
    <row r="954" ht="12.0" customHeight="1">
      <c r="K954" s="151"/>
      <c r="P954" s="151"/>
    </row>
    <row r="955" ht="12.0" customHeight="1">
      <c r="K955" s="151"/>
      <c r="P955" s="151"/>
    </row>
    <row r="956" ht="12.0" customHeight="1">
      <c r="K956" s="151"/>
      <c r="P956" s="151"/>
    </row>
    <row r="957" ht="12.0" customHeight="1">
      <c r="K957" s="151"/>
      <c r="P957" s="151"/>
    </row>
    <row r="958" ht="12.0" customHeight="1">
      <c r="K958" s="151"/>
      <c r="P958" s="151"/>
    </row>
    <row r="959" ht="12.0" customHeight="1">
      <c r="K959" s="151"/>
      <c r="P959" s="151"/>
    </row>
    <row r="960" ht="12.0" customHeight="1">
      <c r="K960" s="151"/>
      <c r="P960" s="151"/>
    </row>
    <row r="961" ht="12.0" customHeight="1">
      <c r="K961" s="151"/>
      <c r="P961" s="151"/>
    </row>
    <row r="962" ht="12.0" customHeight="1">
      <c r="K962" s="151"/>
      <c r="P962" s="151"/>
    </row>
    <row r="963" ht="12.0" customHeight="1">
      <c r="K963" s="151"/>
      <c r="P963" s="151"/>
    </row>
    <row r="964" ht="12.0" customHeight="1">
      <c r="K964" s="151"/>
      <c r="P964" s="151"/>
    </row>
    <row r="965" ht="12.0" customHeight="1">
      <c r="K965" s="151"/>
      <c r="P965" s="151"/>
    </row>
    <row r="966" ht="12.0" customHeight="1">
      <c r="K966" s="151"/>
      <c r="P966" s="151"/>
    </row>
    <row r="967" ht="12.0" customHeight="1">
      <c r="K967" s="151"/>
      <c r="P967" s="151"/>
    </row>
    <row r="968" ht="12.0" customHeight="1">
      <c r="K968" s="151"/>
      <c r="P968" s="151"/>
    </row>
    <row r="969" ht="12.0" customHeight="1">
      <c r="K969" s="151"/>
      <c r="P969" s="151"/>
    </row>
    <row r="970" ht="12.0" customHeight="1">
      <c r="K970" s="151"/>
      <c r="P970" s="151"/>
    </row>
    <row r="971" ht="12.0" customHeight="1">
      <c r="K971" s="151"/>
      <c r="P971" s="151"/>
    </row>
    <row r="972" ht="12.0" customHeight="1">
      <c r="K972" s="151"/>
      <c r="P972" s="151"/>
    </row>
    <row r="973" ht="12.0" customHeight="1">
      <c r="K973" s="151"/>
      <c r="P973" s="151"/>
    </row>
    <row r="974" ht="12.0" customHeight="1">
      <c r="K974" s="151"/>
      <c r="P974" s="151"/>
    </row>
    <row r="975" ht="12.0" customHeight="1">
      <c r="K975" s="151"/>
      <c r="P975" s="151"/>
    </row>
    <row r="976" ht="12.0" customHeight="1">
      <c r="K976" s="151"/>
      <c r="P976" s="151"/>
    </row>
    <row r="977" ht="12.0" customHeight="1">
      <c r="K977" s="151"/>
      <c r="P977" s="151"/>
    </row>
    <row r="978" ht="12.0" customHeight="1">
      <c r="K978" s="151"/>
      <c r="P978" s="151"/>
    </row>
    <row r="979" ht="12.0" customHeight="1">
      <c r="K979" s="151"/>
      <c r="P979" s="151"/>
    </row>
    <row r="980" ht="12.0" customHeight="1">
      <c r="K980" s="151"/>
      <c r="P980" s="151"/>
    </row>
    <row r="981" ht="12.0" customHeight="1">
      <c r="K981" s="151"/>
      <c r="P981" s="151"/>
    </row>
    <row r="982" ht="12.0" customHeight="1">
      <c r="K982" s="151"/>
      <c r="P982" s="151"/>
    </row>
    <row r="983" ht="12.0" customHeight="1">
      <c r="K983" s="151"/>
      <c r="P983" s="151"/>
    </row>
    <row r="984" ht="12.0" customHeight="1">
      <c r="K984" s="151"/>
      <c r="P984" s="151"/>
    </row>
    <row r="985" ht="12.0" customHeight="1">
      <c r="K985" s="151"/>
      <c r="P985" s="151"/>
    </row>
    <row r="986" ht="12.0" customHeight="1">
      <c r="K986" s="151"/>
      <c r="P986" s="151"/>
    </row>
    <row r="987" ht="12.0" customHeight="1">
      <c r="K987" s="151"/>
      <c r="P987" s="151"/>
    </row>
    <row r="988" ht="12.0" customHeight="1">
      <c r="K988" s="151"/>
      <c r="P988" s="151"/>
    </row>
    <row r="989" ht="12.0" customHeight="1">
      <c r="K989" s="151"/>
      <c r="P989" s="151"/>
    </row>
    <row r="990" ht="12.0" customHeight="1">
      <c r="K990" s="151"/>
      <c r="P990" s="151"/>
    </row>
    <row r="991" ht="12.0" customHeight="1">
      <c r="K991" s="151"/>
      <c r="P991" s="151"/>
    </row>
    <row r="992" ht="12.0" customHeight="1">
      <c r="K992" s="151"/>
      <c r="P992" s="151"/>
    </row>
    <row r="993" ht="12.0" customHeight="1">
      <c r="K993" s="151"/>
      <c r="P993" s="151"/>
    </row>
    <row r="994" ht="12.0" customHeight="1">
      <c r="K994" s="151"/>
      <c r="P994" s="151"/>
    </row>
    <row r="995" ht="12.0" customHeight="1">
      <c r="K995" s="151"/>
      <c r="P995" s="151"/>
    </row>
    <row r="996" ht="12.0" customHeight="1">
      <c r="K996" s="151"/>
      <c r="P996" s="151"/>
    </row>
    <row r="997" ht="12.0" customHeight="1">
      <c r="K997" s="151"/>
      <c r="P997" s="151"/>
    </row>
    <row r="998" ht="12.0" customHeight="1">
      <c r="K998" s="151"/>
      <c r="P998" s="151"/>
    </row>
    <row r="999" ht="12.0" customHeight="1">
      <c r="K999" s="151"/>
      <c r="P999" s="151"/>
    </row>
    <row r="1000" ht="12.0" customHeight="1">
      <c r="K1000" s="151"/>
      <c r="P1000" s="151"/>
    </row>
    <row r="1001" ht="12.0" customHeight="1">
      <c r="K1001" s="151"/>
      <c r="P1001" s="151"/>
    </row>
    <row r="1002" ht="12.0" customHeight="1">
      <c r="K1002" s="151"/>
      <c r="P1002" s="151"/>
    </row>
    <row r="1003" ht="12.0" customHeight="1">
      <c r="K1003" s="151"/>
      <c r="P1003" s="151"/>
    </row>
    <row r="1004" ht="12.0" customHeight="1">
      <c r="K1004" s="151"/>
      <c r="P1004" s="151"/>
    </row>
    <row r="1005" ht="12.0" customHeight="1">
      <c r="K1005" s="151"/>
      <c r="P1005" s="151"/>
    </row>
    <row r="1006" ht="12.0" customHeight="1">
      <c r="K1006" s="151"/>
      <c r="P1006" s="151"/>
    </row>
    <row r="1007" ht="12.0" customHeight="1">
      <c r="K1007" s="151"/>
      <c r="P1007" s="151"/>
    </row>
    <row r="1008" ht="12.0" customHeight="1">
      <c r="K1008" s="151"/>
      <c r="P1008" s="151"/>
    </row>
    <row r="1009" ht="12.0" customHeight="1">
      <c r="K1009" s="151"/>
      <c r="P1009" s="151"/>
    </row>
    <row r="1010" ht="12.0" customHeight="1">
      <c r="K1010" s="151"/>
      <c r="P1010" s="151"/>
    </row>
    <row r="1011" ht="12.0" customHeight="1">
      <c r="K1011" s="151"/>
      <c r="P1011" s="151"/>
    </row>
    <row r="1012" ht="12.0" customHeight="1">
      <c r="K1012" s="151"/>
      <c r="P1012" s="151"/>
    </row>
  </sheetData>
  <mergeCells count="6">
    <mergeCell ref="B2:F2"/>
    <mergeCell ref="J7:K7"/>
    <mergeCell ref="O7:P7"/>
    <mergeCell ref="F8:H8"/>
    <mergeCell ref="I8:K8"/>
    <mergeCell ref="B47:B52"/>
  </mergeCells>
  <dataValidations>
    <dataValidation type="list" allowBlank="1" showErrorMessage="1" sqref="J18: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31">
      <formula1>"TIMBER ROOF TRUSSES,NO ROOF TRUSSES"</formula1>
    </dataValidation>
    <dataValidation type="list" allowBlank="1" showErrorMessage="1" sqref="J34 J37 J41 J44 J57 J60 J64 J67 J70 J74 J79">
      <formula1>"YES,NO"</formula1>
    </dataValidation>
    <dataValidation type="list" allowBlank="1" showErrorMessage="1" sqref="L17:O21 L26:O26 L31:O31 L34:O34 L37:O37 L41:O41 L44:O44 L47:O47 L53:O53 L57:O57 L60:O60 L64:O64 L67:O67 L70:O70 L74:O74 L79:O79">
      <formula1>"DELAPIDATED,POOR,FAIR,GOOD,VERY GOOD,EXCELLENT,NOT APPLICABLE"</formula1>
    </dataValidation>
    <dataValidation type="list" allowBlank="1" showErrorMessage="1" sqref="J53">
      <formula1>"STEEL WINDOW FRAMES,ALUMINIUM WINDOW FRAMES,NO WINDOWS FITTED"</formula1>
    </dataValidation>
    <dataValidation type="list" allowBlank="1" showErrorMessage="1" sqref="L56:O56 AB74">
      <formula1>"Delapidated,Poor,Fair,Good,Very Good,Excellent,Not Applicable"</formula1>
    </dataValidation>
    <dataValidation type="list" allowBlank="1" showErrorMessage="1" sqref="J12">
      <formula1>"2010-2013,2014-2021,2021-2023"</formula1>
    </dataValidation>
    <dataValidation type="list" allowBlank="1" showErrorMessage="1" sqref="J47">
      <formula1>"VINYL FLOORING,TILING FLOORING,TIMBER FLOORING,CARPETS FLOORING,NO FLOORING"</formula1>
    </dataValidation>
  </dataValidations>
  <printOptions/>
  <pageMargins bottom="0.75" footer="0.0" header="0.0" left="0.7" right="0.7" top="0.75"/>
  <pageSetup paperSize="9" orientation="portrait"/>
  <headerFooter>
    <oddFooter>&amp;C....Making Buildings Work Tel: 310 1353                         Cell: 74712201                    Email: temocs@gmail.com</oddFooter>
  </headerFooter>
  <colBreaks count="1" manualBreakCount="1">
    <brk id="17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29.13"/>
    <col customWidth="1" hidden="1" min="4" max="8" width="24.88"/>
    <col customWidth="1" min="9" max="9" width="4.88"/>
    <col customWidth="1" min="10" max="10" width="17.13"/>
    <col customWidth="1" min="11" max="11" width="14.25"/>
    <col customWidth="1" hidden="1" min="12" max="12" width="8.25"/>
    <col customWidth="1" hidden="1" min="13" max="13" width="15.88"/>
    <col customWidth="1" hidden="1" min="14" max="14" width="18.75"/>
    <col customWidth="1" min="15" max="15" width="19.75"/>
    <col customWidth="1" min="16" max="16" width="21.25"/>
    <col customWidth="1" min="17" max="26" width="9.13"/>
  </cols>
  <sheetData>
    <row r="1" ht="12.0" customHeight="1">
      <c r="B1" s="1"/>
      <c r="K1" s="151"/>
      <c r="P1" s="151"/>
    </row>
    <row r="2" ht="12.0" customHeight="1">
      <c r="B2" s="1"/>
      <c r="K2" s="151"/>
      <c r="P2" s="151"/>
    </row>
    <row r="3" ht="12.0" customHeight="1">
      <c r="B3" s="1"/>
      <c r="C3" s="4" t="s">
        <v>120</v>
      </c>
      <c r="K3" s="151"/>
      <c r="P3" s="151"/>
    </row>
    <row r="4" ht="12.0" customHeight="1">
      <c r="B4" s="1"/>
      <c r="C4" s="4" t="s">
        <v>129</v>
      </c>
      <c r="K4" s="151"/>
      <c r="P4" s="151"/>
    </row>
    <row r="5" ht="12.0" customHeight="1">
      <c r="B5" s="1"/>
      <c r="C5" s="4"/>
      <c r="K5" s="151"/>
      <c r="P5" s="151"/>
    </row>
    <row r="6" ht="30.75" customHeight="1">
      <c r="B6" s="1"/>
      <c r="C6" s="5"/>
      <c r="J6" s="626"/>
      <c r="K6" s="626"/>
      <c r="L6" s="627"/>
      <c r="M6" s="628"/>
      <c r="N6" s="629"/>
      <c r="O6" s="630"/>
      <c r="P6" s="630"/>
    </row>
    <row r="7" ht="30.75" customHeight="1">
      <c r="B7" s="1"/>
      <c r="C7" s="5"/>
      <c r="J7" s="6" t="s">
        <v>2</v>
      </c>
      <c r="K7" s="7"/>
      <c r="L7" s="166"/>
      <c r="M7" s="159"/>
      <c r="N7" s="160"/>
      <c r="O7" s="8" t="s">
        <v>3</v>
      </c>
      <c r="P7" s="7"/>
    </row>
    <row r="8" ht="49.5" customHeight="1">
      <c r="B8" s="631"/>
      <c r="C8" s="632"/>
      <c r="D8" s="633"/>
      <c r="E8" s="633"/>
      <c r="F8" s="634" t="s">
        <v>79</v>
      </c>
      <c r="G8" s="274"/>
      <c r="H8" s="7"/>
      <c r="I8" s="536" t="s">
        <v>80</v>
      </c>
      <c r="J8" s="274"/>
      <c r="K8" s="7"/>
      <c r="L8" s="635" t="s">
        <v>91</v>
      </c>
      <c r="M8" s="274"/>
      <c r="N8" s="7"/>
      <c r="O8" s="161"/>
      <c r="P8" s="151"/>
    </row>
    <row r="9" ht="49.5" customHeight="1">
      <c r="B9" s="631"/>
      <c r="C9" s="632" t="s">
        <v>130</v>
      </c>
      <c r="D9" s="636"/>
      <c r="E9" s="636"/>
      <c r="F9" s="636"/>
      <c r="G9" s="636"/>
      <c r="H9" s="636"/>
      <c r="I9" s="636"/>
      <c r="J9" s="636"/>
      <c r="K9" s="637"/>
      <c r="L9" s="638"/>
      <c r="M9" s="639"/>
      <c r="N9" s="640"/>
      <c r="P9" s="151"/>
    </row>
    <row r="10" ht="65.25" customHeight="1">
      <c r="A10" s="20"/>
      <c r="B10" s="167" t="s">
        <v>6</v>
      </c>
      <c r="C10" s="167" t="s">
        <v>7</v>
      </c>
      <c r="D10" s="168"/>
      <c r="E10" s="168" t="s">
        <v>8</v>
      </c>
      <c r="F10" s="169" t="s">
        <v>9</v>
      </c>
      <c r="G10" s="169" t="s">
        <v>10</v>
      </c>
      <c r="H10" s="169" t="s">
        <v>11</v>
      </c>
      <c r="I10" s="170" t="s">
        <v>12</v>
      </c>
      <c r="J10" s="26" t="s">
        <v>13</v>
      </c>
      <c r="K10" s="24" t="s">
        <v>14</v>
      </c>
      <c r="L10" s="171" t="s">
        <v>15</v>
      </c>
      <c r="M10" s="172" t="s">
        <v>16</v>
      </c>
      <c r="N10" s="173" t="s">
        <v>17</v>
      </c>
      <c r="O10" s="31" t="s">
        <v>18</v>
      </c>
      <c r="P10" s="24" t="s">
        <v>14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30.0" customHeight="1">
      <c r="A11" s="20"/>
      <c r="B11" s="174"/>
      <c r="C11" s="174"/>
      <c r="D11" s="175"/>
      <c r="E11" s="37"/>
      <c r="F11" s="176">
        <v>3.0</v>
      </c>
      <c r="G11" s="176">
        <v>2.0</v>
      </c>
      <c r="H11" s="176">
        <v>1.0</v>
      </c>
      <c r="I11" s="277"/>
      <c r="J11" s="278"/>
      <c r="K11" s="450"/>
      <c r="L11" s="641"/>
      <c r="M11" s="642"/>
      <c r="N11" s="643"/>
      <c r="O11" s="17"/>
      <c r="P11" s="234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30.0" customHeight="1">
      <c r="A12" s="17"/>
      <c r="B12" s="52"/>
      <c r="C12" s="184" t="s">
        <v>19</v>
      </c>
      <c r="D12" s="185"/>
      <c r="E12" s="48"/>
      <c r="F12" s="186"/>
      <c r="G12" s="186"/>
      <c r="H12" s="186"/>
      <c r="I12" s="283"/>
      <c r="J12" s="188">
        <v>550.0</v>
      </c>
      <c r="K12" s="189"/>
      <c r="L12" s="644" t="str">
        <f>AVERAGE(#REF!)</f>
        <v>#REF!</v>
      </c>
      <c r="M12" s="191">
        <v>553.5</v>
      </c>
      <c r="N12" s="193"/>
      <c r="O12" s="645"/>
      <c r="P12" s="19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customHeight="1">
      <c r="A13" s="17"/>
      <c r="B13" s="52"/>
      <c r="C13" s="194" t="s">
        <v>20</v>
      </c>
      <c r="D13" s="54" t="s">
        <v>11</v>
      </c>
      <c r="E13" s="54"/>
      <c r="F13" s="186"/>
      <c r="G13" s="186"/>
      <c r="H13" s="186"/>
      <c r="I13" s="646">
        <v>1.0</v>
      </c>
      <c r="J13" s="196" t="s">
        <v>9</v>
      </c>
      <c r="K13" s="197"/>
      <c r="L13" s="644"/>
      <c r="M13" s="191"/>
      <c r="N13" s="193"/>
      <c r="O13" s="250"/>
      <c r="P13" s="19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customHeight="1">
      <c r="A14" s="17"/>
      <c r="B14" s="52"/>
      <c r="C14" s="198"/>
      <c r="D14" s="54" t="s">
        <v>10</v>
      </c>
      <c r="E14" s="54"/>
      <c r="F14" s="186"/>
      <c r="G14" s="186"/>
      <c r="H14" s="186"/>
      <c r="I14" s="646">
        <v>2.0</v>
      </c>
      <c r="J14" s="56"/>
      <c r="K14" s="58"/>
      <c r="L14" s="549"/>
      <c r="M14" s="319"/>
      <c r="N14" s="550"/>
      <c r="O14" s="17"/>
      <c r="P14" s="62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customHeight="1">
      <c r="A15" s="17"/>
      <c r="B15" s="52"/>
      <c r="C15" s="198"/>
      <c r="D15" s="54" t="s">
        <v>9</v>
      </c>
      <c r="E15" s="54"/>
      <c r="F15" s="186"/>
      <c r="G15" s="186"/>
      <c r="H15" s="186"/>
      <c r="I15" s="646">
        <v>3.0</v>
      </c>
      <c r="J15" s="56"/>
      <c r="K15" s="58"/>
      <c r="L15" s="549"/>
      <c r="M15" s="319"/>
      <c r="N15" s="550"/>
      <c r="O15" s="17"/>
      <c r="P15" s="62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customHeight="1">
      <c r="A16" s="17"/>
      <c r="B16" s="52"/>
      <c r="C16" s="198"/>
      <c r="D16" s="54" t="s">
        <v>21</v>
      </c>
      <c r="E16" s="63">
        <v>1.19</v>
      </c>
      <c r="F16" s="186"/>
      <c r="G16" s="455">
        <v>1.25</v>
      </c>
      <c r="H16" s="455">
        <v>1.32</v>
      </c>
      <c r="I16" s="56"/>
      <c r="J16" s="56"/>
      <c r="K16" s="58"/>
      <c r="L16" s="549"/>
      <c r="M16" s="319"/>
      <c r="N16" s="550"/>
      <c r="O16" s="17"/>
      <c r="P16" s="6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67">
        <f>704.694489611563*E16</f>
        <v>838.5864426</v>
      </c>
      <c r="G17" s="67">
        <f>F17/$G$16</f>
        <v>670.8691541</v>
      </c>
      <c r="H17" s="67">
        <f>F17/$H$16</f>
        <v>635.2927596</v>
      </c>
      <c r="I17" s="68"/>
      <c r="J17" s="56"/>
      <c r="K17" s="70">
        <f>IF(J13="2010-2013",J12*H17,IF(J13="2014-2021",J12*G17,IF(J13="2021-2023",J12*F17,-2)))</f>
        <v>461222.5435</v>
      </c>
      <c r="L17" s="552" t="str">
        <f t="shared" ref="L17:L18" si="1">AVERAGE(#REF!)</f>
        <v>#REF!</v>
      </c>
      <c r="M17" s="296">
        <v>390048.4</v>
      </c>
      <c r="N17" s="553">
        <f t="shared" ref="N17:N18" si="2">M17/$M$12</f>
        <v>704.6944896</v>
      </c>
      <c r="O17" s="207" t="s">
        <v>23</v>
      </c>
      <c r="P17" s="73">
        <f t="shared" ref="P17:P18" si="3">IF(O17="Delapidated",K17*0.6,IF(O17="Poor",K17*0.7,IF(O17="Fair",K17*0.8,IF(O17="Good",K17*0.85,IF(O17="Very Good",K17*0.9,IF(O17="Excellent",K17*1,IF(O17="Not Applicable",K17*1,0)))))))</f>
        <v>461222.5435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66"/>
      <c r="F18" s="209"/>
      <c r="G18" s="67"/>
      <c r="H18" s="67"/>
      <c r="I18" s="68"/>
      <c r="J18" s="72" t="s">
        <v>25</v>
      </c>
      <c r="K18" s="70">
        <f>IF(J18="YES",IF(J13="2010-2013",H19*$J$12,IF(J13="2014-2021",G19*$J$12,IF(J13="2021-2023",F19*$J$12,0))),0)</f>
        <v>626191.5447</v>
      </c>
      <c r="L18" s="552" t="str">
        <f t="shared" si="1"/>
        <v>#REF!</v>
      </c>
      <c r="M18" s="296">
        <v>529560.0</v>
      </c>
      <c r="N18" s="553">
        <f t="shared" si="2"/>
        <v>956.7479675</v>
      </c>
      <c r="O18" s="207" t="s">
        <v>23</v>
      </c>
      <c r="P18" s="73">
        <f t="shared" si="3"/>
        <v>626191.5447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customHeight="1">
      <c r="A19" s="34"/>
      <c r="B19" s="84"/>
      <c r="C19" s="79" t="s">
        <v>25</v>
      </c>
      <c r="D19" s="66"/>
      <c r="E19" s="66"/>
      <c r="F19" s="67">
        <f>956.747967479675*E16</f>
        <v>1138.530081</v>
      </c>
      <c r="G19" s="67">
        <f t="shared" ref="G19:G20" si="4">F19/$G$16</f>
        <v>910.824065</v>
      </c>
      <c r="H19" s="67">
        <f t="shared" ref="H19:H20" si="5">F19/$H$16</f>
        <v>862.5227889</v>
      </c>
      <c r="I19" s="77">
        <v>1.0</v>
      </c>
      <c r="J19" s="46"/>
      <c r="K19" s="70"/>
      <c r="L19" s="552"/>
      <c r="M19" s="296"/>
      <c r="N19" s="553"/>
      <c r="O19" s="34"/>
      <c r="P19" s="73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customHeight="1">
      <c r="A20" s="34"/>
      <c r="B20" s="85"/>
      <c r="C20" s="79" t="s">
        <v>26</v>
      </c>
      <c r="D20" s="66"/>
      <c r="E20" s="66"/>
      <c r="F20" s="67">
        <v>0.0</v>
      </c>
      <c r="G20" s="67">
        <f t="shared" si="4"/>
        <v>0</v>
      </c>
      <c r="H20" s="67">
        <f t="shared" si="5"/>
        <v>0</v>
      </c>
      <c r="I20" s="77">
        <v>2.0</v>
      </c>
      <c r="J20" s="68"/>
      <c r="K20" s="70"/>
      <c r="L20" s="552"/>
      <c r="M20" s="296"/>
      <c r="N20" s="553"/>
      <c r="O20" s="34"/>
      <c r="P20" s="73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647">
        <f>B18+1</f>
        <v>3</v>
      </c>
      <c r="C21" s="208" t="s">
        <v>27</v>
      </c>
      <c r="D21" s="66"/>
      <c r="E21" s="66"/>
      <c r="F21" s="67"/>
      <c r="G21" s="67"/>
      <c r="H21" s="67"/>
      <c r="I21" s="68"/>
      <c r="J21" s="72" t="s">
        <v>28</v>
      </c>
      <c r="K21" s="70">
        <f>IF(J21="STOCK BRICKS",IF(J13="2010-2013",H22*$J$12,IF(J13="2014-2021",G22*$J$12,IF(J13="2021-2023",F22*$J$12,0))),IF(J21="BLOCKS",IF(J13="2010-2013",H23*$J$12,IF(J13="2014-2021",G23*$J$12,IF(J13="2021-2023",F23*$J$12,0))),IF(J21="FACE BRICKS",IF(J13="2010-2013",H24*$J$12,IF(J13="2014-2021",G24*$J$12,IF(J13="2021-2023",F24*$J$12,0))),0)))</f>
        <v>384375.3749</v>
      </c>
      <c r="L21" s="552" t="str">
        <f>AVERAGE(#REF!)</f>
        <v>#REF!</v>
      </c>
      <c r="M21" s="296">
        <f>264000+61060</f>
        <v>325060</v>
      </c>
      <c r="N21" s="553">
        <f>M21/$M$12</f>
        <v>587.2809395</v>
      </c>
      <c r="O21" s="207" t="s">
        <v>23</v>
      </c>
      <c r="P21" s="73">
        <f>IF(O21="Delapidated",K21*0.6,IF(O21="Poor",K21*0.7,IF(O21="Fair",K21*0.8,IF(O21="Good",K21*0.85,IF(O21="Very Good",K21*0.9,IF(O21="Excellent",K21*1,IF(O21="Not Applicable",K21*1,0)))))))</f>
        <v>384375.3749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customHeight="1">
      <c r="A22" s="34"/>
      <c r="B22" s="84"/>
      <c r="C22" s="79" t="s">
        <v>28</v>
      </c>
      <c r="D22" s="66"/>
      <c r="E22" s="66"/>
      <c r="F22" s="67">
        <f>587.280939476061*E16</f>
        <v>698.864318</v>
      </c>
      <c r="G22" s="67">
        <f t="shared" ref="G22:G25" si="6">F22/$G$16</f>
        <v>559.0914544</v>
      </c>
      <c r="H22" s="67">
        <f t="shared" ref="H22:H25" si="7">F22/$H$16</f>
        <v>529.4426651</v>
      </c>
      <c r="I22" s="77">
        <v>1.0</v>
      </c>
      <c r="J22" s="68"/>
      <c r="K22" s="70"/>
      <c r="L22" s="552"/>
      <c r="M22" s="296"/>
      <c r="N22" s="553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customHeight="1">
      <c r="A23" s="34"/>
      <c r="B23" s="84"/>
      <c r="C23" s="79" t="s">
        <v>29</v>
      </c>
      <c r="D23" s="66"/>
      <c r="E23" s="66"/>
      <c r="F23" s="67">
        <f>F22*0.8</f>
        <v>559.0914544</v>
      </c>
      <c r="G23" s="67">
        <f t="shared" si="6"/>
        <v>447.2731635</v>
      </c>
      <c r="H23" s="67">
        <f t="shared" si="7"/>
        <v>423.5541321</v>
      </c>
      <c r="I23" s="77">
        <v>2.0</v>
      </c>
      <c r="J23" s="68"/>
      <c r="K23" s="70"/>
      <c r="L23" s="552"/>
      <c r="M23" s="296"/>
      <c r="N23" s="553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customHeight="1">
      <c r="A24" s="34"/>
      <c r="B24" s="84"/>
      <c r="C24" s="79" t="s">
        <v>30</v>
      </c>
      <c r="D24" s="66"/>
      <c r="E24" s="66"/>
      <c r="F24" s="67">
        <f>F22*1.3</f>
        <v>908.5236134</v>
      </c>
      <c r="G24" s="67">
        <f t="shared" si="6"/>
        <v>726.8188907</v>
      </c>
      <c r="H24" s="67">
        <f t="shared" si="7"/>
        <v>688.2754647</v>
      </c>
      <c r="I24" s="77">
        <v>3.0</v>
      </c>
      <c r="J24" s="68"/>
      <c r="K24" s="70"/>
      <c r="L24" s="552"/>
      <c r="M24" s="296"/>
      <c r="N24" s="553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customHeight="1">
      <c r="A25" s="34"/>
      <c r="B25" s="85"/>
      <c r="C25" s="79" t="s">
        <v>31</v>
      </c>
      <c r="D25" s="66"/>
      <c r="E25" s="66"/>
      <c r="F25" s="67">
        <v>0.0</v>
      </c>
      <c r="G25" s="67">
        <f t="shared" si="6"/>
        <v>0</v>
      </c>
      <c r="H25" s="67">
        <f t="shared" si="7"/>
        <v>0</v>
      </c>
      <c r="I25" s="77">
        <v>4.0</v>
      </c>
      <c r="J25" s="68"/>
      <c r="K25" s="70"/>
      <c r="L25" s="552"/>
      <c r="M25" s="296"/>
      <c r="N25" s="553"/>
      <c r="O25" s="34"/>
      <c r="P25" s="73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127</v>
      </c>
      <c r="D26" s="66"/>
      <c r="E26" s="66"/>
      <c r="F26" s="67"/>
      <c r="G26" s="67"/>
      <c r="H26" s="67"/>
      <c r="I26" s="68"/>
      <c r="J26" s="72" t="s">
        <v>33</v>
      </c>
      <c r="K26" s="70">
        <f>IF(J26="CONCRETE ROOF TILES",IF(J13="2010-2013",H27*$J$12,IF(J13="2014-2021",G27*$J$12,IF(J13="2021-2023",F27*$J$12,0))),IF(J26="IBR",IF(J13="2010-2013",H28*$J$12,IF(J13="2014-2021",G28*$J$12,IF(J13="2021-2023",F28*$J$12,0))),IF(J26="CORRUGATED ROOFING SHEETS",IF(J13="2010-2013",H29*$J$12,IF(J13="2014-2021",G29*$J$12,IF(J13="2021-2023",F29*$J$12,0))),0)))</f>
        <v>98175</v>
      </c>
      <c r="L26" s="552" t="str">
        <f>AVERAGE(#REF!)</f>
        <v>#REF!</v>
      </c>
      <c r="M26" s="296">
        <f>165110+95200</f>
        <v>260310</v>
      </c>
      <c r="N26" s="553">
        <f>M26/$M$12</f>
        <v>470.298103</v>
      </c>
      <c r="O26" s="207" t="s">
        <v>23</v>
      </c>
      <c r="P26" s="73">
        <f>IF(O26="Delapidated",K26*0.6,IF(O26="Poor",K26*0.7,IF(O26="Fair",K26*0.8,IF(O26="Good",K26*0.85,IF(O26="Very Good",K26*0.9,IF(O26="Excellent",K26*1,IF(O26="Not Applicable",K26*1,0)))))))</f>
        <v>98175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customHeight="1">
      <c r="A27" s="34"/>
      <c r="B27" s="84"/>
      <c r="C27" s="79" t="s">
        <v>33</v>
      </c>
      <c r="D27" s="66"/>
      <c r="E27" s="66"/>
      <c r="F27" s="67">
        <f>150*E16</f>
        <v>178.5</v>
      </c>
      <c r="G27" s="67">
        <f t="shared" ref="G27:G30" si="8">F27/$G$16</f>
        <v>142.8</v>
      </c>
      <c r="H27" s="67">
        <f t="shared" ref="H27:H30" si="9">F27/$H$16</f>
        <v>135.2272727</v>
      </c>
      <c r="I27" s="77">
        <v>1.0</v>
      </c>
      <c r="J27" s="68"/>
      <c r="K27" s="70"/>
      <c r="L27" s="552"/>
      <c r="M27" s="296"/>
      <c r="N27" s="553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customHeight="1">
      <c r="A28" s="34"/>
      <c r="B28" s="84"/>
      <c r="C28" s="79" t="s">
        <v>34</v>
      </c>
      <c r="D28" s="66"/>
      <c r="E28" s="66"/>
      <c r="F28" s="67">
        <f>F27*1.6</f>
        <v>285.6</v>
      </c>
      <c r="G28" s="67">
        <f t="shared" si="8"/>
        <v>228.48</v>
      </c>
      <c r="H28" s="67">
        <f t="shared" si="9"/>
        <v>216.3636364</v>
      </c>
      <c r="I28" s="77">
        <v>2.0</v>
      </c>
      <c r="J28" s="68"/>
      <c r="K28" s="70"/>
      <c r="L28" s="552"/>
      <c r="M28" s="296"/>
      <c r="N28" s="553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customHeight="1">
      <c r="A29" s="34"/>
      <c r="B29" s="84"/>
      <c r="C29" s="79" t="s">
        <v>35</v>
      </c>
      <c r="D29" s="66"/>
      <c r="E29" s="66"/>
      <c r="F29" s="67">
        <f>F27*0.6</f>
        <v>107.1</v>
      </c>
      <c r="G29" s="67">
        <f t="shared" si="8"/>
        <v>85.68</v>
      </c>
      <c r="H29" s="67">
        <f t="shared" si="9"/>
        <v>81.13636364</v>
      </c>
      <c r="I29" s="77">
        <v>3.0</v>
      </c>
      <c r="J29" s="68"/>
      <c r="K29" s="70"/>
      <c r="L29" s="552"/>
      <c r="M29" s="296"/>
      <c r="N29" s="553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customHeight="1">
      <c r="A30" s="34"/>
      <c r="B30" s="85"/>
      <c r="C30" s="79" t="s">
        <v>36</v>
      </c>
      <c r="D30" s="66"/>
      <c r="E30" s="66"/>
      <c r="F30" s="67">
        <v>0.0</v>
      </c>
      <c r="G30" s="67">
        <f t="shared" si="8"/>
        <v>0</v>
      </c>
      <c r="H30" s="67">
        <f t="shared" si="9"/>
        <v>0</v>
      </c>
      <c r="I30" s="77">
        <v>4.0</v>
      </c>
      <c r="J30" s="68"/>
      <c r="K30" s="70"/>
      <c r="L30" s="552"/>
      <c r="M30" s="296"/>
      <c r="N30" s="553"/>
      <c r="O30" s="34"/>
      <c r="P30" s="73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4">
        <f>B26+1</f>
        <v>5</v>
      </c>
      <c r="C31" s="74" t="s">
        <v>37</v>
      </c>
      <c r="D31" s="66"/>
      <c r="E31" s="66"/>
      <c r="F31" s="67"/>
      <c r="G31" s="67"/>
      <c r="H31" s="67"/>
      <c r="I31" s="77"/>
      <c r="J31" s="72" t="s">
        <v>38</v>
      </c>
      <c r="K31" s="70">
        <f>IF(J31="TIMBER ROOF TRUSSES",IF(J13="2010-2013",H32*$J$12,IF(J13="2014-2021",G32*$J$12,IF(J13="2021-2023",F32*$J$12,0))),IF(J31="STRUCTURAL STEEL TRUSSES",IF(J13="2010-2013",#REF!*$J$12,IF(J13="2014-2021",#REF!*$J$12,IF(J13="2021-2023",#REF!*$J$12,0))),0))</f>
        <v>189805</v>
      </c>
      <c r="L31" s="59" t="str">
        <f>AVERAGE(#REF!)</f>
        <v>#REF!</v>
      </c>
      <c r="M31" s="43">
        <f>51922.2222222222+844</f>
        <v>52766.22222</v>
      </c>
      <c r="N31" s="71" t="str">
        <f>M31/$L$11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113883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customHeight="1">
      <c r="A32" s="34"/>
      <c r="B32" s="44"/>
      <c r="C32" s="79" t="s">
        <v>38</v>
      </c>
      <c r="D32" s="66"/>
      <c r="E32" s="66"/>
      <c r="F32" s="67">
        <f>290*E16</f>
        <v>345.1</v>
      </c>
      <c r="G32" s="67">
        <f>F32/$G$16</f>
        <v>276.08</v>
      </c>
      <c r="H32" s="67">
        <f t="shared" ref="H32:H33" si="10">F32/$H$16</f>
        <v>261.4393939</v>
      </c>
      <c r="I32" s="77"/>
      <c r="J32" s="68"/>
      <c r="K32" s="70"/>
      <c r="L32" s="552"/>
      <c r="M32" s="296"/>
      <c r="N32" s="553"/>
      <c r="O32" s="34"/>
      <c r="P32" s="73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customHeight="1">
      <c r="A33" s="34"/>
      <c r="B33" s="44"/>
      <c r="C33" s="79" t="s">
        <v>41</v>
      </c>
      <c r="D33" s="66"/>
      <c r="E33" s="66"/>
      <c r="F33" s="67">
        <v>0.0</v>
      </c>
      <c r="G33" s="67">
        <v>0.0</v>
      </c>
      <c r="H33" s="67">
        <f t="shared" si="10"/>
        <v>0</v>
      </c>
      <c r="I33" s="77"/>
      <c r="J33" s="68"/>
      <c r="K33" s="70"/>
      <c r="L33" s="552"/>
      <c r="M33" s="296"/>
      <c r="N33" s="553"/>
      <c r="O33" s="34"/>
      <c r="P33" s="73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customHeight="1">
      <c r="A34" s="34"/>
      <c r="B34" s="83">
        <v>6.0</v>
      </c>
      <c r="C34" s="208" t="s">
        <v>119</v>
      </c>
      <c r="D34" s="66"/>
      <c r="E34" s="66"/>
      <c r="F34" s="67"/>
      <c r="G34" s="67"/>
      <c r="H34" s="67"/>
      <c r="I34" s="68"/>
      <c r="J34" s="72" t="s">
        <v>25</v>
      </c>
      <c r="K34" s="70">
        <f>IF(J34="YES",IF(J13="2010-2013",H35*$J$12,IF(J13="2014-2021",G35*$J$12,IF(J13="2021-2023",F35*$J$12,0))),0)</f>
        <v>45815</v>
      </c>
      <c r="L34" s="552" t="str">
        <f>AVERAGE(#REF!)</f>
        <v>#REF!</v>
      </c>
      <c r="M34" s="296">
        <f>186810+20790</f>
        <v>207600</v>
      </c>
      <c r="N34" s="553">
        <f>M34/$M$12</f>
        <v>375.0677507</v>
      </c>
      <c r="O34" s="207" t="s">
        <v>23</v>
      </c>
      <c r="P34" s="73">
        <f>IF(O34="Delapidated",K34*0.6,IF(O34="Poor",K34*0.7,IF(O34="Fair",K34*0.8,IF(O34="Good",K34*0.85,IF(O34="Very Good",K34*0.9,IF(O34="Excellent",K34*1,IF(O34="Not Applicable",K34*1,0)))))))</f>
        <v>45815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4"/>
      <c r="C35" s="79" t="s">
        <v>25</v>
      </c>
      <c r="D35" s="66"/>
      <c r="E35" s="66"/>
      <c r="F35" s="67">
        <f>70*E16</f>
        <v>83.3</v>
      </c>
      <c r="G35" s="67">
        <f t="shared" ref="G35:G36" si="11">F35/$G$16</f>
        <v>66.64</v>
      </c>
      <c r="H35" s="67">
        <f t="shared" ref="H35:H36" si="12">F35/$H$16</f>
        <v>63.10606061</v>
      </c>
      <c r="I35" s="77">
        <v>1.0</v>
      </c>
      <c r="J35" s="68"/>
      <c r="K35" s="70"/>
      <c r="L35" s="552"/>
      <c r="M35" s="296"/>
      <c r="N35" s="553"/>
      <c r="O35" s="34"/>
      <c r="P35" s="73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customHeight="1">
      <c r="A36" s="34"/>
      <c r="B36" s="85"/>
      <c r="C36" s="79" t="s">
        <v>26</v>
      </c>
      <c r="D36" s="66"/>
      <c r="E36" s="66"/>
      <c r="F36" s="67">
        <v>0.0</v>
      </c>
      <c r="G36" s="67">
        <f t="shared" si="11"/>
        <v>0</v>
      </c>
      <c r="H36" s="67">
        <f t="shared" si="12"/>
        <v>0</v>
      </c>
      <c r="I36" s="77">
        <v>2.0</v>
      </c>
      <c r="J36" s="68"/>
      <c r="K36" s="70"/>
      <c r="L36" s="552"/>
      <c r="M36" s="296"/>
      <c r="N36" s="553"/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customHeight="1">
      <c r="A37" s="34"/>
      <c r="B37" s="83">
        <f>B34+1</f>
        <v>7</v>
      </c>
      <c r="C37" s="208" t="s">
        <v>45</v>
      </c>
      <c r="D37" s="66"/>
      <c r="E37" s="66"/>
      <c r="F37" s="67"/>
      <c r="G37" s="67"/>
      <c r="H37" s="67"/>
      <c r="I37" s="68"/>
      <c r="J37" s="72" t="s">
        <v>25</v>
      </c>
      <c r="K37" s="70">
        <f>IF(J37="YES",IF(J13="2010-2013",H38*$J$12,IF(J13="2014-2021",G38*$J$12,IF(J13="2021-2023",F38*$J$12,0))),0)</f>
        <v>137445</v>
      </c>
      <c r="L37" s="552"/>
      <c r="M37" s="296"/>
      <c r="N37" s="553"/>
      <c r="O37" s="207" t="s">
        <v>23</v>
      </c>
      <c r="P37" s="73">
        <f>IF(O37="Delapidated",K37*0.6,IF(O37="Poor",K37*0.7,IF(O37="Fair",K37*0.8,IF(O37="Good",K37*0.85,IF(O37="Very Good",K37*0.9,IF(O37="Excellent",K37*1,IF(O37="Not Applicable",K37*1,0)))))))</f>
        <v>137445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4"/>
      <c r="C38" s="79" t="s">
        <v>25</v>
      </c>
      <c r="D38" s="66"/>
      <c r="E38" s="66"/>
      <c r="F38" s="67">
        <f>210*E16</f>
        <v>249.9</v>
      </c>
      <c r="G38" s="67">
        <f t="shared" ref="G38:G39" si="13">F38/$G$16</f>
        <v>199.92</v>
      </c>
      <c r="H38" s="67">
        <f t="shared" ref="H38:H39" si="14">F38/$H$16</f>
        <v>189.3181818</v>
      </c>
      <c r="I38" s="77">
        <v>1.0</v>
      </c>
      <c r="J38" s="68"/>
      <c r="K38" s="70"/>
      <c r="L38" s="552"/>
      <c r="M38" s="296"/>
      <c r="N38" s="553"/>
      <c r="O38" s="34"/>
      <c r="P38" s="73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customHeight="1">
      <c r="A39" s="34"/>
      <c r="B39" s="85"/>
      <c r="C39" s="79" t="s">
        <v>26</v>
      </c>
      <c r="D39" s="66"/>
      <c r="E39" s="66"/>
      <c r="F39" s="67">
        <v>0.0</v>
      </c>
      <c r="G39" s="67">
        <f t="shared" si="13"/>
        <v>0</v>
      </c>
      <c r="H39" s="67">
        <f t="shared" si="14"/>
        <v>0</v>
      </c>
      <c r="I39" s="77">
        <v>2.0</v>
      </c>
      <c r="J39" s="68"/>
      <c r="K39" s="70"/>
      <c r="L39" s="552"/>
      <c r="M39" s="296"/>
      <c r="N39" s="553"/>
      <c r="O39" s="34"/>
      <c r="P39" s="73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customHeight="1">
      <c r="A40" s="34"/>
      <c r="B40" s="44"/>
      <c r="C40" s="214" t="s">
        <v>48</v>
      </c>
      <c r="D40" s="66"/>
      <c r="E40" s="66"/>
      <c r="F40" s="67"/>
      <c r="G40" s="67"/>
      <c r="H40" s="67"/>
      <c r="I40" s="77"/>
      <c r="J40" s="227">
        <v>6.0</v>
      </c>
      <c r="K40" s="34"/>
      <c r="L40" s="552"/>
      <c r="M40" s="296"/>
      <c r="N40" s="553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83">
        <f>B37+1</f>
        <v>8</v>
      </c>
      <c r="C41" s="208" t="s">
        <v>49</v>
      </c>
      <c r="D41" s="66"/>
      <c r="E41" s="66"/>
      <c r="F41" s="67"/>
      <c r="G41" s="67"/>
      <c r="H41" s="67"/>
      <c r="I41" s="68"/>
      <c r="J41" s="72" t="s">
        <v>25</v>
      </c>
      <c r="K41" s="70">
        <f>IF(J41="YES",IF(J13="2010-2013",H42*J40,IF(J13="2014-2021",G42*J40,IF(J13="2021-2023",F42*J40,0))),0)</f>
        <v>105000</v>
      </c>
      <c r="L41" s="552"/>
      <c r="M41" s="296"/>
      <c r="N41" s="553"/>
      <c r="O41" s="207" t="s">
        <v>23</v>
      </c>
      <c r="P41" s="73">
        <f>IF(O41="Delapidated",K41*0.6,IF(O41="Poor",K41*0.7,IF(O41="Fair",K41*0.8,IF(O41="Good",K41*0.85,IF(O41="Very Good",K41*0.9,IF(O41="Excellent",K41*1,IF(O41="Not Applicable",K41*1,0)))))))</f>
        <v>105000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4"/>
      <c r="C42" s="79" t="s">
        <v>25</v>
      </c>
      <c r="D42" s="66"/>
      <c r="E42" s="66"/>
      <c r="F42" s="67">
        <v>17500.0</v>
      </c>
      <c r="G42" s="67">
        <f t="shared" ref="G42:G43" si="15">F42/$G$16</f>
        <v>14000</v>
      </c>
      <c r="H42" s="67">
        <f t="shared" ref="H42:H43" si="16">F42/$H$16</f>
        <v>13257.57576</v>
      </c>
      <c r="I42" s="77">
        <v>1.0</v>
      </c>
      <c r="J42" s="68"/>
      <c r="K42" s="70"/>
      <c r="L42" s="552"/>
      <c r="M42" s="296"/>
      <c r="N42" s="553"/>
      <c r="O42" s="34"/>
      <c r="P42" s="73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customHeight="1">
      <c r="A43" s="34"/>
      <c r="B43" s="85"/>
      <c r="C43" s="79" t="s">
        <v>26</v>
      </c>
      <c r="D43" s="66"/>
      <c r="E43" s="66"/>
      <c r="F43" s="67">
        <v>0.0</v>
      </c>
      <c r="G43" s="67">
        <f t="shared" si="15"/>
        <v>0</v>
      </c>
      <c r="H43" s="67">
        <f t="shared" si="16"/>
        <v>0</v>
      </c>
      <c r="I43" s="77">
        <v>2.0</v>
      </c>
      <c r="J43" s="68"/>
      <c r="K43" s="70"/>
      <c r="L43" s="552"/>
      <c r="M43" s="296"/>
      <c r="N43" s="553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3">
        <f>B41+1</f>
        <v>9</v>
      </c>
      <c r="C44" s="208" t="s">
        <v>50</v>
      </c>
      <c r="D44" s="66"/>
      <c r="E44" s="66"/>
      <c r="F44" s="67"/>
      <c r="G44" s="67"/>
      <c r="H44" s="67"/>
      <c r="I44" s="68"/>
      <c r="J44" s="72" t="s">
        <v>25</v>
      </c>
      <c r="K44" s="70">
        <f>IF(J44="YES",IF(J13="2010-2013",H45*$J$12,IF(J13="2014-2021",G45*$J$12,IF(J13="2021-2023",F45*$J$12,0))),0)</f>
        <v>111265</v>
      </c>
      <c r="L44" s="552" t="str">
        <f>AVERAGE(#REF!)</f>
        <v>#REF!</v>
      </c>
      <c r="M44" s="296">
        <v>117880.0</v>
      </c>
      <c r="N44" s="553">
        <f>M44/$M$12</f>
        <v>212.9719964</v>
      </c>
      <c r="O44" s="207" t="s">
        <v>23</v>
      </c>
      <c r="P44" s="73">
        <f>IF(O44="Delapidated",K44*0.6,IF(O44="Poor",K44*0.7,IF(O44="Fair",K44*0.8,IF(O44="Good",K44*0.85,IF(O44="Very Good",K44*0.9,IF(O44="Excellent",K44*1,IF(O44="Not Applicable",K44*1,0)))))))</f>
        <v>111265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84"/>
      <c r="C45" s="79" t="s">
        <v>25</v>
      </c>
      <c r="D45" s="66"/>
      <c r="E45" s="66"/>
      <c r="F45" s="551">
        <f>170*E16</f>
        <v>202.3</v>
      </c>
      <c r="G45" s="67">
        <f t="shared" ref="G45:G46" si="17">F45/$G$16</f>
        <v>161.84</v>
      </c>
      <c r="H45" s="67">
        <f t="shared" ref="H45:H46" si="18">F45/$H$16</f>
        <v>153.2575758</v>
      </c>
      <c r="I45" s="77">
        <v>1.0</v>
      </c>
      <c r="J45" s="68"/>
      <c r="K45" s="70"/>
      <c r="L45" s="552"/>
      <c r="M45" s="296"/>
      <c r="N45" s="553"/>
      <c r="O45" s="34"/>
      <c r="P45" s="73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customHeight="1">
      <c r="A46" s="34"/>
      <c r="B46" s="85"/>
      <c r="C46" s="79" t="s">
        <v>26</v>
      </c>
      <c r="D46" s="66"/>
      <c r="E46" s="66"/>
      <c r="F46" s="67">
        <v>0.0</v>
      </c>
      <c r="G46" s="67">
        <f t="shared" si="17"/>
        <v>0</v>
      </c>
      <c r="H46" s="67">
        <f t="shared" si="18"/>
        <v>0</v>
      </c>
      <c r="I46" s="77">
        <v>2.0</v>
      </c>
      <c r="J46" s="68"/>
      <c r="K46" s="70"/>
      <c r="L46" s="552"/>
      <c r="M46" s="296"/>
      <c r="N46" s="553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83">
        <v>10.0</v>
      </c>
      <c r="C47" s="92" t="s">
        <v>51</v>
      </c>
      <c r="D47" s="66"/>
      <c r="E47" s="66"/>
      <c r="F47" s="67"/>
      <c r="G47" s="67"/>
      <c r="H47" s="67"/>
      <c r="I47" s="77"/>
      <c r="J47" s="72" t="s">
        <v>52</v>
      </c>
      <c r="K47" s="70">
        <f>IF(J47="VINYL FLOORING",IF(J13="2010-2013",H48*$J$12,IF(J13="2014-2021",G48*$J$12,IF(J13="2021-2023",F48*$J$12,0))),IF(J47="TILING FLOORING",IF(J13="2010-2013",H49*$J$12,IF(J13="2014-2021",G49*$J$12,IF(J13="2021-2023",F49*$J$12,0))),IF(J47="TIMBER FLOORING",IF(J13="2010-2013",H50*$J$12,IF(J13="2014-2021",G50*$J$12,IF(J13="2021-2023",F50*$J$12,0))),IF(J47="CARPETS FLOORING",IF(J13="2010-2013",H51*$J$12,IF(J13="2014-2021",G51*$J$12,IF(J13="2021-2023",F51*$J$12,0))),0))))</f>
        <v>167552</v>
      </c>
      <c r="L47" s="552"/>
      <c r="M47" s="296"/>
      <c r="N47" s="553"/>
      <c r="O47" s="207" t="s">
        <v>23</v>
      </c>
      <c r="P47" s="73">
        <f>IF(O47="Delapidated",K47*0.6,IF(O47="Poor",K47*0.7,IF(O47="Fair",K47*0.8,IF(O47="Good",K47*0.85,IF(O47="Very Good",K47*0.9,IF(O47="Excellent",K47*1,IF(O47="Not Applicable",K47*1,0)))))))</f>
        <v>167552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84"/>
      <c r="C48" s="79" t="s">
        <v>53</v>
      </c>
      <c r="D48" s="66"/>
      <c r="E48" s="66"/>
      <c r="F48" s="67">
        <f>F49*0.7</f>
        <v>213.248</v>
      </c>
      <c r="G48" s="67">
        <f t="shared" ref="G48:G52" si="19">F48/$G$16</f>
        <v>170.5984</v>
      </c>
      <c r="H48" s="67">
        <f t="shared" ref="H48:H52" si="20">F48/$H$16</f>
        <v>161.5515152</v>
      </c>
      <c r="I48" s="77">
        <v>1.0</v>
      </c>
      <c r="J48" s="68"/>
      <c r="K48" s="70"/>
      <c r="L48" s="552"/>
      <c r="M48" s="296"/>
      <c r="N48" s="553"/>
      <c r="O48" s="34"/>
      <c r="P48" s="73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customHeight="1">
      <c r="A49" s="34"/>
      <c r="B49" s="84"/>
      <c r="C49" s="79" t="s">
        <v>52</v>
      </c>
      <c r="D49" s="66"/>
      <c r="E49" s="66"/>
      <c r="F49" s="67">
        <f>320*0.8*E16</f>
        <v>304.64</v>
      </c>
      <c r="G49" s="67">
        <f t="shared" si="19"/>
        <v>243.712</v>
      </c>
      <c r="H49" s="67">
        <f t="shared" si="20"/>
        <v>230.7878788</v>
      </c>
      <c r="I49" s="77">
        <v>2.0</v>
      </c>
      <c r="J49" s="68"/>
      <c r="K49" s="70"/>
      <c r="L49" s="552"/>
      <c r="M49" s="296"/>
      <c r="N49" s="553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customHeight="1">
      <c r="A50" s="34"/>
      <c r="B50" s="84"/>
      <c r="C50" s="79" t="s">
        <v>54</v>
      </c>
      <c r="D50" s="66"/>
      <c r="E50" s="66"/>
      <c r="F50" s="67">
        <f>F49*1.2</f>
        <v>365.568</v>
      </c>
      <c r="G50" s="67">
        <f t="shared" si="19"/>
        <v>292.4544</v>
      </c>
      <c r="H50" s="67">
        <f t="shared" si="20"/>
        <v>276.9454545</v>
      </c>
      <c r="I50" s="77">
        <v>3.0</v>
      </c>
      <c r="J50" s="68"/>
      <c r="K50" s="70"/>
      <c r="L50" s="552"/>
      <c r="M50" s="296"/>
      <c r="N50" s="553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customHeight="1">
      <c r="A51" s="34"/>
      <c r="B51" s="84"/>
      <c r="C51" s="79" t="s">
        <v>55</v>
      </c>
      <c r="D51" s="66"/>
      <c r="E51" s="66"/>
      <c r="F51" s="67">
        <f>F49*1.3</f>
        <v>396.032</v>
      </c>
      <c r="G51" s="67">
        <f t="shared" si="19"/>
        <v>316.8256</v>
      </c>
      <c r="H51" s="67">
        <f t="shared" si="20"/>
        <v>300.0242424</v>
      </c>
      <c r="I51" s="77">
        <v>4.0</v>
      </c>
      <c r="J51" s="68"/>
      <c r="K51" s="70"/>
      <c r="L51" s="552"/>
      <c r="M51" s="296"/>
      <c r="N51" s="553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customHeight="1">
      <c r="A52" s="34"/>
      <c r="B52" s="85"/>
      <c r="C52" s="79" t="s">
        <v>56</v>
      </c>
      <c r="D52" s="66"/>
      <c r="E52" s="66"/>
      <c r="F52" s="67">
        <v>0.0</v>
      </c>
      <c r="G52" s="67">
        <f t="shared" si="19"/>
        <v>0</v>
      </c>
      <c r="H52" s="67">
        <f t="shared" si="20"/>
        <v>0</v>
      </c>
      <c r="I52" s="77">
        <v>5.0</v>
      </c>
      <c r="J52" s="68"/>
      <c r="K52" s="70"/>
      <c r="L52" s="552"/>
      <c r="M52" s="296"/>
      <c r="N52" s="553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customHeight="1">
      <c r="A53" s="34"/>
      <c r="B53" s="83">
        <f>B47+1</f>
        <v>11</v>
      </c>
      <c r="C53" s="208" t="s">
        <v>57</v>
      </c>
      <c r="D53" s="66"/>
      <c r="E53" s="66"/>
      <c r="F53" s="67"/>
      <c r="G53" s="67"/>
      <c r="H53" s="67"/>
      <c r="I53" s="68"/>
      <c r="J53" s="72" t="s">
        <v>58</v>
      </c>
      <c r="K53" s="70">
        <f>IF(J53="STEEL WINDOW FRAMES",IF(J13="2010-2013",H54*$J$12,IF(J13="2014-2021",G54*$J$12,IF(J13="2021-2023",F54*$J$12,0))),IF(J53="ALUMINIUM WINDOW FRAMES",IF(J13="2010-2013",H55*$J$12,IF(J13="2014-2021",G55*$J$12,IF(J13="2021-2023",F55*$J$12,0))),0))</f>
        <v>209440</v>
      </c>
      <c r="L53" s="552" t="str">
        <f>AVERAGE(#REF!)</f>
        <v>#REF!</v>
      </c>
      <c r="M53" s="296">
        <v>288600.0</v>
      </c>
      <c r="N53" s="553">
        <f>M53/$M$12</f>
        <v>521.4092141</v>
      </c>
      <c r="O53" s="207" t="s">
        <v>23</v>
      </c>
      <c r="P53" s="73">
        <f>IF(O53="Delapidated",K53*0.6,IF(O53="Poor",K53*0.7,IF(O53="Fair",K53*0.8,IF(O53="Good",K53*0.85,IF(O53="Very Good",K53*0.9,IF(O53="Excellent",K53*1,IF(O53="Not Applicable",K53*1,0)))))))</f>
        <v>209440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34"/>
      <c r="B54" s="84"/>
      <c r="C54" s="79" t="s">
        <v>59</v>
      </c>
      <c r="D54" s="66"/>
      <c r="E54" s="66"/>
      <c r="F54" s="303">
        <f>F55*0.3</f>
        <v>114.24</v>
      </c>
      <c r="G54" s="67">
        <f t="shared" ref="G54:G56" si="21">F54/$G$16</f>
        <v>91.392</v>
      </c>
      <c r="H54" s="67">
        <f t="shared" ref="H54:H56" si="22">F54/$H$16</f>
        <v>86.54545455</v>
      </c>
      <c r="I54" s="77">
        <v>1.0</v>
      </c>
      <c r="J54" s="68"/>
      <c r="K54" s="70"/>
      <c r="L54" s="552"/>
      <c r="M54" s="296"/>
      <c r="N54" s="553"/>
      <c r="O54" s="34"/>
      <c r="P54" s="73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customHeight="1">
      <c r="A55" s="34"/>
      <c r="B55" s="84"/>
      <c r="C55" s="79" t="s">
        <v>58</v>
      </c>
      <c r="D55" s="66"/>
      <c r="E55" s="66"/>
      <c r="F55" s="67">
        <f>320*E16</f>
        <v>380.8</v>
      </c>
      <c r="G55" s="67">
        <f t="shared" si="21"/>
        <v>304.64</v>
      </c>
      <c r="H55" s="67">
        <f t="shared" si="22"/>
        <v>288.4848485</v>
      </c>
      <c r="I55" s="77">
        <v>2.0</v>
      </c>
      <c r="J55" s="68"/>
      <c r="K55" s="70"/>
      <c r="L55" s="552"/>
      <c r="M55" s="296"/>
      <c r="N55" s="553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34"/>
      <c r="B56" s="85"/>
      <c r="C56" s="79" t="s">
        <v>60</v>
      </c>
      <c r="D56" s="66"/>
      <c r="E56" s="66"/>
      <c r="F56" s="67">
        <v>0.0</v>
      </c>
      <c r="G56" s="67">
        <f t="shared" si="21"/>
        <v>0</v>
      </c>
      <c r="H56" s="67">
        <f t="shared" si="22"/>
        <v>0</v>
      </c>
      <c r="I56" s="77">
        <v>3.0</v>
      </c>
      <c r="J56" s="68"/>
      <c r="K56" s="70"/>
      <c r="L56" s="552"/>
      <c r="M56" s="296"/>
      <c r="N56" s="553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customHeight="1">
      <c r="A57" s="34"/>
      <c r="B57" s="83">
        <f>B53+1</f>
        <v>12</v>
      </c>
      <c r="C57" s="208" t="s">
        <v>61</v>
      </c>
      <c r="D57" s="66"/>
      <c r="E57" s="66"/>
      <c r="F57" s="67"/>
      <c r="G57" s="67"/>
      <c r="H57" s="67"/>
      <c r="I57" s="68"/>
      <c r="J57" s="72" t="s">
        <v>25</v>
      </c>
      <c r="K57" s="70">
        <f>IF(J57="YES",IF(J13="2010-2013",H58*$J$12,IF(J13="2014-2021",G58*$J$12,IF(J13="2021-2023",F58*$J$12,0))),0)</f>
        <v>235620</v>
      </c>
      <c r="L57" s="552" t="str">
        <f>AVERAGE(#REF!)</f>
        <v>#REF!</v>
      </c>
      <c r="M57" s="296">
        <v>190550.0</v>
      </c>
      <c r="N57" s="553">
        <f>M57/$M$12</f>
        <v>344.263776</v>
      </c>
      <c r="O57" s="207" t="s">
        <v>23</v>
      </c>
      <c r="P57" s="73">
        <f>IF(O57="Delapidated",K57*0.6,IF(O57="Poor",K57*0.7,IF(O57="Fair",K57*0.8,IF(O57="Good",K57*0.85,IF(O57="Very Good",K57*0.9,IF(O57="Excellent",K57*1,IF(O57="Not Applicable",K57*1,0)))))))</f>
        <v>235620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customHeight="1">
      <c r="A58" s="34"/>
      <c r="B58" s="84"/>
      <c r="C58" s="79" t="s">
        <v>25</v>
      </c>
      <c r="D58" s="66"/>
      <c r="E58" s="66"/>
      <c r="F58" s="67">
        <f>360*E16</f>
        <v>428.4</v>
      </c>
      <c r="G58" s="67">
        <f t="shared" ref="G58:G59" si="23">F58/$G$16</f>
        <v>342.72</v>
      </c>
      <c r="H58" s="67">
        <f t="shared" ref="H58:H59" si="24">F58/$H$16</f>
        <v>324.5454545</v>
      </c>
      <c r="I58" s="77">
        <v>1.0</v>
      </c>
      <c r="J58" s="68"/>
      <c r="K58" s="70"/>
      <c r="L58" s="552"/>
      <c r="M58" s="296"/>
      <c r="N58" s="553"/>
      <c r="O58" s="34"/>
      <c r="P58" s="73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customHeight="1">
      <c r="A59" s="34"/>
      <c r="B59" s="85"/>
      <c r="C59" s="79" t="s">
        <v>26</v>
      </c>
      <c r="D59" s="66"/>
      <c r="E59" s="66"/>
      <c r="F59" s="67">
        <v>0.0</v>
      </c>
      <c r="G59" s="67">
        <f t="shared" si="23"/>
        <v>0</v>
      </c>
      <c r="H59" s="67">
        <f t="shared" si="24"/>
        <v>0</v>
      </c>
      <c r="I59" s="77">
        <v>2.0</v>
      </c>
      <c r="J59" s="68"/>
      <c r="K59" s="70"/>
      <c r="L59" s="552"/>
      <c r="M59" s="296"/>
      <c r="N59" s="553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3">
        <f>B57+1</f>
        <v>13</v>
      </c>
      <c r="C60" s="208" t="s">
        <v>62</v>
      </c>
      <c r="D60" s="66"/>
      <c r="E60" s="66"/>
      <c r="F60" s="67"/>
      <c r="G60" s="67"/>
      <c r="H60" s="67"/>
      <c r="I60" s="68"/>
      <c r="J60" s="72" t="s">
        <v>25</v>
      </c>
      <c r="K60" s="70">
        <f>IF(J60="YES",IF(J13="2010-2013",H61*$J$12,IF(J13="2014-2021",G61*$J$12,IF(J13="2021-2023",F61*$J$12,0))),0)</f>
        <v>54978</v>
      </c>
      <c r="L60" s="552" t="str">
        <f>AVERAGE(#REF!)</f>
        <v>#REF!</v>
      </c>
      <c r="M60" s="296">
        <v>177790.0</v>
      </c>
      <c r="N60" s="553">
        <f>M60/$M$12</f>
        <v>321.2104788</v>
      </c>
      <c r="O60" s="207" t="s">
        <v>23</v>
      </c>
      <c r="P60" s="73">
        <f>IF(O60="Delapidated",K60*0.6,IF(O60="Poor",K60*0.7,IF(O60="Fair",K60*0.8,IF(O60="Good",K60*0.85,IF(O60="Very Good",K60*0.9,IF(O60="Excellent",K60*1,IF(O60="Not Applicable",K60*1,0)))))))</f>
        <v>54978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84"/>
      <c r="C61" s="79" t="s">
        <v>25</v>
      </c>
      <c r="D61" s="66"/>
      <c r="E61" s="66"/>
      <c r="F61" s="67">
        <f>420*0.2*E16</f>
        <v>99.96</v>
      </c>
      <c r="G61" s="67">
        <f t="shared" ref="G61:G62" si="25">F61/$G$16</f>
        <v>79.968</v>
      </c>
      <c r="H61" s="67">
        <f t="shared" ref="H61:H62" si="26">F61/$H$16</f>
        <v>75.72727273</v>
      </c>
      <c r="I61" s="77">
        <v>1.0</v>
      </c>
      <c r="J61" s="68"/>
      <c r="K61" s="70"/>
      <c r="L61" s="552"/>
      <c r="M61" s="296"/>
      <c r="N61" s="553"/>
      <c r="O61" s="34"/>
      <c r="P61" s="73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customHeight="1">
      <c r="A62" s="34"/>
      <c r="B62" s="85"/>
      <c r="C62" s="79" t="s">
        <v>26</v>
      </c>
      <c r="D62" s="66"/>
      <c r="E62" s="66"/>
      <c r="F62" s="67">
        <v>0.0</v>
      </c>
      <c r="G62" s="67">
        <f t="shared" si="25"/>
        <v>0</v>
      </c>
      <c r="H62" s="67">
        <f t="shared" si="26"/>
        <v>0</v>
      </c>
      <c r="I62" s="77">
        <v>2.0</v>
      </c>
      <c r="J62" s="68"/>
      <c r="K62" s="70"/>
      <c r="L62" s="552"/>
      <c r="M62" s="296"/>
      <c r="N62" s="553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34"/>
      <c r="B63" s="44"/>
      <c r="C63" s="214" t="s">
        <v>63</v>
      </c>
      <c r="D63" s="66"/>
      <c r="E63" s="66"/>
      <c r="F63" s="67"/>
      <c r="G63" s="67"/>
      <c r="H63" s="67"/>
      <c r="I63" s="77"/>
      <c r="J63" s="227">
        <v>4.0</v>
      </c>
      <c r="K63" s="34"/>
      <c r="L63" s="552"/>
      <c r="M63" s="296"/>
      <c r="N63" s="553"/>
      <c r="O63" s="34"/>
      <c r="P63" s="73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83">
        <f>B60+1</f>
        <v>14</v>
      </c>
      <c r="C64" s="208" t="s">
        <v>64</v>
      </c>
      <c r="D64" s="66"/>
      <c r="E64" s="66"/>
      <c r="F64" s="67"/>
      <c r="G64" s="67"/>
      <c r="H64" s="67"/>
      <c r="I64" s="68"/>
      <c r="J64" s="72" t="s">
        <v>25</v>
      </c>
      <c r="K64" s="70">
        <f>IF(J64="YES",IF(J13="2010-2013",H65*J63,IF(J13="2014-2021",G65*J63,IF(J13="2021-2023",F65*J63,0))),0)</f>
        <v>130000</v>
      </c>
      <c r="L64" s="552" t="str">
        <f>AVERAGE(D64:F64)</f>
        <v>#DIV/0!</v>
      </c>
      <c r="M64" s="296">
        <f>136070+15150</f>
        <v>151220</v>
      </c>
      <c r="N64" s="553">
        <f>M64/$M$12</f>
        <v>273.2068654</v>
      </c>
      <c r="O64" s="207" t="s">
        <v>23</v>
      </c>
      <c r="P64" s="73">
        <f>IF(O64="Delapidated",K64*0.6,IF(O64="Poor",K64*0.7,IF(O64="Fair",K64*0.8,IF(O64="Good",K64*0.85,IF(O64="Very Good",K64*0.9,IF(O64="Excellent",K64*1,IF(O64="Not Applicable",K64*1,0)))))))</f>
        <v>130000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84"/>
      <c r="C65" s="79" t="s">
        <v>25</v>
      </c>
      <c r="D65" s="66"/>
      <c r="E65" s="66"/>
      <c r="F65" s="67">
        <v>32500.0</v>
      </c>
      <c r="G65" s="67">
        <f t="shared" ref="G65:G66" si="27">F65/$G$16</f>
        <v>26000</v>
      </c>
      <c r="H65" s="67">
        <f t="shared" ref="H65:H66" si="28">F65/$H$16</f>
        <v>24621.21212</v>
      </c>
      <c r="I65" s="77">
        <v>1.0</v>
      </c>
      <c r="J65" s="68"/>
      <c r="K65" s="70"/>
      <c r="L65" s="552"/>
      <c r="M65" s="296"/>
      <c r="N65" s="553"/>
      <c r="O65" s="34"/>
      <c r="P65" s="73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34"/>
      <c r="B66" s="85"/>
      <c r="C66" s="79" t="s">
        <v>26</v>
      </c>
      <c r="D66" s="66"/>
      <c r="E66" s="66"/>
      <c r="F66" s="67">
        <v>0.0</v>
      </c>
      <c r="G66" s="67">
        <f t="shared" si="27"/>
        <v>0</v>
      </c>
      <c r="H66" s="67">
        <f t="shared" si="28"/>
        <v>0</v>
      </c>
      <c r="I66" s="77">
        <v>2.0</v>
      </c>
      <c r="J66" s="68"/>
      <c r="K66" s="70"/>
      <c r="L66" s="552"/>
      <c r="M66" s="296"/>
      <c r="N66" s="553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83">
        <f>B64+1</f>
        <v>15</v>
      </c>
      <c r="C67" s="208" t="s">
        <v>65</v>
      </c>
      <c r="D67" s="66"/>
      <c r="E67" s="66"/>
      <c r="F67" s="67"/>
      <c r="G67" s="67"/>
      <c r="H67" s="67"/>
      <c r="I67" s="68"/>
      <c r="J67" s="72" t="s">
        <v>25</v>
      </c>
      <c r="K67" s="70">
        <f>IF(J67="YES",IF(J13="2010-2013",H68*$J$12,IF(J13="2014-2021",G68*$J$12,IF(J13="2021-2023",F68*$J$12,0))),0)</f>
        <v>114537.5</v>
      </c>
      <c r="L67" s="552" t="str">
        <f>AVERAGE(#REF!)</f>
        <v>#REF!</v>
      </c>
      <c r="M67" s="296">
        <v>84400.0</v>
      </c>
      <c r="N67" s="553">
        <f>M67/$M$12</f>
        <v>152.4841915</v>
      </c>
      <c r="O67" s="207" t="s">
        <v>23</v>
      </c>
      <c r="P67" s="73">
        <f>IF(O67="Delapidated",K67*0.6,IF(O67="Poor",K67*0.7,IF(O67="Fair",K67*0.8,IF(O67="Good",K67*0.85,IF(O67="Very Good",K67*0.9,IF(O67="Excellent",K67*1,IF(O67="Not Applicable",K67*1,0)))))))</f>
        <v>114537.5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84"/>
      <c r="C68" s="79" t="s">
        <v>25</v>
      </c>
      <c r="D68" s="66"/>
      <c r="E68" s="66"/>
      <c r="F68" s="67">
        <f>175*E16</f>
        <v>208.25</v>
      </c>
      <c r="G68" s="67">
        <f t="shared" ref="G68:G69" si="29">F68/$G$16</f>
        <v>166.6</v>
      </c>
      <c r="H68" s="67">
        <f t="shared" ref="H68:H69" si="30">F68/$H$16</f>
        <v>157.7651515</v>
      </c>
      <c r="I68" s="77">
        <v>1.0</v>
      </c>
      <c r="J68" s="68"/>
      <c r="K68" s="70"/>
      <c r="L68" s="552"/>
      <c r="M68" s="296"/>
      <c r="N68" s="553"/>
      <c r="O68" s="34"/>
      <c r="P68" s="73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customHeight="1">
      <c r="A69" s="34"/>
      <c r="B69" s="85"/>
      <c r="C69" s="79" t="s">
        <v>26</v>
      </c>
      <c r="D69" s="66"/>
      <c r="E69" s="66"/>
      <c r="F69" s="67">
        <v>0.0</v>
      </c>
      <c r="G69" s="67">
        <f t="shared" si="29"/>
        <v>0</v>
      </c>
      <c r="H69" s="67">
        <f t="shared" si="30"/>
        <v>0</v>
      </c>
      <c r="I69" s="77">
        <v>2.0</v>
      </c>
      <c r="J69" s="68"/>
      <c r="K69" s="70"/>
      <c r="L69" s="552"/>
      <c r="M69" s="296"/>
      <c r="N69" s="553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83">
        <f>B67+1</f>
        <v>16</v>
      </c>
      <c r="C70" s="208" t="s">
        <v>123</v>
      </c>
      <c r="D70" s="66"/>
      <c r="E70" s="66"/>
      <c r="F70" s="67"/>
      <c r="G70" s="67"/>
      <c r="H70" s="67"/>
      <c r="I70" s="68"/>
      <c r="J70" s="72" t="s">
        <v>25</v>
      </c>
      <c r="K70" s="70">
        <f>IF(J70="YES",IF(J13="2010-2013",H71*$J$12,IF(J13="2014-2021",G71*$J$12,IF(J13="2021-2023",F71*$J$12,0))),0)</f>
        <v>183260</v>
      </c>
      <c r="L70" s="552" t="str">
        <f>AVERAGE(#REF!)</f>
        <v>#REF!</v>
      </c>
      <c r="M70" s="296">
        <v>118050.0</v>
      </c>
      <c r="N70" s="553">
        <f>M70/$M$12</f>
        <v>213.2791328</v>
      </c>
      <c r="O70" s="207" t="s">
        <v>23</v>
      </c>
      <c r="P70" s="73">
        <f>IF(O70="Delapidated",K70*0.6,IF(O70="Poor",K70*0.7,IF(O70="Fair",K70*0.8,IF(O70="Good",K70*0.85,IF(O70="Very Good",K70*0.9,IF(O70="Excellent",K70*1,IF(O70="Not Applicable",K70*1,0)))))))</f>
        <v>183260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84"/>
      <c r="C71" s="79" t="s">
        <v>25</v>
      </c>
      <c r="D71" s="66"/>
      <c r="E71" s="66"/>
      <c r="F71" s="67">
        <f>280*E16</f>
        <v>333.2</v>
      </c>
      <c r="G71" s="67">
        <f t="shared" ref="G71:G72" si="31">F71/$G$16</f>
        <v>266.56</v>
      </c>
      <c r="H71" s="67">
        <f t="shared" ref="H71:H72" si="32">F71/$H$16</f>
        <v>252.4242424</v>
      </c>
      <c r="I71" s="77">
        <v>1.0</v>
      </c>
      <c r="J71" s="68"/>
      <c r="K71" s="70"/>
      <c r="L71" s="552"/>
      <c r="M71" s="296"/>
      <c r="N71" s="553"/>
      <c r="O71" s="34"/>
      <c r="P71" s="73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customHeight="1">
      <c r="A72" s="34"/>
      <c r="B72" s="85"/>
      <c r="C72" s="79" t="s">
        <v>26</v>
      </c>
      <c r="D72" s="66"/>
      <c r="E72" s="66"/>
      <c r="F72" s="67">
        <v>0.0</v>
      </c>
      <c r="G72" s="67">
        <f t="shared" si="31"/>
        <v>0</v>
      </c>
      <c r="H72" s="67">
        <f t="shared" si="32"/>
        <v>0</v>
      </c>
      <c r="I72" s="77">
        <v>2.0</v>
      </c>
      <c r="J72" s="68"/>
      <c r="K72" s="70"/>
      <c r="L72" s="552"/>
      <c r="M72" s="296"/>
      <c r="N72" s="553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34"/>
      <c r="B73" s="44"/>
      <c r="C73" s="214" t="s">
        <v>89</v>
      </c>
      <c r="D73" s="66"/>
      <c r="E73" s="66"/>
      <c r="F73" s="67"/>
      <c r="G73" s="67"/>
      <c r="H73" s="67"/>
      <c r="I73" s="77"/>
      <c r="J73" s="227">
        <v>6.0</v>
      </c>
      <c r="K73" s="34"/>
      <c r="L73" s="552"/>
      <c r="M73" s="296"/>
      <c r="N73" s="553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customHeight="1">
      <c r="A74" s="34"/>
      <c r="B74" s="44">
        <f>B70+1</f>
        <v>17</v>
      </c>
      <c r="C74" s="208" t="s">
        <v>124</v>
      </c>
      <c r="D74" s="66"/>
      <c r="E74" s="66"/>
      <c r="F74" s="67"/>
      <c r="G74" s="67"/>
      <c r="H74" s="67"/>
      <c r="I74" s="68"/>
      <c r="J74" s="309" t="s">
        <v>25</v>
      </c>
      <c r="K74" s="70">
        <f>IF(J74="YES",IF(J13="2010-2013",H75*J73,IF(J13="2014-2021",G75*J73,IF(J13="2021-2023",F75*J73,0))),0)</f>
        <v>45000</v>
      </c>
      <c r="L74" s="552"/>
      <c r="M74" s="296"/>
      <c r="N74" s="553"/>
      <c r="O74" s="207" t="s">
        <v>23</v>
      </c>
      <c r="P74" s="73">
        <f>IF(O74="Delapidated",K74*0.6,IF(O74="Poor",K74*0.7,IF(O74="Fair",K74*0.8,IF(O74="Good",K74*0.85,IF(O74="Very Good",K74*0.9,IF(O74="Excellent",K74*1,IF(O74="Not Applicable",K74*1,0)))))))</f>
        <v>45000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34"/>
      <c r="B75" s="219"/>
      <c r="C75" s="79" t="s">
        <v>25</v>
      </c>
      <c r="D75" s="66"/>
      <c r="E75" s="66"/>
      <c r="F75" s="67">
        <v>7500.0</v>
      </c>
      <c r="G75" s="67">
        <f t="shared" ref="G75:G76" si="33">F75/$G$16</f>
        <v>6000</v>
      </c>
      <c r="H75" s="67">
        <f t="shared" ref="H75:H76" si="34">F75/$H$16</f>
        <v>5681.818182</v>
      </c>
      <c r="I75" s="77">
        <v>1.0</v>
      </c>
      <c r="J75" s="322"/>
      <c r="K75" s="70"/>
      <c r="L75" s="552"/>
      <c r="M75" s="296"/>
      <c r="N75" s="553"/>
      <c r="O75" s="34"/>
      <c r="P75" s="73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34"/>
      <c r="B76" s="219"/>
      <c r="C76" s="79" t="s">
        <v>26</v>
      </c>
      <c r="D76" s="66"/>
      <c r="E76" s="66"/>
      <c r="F76" s="67">
        <v>0.0</v>
      </c>
      <c r="G76" s="67">
        <f t="shared" si="33"/>
        <v>0</v>
      </c>
      <c r="H76" s="67">
        <f t="shared" si="34"/>
        <v>0</v>
      </c>
      <c r="I76" s="77">
        <v>2.0</v>
      </c>
      <c r="J76" s="322"/>
      <c r="K76" s="648"/>
      <c r="L76" s="558"/>
      <c r="M76" s="305"/>
      <c r="N76" s="559"/>
      <c r="O76" s="17"/>
      <c r="P76" s="125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customHeight="1">
      <c r="A77" s="34"/>
      <c r="B77" s="219"/>
      <c r="C77" s="105"/>
      <c r="D77" s="66"/>
      <c r="E77" s="66"/>
      <c r="F77" s="67"/>
      <c r="G77" s="67"/>
      <c r="H77" s="67"/>
      <c r="I77" s="77"/>
      <c r="J77" s="480"/>
      <c r="K77" s="45"/>
      <c r="L77" s="190"/>
      <c r="M77" s="224"/>
      <c r="N77" s="225"/>
      <c r="O77" s="193"/>
      <c r="P77" s="197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30.0" customHeight="1">
      <c r="A78" s="34"/>
      <c r="B78" s="219"/>
      <c r="C78" s="214" t="s">
        <v>69</v>
      </c>
      <c r="D78" s="66"/>
      <c r="E78" s="66"/>
      <c r="F78" s="67"/>
      <c r="G78" s="67"/>
      <c r="H78" s="67"/>
      <c r="I78" s="90"/>
      <c r="J78" s="227">
        <v>45.0</v>
      </c>
      <c r="K78" s="228"/>
      <c r="L78" s="190"/>
      <c r="M78" s="224"/>
      <c r="N78" s="225"/>
      <c r="O78" s="193"/>
      <c r="P78" s="197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30.0" customHeight="1">
      <c r="A79" s="34"/>
      <c r="B79" s="44">
        <f>B74+1</f>
        <v>18</v>
      </c>
      <c r="C79" s="74" t="s">
        <v>70</v>
      </c>
      <c r="D79" s="66"/>
      <c r="E79" s="66"/>
      <c r="F79" s="67"/>
      <c r="G79" s="67"/>
      <c r="H79" s="67"/>
      <c r="I79" s="77"/>
      <c r="J79" s="229" t="s">
        <v>25</v>
      </c>
      <c r="K79" s="70">
        <f>IF(J79="YES",IF(J13="2010-2013",H80*J78,IF(J13="2014-2021",G80*J78,IF(J13="2021-2023",F80*J78,0))),0)</f>
        <v>155295</v>
      </c>
      <c r="L79" s="552"/>
      <c r="M79" s="296"/>
      <c r="N79" s="553"/>
      <c r="O79" s="207" t="s">
        <v>23</v>
      </c>
      <c r="P79" s="99">
        <f>IF(O79="Delapidated",K79*0.6,IF(O79="Poor",K79*0.7,IF(O79="Fair",K79*0.8,IF(O79="Good",K79*0.85,IF(O79="Very Good",K79*0.9,IF(O79="Excellent",K79*1,IF(O79="Not Applicable",K79*1,0)))))))</f>
        <v>155295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30.0" customHeight="1">
      <c r="A80" s="34"/>
      <c r="B80" s="219"/>
      <c r="C80" s="79" t="s">
        <v>25</v>
      </c>
      <c r="D80" s="66"/>
      <c r="E80" s="66"/>
      <c r="F80" s="67">
        <f>2900*E16</f>
        <v>3451</v>
      </c>
      <c r="G80" s="67">
        <f>F80/$G$16</f>
        <v>2760.8</v>
      </c>
      <c r="H80" s="67">
        <f>F80/$H$16</f>
        <v>2614.393939</v>
      </c>
      <c r="I80" s="77">
        <v>1.0</v>
      </c>
      <c r="J80" s="649"/>
      <c r="K80" s="650"/>
      <c r="L80" s="552"/>
      <c r="M80" s="296"/>
      <c r="N80" s="553"/>
      <c r="O80" s="17"/>
      <c r="P80" s="2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30.0" customHeight="1">
      <c r="A81" s="34"/>
      <c r="B81" s="235"/>
      <c r="C81" s="236" t="s">
        <v>26</v>
      </c>
      <c r="D81" s="237"/>
      <c r="E81" s="237"/>
      <c r="F81" s="238"/>
      <c r="G81" s="238"/>
      <c r="H81" s="238"/>
      <c r="I81" s="651">
        <v>2.0</v>
      </c>
      <c r="J81" s="122"/>
      <c r="K81" s="650"/>
      <c r="L81" s="552"/>
      <c r="M81" s="296"/>
      <c r="N81" s="553"/>
      <c r="O81" s="17"/>
      <c r="P81" s="2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30.0" customHeight="1">
      <c r="A82" s="17"/>
      <c r="B82" s="20"/>
      <c r="C82" s="652"/>
      <c r="D82" s="127"/>
      <c r="E82" s="127"/>
      <c r="F82" s="653"/>
      <c r="G82" s="653"/>
      <c r="H82" s="653"/>
      <c r="I82" s="127"/>
      <c r="J82" s="127"/>
      <c r="K82" s="106"/>
      <c r="L82" s="552"/>
      <c r="M82" s="319"/>
      <c r="N82" s="553"/>
      <c r="O82" s="17"/>
      <c r="P82" s="234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17"/>
      <c r="B83" s="654"/>
      <c r="C83" s="655"/>
      <c r="D83" s="110"/>
      <c r="E83" s="110"/>
      <c r="F83" s="111"/>
      <c r="G83" s="111"/>
      <c r="H83" s="111"/>
      <c r="I83" s="110"/>
      <c r="J83" s="110"/>
      <c r="K83" s="102"/>
      <c r="L83" s="552"/>
      <c r="M83" s="319"/>
      <c r="N83" s="553"/>
      <c r="O83" s="34"/>
      <c r="P83" s="233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0.0" customHeight="1">
      <c r="A84" s="88"/>
      <c r="B84" s="656"/>
      <c r="C84" s="657" t="s">
        <v>71</v>
      </c>
      <c r="D84" s="562"/>
      <c r="E84" s="562"/>
      <c r="F84" s="658">
        <v>5132.91490514905</v>
      </c>
      <c r="G84" s="658"/>
      <c r="H84" s="658"/>
      <c r="I84" s="562"/>
      <c r="J84" s="562"/>
      <c r="K84" s="563"/>
      <c r="L84" s="552" t="str">
        <f>AVERAGE(#REF!)</f>
        <v>#REF!</v>
      </c>
      <c r="M84" s="296">
        <v>2841068.4</v>
      </c>
      <c r="N84" s="553">
        <f t="shared" ref="N84:N88" si="35">M84/$M$12</f>
        <v>5132.914905</v>
      </c>
      <c r="O84" s="17"/>
      <c r="P84" s="2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30.0" customHeight="1">
      <c r="A85" s="17"/>
      <c r="B85" s="44" t="str">
        <f>#REF!+1</f>
        <v>#REF!</v>
      </c>
      <c r="C85" s="254" t="s">
        <v>72</v>
      </c>
      <c r="D85" s="71"/>
      <c r="E85" s="71"/>
      <c r="F85" s="303">
        <v>0.0</v>
      </c>
      <c r="G85" s="303"/>
      <c r="H85" s="303"/>
      <c r="I85" s="71"/>
      <c r="J85" s="71"/>
      <c r="K85" s="43"/>
      <c r="L85" s="552"/>
      <c r="M85" s="319"/>
      <c r="N85" s="553">
        <f t="shared" si="35"/>
        <v>0</v>
      </c>
      <c r="O85" s="17"/>
      <c r="P85" s="234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17"/>
      <c r="B86" s="61"/>
      <c r="C86" s="255"/>
      <c r="D86" s="97"/>
      <c r="E86" s="97"/>
      <c r="F86" s="98">
        <v>0.0</v>
      </c>
      <c r="G86" s="98"/>
      <c r="H86" s="98"/>
      <c r="I86" s="97"/>
      <c r="J86" s="97"/>
      <c r="K86" s="102"/>
      <c r="L86" s="552"/>
      <c r="M86" s="319"/>
      <c r="N86" s="553">
        <f t="shared" si="35"/>
        <v>0</v>
      </c>
      <c r="O86" s="17"/>
      <c r="P86" s="234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customHeight="1">
      <c r="A87" s="17"/>
      <c r="B87" s="656"/>
      <c r="C87" s="657" t="s">
        <v>71</v>
      </c>
      <c r="D87" s="562"/>
      <c r="E87" s="562"/>
      <c r="F87" s="658">
        <v>5132.91490514905</v>
      </c>
      <c r="G87" s="658"/>
      <c r="H87" s="658"/>
      <c r="I87" s="562"/>
      <c r="J87" s="562"/>
      <c r="K87" s="563"/>
      <c r="L87" s="552" t="str">
        <f>AVERAGE(#REF!)</f>
        <v>#REF!</v>
      </c>
      <c r="M87" s="319">
        <v>2841068.4</v>
      </c>
      <c r="N87" s="553">
        <f t="shared" si="35"/>
        <v>5132.914905</v>
      </c>
      <c r="O87" s="17"/>
      <c r="P87" s="234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customHeight="1">
      <c r="A88" s="17"/>
      <c r="B88" s="659"/>
      <c r="C88" s="660" t="s">
        <v>73</v>
      </c>
      <c r="D88" s="338"/>
      <c r="E88" s="338"/>
      <c r="F88" s="80">
        <v>0.0</v>
      </c>
      <c r="G88" s="80"/>
      <c r="H88" s="80"/>
      <c r="I88" s="338"/>
      <c r="J88" s="568"/>
      <c r="K88" s="661"/>
      <c r="L88" s="552"/>
      <c r="M88" s="319"/>
      <c r="N88" s="553">
        <f t="shared" si="35"/>
        <v>0</v>
      </c>
      <c r="O88" s="17"/>
      <c r="P88" s="234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0.0" customHeight="1">
      <c r="A89" s="17"/>
      <c r="B89" s="139"/>
      <c r="C89" s="567"/>
      <c r="D89" s="338"/>
      <c r="E89" s="338"/>
      <c r="F89" s="80"/>
      <c r="G89" s="80"/>
      <c r="H89" s="80"/>
      <c r="I89" s="662"/>
      <c r="J89" s="140"/>
      <c r="K89" s="663"/>
      <c r="L89" s="552"/>
      <c r="M89" s="319"/>
      <c r="N89" s="553"/>
      <c r="O89" s="17"/>
      <c r="P89" s="326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0.0" customHeight="1">
      <c r="A90" s="17"/>
      <c r="B90" s="340"/>
      <c r="C90" s="17"/>
      <c r="D90" s="341"/>
      <c r="E90" s="341"/>
      <c r="F90" s="80">
        <v>5851.58084914182</v>
      </c>
      <c r="G90" s="80"/>
      <c r="H90" s="80"/>
      <c r="I90" s="664"/>
      <c r="J90" s="144" t="s">
        <v>74</v>
      </c>
      <c r="K90" s="265">
        <f>SUM(K17:K81)</f>
        <v>3454976.963</v>
      </c>
      <c r="L90" s="552" t="str">
        <f>AVERAGE(#REF!)</f>
        <v>#REF!</v>
      </c>
      <c r="M90" s="319">
        <v>3238850.0</v>
      </c>
      <c r="N90" s="553">
        <f>M90/$M$12</f>
        <v>5851.580849</v>
      </c>
      <c r="O90" s="17"/>
      <c r="P90" s="266">
        <f>SUM(P17:P87)</f>
        <v>3379054.963</v>
      </c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0.0" customHeight="1">
      <c r="A91" s="17"/>
      <c r="B91" s="340"/>
      <c r="C91" s="17"/>
      <c r="D91" s="341"/>
      <c r="E91" s="341"/>
      <c r="F91" s="80"/>
      <c r="G91" s="80"/>
      <c r="H91" s="80"/>
      <c r="I91" s="664"/>
      <c r="J91" s="144" t="s">
        <v>75</v>
      </c>
      <c r="K91" s="265">
        <f>K90/J12</f>
        <v>6281.776296</v>
      </c>
      <c r="L91" s="552"/>
      <c r="M91" s="319"/>
      <c r="N91" s="553"/>
      <c r="O91" s="17"/>
      <c r="P91" s="266">
        <f>P90/J12</f>
        <v>6143.736296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30.0" customHeight="1">
      <c r="A92" s="147"/>
      <c r="B92" s="119"/>
      <c r="C92" s="17"/>
      <c r="D92" s="344"/>
      <c r="E92" s="344"/>
      <c r="F92" s="344"/>
      <c r="G92" s="344"/>
      <c r="H92" s="344"/>
      <c r="I92" s="345"/>
      <c r="J92" s="138" t="s">
        <v>131</v>
      </c>
      <c r="K92" s="147"/>
      <c r="L92" s="552" t="str">
        <f>AVERAGE(#REF!)</f>
        <v>#REF!</v>
      </c>
      <c r="M92" s="319">
        <f>M90/M12</f>
        <v>5851.580849</v>
      </c>
      <c r="N92" s="550"/>
      <c r="O92" s="1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</row>
    <row r="93" ht="12.0" customHeight="1">
      <c r="B93" s="1"/>
      <c r="K93" s="151"/>
      <c r="P93" s="151"/>
    </row>
    <row r="94" ht="45.75" customHeight="1">
      <c r="B94" s="1"/>
      <c r="C94" s="574"/>
      <c r="J94" s="144" t="s">
        <v>76</v>
      </c>
      <c r="K94" s="150">
        <f>K90/1.14</f>
        <v>3030681.547</v>
      </c>
      <c r="P94" s="150">
        <f>P90/1.14</f>
        <v>2964083.301</v>
      </c>
    </row>
    <row r="95" ht="12.0" customHeight="1">
      <c r="B95" s="1"/>
      <c r="J95" s="144" t="s">
        <v>77</v>
      </c>
      <c r="K95" s="150">
        <f>K94/J12</f>
        <v>5510.330085</v>
      </c>
      <c r="P95" s="150">
        <f>P94/J12</f>
        <v>5389.242365</v>
      </c>
    </row>
    <row r="96" ht="12.0" customHeight="1">
      <c r="B96" s="1"/>
      <c r="K96" s="151"/>
      <c r="P96" s="151"/>
    </row>
    <row r="97" ht="12.0" customHeight="1">
      <c r="B97" s="1"/>
      <c r="K97" s="151"/>
      <c r="P97" s="151"/>
    </row>
    <row r="98" ht="12.0" customHeight="1">
      <c r="B98" s="1"/>
      <c r="K98" s="151"/>
      <c r="P98" s="151"/>
    </row>
    <row r="99" ht="12.0" customHeight="1">
      <c r="B99" s="1"/>
      <c r="K99" s="151"/>
      <c r="P99" s="151"/>
    </row>
    <row r="100" ht="12.0" customHeight="1">
      <c r="B100" s="1"/>
      <c r="K100" s="151"/>
      <c r="P100" s="151"/>
    </row>
    <row r="101" ht="12.0" customHeight="1">
      <c r="B101" s="1"/>
      <c r="K101" s="151"/>
      <c r="P101" s="151"/>
    </row>
    <row r="102" ht="12.0" customHeight="1">
      <c r="B102" s="1"/>
      <c r="K102" s="151"/>
      <c r="P102" s="151"/>
    </row>
    <row r="103" ht="12.0" customHeight="1">
      <c r="B103" s="1"/>
      <c r="K103" s="151"/>
      <c r="P103" s="151"/>
    </row>
    <row r="104" ht="12.0" customHeight="1">
      <c r="B104" s="1"/>
      <c r="K104" s="151"/>
      <c r="P104" s="151"/>
    </row>
    <row r="105" ht="12.0" customHeight="1">
      <c r="B105" s="1"/>
      <c r="K105" s="151"/>
      <c r="P105" s="151"/>
    </row>
    <row r="106" ht="12.0" customHeight="1">
      <c r="B106" s="1"/>
      <c r="K106" s="151"/>
      <c r="P106" s="151"/>
    </row>
    <row r="107" ht="12.0" customHeight="1">
      <c r="B107" s="1"/>
      <c r="K107" s="151"/>
      <c r="P107" s="151"/>
    </row>
    <row r="108" ht="12.0" customHeight="1">
      <c r="B108" s="1"/>
      <c r="K108" s="151"/>
      <c r="P108" s="151"/>
    </row>
    <row r="109" ht="12.0" customHeight="1">
      <c r="B109" s="1"/>
      <c r="K109" s="151"/>
      <c r="P109" s="151"/>
    </row>
    <row r="110" ht="12.0" customHeight="1">
      <c r="B110" s="1"/>
      <c r="K110" s="151"/>
      <c r="P110" s="151"/>
    </row>
    <row r="111" ht="12.0" customHeight="1">
      <c r="B111" s="1"/>
      <c r="K111" s="151"/>
      <c r="P111" s="151"/>
    </row>
    <row r="112" ht="12.0" customHeight="1">
      <c r="B112" s="1"/>
      <c r="K112" s="151"/>
      <c r="P112" s="151"/>
    </row>
    <row r="113" ht="12.0" customHeight="1">
      <c r="B113" s="1"/>
      <c r="K113" s="151"/>
      <c r="P113" s="151"/>
    </row>
    <row r="114" ht="12.0" customHeight="1">
      <c r="B114" s="1"/>
      <c r="K114" s="151"/>
      <c r="P114" s="151"/>
    </row>
    <row r="115" ht="12.0" customHeight="1">
      <c r="B115" s="1"/>
      <c r="K115" s="151"/>
      <c r="P115" s="151"/>
    </row>
    <row r="116" ht="12.0" customHeight="1">
      <c r="B116" s="1"/>
      <c r="K116" s="151"/>
      <c r="P116" s="151"/>
    </row>
    <row r="117" ht="12.0" customHeight="1">
      <c r="B117" s="1"/>
      <c r="K117" s="151"/>
      <c r="P117" s="151"/>
    </row>
    <row r="118" ht="12.0" customHeight="1">
      <c r="B118" s="1"/>
      <c r="K118" s="151"/>
      <c r="P118" s="151"/>
    </row>
    <row r="119" ht="12.0" customHeight="1">
      <c r="B119" s="1"/>
      <c r="K119" s="151"/>
      <c r="P119" s="151"/>
    </row>
    <row r="120" ht="12.0" customHeight="1">
      <c r="B120" s="1"/>
      <c r="K120" s="151"/>
      <c r="P120" s="151"/>
    </row>
    <row r="121" ht="12.0" customHeight="1">
      <c r="B121" s="1"/>
      <c r="K121" s="151"/>
      <c r="P121" s="151"/>
    </row>
    <row r="122" ht="12.0" customHeight="1">
      <c r="B122" s="1"/>
      <c r="K122" s="151"/>
      <c r="P122" s="151"/>
    </row>
    <row r="123" ht="12.0" customHeight="1">
      <c r="B123" s="1"/>
      <c r="K123" s="151"/>
      <c r="P123" s="151"/>
    </row>
    <row r="124" ht="12.0" customHeight="1">
      <c r="B124" s="1"/>
      <c r="K124" s="151"/>
      <c r="P124" s="151"/>
    </row>
    <row r="125" ht="12.0" customHeight="1">
      <c r="B125" s="1"/>
      <c r="K125" s="151"/>
      <c r="P125" s="151"/>
    </row>
    <row r="126" ht="12.0" customHeight="1">
      <c r="B126" s="1"/>
      <c r="K126" s="151"/>
      <c r="P126" s="151"/>
    </row>
    <row r="127" ht="12.0" customHeight="1">
      <c r="B127" s="1"/>
      <c r="K127" s="151"/>
      <c r="P127" s="151"/>
    </row>
    <row r="128" ht="12.0" customHeight="1">
      <c r="B128" s="1"/>
      <c r="K128" s="151"/>
      <c r="P128" s="151"/>
    </row>
    <row r="129" ht="12.0" customHeight="1">
      <c r="B129" s="1"/>
      <c r="K129" s="151"/>
      <c r="P129" s="151"/>
    </row>
    <row r="130" ht="12.0" customHeight="1">
      <c r="B130" s="1"/>
      <c r="K130" s="151"/>
      <c r="P130" s="151"/>
    </row>
    <row r="131" ht="12.0" customHeight="1">
      <c r="B131" s="1"/>
      <c r="K131" s="151"/>
      <c r="P131" s="151"/>
    </row>
    <row r="132" ht="12.0" customHeight="1">
      <c r="B132" s="1"/>
      <c r="K132" s="151"/>
      <c r="P132" s="151"/>
    </row>
    <row r="133" ht="12.0" customHeight="1">
      <c r="B133" s="1"/>
      <c r="K133" s="151"/>
      <c r="P133" s="151"/>
    </row>
    <row r="134" ht="12.0" customHeight="1">
      <c r="B134" s="1"/>
      <c r="K134" s="151"/>
      <c r="P134" s="151"/>
    </row>
    <row r="135" ht="12.0" customHeight="1">
      <c r="B135" s="1"/>
      <c r="K135" s="151"/>
      <c r="P135" s="151"/>
    </row>
    <row r="136" ht="12.0" customHeight="1">
      <c r="B136" s="1"/>
      <c r="K136" s="151"/>
      <c r="P136" s="151"/>
    </row>
    <row r="137" ht="12.0" customHeight="1">
      <c r="B137" s="1"/>
      <c r="K137" s="151"/>
      <c r="P137" s="151"/>
    </row>
    <row r="138" ht="12.0" customHeight="1">
      <c r="B138" s="1"/>
      <c r="K138" s="151"/>
      <c r="P138" s="151"/>
    </row>
    <row r="139" ht="12.0" customHeight="1">
      <c r="B139" s="1"/>
      <c r="K139" s="151"/>
      <c r="P139" s="151"/>
    </row>
    <row r="140" ht="12.0" customHeight="1">
      <c r="B140" s="1"/>
      <c r="K140" s="151"/>
      <c r="P140" s="151"/>
    </row>
    <row r="141" ht="12.0" customHeight="1">
      <c r="B141" s="1"/>
      <c r="K141" s="151"/>
      <c r="P141" s="151"/>
    </row>
    <row r="142" ht="12.0" customHeight="1">
      <c r="B142" s="1"/>
      <c r="K142" s="151"/>
      <c r="P142" s="151"/>
    </row>
    <row r="143" ht="12.0" customHeight="1">
      <c r="B143" s="1"/>
      <c r="K143" s="151"/>
      <c r="P143" s="151"/>
    </row>
    <row r="144" ht="12.0" customHeight="1">
      <c r="B144" s="1"/>
      <c r="K144" s="151"/>
      <c r="P144" s="151"/>
    </row>
    <row r="145" ht="12.0" customHeight="1">
      <c r="B145" s="1"/>
      <c r="K145" s="151"/>
      <c r="P145" s="151"/>
    </row>
    <row r="146" ht="12.0" customHeight="1">
      <c r="B146" s="1"/>
      <c r="K146" s="151"/>
      <c r="P146" s="151"/>
    </row>
    <row r="147" ht="12.0" customHeight="1">
      <c r="B147" s="1"/>
      <c r="K147" s="151"/>
      <c r="P147" s="151"/>
    </row>
    <row r="148" ht="12.0" customHeight="1">
      <c r="B148" s="1"/>
      <c r="K148" s="151"/>
      <c r="P148" s="151"/>
    </row>
    <row r="149" ht="12.0" customHeight="1">
      <c r="B149" s="1"/>
      <c r="K149" s="151"/>
      <c r="P149" s="151"/>
    </row>
    <row r="150" ht="12.0" customHeight="1">
      <c r="B150" s="1"/>
      <c r="K150" s="151"/>
      <c r="P150" s="151"/>
    </row>
    <row r="151" ht="12.0" customHeight="1">
      <c r="B151" s="1"/>
      <c r="K151" s="151"/>
      <c r="P151" s="151"/>
    </row>
    <row r="152" ht="12.0" customHeight="1">
      <c r="B152" s="1"/>
      <c r="K152" s="151"/>
      <c r="P152" s="151"/>
    </row>
    <row r="153" ht="12.0" customHeight="1">
      <c r="B153" s="1"/>
      <c r="K153" s="151"/>
      <c r="P153" s="151"/>
    </row>
    <row r="154" ht="12.0" customHeight="1">
      <c r="B154" s="1"/>
      <c r="K154" s="151"/>
      <c r="P154" s="151"/>
    </row>
    <row r="155" ht="12.0" customHeight="1">
      <c r="B155" s="1"/>
      <c r="K155" s="151"/>
      <c r="P155" s="151"/>
    </row>
    <row r="156" ht="12.0" customHeight="1">
      <c r="B156" s="1"/>
      <c r="K156" s="151"/>
      <c r="P156" s="151"/>
    </row>
    <row r="157" ht="12.0" customHeight="1">
      <c r="B157" s="1"/>
      <c r="K157" s="151"/>
      <c r="P157" s="151"/>
    </row>
    <row r="158" ht="12.0" customHeight="1">
      <c r="B158" s="1"/>
      <c r="K158" s="151"/>
      <c r="P158" s="151"/>
    </row>
    <row r="159" ht="12.0" customHeight="1">
      <c r="B159" s="1"/>
      <c r="K159" s="151"/>
      <c r="P159" s="151"/>
    </row>
    <row r="160" ht="12.0" customHeight="1">
      <c r="B160" s="1"/>
      <c r="K160" s="151"/>
      <c r="P160" s="151"/>
    </row>
    <row r="161" ht="12.0" customHeight="1">
      <c r="B161" s="1"/>
      <c r="K161" s="151"/>
      <c r="P161" s="151"/>
    </row>
    <row r="162" ht="12.0" customHeight="1">
      <c r="B162" s="1"/>
      <c r="K162" s="151"/>
      <c r="P162" s="151"/>
    </row>
    <row r="163" ht="12.0" customHeight="1">
      <c r="B163" s="1"/>
      <c r="K163" s="151"/>
      <c r="P163" s="151"/>
    </row>
    <row r="164" ht="12.0" customHeight="1">
      <c r="B164" s="1"/>
      <c r="K164" s="151"/>
      <c r="P164" s="151"/>
    </row>
    <row r="165" ht="12.0" customHeight="1">
      <c r="B165" s="1"/>
      <c r="K165" s="151"/>
      <c r="P165" s="151"/>
    </row>
    <row r="166" ht="12.0" customHeight="1">
      <c r="B166" s="1"/>
      <c r="K166" s="151"/>
      <c r="P166" s="151"/>
    </row>
    <row r="167" ht="12.0" customHeight="1">
      <c r="B167" s="1"/>
      <c r="K167" s="151"/>
      <c r="P167" s="151"/>
    </row>
    <row r="168" ht="12.0" customHeight="1">
      <c r="B168" s="1"/>
      <c r="K168" s="151"/>
      <c r="P168" s="151"/>
    </row>
    <row r="169" ht="12.0" customHeight="1">
      <c r="B169" s="1"/>
      <c r="K169" s="151"/>
      <c r="P169" s="151"/>
    </row>
    <row r="170" ht="12.0" customHeight="1">
      <c r="B170" s="1"/>
      <c r="K170" s="151"/>
      <c r="P170" s="151"/>
    </row>
    <row r="171" ht="12.0" customHeight="1">
      <c r="B171" s="1"/>
      <c r="K171" s="151"/>
      <c r="P171" s="151"/>
    </row>
    <row r="172" ht="12.0" customHeight="1">
      <c r="B172" s="1"/>
      <c r="K172" s="151"/>
      <c r="P172" s="151"/>
    </row>
    <row r="173" ht="12.0" customHeight="1">
      <c r="B173" s="1"/>
      <c r="K173" s="151"/>
      <c r="P173" s="151"/>
    </row>
    <row r="174" ht="12.0" customHeight="1">
      <c r="B174" s="1"/>
      <c r="K174" s="151"/>
      <c r="P174" s="151"/>
    </row>
    <row r="175" ht="12.0" customHeight="1">
      <c r="B175" s="1"/>
      <c r="K175" s="151"/>
      <c r="P175" s="151"/>
    </row>
    <row r="176" ht="12.0" customHeight="1">
      <c r="B176" s="1"/>
      <c r="K176" s="151"/>
      <c r="P176" s="151"/>
    </row>
    <row r="177" ht="12.0" customHeight="1">
      <c r="B177" s="1"/>
      <c r="K177" s="151"/>
      <c r="P177" s="151"/>
    </row>
    <row r="178" ht="12.0" customHeight="1">
      <c r="B178" s="1"/>
      <c r="K178" s="151"/>
      <c r="P178" s="151"/>
    </row>
    <row r="179" ht="12.0" customHeight="1">
      <c r="B179" s="1"/>
      <c r="K179" s="151"/>
      <c r="P179" s="151"/>
    </row>
    <row r="180" ht="12.0" customHeight="1">
      <c r="B180" s="1"/>
      <c r="K180" s="151"/>
      <c r="P180" s="151"/>
    </row>
    <row r="181" ht="12.0" customHeight="1">
      <c r="B181" s="1"/>
      <c r="K181" s="151"/>
      <c r="P181" s="151"/>
    </row>
    <row r="182" ht="12.0" customHeight="1">
      <c r="B182" s="1"/>
      <c r="K182" s="151"/>
      <c r="P182" s="151"/>
    </row>
    <row r="183" ht="12.0" customHeight="1">
      <c r="B183" s="1"/>
      <c r="K183" s="151"/>
      <c r="P183" s="151"/>
    </row>
    <row r="184" ht="12.0" customHeight="1">
      <c r="B184" s="1"/>
      <c r="K184" s="151"/>
      <c r="P184" s="151"/>
    </row>
    <row r="185" ht="12.0" customHeight="1">
      <c r="B185" s="1"/>
      <c r="K185" s="151"/>
      <c r="P185" s="151"/>
    </row>
    <row r="186" ht="12.0" customHeight="1">
      <c r="B186" s="1"/>
      <c r="K186" s="151"/>
      <c r="P186" s="151"/>
    </row>
    <row r="187" ht="12.0" customHeight="1">
      <c r="B187" s="1"/>
      <c r="K187" s="151"/>
      <c r="P187" s="151"/>
    </row>
    <row r="188" ht="12.0" customHeight="1">
      <c r="B188" s="1"/>
      <c r="K188" s="151"/>
      <c r="P188" s="151"/>
    </row>
    <row r="189" ht="12.0" customHeight="1">
      <c r="B189" s="1"/>
      <c r="K189" s="151"/>
      <c r="P189" s="151"/>
    </row>
    <row r="190" ht="12.0" customHeight="1">
      <c r="B190" s="1"/>
      <c r="K190" s="151"/>
      <c r="P190" s="151"/>
    </row>
    <row r="191" ht="12.0" customHeight="1">
      <c r="B191" s="1"/>
      <c r="K191" s="151"/>
      <c r="P191" s="151"/>
    </row>
    <row r="192" ht="12.0" customHeight="1">
      <c r="B192" s="1"/>
      <c r="K192" s="151"/>
      <c r="P192" s="151"/>
    </row>
    <row r="193" ht="12.0" customHeight="1">
      <c r="B193" s="1"/>
      <c r="K193" s="151"/>
      <c r="P193" s="151"/>
    </row>
    <row r="194" ht="12.0" customHeight="1">
      <c r="B194" s="1"/>
      <c r="K194" s="151"/>
      <c r="P194" s="151"/>
    </row>
    <row r="195" ht="12.0" customHeight="1">
      <c r="B195" s="1"/>
      <c r="K195" s="151"/>
      <c r="P195" s="151"/>
    </row>
    <row r="196" ht="12.0" customHeight="1">
      <c r="B196" s="1"/>
      <c r="K196" s="151"/>
      <c r="P196" s="151"/>
    </row>
    <row r="197" ht="12.0" customHeight="1">
      <c r="B197" s="1"/>
      <c r="K197" s="151"/>
      <c r="P197" s="151"/>
    </row>
    <row r="198" ht="12.0" customHeight="1">
      <c r="B198" s="1"/>
      <c r="K198" s="151"/>
      <c r="P198" s="151"/>
    </row>
    <row r="199" ht="12.0" customHeight="1">
      <c r="B199" s="1"/>
      <c r="K199" s="151"/>
      <c r="P199" s="151"/>
    </row>
    <row r="200" ht="12.0" customHeight="1">
      <c r="B200" s="1"/>
      <c r="K200" s="151"/>
      <c r="P200" s="151"/>
    </row>
    <row r="201" ht="12.0" customHeight="1">
      <c r="B201" s="1"/>
      <c r="K201" s="151"/>
      <c r="P201" s="151"/>
    </row>
    <row r="202" ht="12.0" customHeight="1">
      <c r="B202" s="1"/>
      <c r="K202" s="151"/>
      <c r="P202" s="151"/>
    </row>
    <row r="203" ht="12.0" customHeight="1">
      <c r="B203" s="1"/>
      <c r="K203" s="151"/>
      <c r="P203" s="151"/>
    </row>
    <row r="204" ht="12.0" customHeight="1">
      <c r="B204" s="1"/>
      <c r="K204" s="151"/>
      <c r="P204" s="151"/>
    </row>
    <row r="205" ht="12.0" customHeight="1">
      <c r="B205" s="1"/>
      <c r="K205" s="151"/>
      <c r="P205" s="151"/>
    </row>
    <row r="206" ht="12.0" customHeight="1">
      <c r="B206" s="1"/>
      <c r="K206" s="151"/>
      <c r="P206" s="151"/>
    </row>
    <row r="207" ht="12.0" customHeight="1">
      <c r="B207" s="1"/>
      <c r="K207" s="151"/>
      <c r="P207" s="151"/>
    </row>
    <row r="208" ht="12.0" customHeight="1">
      <c r="B208" s="1"/>
      <c r="K208" s="151"/>
      <c r="P208" s="151"/>
    </row>
    <row r="209" ht="12.0" customHeight="1">
      <c r="B209" s="1"/>
      <c r="K209" s="151"/>
      <c r="P209" s="151"/>
    </row>
    <row r="210" ht="12.0" customHeight="1">
      <c r="B210" s="1"/>
      <c r="K210" s="151"/>
      <c r="P210" s="151"/>
    </row>
    <row r="211" ht="12.0" customHeight="1">
      <c r="B211" s="1"/>
      <c r="K211" s="151"/>
      <c r="P211" s="151"/>
    </row>
    <row r="212" ht="12.0" customHeight="1">
      <c r="B212" s="1"/>
      <c r="K212" s="151"/>
      <c r="P212" s="151"/>
    </row>
    <row r="213" ht="12.0" customHeight="1">
      <c r="B213" s="1"/>
      <c r="K213" s="151"/>
      <c r="P213" s="151"/>
    </row>
    <row r="214" ht="12.0" customHeight="1">
      <c r="B214" s="1"/>
      <c r="K214" s="151"/>
      <c r="P214" s="151"/>
    </row>
    <row r="215" ht="12.0" customHeight="1">
      <c r="B215" s="1"/>
      <c r="K215" s="151"/>
      <c r="P215" s="151"/>
    </row>
    <row r="216" ht="12.0" customHeight="1">
      <c r="B216" s="1"/>
      <c r="K216" s="151"/>
      <c r="P216" s="151"/>
    </row>
    <row r="217" ht="12.0" customHeight="1">
      <c r="B217" s="1"/>
      <c r="K217" s="151"/>
      <c r="P217" s="151"/>
    </row>
    <row r="218" ht="12.0" customHeight="1">
      <c r="B218" s="1"/>
      <c r="K218" s="151"/>
      <c r="P218" s="151"/>
    </row>
    <row r="219" ht="12.0" customHeight="1">
      <c r="B219" s="1"/>
      <c r="K219" s="151"/>
      <c r="P219" s="151"/>
    </row>
    <row r="220" ht="12.0" customHeight="1">
      <c r="B220" s="1"/>
      <c r="K220" s="151"/>
      <c r="P220" s="151"/>
    </row>
    <row r="221" ht="12.0" customHeight="1">
      <c r="B221" s="1"/>
      <c r="K221" s="151"/>
      <c r="P221" s="151"/>
    </row>
    <row r="222" ht="12.0" customHeight="1">
      <c r="B222" s="1"/>
      <c r="K222" s="151"/>
      <c r="P222" s="151"/>
    </row>
    <row r="223" ht="12.0" customHeight="1">
      <c r="B223" s="1"/>
      <c r="K223" s="151"/>
      <c r="P223" s="151"/>
    </row>
    <row r="224" ht="12.0" customHeight="1">
      <c r="B224" s="1"/>
      <c r="K224" s="151"/>
      <c r="P224" s="151"/>
    </row>
    <row r="225" ht="12.0" customHeight="1">
      <c r="B225" s="1"/>
      <c r="K225" s="151"/>
      <c r="P225" s="151"/>
    </row>
    <row r="226" ht="12.0" customHeight="1">
      <c r="B226" s="1"/>
      <c r="K226" s="151"/>
      <c r="P226" s="151"/>
    </row>
    <row r="227" ht="12.0" customHeight="1">
      <c r="B227" s="1"/>
      <c r="K227" s="151"/>
      <c r="P227" s="151"/>
    </row>
    <row r="228" ht="12.0" customHeight="1">
      <c r="B228" s="1"/>
      <c r="K228" s="151"/>
      <c r="P228" s="151"/>
    </row>
    <row r="229" ht="12.0" customHeight="1">
      <c r="B229" s="1"/>
      <c r="K229" s="151"/>
      <c r="P229" s="151"/>
    </row>
    <row r="230" ht="12.0" customHeight="1">
      <c r="B230" s="1"/>
      <c r="K230" s="151"/>
      <c r="P230" s="151"/>
    </row>
    <row r="231" ht="12.0" customHeight="1">
      <c r="B231" s="1"/>
      <c r="K231" s="151"/>
      <c r="P231" s="151"/>
    </row>
    <row r="232" ht="12.0" customHeight="1">
      <c r="B232" s="1"/>
      <c r="K232" s="151"/>
      <c r="P232" s="151"/>
    </row>
    <row r="233" ht="12.0" customHeight="1">
      <c r="B233" s="1"/>
      <c r="K233" s="151"/>
      <c r="P233" s="151"/>
    </row>
    <row r="234" ht="12.0" customHeight="1">
      <c r="B234" s="1"/>
      <c r="K234" s="151"/>
      <c r="P234" s="151"/>
    </row>
    <row r="235" ht="12.0" customHeight="1">
      <c r="B235" s="1"/>
      <c r="K235" s="151"/>
      <c r="P235" s="151"/>
    </row>
    <row r="236" ht="12.0" customHeight="1">
      <c r="B236" s="1"/>
      <c r="K236" s="151"/>
      <c r="P236" s="151"/>
    </row>
    <row r="237" ht="12.0" customHeight="1">
      <c r="B237" s="1"/>
      <c r="K237" s="151"/>
      <c r="P237" s="151"/>
    </row>
    <row r="238" ht="12.0" customHeight="1">
      <c r="B238" s="1"/>
      <c r="K238" s="151"/>
      <c r="P238" s="151"/>
    </row>
    <row r="239" ht="12.0" customHeight="1">
      <c r="B239" s="1"/>
      <c r="K239" s="151"/>
      <c r="P239" s="151"/>
    </row>
    <row r="240" ht="12.0" customHeight="1">
      <c r="B240" s="1"/>
      <c r="K240" s="151"/>
      <c r="P240" s="151"/>
    </row>
    <row r="241" ht="12.0" customHeight="1">
      <c r="B241" s="1"/>
      <c r="K241" s="151"/>
      <c r="P241" s="151"/>
    </row>
    <row r="242" ht="12.0" customHeight="1">
      <c r="B242" s="1"/>
      <c r="K242" s="151"/>
      <c r="P242" s="151"/>
    </row>
    <row r="243" ht="12.0" customHeight="1">
      <c r="B243" s="1"/>
      <c r="K243" s="151"/>
      <c r="P243" s="151"/>
    </row>
    <row r="244" ht="12.0" customHeight="1">
      <c r="B244" s="1"/>
      <c r="K244" s="151"/>
      <c r="P244" s="151"/>
    </row>
    <row r="245" ht="12.0" customHeight="1">
      <c r="B245" s="1"/>
      <c r="K245" s="151"/>
      <c r="P245" s="151"/>
    </row>
    <row r="246" ht="12.0" customHeight="1">
      <c r="B246" s="1"/>
      <c r="K246" s="151"/>
      <c r="P246" s="151"/>
    </row>
    <row r="247" ht="12.0" customHeight="1">
      <c r="B247" s="1"/>
      <c r="K247" s="151"/>
      <c r="P247" s="151"/>
    </row>
    <row r="248" ht="12.0" customHeight="1">
      <c r="B248" s="1"/>
      <c r="K248" s="151"/>
      <c r="P248" s="151"/>
    </row>
    <row r="249" ht="12.0" customHeight="1">
      <c r="B249" s="1"/>
      <c r="K249" s="151"/>
      <c r="P249" s="151"/>
    </row>
    <row r="250" ht="12.0" customHeight="1">
      <c r="B250" s="1"/>
      <c r="K250" s="151"/>
      <c r="P250" s="151"/>
    </row>
    <row r="251" ht="12.0" customHeight="1">
      <c r="B251" s="1"/>
      <c r="K251" s="151"/>
      <c r="P251" s="151"/>
    </row>
    <row r="252" ht="12.0" customHeight="1">
      <c r="B252" s="1"/>
      <c r="K252" s="151"/>
      <c r="P252" s="151"/>
    </row>
    <row r="253" ht="12.0" customHeight="1">
      <c r="B253" s="1"/>
      <c r="K253" s="151"/>
      <c r="P253" s="151"/>
    </row>
    <row r="254" ht="12.0" customHeight="1">
      <c r="B254" s="1"/>
      <c r="K254" s="151"/>
      <c r="P254" s="151"/>
    </row>
    <row r="255" ht="12.0" customHeight="1">
      <c r="B255" s="1"/>
      <c r="K255" s="151"/>
      <c r="P255" s="151"/>
    </row>
    <row r="256" ht="12.0" customHeight="1">
      <c r="B256" s="1"/>
      <c r="K256" s="151"/>
      <c r="P256" s="151"/>
    </row>
    <row r="257" ht="12.0" customHeight="1">
      <c r="B257" s="1"/>
      <c r="K257" s="151"/>
      <c r="P257" s="151"/>
    </row>
    <row r="258" ht="12.0" customHeight="1">
      <c r="B258" s="1"/>
      <c r="K258" s="151"/>
      <c r="P258" s="151"/>
    </row>
    <row r="259" ht="12.0" customHeight="1">
      <c r="B259" s="1"/>
      <c r="K259" s="151"/>
      <c r="P259" s="151"/>
    </row>
    <row r="260" ht="12.0" customHeight="1">
      <c r="B260" s="1"/>
      <c r="K260" s="151"/>
      <c r="P260" s="151"/>
    </row>
    <row r="261" ht="12.0" customHeight="1">
      <c r="B261" s="1"/>
      <c r="K261" s="151"/>
      <c r="P261" s="151"/>
    </row>
    <row r="262" ht="12.0" customHeight="1">
      <c r="B262" s="1"/>
      <c r="K262" s="151"/>
      <c r="P262" s="151"/>
    </row>
    <row r="263" ht="12.0" customHeight="1">
      <c r="B263" s="1"/>
      <c r="K263" s="151"/>
      <c r="P263" s="151"/>
    </row>
    <row r="264" ht="12.0" customHeight="1">
      <c r="B264" s="1"/>
      <c r="K264" s="151"/>
      <c r="P264" s="151"/>
    </row>
    <row r="265" ht="12.0" customHeight="1">
      <c r="B265" s="1"/>
      <c r="K265" s="151"/>
      <c r="P265" s="151"/>
    </row>
    <row r="266" ht="12.0" customHeight="1">
      <c r="B266" s="1"/>
      <c r="K266" s="151"/>
      <c r="P266" s="151"/>
    </row>
    <row r="267" ht="12.0" customHeight="1">
      <c r="B267" s="1"/>
      <c r="K267" s="151"/>
      <c r="P267" s="151"/>
    </row>
    <row r="268" ht="12.0" customHeight="1">
      <c r="B268" s="1"/>
      <c r="K268" s="151"/>
      <c r="P268" s="151"/>
    </row>
    <row r="269" ht="12.0" customHeight="1">
      <c r="B269" s="1"/>
      <c r="K269" s="151"/>
      <c r="P269" s="151"/>
    </row>
    <row r="270" ht="12.0" customHeight="1">
      <c r="B270" s="1"/>
      <c r="K270" s="151"/>
      <c r="P270" s="151"/>
    </row>
    <row r="271" ht="12.0" customHeight="1">
      <c r="B271" s="1"/>
      <c r="K271" s="151"/>
      <c r="P271" s="151"/>
    </row>
    <row r="272" ht="12.0" customHeight="1">
      <c r="B272" s="1"/>
      <c r="K272" s="151"/>
      <c r="P272" s="151"/>
    </row>
    <row r="273" ht="12.0" customHeight="1">
      <c r="B273" s="1"/>
      <c r="K273" s="151"/>
      <c r="P273" s="151"/>
    </row>
    <row r="274" ht="12.0" customHeight="1">
      <c r="B274" s="1"/>
      <c r="K274" s="151"/>
      <c r="P274" s="151"/>
    </row>
    <row r="275" ht="12.0" customHeight="1">
      <c r="B275" s="1"/>
      <c r="K275" s="151"/>
      <c r="P275" s="151"/>
    </row>
    <row r="276" ht="12.0" customHeight="1">
      <c r="B276" s="1"/>
      <c r="K276" s="151"/>
      <c r="P276" s="151"/>
    </row>
    <row r="277" ht="12.0" customHeight="1">
      <c r="B277" s="1"/>
      <c r="K277" s="151"/>
      <c r="P277" s="151"/>
    </row>
    <row r="278" ht="12.0" customHeight="1">
      <c r="B278" s="1"/>
      <c r="K278" s="151"/>
      <c r="P278" s="151"/>
    </row>
    <row r="279" ht="12.0" customHeight="1">
      <c r="B279" s="1"/>
      <c r="K279" s="151"/>
      <c r="P279" s="151"/>
    </row>
    <row r="280" ht="12.0" customHeight="1">
      <c r="B280" s="1"/>
      <c r="K280" s="151"/>
      <c r="P280" s="151"/>
    </row>
    <row r="281" ht="12.0" customHeight="1">
      <c r="B281" s="1"/>
      <c r="K281" s="151"/>
      <c r="P281" s="151"/>
    </row>
    <row r="282" ht="12.0" customHeight="1">
      <c r="B282" s="1"/>
      <c r="K282" s="151"/>
      <c r="P282" s="151"/>
    </row>
    <row r="283" ht="12.0" customHeight="1">
      <c r="B283" s="1"/>
      <c r="K283" s="151"/>
      <c r="P283" s="151"/>
    </row>
    <row r="284" ht="12.0" customHeight="1">
      <c r="B284" s="1"/>
      <c r="K284" s="151"/>
      <c r="P284" s="151"/>
    </row>
    <row r="285" ht="12.0" customHeight="1">
      <c r="B285" s="1"/>
      <c r="K285" s="151"/>
      <c r="P285" s="151"/>
    </row>
    <row r="286" ht="12.0" customHeight="1">
      <c r="B286" s="1"/>
      <c r="K286" s="151"/>
      <c r="P286" s="151"/>
    </row>
    <row r="287" ht="12.0" customHeight="1">
      <c r="B287" s="1"/>
      <c r="K287" s="151"/>
      <c r="P287" s="151"/>
    </row>
    <row r="288" ht="12.0" customHeight="1">
      <c r="B288" s="1"/>
      <c r="K288" s="151"/>
      <c r="P288" s="151"/>
    </row>
    <row r="289" ht="12.0" customHeight="1">
      <c r="B289" s="1"/>
      <c r="K289" s="151"/>
      <c r="P289" s="151"/>
    </row>
    <row r="290" ht="12.0" customHeight="1">
      <c r="B290" s="1"/>
      <c r="K290" s="151"/>
      <c r="P290" s="151"/>
    </row>
    <row r="291" ht="12.0" customHeight="1">
      <c r="B291" s="1"/>
      <c r="K291" s="151"/>
      <c r="P291" s="151"/>
    </row>
    <row r="292" ht="12.0" customHeight="1">
      <c r="B292" s="1"/>
      <c r="K292" s="151"/>
      <c r="P292" s="151"/>
    </row>
    <row r="293" ht="12.0" customHeight="1">
      <c r="B293" s="1"/>
      <c r="K293" s="151"/>
      <c r="P293" s="151"/>
    </row>
    <row r="294" ht="12.0" customHeight="1">
      <c r="B294" s="1"/>
      <c r="K294" s="151"/>
      <c r="P294" s="151"/>
    </row>
    <row r="295" ht="12.0" customHeight="1">
      <c r="B295" s="1"/>
      <c r="K295" s="151"/>
      <c r="P295" s="151"/>
    </row>
    <row r="296" ht="12.0" customHeight="1">
      <c r="B296" s="1"/>
      <c r="K296" s="151"/>
      <c r="P296" s="151"/>
    </row>
    <row r="297" ht="12.0" customHeight="1">
      <c r="B297" s="1"/>
      <c r="K297" s="151"/>
      <c r="P297" s="151"/>
    </row>
    <row r="298" ht="12.0" customHeight="1">
      <c r="B298" s="1"/>
      <c r="K298" s="151"/>
      <c r="P298" s="151"/>
    </row>
    <row r="299" ht="12.0" customHeight="1">
      <c r="B299" s="1"/>
      <c r="K299" s="151"/>
      <c r="P299" s="151"/>
    </row>
    <row r="300" ht="12.0" customHeight="1">
      <c r="B300" s="1"/>
      <c r="K300" s="151"/>
      <c r="P300" s="151"/>
    </row>
    <row r="301" ht="12.0" customHeight="1">
      <c r="B301" s="1"/>
      <c r="K301" s="151"/>
      <c r="P301" s="151"/>
    </row>
    <row r="302" ht="12.0" customHeight="1">
      <c r="B302" s="1"/>
      <c r="K302" s="151"/>
      <c r="P302" s="151"/>
    </row>
    <row r="303" ht="12.0" customHeight="1">
      <c r="B303" s="1"/>
      <c r="K303" s="151"/>
      <c r="P303" s="151"/>
    </row>
    <row r="304" ht="12.0" customHeight="1">
      <c r="B304" s="1"/>
      <c r="K304" s="151"/>
      <c r="P304" s="151"/>
    </row>
    <row r="305" ht="12.0" customHeight="1">
      <c r="B305" s="1"/>
      <c r="K305" s="151"/>
      <c r="P305" s="151"/>
    </row>
    <row r="306" ht="12.0" customHeight="1">
      <c r="B306" s="1"/>
      <c r="K306" s="151"/>
      <c r="P306" s="151"/>
    </row>
    <row r="307" ht="12.0" customHeight="1">
      <c r="B307" s="1"/>
      <c r="K307" s="151"/>
      <c r="P307" s="151"/>
    </row>
    <row r="308" ht="12.0" customHeight="1">
      <c r="B308" s="1"/>
      <c r="K308" s="151"/>
      <c r="P308" s="151"/>
    </row>
    <row r="309" ht="12.0" customHeight="1">
      <c r="B309" s="1"/>
      <c r="K309" s="151"/>
      <c r="P309" s="151"/>
    </row>
    <row r="310" ht="12.0" customHeight="1">
      <c r="B310" s="1"/>
      <c r="K310" s="151"/>
      <c r="P310" s="151"/>
    </row>
    <row r="311" ht="12.0" customHeight="1">
      <c r="B311" s="1"/>
      <c r="K311" s="151"/>
      <c r="P311" s="151"/>
    </row>
    <row r="312" ht="12.0" customHeight="1">
      <c r="B312" s="1"/>
      <c r="K312" s="151"/>
      <c r="P312" s="151"/>
    </row>
    <row r="313" ht="12.0" customHeight="1">
      <c r="B313" s="1"/>
      <c r="K313" s="151"/>
      <c r="P313" s="151"/>
    </row>
    <row r="314" ht="12.0" customHeight="1">
      <c r="B314" s="1"/>
      <c r="K314" s="151"/>
      <c r="P314" s="151"/>
    </row>
    <row r="315" ht="12.0" customHeight="1">
      <c r="B315" s="1"/>
      <c r="K315" s="151"/>
      <c r="P315" s="151"/>
    </row>
    <row r="316" ht="12.0" customHeight="1">
      <c r="B316" s="1"/>
      <c r="K316" s="151"/>
      <c r="P316" s="151"/>
    </row>
    <row r="317" ht="12.0" customHeight="1">
      <c r="B317" s="1"/>
      <c r="K317" s="151"/>
      <c r="P317" s="151"/>
    </row>
    <row r="318" ht="12.0" customHeight="1">
      <c r="B318" s="1"/>
      <c r="K318" s="151"/>
      <c r="P318" s="151"/>
    </row>
    <row r="319" ht="12.0" customHeight="1">
      <c r="B319" s="1"/>
      <c r="K319" s="151"/>
      <c r="P319" s="151"/>
    </row>
    <row r="320" ht="12.0" customHeight="1">
      <c r="B320" s="1"/>
      <c r="K320" s="151"/>
      <c r="P320" s="151"/>
    </row>
    <row r="321" ht="12.0" customHeight="1">
      <c r="B321" s="1"/>
      <c r="K321" s="151"/>
      <c r="P321" s="151"/>
    </row>
    <row r="322" ht="12.0" customHeight="1">
      <c r="B322" s="1"/>
      <c r="K322" s="151"/>
      <c r="P322" s="151"/>
    </row>
    <row r="323" ht="12.0" customHeight="1">
      <c r="B323" s="1"/>
      <c r="K323" s="151"/>
      <c r="P323" s="151"/>
    </row>
    <row r="324" ht="12.0" customHeight="1">
      <c r="B324" s="1"/>
      <c r="K324" s="151"/>
      <c r="P324" s="151"/>
    </row>
    <row r="325" ht="12.0" customHeight="1">
      <c r="B325" s="1"/>
      <c r="K325" s="151"/>
      <c r="P325" s="151"/>
    </row>
    <row r="326" ht="12.0" customHeight="1">
      <c r="B326" s="1"/>
      <c r="K326" s="151"/>
      <c r="P326" s="151"/>
    </row>
    <row r="327" ht="12.0" customHeight="1">
      <c r="B327" s="1"/>
      <c r="K327" s="151"/>
      <c r="P327" s="151"/>
    </row>
    <row r="328" ht="12.0" customHeight="1">
      <c r="B328" s="1"/>
      <c r="K328" s="151"/>
      <c r="P328" s="151"/>
    </row>
    <row r="329" ht="12.0" customHeight="1">
      <c r="B329" s="1"/>
      <c r="K329" s="151"/>
      <c r="P329" s="151"/>
    </row>
    <row r="330" ht="12.0" customHeight="1">
      <c r="B330" s="1"/>
      <c r="K330" s="151"/>
      <c r="P330" s="151"/>
    </row>
    <row r="331" ht="12.0" customHeight="1">
      <c r="B331" s="1"/>
      <c r="K331" s="151"/>
      <c r="P331" s="151"/>
    </row>
    <row r="332" ht="12.0" customHeight="1">
      <c r="B332" s="1"/>
      <c r="K332" s="151"/>
      <c r="P332" s="151"/>
    </row>
    <row r="333" ht="12.0" customHeight="1">
      <c r="B333" s="1"/>
      <c r="K333" s="151"/>
      <c r="P333" s="151"/>
    </row>
    <row r="334" ht="12.0" customHeight="1">
      <c r="B334" s="1"/>
      <c r="K334" s="151"/>
      <c r="P334" s="151"/>
    </row>
    <row r="335" ht="12.0" customHeight="1">
      <c r="B335" s="1"/>
      <c r="K335" s="151"/>
      <c r="P335" s="151"/>
    </row>
    <row r="336" ht="12.0" customHeight="1">
      <c r="B336" s="1"/>
      <c r="K336" s="151"/>
      <c r="P336" s="151"/>
    </row>
    <row r="337" ht="12.0" customHeight="1">
      <c r="B337" s="1"/>
      <c r="K337" s="151"/>
      <c r="P337" s="151"/>
    </row>
    <row r="338" ht="12.0" customHeight="1">
      <c r="B338" s="1"/>
      <c r="K338" s="151"/>
      <c r="P338" s="151"/>
    </row>
    <row r="339" ht="12.0" customHeight="1">
      <c r="B339" s="1"/>
      <c r="K339" s="151"/>
      <c r="P339" s="151"/>
    </row>
    <row r="340" ht="12.0" customHeight="1">
      <c r="B340" s="1"/>
      <c r="K340" s="151"/>
      <c r="P340" s="151"/>
    </row>
    <row r="341" ht="12.0" customHeight="1">
      <c r="B341" s="1"/>
      <c r="K341" s="151"/>
      <c r="P341" s="151"/>
    </row>
    <row r="342" ht="12.0" customHeight="1">
      <c r="B342" s="1"/>
      <c r="K342" s="151"/>
      <c r="P342" s="151"/>
    </row>
    <row r="343" ht="12.0" customHeight="1">
      <c r="B343" s="1"/>
      <c r="K343" s="151"/>
      <c r="P343" s="151"/>
    </row>
    <row r="344" ht="12.0" customHeight="1">
      <c r="B344" s="1"/>
      <c r="K344" s="151"/>
      <c r="P344" s="151"/>
    </row>
    <row r="345" ht="12.0" customHeight="1">
      <c r="B345" s="1"/>
      <c r="K345" s="151"/>
      <c r="P345" s="151"/>
    </row>
    <row r="346" ht="12.0" customHeight="1">
      <c r="B346" s="1"/>
      <c r="K346" s="151"/>
      <c r="P346" s="151"/>
    </row>
    <row r="347" ht="12.0" customHeight="1">
      <c r="B347" s="1"/>
      <c r="K347" s="151"/>
      <c r="P347" s="151"/>
    </row>
    <row r="348" ht="12.0" customHeight="1">
      <c r="B348" s="1"/>
      <c r="K348" s="151"/>
      <c r="P348" s="151"/>
    </row>
    <row r="349" ht="12.0" customHeight="1">
      <c r="B349" s="1"/>
      <c r="K349" s="151"/>
      <c r="P349" s="151"/>
    </row>
    <row r="350" ht="12.0" customHeight="1">
      <c r="B350" s="1"/>
      <c r="K350" s="151"/>
      <c r="P350" s="151"/>
    </row>
    <row r="351" ht="12.0" customHeight="1">
      <c r="B351" s="1"/>
      <c r="K351" s="151"/>
      <c r="P351" s="151"/>
    </row>
    <row r="352" ht="12.0" customHeight="1">
      <c r="B352" s="1"/>
      <c r="K352" s="151"/>
      <c r="P352" s="151"/>
    </row>
    <row r="353" ht="12.0" customHeight="1">
      <c r="B353" s="1"/>
      <c r="K353" s="151"/>
      <c r="P353" s="151"/>
    </row>
    <row r="354" ht="12.0" customHeight="1">
      <c r="B354" s="1"/>
      <c r="K354" s="151"/>
      <c r="P354" s="151"/>
    </row>
    <row r="355" ht="12.0" customHeight="1">
      <c r="B355" s="1"/>
      <c r="K355" s="151"/>
      <c r="P355" s="151"/>
    </row>
    <row r="356" ht="12.0" customHeight="1">
      <c r="B356" s="1"/>
      <c r="K356" s="151"/>
      <c r="P356" s="151"/>
    </row>
    <row r="357" ht="12.0" customHeight="1">
      <c r="B357" s="1"/>
      <c r="K357" s="151"/>
      <c r="P357" s="151"/>
    </row>
    <row r="358" ht="12.0" customHeight="1">
      <c r="B358" s="1"/>
      <c r="K358" s="151"/>
      <c r="P358" s="151"/>
    </row>
    <row r="359" ht="12.0" customHeight="1">
      <c r="B359" s="1"/>
      <c r="K359" s="151"/>
      <c r="P359" s="151"/>
    </row>
    <row r="360" ht="12.0" customHeight="1">
      <c r="B360" s="1"/>
      <c r="K360" s="151"/>
      <c r="P360" s="151"/>
    </row>
    <row r="361" ht="12.0" customHeight="1">
      <c r="B361" s="1"/>
      <c r="K361" s="151"/>
      <c r="P361" s="151"/>
    </row>
    <row r="362" ht="12.0" customHeight="1">
      <c r="B362" s="1"/>
      <c r="K362" s="151"/>
      <c r="P362" s="151"/>
    </row>
    <row r="363" ht="12.0" customHeight="1">
      <c r="B363" s="1"/>
      <c r="K363" s="151"/>
      <c r="P363" s="151"/>
    </row>
    <row r="364" ht="12.0" customHeight="1">
      <c r="B364" s="1"/>
      <c r="K364" s="151"/>
      <c r="P364" s="151"/>
    </row>
    <row r="365" ht="12.0" customHeight="1">
      <c r="B365" s="1"/>
      <c r="K365" s="151"/>
      <c r="P365" s="151"/>
    </row>
    <row r="366" ht="12.0" customHeight="1">
      <c r="B366" s="1"/>
      <c r="K366" s="151"/>
      <c r="P366" s="151"/>
    </row>
    <row r="367" ht="12.0" customHeight="1">
      <c r="B367" s="1"/>
      <c r="K367" s="151"/>
      <c r="P367" s="151"/>
    </row>
    <row r="368" ht="12.0" customHeight="1">
      <c r="B368" s="1"/>
      <c r="K368" s="151"/>
      <c r="P368" s="151"/>
    </row>
    <row r="369" ht="12.0" customHeight="1">
      <c r="B369" s="1"/>
      <c r="K369" s="151"/>
      <c r="P369" s="151"/>
    </row>
    <row r="370" ht="12.0" customHeight="1">
      <c r="B370" s="1"/>
      <c r="K370" s="151"/>
      <c r="P370" s="151"/>
    </row>
    <row r="371" ht="12.0" customHeight="1">
      <c r="B371" s="1"/>
      <c r="K371" s="151"/>
      <c r="P371" s="151"/>
    </row>
    <row r="372" ht="12.0" customHeight="1">
      <c r="B372" s="1"/>
      <c r="K372" s="151"/>
      <c r="P372" s="151"/>
    </row>
    <row r="373" ht="12.0" customHeight="1">
      <c r="B373" s="1"/>
      <c r="K373" s="151"/>
      <c r="P373" s="151"/>
    </row>
    <row r="374" ht="12.0" customHeight="1">
      <c r="B374" s="1"/>
      <c r="K374" s="151"/>
      <c r="P374" s="151"/>
    </row>
    <row r="375" ht="12.0" customHeight="1">
      <c r="B375" s="1"/>
      <c r="K375" s="151"/>
      <c r="P375" s="151"/>
    </row>
    <row r="376" ht="12.0" customHeight="1">
      <c r="B376" s="1"/>
      <c r="K376" s="151"/>
      <c r="P376" s="151"/>
    </row>
    <row r="377" ht="12.0" customHeight="1">
      <c r="B377" s="1"/>
      <c r="K377" s="151"/>
      <c r="P377" s="151"/>
    </row>
    <row r="378" ht="12.0" customHeight="1">
      <c r="B378" s="1"/>
      <c r="K378" s="151"/>
      <c r="P378" s="151"/>
    </row>
    <row r="379" ht="12.0" customHeight="1">
      <c r="B379" s="1"/>
      <c r="K379" s="151"/>
      <c r="P379" s="151"/>
    </row>
    <row r="380" ht="12.0" customHeight="1">
      <c r="B380" s="1"/>
      <c r="K380" s="151"/>
      <c r="P380" s="151"/>
    </row>
    <row r="381" ht="12.0" customHeight="1">
      <c r="B381" s="1"/>
      <c r="K381" s="151"/>
      <c r="P381" s="151"/>
    </row>
    <row r="382" ht="12.0" customHeight="1">
      <c r="B382" s="1"/>
      <c r="K382" s="151"/>
      <c r="P382" s="151"/>
    </row>
    <row r="383" ht="12.0" customHeight="1">
      <c r="B383" s="1"/>
      <c r="K383" s="151"/>
      <c r="P383" s="151"/>
    </row>
    <row r="384" ht="12.0" customHeight="1">
      <c r="B384" s="1"/>
      <c r="K384" s="151"/>
      <c r="P384" s="151"/>
    </row>
    <row r="385" ht="12.0" customHeight="1">
      <c r="B385" s="1"/>
      <c r="K385" s="151"/>
      <c r="P385" s="151"/>
    </row>
    <row r="386" ht="12.0" customHeight="1">
      <c r="B386" s="1"/>
      <c r="K386" s="151"/>
      <c r="P386" s="151"/>
    </row>
    <row r="387" ht="12.0" customHeight="1">
      <c r="B387" s="1"/>
      <c r="K387" s="151"/>
      <c r="P387" s="151"/>
    </row>
    <row r="388" ht="12.0" customHeight="1">
      <c r="B388" s="1"/>
      <c r="K388" s="151"/>
      <c r="P388" s="151"/>
    </row>
    <row r="389" ht="12.0" customHeight="1">
      <c r="B389" s="1"/>
      <c r="K389" s="151"/>
      <c r="P389" s="151"/>
    </row>
    <row r="390" ht="12.0" customHeight="1">
      <c r="B390" s="1"/>
      <c r="K390" s="151"/>
      <c r="P390" s="151"/>
    </row>
    <row r="391" ht="12.0" customHeight="1">
      <c r="B391" s="1"/>
      <c r="K391" s="151"/>
      <c r="P391" s="151"/>
    </row>
    <row r="392" ht="12.0" customHeight="1">
      <c r="B392" s="1"/>
      <c r="K392" s="151"/>
      <c r="P392" s="151"/>
    </row>
    <row r="393" ht="12.0" customHeight="1">
      <c r="B393" s="1"/>
      <c r="K393" s="151"/>
      <c r="P393" s="151"/>
    </row>
    <row r="394" ht="12.0" customHeight="1">
      <c r="B394" s="1"/>
      <c r="K394" s="151"/>
      <c r="P394" s="151"/>
    </row>
    <row r="395" ht="12.0" customHeight="1">
      <c r="B395" s="1"/>
      <c r="K395" s="151"/>
      <c r="P395" s="151"/>
    </row>
    <row r="396" ht="12.0" customHeight="1">
      <c r="B396" s="1"/>
      <c r="K396" s="151"/>
      <c r="P396" s="151"/>
    </row>
    <row r="397" ht="12.0" customHeight="1">
      <c r="B397" s="1"/>
      <c r="K397" s="151"/>
      <c r="P397" s="151"/>
    </row>
    <row r="398" ht="12.0" customHeight="1">
      <c r="B398" s="1"/>
      <c r="K398" s="151"/>
      <c r="P398" s="151"/>
    </row>
    <row r="399" ht="12.0" customHeight="1">
      <c r="B399" s="1"/>
      <c r="K399" s="151"/>
      <c r="P399" s="151"/>
    </row>
    <row r="400" ht="12.0" customHeight="1">
      <c r="B400" s="1"/>
      <c r="K400" s="151"/>
      <c r="P400" s="151"/>
    </row>
    <row r="401" ht="12.0" customHeight="1">
      <c r="B401" s="1"/>
      <c r="K401" s="151"/>
      <c r="P401" s="151"/>
    </row>
    <row r="402" ht="12.0" customHeight="1">
      <c r="B402" s="1"/>
      <c r="K402" s="151"/>
      <c r="P402" s="151"/>
    </row>
    <row r="403" ht="12.0" customHeight="1">
      <c r="B403" s="1"/>
      <c r="K403" s="151"/>
      <c r="P403" s="151"/>
    </row>
    <row r="404" ht="12.0" customHeight="1">
      <c r="B404" s="1"/>
      <c r="K404" s="151"/>
      <c r="P404" s="151"/>
    </row>
    <row r="405" ht="12.0" customHeight="1">
      <c r="B405" s="1"/>
      <c r="K405" s="151"/>
      <c r="P405" s="151"/>
    </row>
    <row r="406" ht="12.0" customHeight="1">
      <c r="B406" s="1"/>
      <c r="K406" s="151"/>
      <c r="P406" s="151"/>
    </row>
    <row r="407" ht="12.0" customHeight="1">
      <c r="B407" s="1"/>
      <c r="K407" s="151"/>
      <c r="P407" s="151"/>
    </row>
    <row r="408" ht="12.0" customHeight="1">
      <c r="B408" s="1"/>
      <c r="K408" s="151"/>
      <c r="P408" s="151"/>
    </row>
    <row r="409" ht="12.0" customHeight="1">
      <c r="B409" s="1"/>
      <c r="K409" s="151"/>
      <c r="P409" s="151"/>
    </row>
    <row r="410" ht="12.0" customHeight="1">
      <c r="B410" s="1"/>
      <c r="K410" s="151"/>
      <c r="P410" s="151"/>
    </row>
    <row r="411" ht="12.0" customHeight="1">
      <c r="B411" s="1"/>
      <c r="K411" s="151"/>
      <c r="P411" s="151"/>
    </row>
    <row r="412" ht="12.0" customHeight="1">
      <c r="B412" s="1"/>
      <c r="K412" s="151"/>
      <c r="P412" s="151"/>
    </row>
    <row r="413" ht="12.0" customHeight="1">
      <c r="B413" s="1"/>
      <c r="K413" s="151"/>
      <c r="P413" s="151"/>
    </row>
    <row r="414" ht="12.0" customHeight="1">
      <c r="B414" s="1"/>
      <c r="K414" s="151"/>
      <c r="P414" s="151"/>
    </row>
    <row r="415" ht="12.0" customHeight="1">
      <c r="B415" s="1"/>
      <c r="K415" s="151"/>
      <c r="P415" s="151"/>
    </row>
    <row r="416" ht="12.0" customHeight="1">
      <c r="B416" s="1"/>
      <c r="K416" s="151"/>
      <c r="P416" s="151"/>
    </row>
    <row r="417" ht="12.0" customHeight="1">
      <c r="B417" s="1"/>
      <c r="K417" s="151"/>
      <c r="P417" s="151"/>
    </row>
    <row r="418" ht="12.0" customHeight="1">
      <c r="B418" s="1"/>
      <c r="K418" s="151"/>
      <c r="P418" s="151"/>
    </row>
    <row r="419" ht="12.0" customHeight="1">
      <c r="B419" s="1"/>
      <c r="K419" s="151"/>
      <c r="P419" s="151"/>
    </row>
    <row r="420" ht="12.0" customHeight="1">
      <c r="B420" s="1"/>
      <c r="K420" s="151"/>
      <c r="P420" s="151"/>
    </row>
    <row r="421" ht="12.0" customHeight="1">
      <c r="B421" s="1"/>
      <c r="K421" s="151"/>
      <c r="P421" s="151"/>
    </row>
    <row r="422" ht="12.0" customHeight="1">
      <c r="B422" s="1"/>
      <c r="K422" s="151"/>
      <c r="P422" s="151"/>
    </row>
    <row r="423" ht="12.0" customHeight="1">
      <c r="B423" s="1"/>
      <c r="K423" s="151"/>
      <c r="P423" s="151"/>
    </row>
    <row r="424" ht="12.0" customHeight="1">
      <c r="B424" s="1"/>
      <c r="K424" s="151"/>
      <c r="P424" s="151"/>
    </row>
    <row r="425" ht="12.0" customHeight="1">
      <c r="B425" s="1"/>
      <c r="K425" s="151"/>
      <c r="P425" s="151"/>
    </row>
    <row r="426" ht="12.0" customHeight="1">
      <c r="B426" s="1"/>
      <c r="K426" s="151"/>
      <c r="P426" s="151"/>
    </row>
    <row r="427" ht="12.0" customHeight="1">
      <c r="B427" s="1"/>
      <c r="K427" s="151"/>
      <c r="P427" s="151"/>
    </row>
    <row r="428" ht="12.0" customHeight="1">
      <c r="B428" s="1"/>
      <c r="K428" s="151"/>
      <c r="P428" s="151"/>
    </row>
    <row r="429" ht="12.0" customHeight="1">
      <c r="B429" s="1"/>
      <c r="K429" s="151"/>
      <c r="P429" s="151"/>
    </row>
    <row r="430" ht="12.0" customHeight="1">
      <c r="B430" s="1"/>
      <c r="K430" s="151"/>
      <c r="P430" s="151"/>
    </row>
    <row r="431" ht="12.0" customHeight="1">
      <c r="B431" s="1"/>
      <c r="K431" s="151"/>
      <c r="P431" s="151"/>
    </row>
    <row r="432" ht="12.0" customHeight="1">
      <c r="B432" s="1"/>
      <c r="K432" s="151"/>
      <c r="P432" s="151"/>
    </row>
    <row r="433" ht="12.0" customHeight="1">
      <c r="B433" s="1"/>
      <c r="K433" s="151"/>
      <c r="P433" s="151"/>
    </row>
    <row r="434" ht="12.0" customHeight="1">
      <c r="B434" s="1"/>
      <c r="K434" s="151"/>
      <c r="P434" s="151"/>
    </row>
    <row r="435" ht="12.0" customHeight="1">
      <c r="B435" s="1"/>
      <c r="K435" s="151"/>
      <c r="P435" s="151"/>
    </row>
    <row r="436" ht="12.0" customHeight="1">
      <c r="B436" s="1"/>
      <c r="K436" s="151"/>
      <c r="P436" s="151"/>
    </row>
    <row r="437" ht="12.0" customHeight="1">
      <c r="B437" s="1"/>
      <c r="K437" s="151"/>
      <c r="P437" s="151"/>
    </row>
    <row r="438" ht="12.0" customHeight="1">
      <c r="B438" s="1"/>
      <c r="K438" s="151"/>
      <c r="P438" s="151"/>
    </row>
    <row r="439" ht="12.0" customHeight="1">
      <c r="B439" s="1"/>
      <c r="K439" s="151"/>
      <c r="P439" s="151"/>
    </row>
    <row r="440" ht="12.0" customHeight="1">
      <c r="B440" s="1"/>
      <c r="K440" s="151"/>
      <c r="P440" s="151"/>
    </row>
    <row r="441" ht="12.0" customHeight="1">
      <c r="B441" s="1"/>
      <c r="K441" s="151"/>
      <c r="P441" s="151"/>
    </row>
    <row r="442" ht="12.0" customHeight="1">
      <c r="B442" s="1"/>
      <c r="K442" s="151"/>
      <c r="P442" s="151"/>
    </row>
    <row r="443" ht="12.0" customHeight="1">
      <c r="B443" s="1"/>
      <c r="K443" s="151"/>
      <c r="P443" s="151"/>
    </row>
    <row r="444" ht="12.0" customHeight="1">
      <c r="B444" s="1"/>
      <c r="K444" s="151"/>
      <c r="P444" s="151"/>
    </row>
    <row r="445" ht="12.0" customHeight="1">
      <c r="B445" s="1"/>
      <c r="K445" s="151"/>
      <c r="P445" s="151"/>
    </row>
    <row r="446" ht="12.0" customHeight="1">
      <c r="B446" s="1"/>
      <c r="K446" s="151"/>
      <c r="P446" s="151"/>
    </row>
    <row r="447" ht="12.0" customHeight="1">
      <c r="B447" s="1"/>
      <c r="K447" s="151"/>
      <c r="P447" s="151"/>
    </row>
    <row r="448" ht="12.0" customHeight="1">
      <c r="B448" s="1"/>
      <c r="K448" s="151"/>
      <c r="P448" s="151"/>
    </row>
    <row r="449" ht="12.0" customHeight="1">
      <c r="B449" s="1"/>
      <c r="K449" s="151"/>
      <c r="P449" s="151"/>
    </row>
    <row r="450" ht="12.0" customHeight="1">
      <c r="B450" s="1"/>
      <c r="K450" s="151"/>
      <c r="P450" s="151"/>
    </row>
    <row r="451" ht="12.0" customHeight="1">
      <c r="B451" s="1"/>
      <c r="K451" s="151"/>
      <c r="P451" s="151"/>
    </row>
    <row r="452" ht="12.0" customHeight="1">
      <c r="B452" s="1"/>
      <c r="K452" s="151"/>
      <c r="P452" s="151"/>
    </row>
    <row r="453" ht="12.0" customHeight="1">
      <c r="B453" s="1"/>
      <c r="K453" s="151"/>
      <c r="P453" s="151"/>
    </row>
    <row r="454" ht="12.0" customHeight="1">
      <c r="B454" s="1"/>
      <c r="K454" s="151"/>
      <c r="P454" s="151"/>
    </row>
    <row r="455" ht="12.0" customHeight="1">
      <c r="B455" s="1"/>
      <c r="K455" s="151"/>
      <c r="P455" s="151"/>
    </row>
    <row r="456" ht="12.0" customHeight="1">
      <c r="B456" s="1"/>
      <c r="K456" s="151"/>
      <c r="P456" s="151"/>
    </row>
    <row r="457" ht="12.0" customHeight="1">
      <c r="B457" s="1"/>
      <c r="K457" s="151"/>
      <c r="P457" s="151"/>
    </row>
    <row r="458" ht="12.0" customHeight="1">
      <c r="B458" s="1"/>
      <c r="K458" s="151"/>
      <c r="P458" s="151"/>
    </row>
    <row r="459" ht="12.0" customHeight="1">
      <c r="B459" s="1"/>
      <c r="K459" s="151"/>
      <c r="P459" s="151"/>
    </row>
    <row r="460" ht="12.0" customHeight="1">
      <c r="B460" s="1"/>
      <c r="K460" s="151"/>
      <c r="P460" s="151"/>
    </row>
    <row r="461" ht="12.0" customHeight="1">
      <c r="B461" s="1"/>
      <c r="K461" s="151"/>
      <c r="P461" s="151"/>
    </row>
    <row r="462" ht="12.0" customHeight="1">
      <c r="B462" s="1"/>
      <c r="K462" s="151"/>
      <c r="P462" s="151"/>
    </row>
    <row r="463" ht="12.0" customHeight="1">
      <c r="B463" s="1"/>
      <c r="K463" s="151"/>
      <c r="P463" s="151"/>
    </row>
    <row r="464" ht="12.0" customHeight="1">
      <c r="B464" s="1"/>
      <c r="K464" s="151"/>
      <c r="P464" s="151"/>
    </row>
    <row r="465" ht="12.0" customHeight="1">
      <c r="B465" s="1"/>
      <c r="K465" s="151"/>
      <c r="P465" s="151"/>
    </row>
    <row r="466" ht="12.0" customHeight="1">
      <c r="B466" s="1"/>
      <c r="K466" s="151"/>
      <c r="P466" s="151"/>
    </row>
    <row r="467" ht="12.0" customHeight="1">
      <c r="B467" s="1"/>
      <c r="K467" s="151"/>
      <c r="P467" s="151"/>
    </row>
    <row r="468" ht="12.0" customHeight="1">
      <c r="B468" s="1"/>
      <c r="K468" s="151"/>
      <c r="P468" s="151"/>
    </row>
    <row r="469" ht="12.0" customHeight="1">
      <c r="B469" s="1"/>
      <c r="K469" s="151"/>
      <c r="P469" s="151"/>
    </row>
    <row r="470" ht="12.0" customHeight="1">
      <c r="B470" s="1"/>
      <c r="K470" s="151"/>
      <c r="P470" s="151"/>
    </row>
    <row r="471" ht="12.0" customHeight="1">
      <c r="B471" s="1"/>
      <c r="K471" s="151"/>
      <c r="P471" s="151"/>
    </row>
    <row r="472" ht="12.0" customHeight="1">
      <c r="B472" s="1"/>
      <c r="K472" s="151"/>
      <c r="P472" s="151"/>
    </row>
    <row r="473" ht="12.0" customHeight="1">
      <c r="B473" s="1"/>
      <c r="K473" s="151"/>
      <c r="P473" s="151"/>
    </row>
    <row r="474" ht="12.0" customHeight="1">
      <c r="B474" s="1"/>
      <c r="K474" s="151"/>
      <c r="P474" s="151"/>
    </row>
    <row r="475" ht="12.0" customHeight="1">
      <c r="B475" s="1"/>
      <c r="K475" s="151"/>
      <c r="P475" s="151"/>
    </row>
    <row r="476" ht="12.0" customHeight="1">
      <c r="B476" s="1"/>
      <c r="K476" s="151"/>
      <c r="P476" s="151"/>
    </row>
    <row r="477" ht="12.0" customHeight="1">
      <c r="B477" s="1"/>
      <c r="K477" s="151"/>
      <c r="P477" s="151"/>
    </row>
    <row r="478" ht="12.0" customHeight="1">
      <c r="B478" s="1"/>
      <c r="K478" s="151"/>
      <c r="P478" s="151"/>
    </row>
    <row r="479" ht="12.0" customHeight="1">
      <c r="B479" s="1"/>
      <c r="K479" s="151"/>
      <c r="P479" s="151"/>
    </row>
    <row r="480" ht="12.0" customHeight="1">
      <c r="B480" s="1"/>
      <c r="K480" s="151"/>
      <c r="P480" s="151"/>
    </row>
    <row r="481" ht="12.0" customHeight="1">
      <c r="B481" s="1"/>
      <c r="K481" s="151"/>
      <c r="P481" s="151"/>
    </row>
    <row r="482" ht="12.0" customHeight="1">
      <c r="B482" s="1"/>
      <c r="K482" s="151"/>
      <c r="P482" s="151"/>
    </row>
    <row r="483" ht="12.0" customHeight="1">
      <c r="B483" s="1"/>
      <c r="K483" s="151"/>
      <c r="P483" s="151"/>
    </row>
    <row r="484" ht="12.0" customHeight="1">
      <c r="B484" s="1"/>
      <c r="K484" s="151"/>
      <c r="P484" s="151"/>
    </row>
    <row r="485" ht="12.0" customHeight="1">
      <c r="B485" s="1"/>
      <c r="K485" s="151"/>
      <c r="P485" s="151"/>
    </row>
    <row r="486" ht="12.0" customHeight="1">
      <c r="B486" s="1"/>
      <c r="K486" s="151"/>
      <c r="P486" s="151"/>
    </row>
    <row r="487" ht="12.0" customHeight="1">
      <c r="B487" s="1"/>
      <c r="K487" s="151"/>
      <c r="P487" s="151"/>
    </row>
    <row r="488" ht="12.0" customHeight="1">
      <c r="B488" s="1"/>
      <c r="K488" s="151"/>
      <c r="P488" s="151"/>
    </row>
    <row r="489" ht="12.0" customHeight="1">
      <c r="B489" s="1"/>
      <c r="K489" s="151"/>
      <c r="P489" s="151"/>
    </row>
    <row r="490" ht="12.0" customHeight="1">
      <c r="B490" s="1"/>
      <c r="K490" s="151"/>
      <c r="P490" s="151"/>
    </row>
    <row r="491" ht="12.0" customHeight="1">
      <c r="B491" s="1"/>
      <c r="K491" s="151"/>
      <c r="P491" s="151"/>
    </row>
    <row r="492" ht="12.0" customHeight="1">
      <c r="B492" s="1"/>
      <c r="K492" s="151"/>
      <c r="P492" s="151"/>
    </row>
    <row r="493" ht="12.0" customHeight="1">
      <c r="B493" s="1"/>
      <c r="K493" s="151"/>
      <c r="P493" s="151"/>
    </row>
    <row r="494" ht="12.0" customHeight="1">
      <c r="B494" s="1"/>
      <c r="K494" s="151"/>
      <c r="P494" s="151"/>
    </row>
    <row r="495" ht="12.0" customHeight="1">
      <c r="B495" s="1"/>
      <c r="K495" s="151"/>
      <c r="P495" s="151"/>
    </row>
    <row r="496" ht="12.0" customHeight="1">
      <c r="B496" s="1"/>
      <c r="K496" s="151"/>
      <c r="P496" s="151"/>
    </row>
    <row r="497" ht="12.0" customHeight="1">
      <c r="B497" s="1"/>
      <c r="K497" s="151"/>
      <c r="P497" s="151"/>
    </row>
    <row r="498" ht="12.0" customHeight="1">
      <c r="B498" s="1"/>
      <c r="K498" s="151"/>
      <c r="P498" s="151"/>
    </row>
    <row r="499" ht="12.0" customHeight="1">
      <c r="B499" s="1"/>
      <c r="K499" s="151"/>
      <c r="P499" s="151"/>
    </row>
    <row r="500" ht="12.0" customHeight="1">
      <c r="B500" s="1"/>
      <c r="K500" s="151"/>
      <c r="P500" s="151"/>
    </row>
    <row r="501" ht="12.0" customHeight="1">
      <c r="B501" s="1"/>
      <c r="K501" s="151"/>
      <c r="P501" s="151"/>
    </row>
    <row r="502" ht="12.0" customHeight="1">
      <c r="B502" s="1"/>
      <c r="K502" s="151"/>
      <c r="P502" s="151"/>
    </row>
    <row r="503" ht="12.0" customHeight="1">
      <c r="B503" s="1"/>
      <c r="K503" s="151"/>
      <c r="P503" s="151"/>
    </row>
    <row r="504" ht="12.0" customHeight="1">
      <c r="B504" s="1"/>
      <c r="K504" s="151"/>
      <c r="P504" s="151"/>
    </row>
    <row r="505" ht="12.0" customHeight="1">
      <c r="B505" s="1"/>
      <c r="K505" s="151"/>
      <c r="P505" s="151"/>
    </row>
    <row r="506" ht="12.0" customHeight="1">
      <c r="B506" s="1"/>
      <c r="K506" s="151"/>
      <c r="P506" s="151"/>
    </row>
    <row r="507" ht="12.0" customHeight="1">
      <c r="B507" s="1"/>
      <c r="K507" s="151"/>
      <c r="P507" s="151"/>
    </row>
    <row r="508" ht="12.0" customHeight="1">
      <c r="B508" s="1"/>
      <c r="K508" s="151"/>
      <c r="P508" s="151"/>
    </row>
    <row r="509" ht="12.0" customHeight="1">
      <c r="B509" s="1"/>
      <c r="K509" s="151"/>
      <c r="P509" s="151"/>
    </row>
    <row r="510" ht="12.0" customHeight="1">
      <c r="B510" s="1"/>
      <c r="K510" s="151"/>
      <c r="P510" s="151"/>
    </row>
    <row r="511" ht="12.0" customHeight="1">
      <c r="B511" s="1"/>
      <c r="K511" s="151"/>
      <c r="P511" s="151"/>
    </row>
    <row r="512" ht="12.0" customHeight="1">
      <c r="B512" s="1"/>
      <c r="K512" s="151"/>
      <c r="P512" s="151"/>
    </row>
    <row r="513" ht="12.0" customHeight="1">
      <c r="B513" s="1"/>
      <c r="K513" s="151"/>
      <c r="P513" s="151"/>
    </row>
    <row r="514" ht="12.0" customHeight="1">
      <c r="B514" s="1"/>
      <c r="K514" s="151"/>
      <c r="P514" s="151"/>
    </row>
    <row r="515" ht="12.0" customHeight="1">
      <c r="B515" s="1"/>
      <c r="K515" s="151"/>
      <c r="P515" s="151"/>
    </row>
    <row r="516" ht="12.0" customHeight="1">
      <c r="B516" s="1"/>
      <c r="K516" s="151"/>
      <c r="P516" s="151"/>
    </row>
    <row r="517" ht="12.0" customHeight="1">
      <c r="B517" s="1"/>
      <c r="K517" s="151"/>
      <c r="P517" s="151"/>
    </row>
    <row r="518" ht="12.0" customHeight="1">
      <c r="B518" s="1"/>
      <c r="K518" s="151"/>
      <c r="P518" s="151"/>
    </row>
    <row r="519" ht="12.0" customHeight="1">
      <c r="B519" s="1"/>
      <c r="K519" s="151"/>
      <c r="P519" s="151"/>
    </row>
    <row r="520" ht="12.0" customHeight="1">
      <c r="B520" s="1"/>
      <c r="K520" s="151"/>
      <c r="P520" s="151"/>
    </row>
    <row r="521" ht="12.0" customHeight="1">
      <c r="B521" s="1"/>
      <c r="K521" s="151"/>
      <c r="P521" s="151"/>
    </row>
    <row r="522" ht="12.0" customHeight="1">
      <c r="B522" s="1"/>
      <c r="K522" s="151"/>
      <c r="P522" s="151"/>
    </row>
    <row r="523" ht="12.0" customHeight="1">
      <c r="B523" s="1"/>
      <c r="K523" s="151"/>
      <c r="P523" s="151"/>
    </row>
    <row r="524" ht="12.0" customHeight="1">
      <c r="B524" s="1"/>
      <c r="K524" s="151"/>
      <c r="P524" s="151"/>
    </row>
    <row r="525" ht="12.0" customHeight="1">
      <c r="B525" s="1"/>
      <c r="K525" s="151"/>
      <c r="P525" s="151"/>
    </row>
    <row r="526" ht="12.0" customHeight="1">
      <c r="B526" s="1"/>
      <c r="K526" s="151"/>
      <c r="P526" s="151"/>
    </row>
    <row r="527" ht="12.0" customHeight="1">
      <c r="B527" s="1"/>
      <c r="K527" s="151"/>
      <c r="P527" s="151"/>
    </row>
    <row r="528" ht="12.0" customHeight="1">
      <c r="B528" s="1"/>
      <c r="K528" s="151"/>
      <c r="P528" s="151"/>
    </row>
    <row r="529" ht="12.0" customHeight="1">
      <c r="B529" s="1"/>
      <c r="K529" s="151"/>
      <c r="P529" s="151"/>
    </row>
    <row r="530" ht="12.0" customHeight="1">
      <c r="B530" s="1"/>
      <c r="K530" s="151"/>
      <c r="P530" s="151"/>
    </row>
    <row r="531" ht="12.0" customHeight="1">
      <c r="B531" s="1"/>
      <c r="K531" s="151"/>
      <c r="P531" s="151"/>
    </row>
    <row r="532" ht="12.0" customHeight="1">
      <c r="B532" s="1"/>
      <c r="K532" s="151"/>
      <c r="P532" s="151"/>
    </row>
    <row r="533" ht="12.0" customHeight="1">
      <c r="B533" s="1"/>
      <c r="K533" s="151"/>
      <c r="P533" s="151"/>
    </row>
    <row r="534" ht="12.0" customHeight="1">
      <c r="B534" s="1"/>
      <c r="K534" s="151"/>
      <c r="P534" s="151"/>
    </row>
    <row r="535" ht="12.0" customHeight="1">
      <c r="B535" s="1"/>
      <c r="K535" s="151"/>
      <c r="P535" s="151"/>
    </row>
    <row r="536" ht="12.0" customHeight="1">
      <c r="B536" s="1"/>
      <c r="K536" s="151"/>
      <c r="P536" s="151"/>
    </row>
    <row r="537" ht="12.0" customHeight="1">
      <c r="B537" s="1"/>
      <c r="K537" s="151"/>
      <c r="P537" s="151"/>
    </row>
    <row r="538" ht="12.0" customHeight="1">
      <c r="B538" s="1"/>
      <c r="K538" s="151"/>
      <c r="P538" s="151"/>
    </row>
    <row r="539" ht="12.0" customHeight="1">
      <c r="B539" s="1"/>
      <c r="K539" s="151"/>
      <c r="P539" s="151"/>
    </row>
    <row r="540" ht="12.0" customHeight="1">
      <c r="B540" s="1"/>
      <c r="K540" s="151"/>
      <c r="P540" s="151"/>
    </row>
    <row r="541" ht="12.0" customHeight="1">
      <c r="B541" s="1"/>
      <c r="K541" s="151"/>
      <c r="P541" s="151"/>
    </row>
    <row r="542" ht="12.0" customHeight="1">
      <c r="B542" s="1"/>
      <c r="K542" s="151"/>
      <c r="P542" s="151"/>
    </row>
    <row r="543" ht="12.0" customHeight="1">
      <c r="B543" s="1"/>
      <c r="K543" s="151"/>
      <c r="P543" s="151"/>
    </row>
    <row r="544" ht="12.0" customHeight="1">
      <c r="B544" s="1"/>
      <c r="K544" s="151"/>
      <c r="P544" s="151"/>
    </row>
    <row r="545" ht="12.0" customHeight="1">
      <c r="B545" s="1"/>
      <c r="K545" s="151"/>
      <c r="P545" s="151"/>
    </row>
    <row r="546" ht="12.0" customHeight="1">
      <c r="B546" s="1"/>
      <c r="K546" s="151"/>
      <c r="P546" s="151"/>
    </row>
    <row r="547" ht="12.0" customHeight="1">
      <c r="B547" s="1"/>
      <c r="K547" s="151"/>
      <c r="P547" s="151"/>
    </row>
    <row r="548" ht="12.0" customHeight="1">
      <c r="B548" s="1"/>
      <c r="K548" s="151"/>
      <c r="P548" s="151"/>
    </row>
    <row r="549" ht="12.0" customHeight="1">
      <c r="B549" s="1"/>
      <c r="K549" s="151"/>
      <c r="P549" s="151"/>
    </row>
    <row r="550" ht="12.0" customHeight="1">
      <c r="B550" s="1"/>
      <c r="K550" s="151"/>
      <c r="P550" s="151"/>
    </row>
    <row r="551" ht="12.0" customHeight="1">
      <c r="B551" s="1"/>
      <c r="K551" s="151"/>
      <c r="P551" s="151"/>
    </row>
    <row r="552" ht="12.0" customHeight="1">
      <c r="B552" s="1"/>
      <c r="K552" s="151"/>
      <c r="P552" s="151"/>
    </row>
    <row r="553" ht="12.0" customHeight="1">
      <c r="B553" s="1"/>
      <c r="K553" s="151"/>
      <c r="P553" s="151"/>
    </row>
    <row r="554" ht="12.0" customHeight="1">
      <c r="B554" s="1"/>
      <c r="K554" s="151"/>
      <c r="P554" s="151"/>
    </row>
    <row r="555" ht="12.0" customHeight="1">
      <c r="B555" s="1"/>
      <c r="K555" s="151"/>
      <c r="P555" s="151"/>
    </row>
    <row r="556" ht="12.0" customHeight="1">
      <c r="B556" s="1"/>
      <c r="K556" s="151"/>
      <c r="P556" s="151"/>
    </row>
    <row r="557" ht="12.0" customHeight="1">
      <c r="B557" s="1"/>
      <c r="K557" s="151"/>
      <c r="P557" s="151"/>
    </row>
    <row r="558" ht="12.0" customHeight="1">
      <c r="B558" s="1"/>
      <c r="K558" s="151"/>
      <c r="P558" s="151"/>
    </row>
    <row r="559" ht="12.0" customHeight="1">
      <c r="B559" s="1"/>
      <c r="K559" s="151"/>
      <c r="P559" s="151"/>
    </row>
    <row r="560" ht="12.0" customHeight="1">
      <c r="B560" s="1"/>
      <c r="K560" s="151"/>
      <c r="P560" s="151"/>
    </row>
    <row r="561" ht="12.0" customHeight="1">
      <c r="B561" s="1"/>
      <c r="K561" s="151"/>
      <c r="P561" s="151"/>
    </row>
    <row r="562" ht="12.0" customHeight="1">
      <c r="B562" s="1"/>
      <c r="K562" s="151"/>
      <c r="P562" s="151"/>
    </row>
    <row r="563" ht="12.0" customHeight="1">
      <c r="B563" s="1"/>
      <c r="K563" s="151"/>
      <c r="P563" s="151"/>
    </row>
    <row r="564" ht="12.0" customHeight="1">
      <c r="B564" s="1"/>
      <c r="K564" s="151"/>
      <c r="P564" s="151"/>
    </row>
    <row r="565" ht="12.0" customHeight="1">
      <c r="B565" s="1"/>
      <c r="K565" s="151"/>
      <c r="P565" s="151"/>
    </row>
    <row r="566" ht="12.0" customHeight="1">
      <c r="B566" s="1"/>
      <c r="K566" s="151"/>
      <c r="P566" s="151"/>
    </row>
    <row r="567" ht="12.0" customHeight="1">
      <c r="B567" s="1"/>
      <c r="K567" s="151"/>
      <c r="P567" s="151"/>
    </row>
    <row r="568" ht="12.0" customHeight="1">
      <c r="B568" s="1"/>
      <c r="K568" s="151"/>
      <c r="P568" s="151"/>
    </row>
    <row r="569" ht="12.0" customHeight="1">
      <c r="B569" s="1"/>
      <c r="K569" s="151"/>
      <c r="P569" s="151"/>
    </row>
    <row r="570" ht="12.0" customHeight="1">
      <c r="B570" s="1"/>
      <c r="K570" s="151"/>
      <c r="P570" s="151"/>
    </row>
    <row r="571" ht="12.0" customHeight="1">
      <c r="B571" s="1"/>
      <c r="K571" s="151"/>
      <c r="P571" s="151"/>
    </row>
    <row r="572" ht="12.0" customHeight="1">
      <c r="B572" s="1"/>
      <c r="K572" s="151"/>
      <c r="P572" s="151"/>
    </row>
    <row r="573" ht="12.0" customHeight="1">
      <c r="B573" s="1"/>
      <c r="K573" s="151"/>
      <c r="P573" s="151"/>
    </row>
    <row r="574" ht="12.0" customHeight="1">
      <c r="B574" s="1"/>
      <c r="K574" s="151"/>
      <c r="P574" s="151"/>
    </row>
    <row r="575" ht="12.0" customHeight="1">
      <c r="B575" s="1"/>
      <c r="K575" s="151"/>
      <c r="P575" s="151"/>
    </row>
    <row r="576" ht="12.0" customHeight="1">
      <c r="B576" s="1"/>
      <c r="K576" s="151"/>
      <c r="P576" s="151"/>
    </row>
    <row r="577" ht="12.0" customHeight="1">
      <c r="B577" s="1"/>
      <c r="K577" s="151"/>
      <c r="P577" s="151"/>
    </row>
    <row r="578" ht="12.0" customHeight="1">
      <c r="B578" s="1"/>
      <c r="K578" s="151"/>
      <c r="P578" s="151"/>
    </row>
    <row r="579" ht="12.0" customHeight="1">
      <c r="B579" s="1"/>
      <c r="K579" s="151"/>
      <c r="P579" s="151"/>
    </row>
    <row r="580" ht="12.0" customHeight="1">
      <c r="B580" s="1"/>
      <c r="K580" s="151"/>
      <c r="P580" s="151"/>
    </row>
    <row r="581" ht="12.0" customHeight="1">
      <c r="B581" s="1"/>
      <c r="K581" s="151"/>
      <c r="P581" s="151"/>
    </row>
    <row r="582" ht="12.0" customHeight="1">
      <c r="B582" s="1"/>
      <c r="K582" s="151"/>
      <c r="P582" s="151"/>
    </row>
    <row r="583" ht="12.0" customHeight="1">
      <c r="B583" s="1"/>
      <c r="K583" s="151"/>
      <c r="P583" s="151"/>
    </row>
    <row r="584" ht="12.0" customHeight="1">
      <c r="B584" s="1"/>
      <c r="K584" s="151"/>
      <c r="P584" s="151"/>
    </row>
    <row r="585" ht="12.0" customHeight="1">
      <c r="B585" s="1"/>
      <c r="K585" s="151"/>
      <c r="P585" s="151"/>
    </row>
    <row r="586" ht="12.0" customHeight="1">
      <c r="B586" s="1"/>
      <c r="K586" s="151"/>
      <c r="P586" s="151"/>
    </row>
    <row r="587" ht="12.0" customHeight="1">
      <c r="B587" s="1"/>
      <c r="K587" s="151"/>
      <c r="P587" s="151"/>
    </row>
    <row r="588" ht="12.0" customHeight="1">
      <c r="B588" s="1"/>
      <c r="K588" s="151"/>
      <c r="P588" s="151"/>
    </row>
    <row r="589" ht="12.0" customHeight="1">
      <c r="B589" s="1"/>
      <c r="K589" s="151"/>
      <c r="P589" s="151"/>
    </row>
    <row r="590" ht="12.0" customHeight="1">
      <c r="B590" s="1"/>
      <c r="K590" s="151"/>
      <c r="P590" s="151"/>
    </row>
    <row r="591" ht="12.0" customHeight="1">
      <c r="B591" s="1"/>
      <c r="K591" s="151"/>
      <c r="P591" s="151"/>
    </row>
    <row r="592" ht="12.0" customHeight="1">
      <c r="B592" s="1"/>
      <c r="K592" s="151"/>
      <c r="P592" s="151"/>
    </row>
    <row r="593" ht="12.0" customHeight="1">
      <c r="B593" s="1"/>
      <c r="K593" s="151"/>
      <c r="P593" s="151"/>
    </row>
    <row r="594" ht="12.0" customHeight="1">
      <c r="B594" s="1"/>
      <c r="K594" s="151"/>
      <c r="P594" s="151"/>
    </row>
    <row r="595" ht="12.0" customHeight="1">
      <c r="B595" s="1"/>
      <c r="K595" s="151"/>
      <c r="P595" s="151"/>
    </row>
    <row r="596" ht="12.0" customHeight="1">
      <c r="B596" s="1"/>
      <c r="K596" s="151"/>
      <c r="P596" s="151"/>
    </row>
    <row r="597" ht="12.0" customHeight="1">
      <c r="B597" s="1"/>
      <c r="K597" s="151"/>
      <c r="P597" s="151"/>
    </row>
    <row r="598" ht="12.0" customHeight="1">
      <c r="B598" s="1"/>
      <c r="K598" s="151"/>
      <c r="P598" s="151"/>
    </row>
    <row r="599" ht="12.0" customHeight="1">
      <c r="B599" s="1"/>
      <c r="K599" s="151"/>
      <c r="P599" s="151"/>
    </row>
    <row r="600" ht="12.0" customHeight="1">
      <c r="B600" s="1"/>
      <c r="K600" s="151"/>
      <c r="P600" s="151"/>
    </row>
    <row r="601" ht="12.0" customHeight="1">
      <c r="B601" s="1"/>
      <c r="K601" s="151"/>
      <c r="P601" s="151"/>
    </row>
    <row r="602" ht="12.0" customHeight="1">
      <c r="B602" s="1"/>
      <c r="K602" s="151"/>
      <c r="P602" s="151"/>
    </row>
    <row r="603" ht="12.0" customHeight="1">
      <c r="B603" s="1"/>
      <c r="K603" s="151"/>
      <c r="P603" s="151"/>
    </row>
    <row r="604" ht="12.0" customHeight="1">
      <c r="B604" s="1"/>
      <c r="K604" s="151"/>
      <c r="P604" s="151"/>
    </row>
    <row r="605" ht="12.0" customHeight="1">
      <c r="B605" s="1"/>
      <c r="K605" s="151"/>
      <c r="P605" s="151"/>
    </row>
    <row r="606" ht="12.0" customHeight="1">
      <c r="B606" s="1"/>
      <c r="K606" s="151"/>
      <c r="P606" s="151"/>
    </row>
    <row r="607" ht="12.0" customHeight="1">
      <c r="B607" s="1"/>
      <c r="K607" s="151"/>
      <c r="P607" s="151"/>
    </row>
    <row r="608" ht="12.0" customHeight="1">
      <c r="B608" s="1"/>
      <c r="K608" s="151"/>
      <c r="P608" s="151"/>
    </row>
    <row r="609" ht="12.0" customHeight="1">
      <c r="B609" s="1"/>
      <c r="K609" s="151"/>
      <c r="P609" s="151"/>
    </row>
    <row r="610" ht="12.0" customHeight="1">
      <c r="B610" s="1"/>
      <c r="K610" s="151"/>
      <c r="P610" s="151"/>
    </row>
    <row r="611" ht="12.0" customHeight="1">
      <c r="B611" s="1"/>
      <c r="K611" s="151"/>
      <c r="P611" s="151"/>
    </row>
    <row r="612" ht="12.0" customHeight="1">
      <c r="B612" s="1"/>
      <c r="K612" s="151"/>
      <c r="P612" s="151"/>
    </row>
    <row r="613" ht="12.0" customHeight="1">
      <c r="B613" s="1"/>
      <c r="K613" s="151"/>
      <c r="P613" s="151"/>
    </row>
    <row r="614" ht="12.0" customHeight="1">
      <c r="B614" s="1"/>
      <c r="K614" s="151"/>
      <c r="P614" s="151"/>
    </row>
    <row r="615" ht="12.0" customHeight="1">
      <c r="B615" s="1"/>
      <c r="K615" s="151"/>
      <c r="P615" s="151"/>
    </row>
    <row r="616" ht="12.0" customHeight="1">
      <c r="B616" s="1"/>
      <c r="K616" s="151"/>
      <c r="P616" s="151"/>
    </row>
    <row r="617" ht="12.0" customHeight="1">
      <c r="B617" s="1"/>
      <c r="K617" s="151"/>
      <c r="P617" s="151"/>
    </row>
    <row r="618" ht="12.0" customHeight="1">
      <c r="B618" s="1"/>
      <c r="K618" s="151"/>
      <c r="P618" s="151"/>
    </row>
    <row r="619" ht="12.0" customHeight="1">
      <c r="B619" s="1"/>
      <c r="K619" s="151"/>
      <c r="P619" s="151"/>
    </row>
    <row r="620" ht="12.0" customHeight="1">
      <c r="B620" s="1"/>
      <c r="K620" s="151"/>
      <c r="P620" s="151"/>
    </row>
    <row r="621" ht="12.0" customHeight="1">
      <c r="B621" s="1"/>
      <c r="K621" s="151"/>
      <c r="P621" s="151"/>
    </row>
    <row r="622" ht="12.0" customHeight="1">
      <c r="B622" s="1"/>
      <c r="K622" s="151"/>
      <c r="P622" s="151"/>
    </row>
    <row r="623" ht="12.0" customHeight="1">
      <c r="B623" s="1"/>
      <c r="K623" s="151"/>
      <c r="P623" s="151"/>
    </row>
    <row r="624" ht="12.0" customHeight="1">
      <c r="B624" s="1"/>
      <c r="K624" s="151"/>
      <c r="P624" s="151"/>
    </row>
    <row r="625" ht="12.0" customHeight="1">
      <c r="B625" s="1"/>
      <c r="K625" s="151"/>
      <c r="P625" s="151"/>
    </row>
    <row r="626" ht="12.0" customHeight="1">
      <c r="B626" s="1"/>
      <c r="K626" s="151"/>
      <c r="P626" s="151"/>
    </row>
    <row r="627" ht="12.0" customHeight="1">
      <c r="B627" s="1"/>
      <c r="K627" s="151"/>
      <c r="P627" s="151"/>
    </row>
    <row r="628" ht="12.0" customHeight="1">
      <c r="B628" s="1"/>
      <c r="K628" s="151"/>
      <c r="P628" s="151"/>
    </row>
    <row r="629" ht="12.0" customHeight="1">
      <c r="B629" s="1"/>
      <c r="K629" s="151"/>
      <c r="P629" s="151"/>
    </row>
    <row r="630" ht="12.0" customHeight="1">
      <c r="B630" s="1"/>
      <c r="K630" s="151"/>
      <c r="P630" s="151"/>
    </row>
    <row r="631" ht="12.0" customHeight="1">
      <c r="B631" s="1"/>
      <c r="K631" s="151"/>
      <c r="P631" s="151"/>
    </row>
    <row r="632" ht="12.0" customHeight="1">
      <c r="B632" s="1"/>
      <c r="K632" s="151"/>
      <c r="P632" s="151"/>
    </row>
    <row r="633" ht="12.0" customHeight="1">
      <c r="B633" s="1"/>
      <c r="K633" s="151"/>
      <c r="P633" s="151"/>
    </row>
    <row r="634" ht="12.0" customHeight="1">
      <c r="B634" s="1"/>
      <c r="K634" s="151"/>
      <c r="P634" s="151"/>
    </row>
    <row r="635" ht="12.0" customHeight="1">
      <c r="B635" s="1"/>
      <c r="K635" s="151"/>
      <c r="P635" s="151"/>
    </row>
    <row r="636" ht="12.0" customHeight="1">
      <c r="B636" s="1"/>
      <c r="K636" s="151"/>
      <c r="P636" s="151"/>
    </row>
    <row r="637" ht="12.0" customHeight="1">
      <c r="B637" s="1"/>
      <c r="K637" s="151"/>
      <c r="P637" s="151"/>
    </row>
    <row r="638" ht="12.0" customHeight="1">
      <c r="B638" s="1"/>
      <c r="K638" s="151"/>
      <c r="P638" s="151"/>
    </row>
    <row r="639" ht="12.0" customHeight="1">
      <c r="B639" s="1"/>
      <c r="K639" s="151"/>
      <c r="P639" s="151"/>
    </row>
    <row r="640" ht="12.0" customHeight="1">
      <c r="B640" s="1"/>
      <c r="K640" s="151"/>
      <c r="P640" s="151"/>
    </row>
    <row r="641" ht="12.0" customHeight="1">
      <c r="B641" s="1"/>
      <c r="K641" s="151"/>
      <c r="P641" s="151"/>
    </row>
    <row r="642" ht="12.0" customHeight="1">
      <c r="B642" s="1"/>
      <c r="K642" s="151"/>
      <c r="P642" s="151"/>
    </row>
    <row r="643" ht="12.0" customHeight="1">
      <c r="B643" s="1"/>
      <c r="K643" s="151"/>
      <c r="P643" s="151"/>
    </row>
    <row r="644" ht="12.0" customHeight="1">
      <c r="B644" s="1"/>
      <c r="K644" s="151"/>
      <c r="P644" s="151"/>
    </row>
    <row r="645" ht="12.0" customHeight="1">
      <c r="B645" s="1"/>
      <c r="K645" s="151"/>
      <c r="P645" s="151"/>
    </row>
    <row r="646" ht="12.0" customHeight="1">
      <c r="B646" s="1"/>
      <c r="K646" s="151"/>
      <c r="P646" s="151"/>
    </row>
    <row r="647" ht="12.0" customHeight="1">
      <c r="B647" s="1"/>
      <c r="K647" s="151"/>
      <c r="P647" s="151"/>
    </row>
    <row r="648" ht="12.0" customHeight="1">
      <c r="B648" s="1"/>
      <c r="K648" s="151"/>
      <c r="P648" s="151"/>
    </row>
    <row r="649" ht="12.0" customHeight="1">
      <c r="B649" s="1"/>
      <c r="K649" s="151"/>
      <c r="P649" s="151"/>
    </row>
    <row r="650" ht="12.0" customHeight="1">
      <c r="B650" s="1"/>
      <c r="K650" s="151"/>
      <c r="P650" s="151"/>
    </row>
    <row r="651" ht="12.0" customHeight="1">
      <c r="B651" s="1"/>
      <c r="K651" s="151"/>
      <c r="P651" s="151"/>
    </row>
    <row r="652" ht="12.0" customHeight="1">
      <c r="B652" s="1"/>
      <c r="K652" s="151"/>
      <c r="P652" s="151"/>
    </row>
    <row r="653" ht="12.0" customHeight="1">
      <c r="B653" s="1"/>
      <c r="K653" s="151"/>
      <c r="P653" s="151"/>
    </row>
    <row r="654" ht="12.0" customHeight="1">
      <c r="B654" s="1"/>
      <c r="K654" s="151"/>
      <c r="P654" s="151"/>
    </row>
    <row r="655" ht="12.0" customHeight="1">
      <c r="B655" s="1"/>
      <c r="K655" s="151"/>
      <c r="P655" s="151"/>
    </row>
    <row r="656" ht="12.0" customHeight="1">
      <c r="B656" s="1"/>
      <c r="K656" s="151"/>
      <c r="P656" s="151"/>
    </row>
    <row r="657" ht="12.0" customHeight="1">
      <c r="B657" s="1"/>
      <c r="K657" s="151"/>
      <c r="P657" s="151"/>
    </row>
    <row r="658" ht="12.0" customHeight="1">
      <c r="B658" s="1"/>
      <c r="K658" s="151"/>
      <c r="P658" s="151"/>
    </row>
    <row r="659" ht="12.0" customHeight="1">
      <c r="B659" s="1"/>
      <c r="K659" s="151"/>
      <c r="P659" s="151"/>
    </row>
    <row r="660" ht="12.0" customHeight="1">
      <c r="B660" s="1"/>
      <c r="K660" s="151"/>
      <c r="P660" s="151"/>
    </row>
    <row r="661" ht="12.0" customHeight="1">
      <c r="B661" s="1"/>
      <c r="K661" s="151"/>
      <c r="P661" s="151"/>
    </row>
    <row r="662" ht="12.0" customHeight="1">
      <c r="B662" s="1"/>
      <c r="K662" s="151"/>
      <c r="P662" s="151"/>
    </row>
    <row r="663" ht="12.0" customHeight="1">
      <c r="B663" s="1"/>
      <c r="K663" s="151"/>
      <c r="P663" s="151"/>
    </row>
    <row r="664" ht="12.0" customHeight="1">
      <c r="B664" s="1"/>
      <c r="K664" s="151"/>
      <c r="P664" s="151"/>
    </row>
    <row r="665" ht="12.0" customHeight="1">
      <c r="B665" s="1"/>
      <c r="K665" s="151"/>
      <c r="P665" s="151"/>
    </row>
    <row r="666" ht="12.0" customHeight="1">
      <c r="B666" s="1"/>
      <c r="K666" s="151"/>
      <c r="P666" s="151"/>
    </row>
    <row r="667" ht="12.0" customHeight="1">
      <c r="B667" s="1"/>
      <c r="K667" s="151"/>
      <c r="P667" s="151"/>
    </row>
    <row r="668" ht="12.0" customHeight="1">
      <c r="B668" s="1"/>
      <c r="K668" s="151"/>
      <c r="P668" s="151"/>
    </row>
    <row r="669" ht="12.0" customHeight="1">
      <c r="B669" s="1"/>
      <c r="K669" s="151"/>
      <c r="P669" s="151"/>
    </row>
    <row r="670" ht="12.0" customHeight="1">
      <c r="B670" s="1"/>
      <c r="K670" s="151"/>
      <c r="P670" s="151"/>
    </row>
    <row r="671" ht="12.0" customHeight="1">
      <c r="B671" s="1"/>
      <c r="K671" s="151"/>
      <c r="P671" s="151"/>
    </row>
    <row r="672" ht="12.0" customHeight="1">
      <c r="B672" s="1"/>
      <c r="K672" s="151"/>
      <c r="P672" s="151"/>
    </row>
    <row r="673" ht="12.0" customHeight="1">
      <c r="B673" s="1"/>
      <c r="K673" s="151"/>
      <c r="P673" s="151"/>
    </row>
    <row r="674" ht="12.0" customHeight="1">
      <c r="B674" s="1"/>
      <c r="K674" s="151"/>
      <c r="P674" s="151"/>
    </row>
    <row r="675" ht="12.0" customHeight="1">
      <c r="B675" s="1"/>
      <c r="K675" s="151"/>
      <c r="P675" s="151"/>
    </row>
    <row r="676" ht="12.0" customHeight="1">
      <c r="B676" s="1"/>
      <c r="K676" s="151"/>
      <c r="P676" s="151"/>
    </row>
    <row r="677" ht="12.0" customHeight="1">
      <c r="B677" s="1"/>
      <c r="K677" s="151"/>
      <c r="P677" s="151"/>
    </row>
    <row r="678" ht="12.0" customHeight="1">
      <c r="B678" s="1"/>
      <c r="K678" s="151"/>
      <c r="P678" s="151"/>
    </row>
    <row r="679" ht="12.0" customHeight="1">
      <c r="B679" s="1"/>
      <c r="K679" s="151"/>
      <c r="P679" s="151"/>
    </row>
    <row r="680" ht="12.0" customHeight="1">
      <c r="B680" s="1"/>
      <c r="K680" s="151"/>
      <c r="P680" s="151"/>
    </row>
    <row r="681" ht="12.0" customHeight="1">
      <c r="B681" s="1"/>
      <c r="K681" s="151"/>
      <c r="P681" s="151"/>
    </row>
    <row r="682" ht="12.0" customHeight="1">
      <c r="B682" s="1"/>
      <c r="K682" s="151"/>
      <c r="P682" s="151"/>
    </row>
    <row r="683" ht="12.0" customHeight="1">
      <c r="B683" s="1"/>
      <c r="K683" s="151"/>
      <c r="P683" s="151"/>
    </row>
    <row r="684" ht="12.0" customHeight="1">
      <c r="B684" s="1"/>
      <c r="K684" s="151"/>
      <c r="P684" s="151"/>
    </row>
    <row r="685" ht="12.0" customHeight="1">
      <c r="B685" s="1"/>
      <c r="K685" s="151"/>
      <c r="P685" s="151"/>
    </row>
    <row r="686" ht="12.0" customHeight="1">
      <c r="B686" s="1"/>
      <c r="K686" s="151"/>
      <c r="P686" s="151"/>
    </row>
    <row r="687" ht="12.0" customHeight="1">
      <c r="B687" s="1"/>
      <c r="K687" s="151"/>
      <c r="P687" s="151"/>
    </row>
    <row r="688" ht="12.0" customHeight="1">
      <c r="B688" s="1"/>
      <c r="K688" s="151"/>
      <c r="P688" s="151"/>
    </row>
    <row r="689" ht="12.0" customHeight="1">
      <c r="B689" s="1"/>
      <c r="K689" s="151"/>
      <c r="P689" s="151"/>
    </row>
    <row r="690" ht="12.0" customHeight="1">
      <c r="B690" s="1"/>
      <c r="K690" s="151"/>
      <c r="P690" s="151"/>
    </row>
    <row r="691" ht="12.0" customHeight="1">
      <c r="B691" s="1"/>
      <c r="K691" s="151"/>
      <c r="P691" s="151"/>
    </row>
    <row r="692" ht="12.0" customHeight="1">
      <c r="B692" s="1"/>
      <c r="K692" s="151"/>
      <c r="P692" s="151"/>
    </row>
    <row r="693" ht="12.0" customHeight="1">
      <c r="B693" s="1"/>
      <c r="K693" s="151"/>
      <c r="P693" s="151"/>
    </row>
    <row r="694" ht="12.0" customHeight="1">
      <c r="B694" s="1"/>
      <c r="K694" s="151"/>
      <c r="P694" s="151"/>
    </row>
    <row r="695" ht="12.0" customHeight="1">
      <c r="B695" s="1"/>
      <c r="K695" s="151"/>
      <c r="P695" s="151"/>
    </row>
    <row r="696" ht="12.0" customHeight="1">
      <c r="B696" s="1"/>
      <c r="K696" s="151"/>
      <c r="P696" s="151"/>
    </row>
    <row r="697" ht="12.0" customHeight="1">
      <c r="B697" s="1"/>
      <c r="K697" s="151"/>
      <c r="P697" s="151"/>
    </row>
    <row r="698" ht="12.0" customHeight="1">
      <c r="B698" s="1"/>
      <c r="K698" s="151"/>
      <c r="P698" s="151"/>
    </row>
    <row r="699" ht="12.0" customHeight="1">
      <c r="B699" s="1"/>
      <c r="K699" s="151"/>
      <c r="P699" s="151"/>
    </row>
    <row r="700" ht="12.0" customHeight="1">
      <c r="B700" s="1"/>
      <c r="K700" s="151"/>
      <c r="P700" s="151"/>
    </row>
    <row r="701" ht="12.0" customHeight="1">
      <c r="B701" s="1"/>
      <c r="K701" s="151"/>
      <c r="P701" s="151"/>
    </row>
    <row r="702" ht="12.0" customHeight="1">
      <c r="B702" s="1"/>
      <c r="K702" s="151"/>
      <c r="P702" s="151"/>
    </row>
    <row r="703" ht="12.0" customHeight="1">
      <c r="B703" s="1"/>
      <c r="K703" s="151"/>
      <c r="P703" s="151"/>
    </row>
    <row r="704" ht="12.0" customHeight="1">
      <c r="B704" s="1"/>
      <c r="K704" s="151"/>
      <c r="P704" s="151"/>
    </row>
    <row r="705" ht="12.0" customHeight="1">
      <c r="B705" s="1"/>
      <c r="K705" s="151"/>
      <c r="P705" s="151"/>
    </row>
    <row r="706" ht="12.0" customHeight="1">
      <c r="B706" s="1"/>
      <c r="K706" s="151"/>
      <c r="P706" s="151"/>
    </row>
    <row r="707" ht="12.0" customHeight="1">
      <c r="B707" s="1"/>
      <c r="K707" s="151"/>
      <c r="P707" s="151"/>
    </row>
    <row r="708" ht="12.0" customHeight="1">
      <c r="B708" s="1"/>
      <c r="K708" s="151"/>
      <c r="P708" s="151"/>
    </row>
    <row r="709" ht="12.0" customHeight="1">
      <c r="B709" s="1"/>
      <c r="K709" s="151"/>
      <c r="P709" s="151"/>
    </row>
    <row r="710" ht="12.0" customHeight="1">
      <c r="B710" s="1"/>
      <c r="K710" s="151"/>
      <c r="P710" s="151"/>
    </row>
    <row r="711" ht="12.0" customHeight="1">
      <c r="B711" s="1"/>
      <c r="K711" s="151"/>
      <c r="P711" s="151"/>
    </row>
    <row r="712" ht="12.0" customHeight="1">
      <c r="B712" s="1"/>
      <c r="K712" s="151"/>
      <c r="P712" s="151"/>
    </row>
    <row r="713" ht="12.0" customHeight="1">
      <c r="B713" s="1"/>
      <c r="K713" s="151"/>
      <c r="P713" s="151"/>
    </row>
    <row r="714" ht="12.0" customHeight="1">
      <c r="B714" s="1"/>
      <c r="K714" s="151"/>
      <c r="P714" s="151"/>
    </row>
    <row r="715" ht="12.0" customHeight="1">
      <c r="B715" s="1"/>
      <c r="K715" s="151"/>
      <c r="P715" s="151"/>
    </row>
    <row r="716" ht="12.0" customHeight="1">
      <c r="B716" s="1"/>
      <c r="K716" s="151"/>
      <c r="P716" s="151"/>
    </row>
    <row r="717" ht="12.0" customHeight="1">
      <c r="B717" s="1"/>
      <c r="K717" s="151"/>
      <c r="P717" s="151"/>
    </row>
    <row r="718" ht="12.0" customHeight="1">
      <c r="B718" s="1"/>
      <c r="K718" s="151"/>
      <c r="P718" s="151"/>
    </row>
    <row r="719" ht="12.0" customHeight="1">
      <c r="B719" s="1"/>
      <c r="K719" s="151"/>
      <c r="P719" s="151"/>
    </row>
    <row r="720" ht="12.0" customHeight="1">
      <c r="B720" s="1"/>
      <c r="K720" s="151"/>
      <c r="P720" s="151"/>
    </row>
    <row r="721" ht="12.0" customHeight="1">
      <c r="B721" s="1"/>
      <c r="K721" s="151"/>
      <c r="P721" s="151"/>
    </row>
    <row r="722" ht="12.0" customHeight="1">
      <c r="B722" s="1"/>
      <c r="K722" s="151"/>
      <c r="P722" s="151"/>
    </row>
    <row r="723" ht="12.0" customHeight="1">
      <c r="B723" s="1"/>
      <c r="K723" s="151"/>
      <c r="P723" s="151"/>
    </row>
    <row r="724" ht="12.0" customHeight="1">
      <c r="B724" s="1"/>
      <c r="K724" s="151"/>
      <c r="P724" s="151"/>
    </row>
    <row r="725" ht="12.0" customHeight="1">
      <c r="B725" s="1"/>
      <c r="K725" s="151"/>
      <c r="P725" s="151"/>
    </row>
    <row r="726" ht="12.0" customHeight="1">
      <c r="B726" s="1"/>
      <c r="K726" s="151"/>
      <c r="P726" s="151"/>
    </row>
    <row r="727" ht="12.0" customHeight="1">
      <c r="B727" s="1"/>
      <c r="K727" s="151"/>
      <c r="P727" s="151"/>
    </row>
    <row r="728" ht="12.0" customHeight="1">
      <c r="B728" s="1"/>
      <c r="K728" s="151"/>
      <c r="P728" s="151"/>
    </row>
    <row r="729" ht="12.0" customHeight="1">
      <c r="B729" s="1"/>
      <c r="K729" s="151"/>
      <c r="P729" s="151"/>
    </row>
    <row r="730" ht="12.0" customHeight="1">
      <c r="B730" s="1"/>
      <c r="K730" s="151"/>
      <c r="P730" s="151"/>
    </row>
    <row r="731" ht="12.0" customHeight="1">
      <c r="B731" s="1"/>
      <c r="K731" s="151"/>
      <c r="P731" s="151"/>
    </row>
    <row r="732" ht="12.0" customHeight="1">
      <c r="B732" s="1"/>
      <c r="K732" s="151"/>
      <c r="P732" s="151"/>
    </row>
    <row r="733" ht="12.0" customHeight="1">
      <c r="B733" s="1"/>
      <c r="K733" s="151"/>
      <c r="P733" s="151"/>
    </row>
    <row r="734" ht="12.0" customHeight="1">
      <c r="B734" s="1"/>
      <c r="K734" s="151"/>
      <c r="P734" s="151"/>
    </row>
    <row r="735" ht="12.0" customHeight="1">
      <c r="B735" s="1"/>
      <c r="K735" s="151"/>
      <c r="P735" s="151"/>
    </row>
    <row r="736" ht="12.0" customHeight="1">
      <c r="B736" s="1"/>
      <c r="K736" s="151"/>
      <c r="P736" s="151"/>
    </row>
    <row r="737" ht="12.0" customHeight="1">
      <c r="B737" s="1"/>
      <c r="K737" s="151"/>
      <c r="P737" s="151"/>
    </row>
    <row r="738" ht="12.0" customHeight="1">
      <c r="B738" s="1"/>
      <c r="K738" s="151"/>
      <c r="P738" s="151"/>
    </row>
    <row r="739" ht="12.0" customHeight="1">
      <c r="B739" s="1"/>
      <c r="K739" s="151"/>
      <c r="P739" s="151"/>
    </row>
    <row r="740" ht="12.0" customHeight="1">
      <c r="B740" s="1"/>
      <c r="K740" s="151"/>
      <c r="P740" s="151"/>
    </row>
    <row r="741" ht="12.0" customHeight="1">
      <c r="B741" s="1"/>
      <c r="K741" s="151"/>
      <c r="P741" s="151"/>
    </row>
    <row r="742" ht="12.0" customHeight="1">
      <c r="B742" s="1"/>
      <c r="K742" s="151"/>
      <c r="P742" s="151"/>
    </row>
    <row r="743" ht="12.0" customHeight="1">
      <c r="B743" s="1"/>
      <c r="K743" s="151"/>
      <c r="P743" s="151"/>
    </row>
    <row r="744" ht="12.0" customHeight="1">
      <c r="B744" s="1"/>
      <c r="K744" s="151"/>
      <c r="P744" s="151"/>
    </row>
    <row r="745" ht="12.0" customHeight="1">
      <c r="B745" s="1"/>
      <c r="K745" s="151"/>
      <c r="P745" s="151"/>
    </row>
    <row r="746" ht="12.0" customHeight="1">
      <c r="B746" s="1"/>
      <c r="K746" s="151"/>
      <c r="P746" s="151"/>
    </row>
    <row r="747" ht="12.0" customHeight="1">
      <c r="B747" s="1"/>
      <c r="K747" s="151"/>
      <c r="P747" s="151"/>
    </row>
    <row r="748" ht="12.0" customHeight="1">
      <c r="B748" s="1"/>
      <c r="K748" s="151"/>
      <c r="P748" s="151"/>
    </row>
    <row r="749" ht="12.0" customHeight="1">
      <c r="B749" s="1"/>
      <c r="K749" s="151"/>
      <c r="P749" s="151"/>
    </row>
    <row r="750" ht="12.0" customHeight="1">
      <c r="B750" s="1"/>
      <c r="K750" s="151"/>
      <c r="P750" s="151"/>
    </row>
    <row r="751" ht="12.0" customHeight="1">
      <c r="B751" s="1"/>
      <c r="K751" s="151"/>
      <c r="P751" s="151"/>
    </row>
    <row r="752" ht="12.0" customHeight="1">
      <c r="B752" s="1"/>
      <c r="K752" s="151"/>
      <c r="P752" s="151"/>
    </row>
    <row r="753" ht="12.0" customHeight="1">
      <c r="B753" s="1"/>
      <c r="K753" s="151"/>
      <c r="P753" s="151"/>
    </row>
    <row r="754" ht="12.0" customHeight="1">
      <c r="B754" s="1"/>
      <c r="K754" s="151"/>
      <c r="P754" s="151"/>
    </row>
    <row r="755" ht="12.0" customHeight="1">
      <c r="B755" s="1"/>
      <c r="K755" s="151"/>
      <c r="P755" s="151"/>
    </row>
    <row r="756" ht="12.0" customHeight="1">
      <c r="B756" s="1"/>
      <c r="K756" s="151"/>
      <c r="P756" s="151"/>
    </row>
    <row r="757" ht="12.0" customHeight="1">
      <c r="B757" s="1"/>
      <c r="K757" s="151"/>
      <c r="P757" s="151"/>
    </row>
    <row r="758" ht="12.0" customHeight="1">
      <c r="B758" s="1"/>
      <c r="K758" s="151"/>
      <c r="P758" s="151"/>
    </row>
    <row r="759" ht="12.0" customHeight="1">
      <c r="B759" s="1"/>
      <c r="K759" s="151"/>
      <c r="P759" s="151"/>
    </row>
    <row r="760" ht="12.0" customHeight="1">
      <c r="B760" s="1"/>
      <c r="K760" s="151"/>
      <c r="P760" s="151"/>
    </row>
    <row r="761" ht="12.0" customHeight="1">
      <c r="B761" s="1"/>
      <c r="K761" s="151"/>
      <c r="P761" s="151"/>
    </row>
    <row r="762" ht="12.0" customHeight="1">
      <c r="B762" s="1"/>
      <c r="K762" s="151"/>
      <c r="P762" s="151"/>
    </row>
    <row r="763" ht="12.0" customHeight="1">
      <c r="B763" s="1"/>
      <c r="K763" s="151"/>
      <c r="P763" s="151"/>
    </row>
    <row r="764" ht="12.0" customHeight="1">
      <c r="B764" s="1"/>
      <c r="K764" s="151"/>
      <c r="P764" s="151"/>
    </row>
    <row r="765" ht="12.0" customHeight="1">
      <c r="B765" s="1"/>
      <c r="K765" s="151"/>
      <c r="P765" s="151"/>
    </row>
    <row r="766" ht="12.0" customHeight="1">
      <c r="B766" s="1"/>
      <c r="K766" s="151"/>
      <c r="P766" s="151"/>
    </row>
    <row r="767" ht="12.0" customHeight="1">
      <c r="B767" s="1"/>
      <c r="K767" s="151"/>
      <c r="P767" s="151"/>
    </row>
    <row r="768" ht="12.0" customHeight="1">
      <c r="B768" s="1"/>
      <c r="K768" s="151"/>
      <c r="P768" s="151"/>
    </row>
    <row r="769" ht="12.0" customHeight="1">
      <c r="B769" s="1"/>
      <c r="K769" s="151"/>
      <c r="P769" s="151"/>
    </row>
    <row r="770" ht="12.0" customHeight="1">
      <c r="B770" s="1"/>
      <c r="K770" s="151"/>
      <c r="P770" s="151"/>
    </row>
    <row r="771" ht="12.0" customHeight="1">
      <c r="B771" s="1"/>
      <c r="K771" s="151"/>
      <c r="P771" s="151"/>
    </row>
    <row r="772" ht="12.0" customHeight="1">
      <c r="B772" s="1"/>
      <c r="K772" s="151"/>
      <c r="P772" s="151"/>
    </row>
    <row r="773" ht="12.0" customHeight="1">
      <c r="B773" s="1"/>
      <c r="K773" s="151"/>
      <c r="P773" s="151"/>
    </row>
    <row r="774" ht="12.0" customHeight="1">
      <c r="B774" s="1"/>
      <c r="K774" s="151"/>
      <c r="P774" s="151"/>
    </row>
    <row r="775" ht="12.0" customHeight="1">
      <c r="B775" s="1"/>
      <c r="K775" s="151"/>
      <c r="P775" s="151"/>
    </row>
    <row r="776" ht="12.0" customHeight="1">
      <c r="B776" s="1"/>
      <c r="K776" s="151"/>
      <c r="P776" s="151"/>
    </row>
    <row r="777" ht="12.0" customHeight="1">
      <c r="B777" s="1"/>
      <c r="K777" s="151"/>
      <c r="P777" s="151"/>
    </row>
    <row r="778" ht="12.0" customHeight="1">
      <c r="B778" s="1"/>
      <c r="K778" s="151"/>
      <c r="P778" s="151"/>
    </row>
    <row r="779" ht="12.0" customHeight="1">
      <c r="B779" s="1"/>
      <c r="K779" s="151"/>
      <c r="P779" s="151"/>
    </row>
    <row r="780" ht="12.0" customHeight="1">
      <c r="B780" s="1"/>
      <c r="K780" s="151"/>
      <c r="P780" s="151"/>
    </row>
    <row r="781" ht="12.0" customHeight="1">
      <c r="B781" s="1"/>
      <c r="K781" s="151"/>
      <c r="P781" s="151"/>
    </row>
    <row r="782" ht="12.0" customHeight="1">
      <c r="B782" s="1"/>
      <c r="K782" s="151"/>
      <c r="P782" s="151"/>
    </row>
    <row r="783" ht="12.0" customHeight="1">
      <c r="B783" s="1"/>
      <c r="K783" s="151"/>
      <c r="P783" s="151"/>
    </row>
    <row r="784" ht="12.0" customHeight="1">
      <c r="B784" s="1"/>
      <c r="K784" s="151"/>
      <c r="P784" s="151"/>
    </row>
    <row r="785" ht="12.0" customHeight="1">
      <c r="B785" s="1"/>
      <c r="K785" s="151"/>
      <c r="P785" s="151"/>
    </row>
    <row r="786" ht="12.0" customHeight="1">
      <c r="B786" s="1"/>
      <c r="K786" s="151"/>
      <c r="P786" s="151"/>
    </row>
    <row r="787" ht="12.0" customHeight="1">
      <c r="B787" s="1"/>
      <c r="K787" s="151"/>
      <c r="P787" s="151"/>
    </row>
    <row r="788" ht="12.0" customHeight="1">
      <c r="B788" s="1"/>
      <c r="K788" s="151"/>
      <c r="P788" s="151"/>
    </row>
    <row r="789" ht="12.0" customHeight="1">
      <c r="B789" s="1"/>
      <c r="K789" s="151"/>
      <c r="P789" s="151"/>
    </row>
    <row r="790" ht="12.0" customHeight="1">
      <c r="B790" s="1"/>
      <c r="K790" s="151"/>
      <c r="P790" s="151"/>
    </row>
    <row r="791" ht="12.0" customHeight="1">
      <c r="B791" s="1"/>
      <c r="K791" s="151"/>
      <c r="P791" s="151"/>
    </row>
    <row r="792" ht="12.0" customHeight="1">
      <c r="B792" s="1"/>
      <c r="K792" s="151"/>
      <c r="P792" s="151"/>
    </row>
    <row r="793" ht="12.0" customHeight="1">
      <c r="B793" s="1"/>
      <c r="K793" s="151"/>
      <c r="P793" s="151"/>
    </row>
    <row r="794" ht="12.0" customHeight="1">
      <c r="B794" s="1"/>
      <c r="K794" s="151"/>
      <c r="P794" s="151"/>
    </row>
    <row r="795" ht="12.0" customHeight="1">
      <c r="B795" s="1"/>
      <c r="K795" s="151"/>
      <c r="P795" s="151"/>
    </row>
    <row r="796" ht="12.0" customHeight="1">
      <c r="B796" s="1"/>
      <c r="K796" s="151"/>
      <c r="P796" s="151"/>
    </row>
    <row r="797" ht="12.0" customHeight="1">
      <c r="B797" s="1"/>
      <c r="K797" s="151"/>
      <c r="P797" s="151"/>
    </row>
    <row r="798" ht="12.0" customHeight="1">
      <c r="B798" s="1"/>
      <c r="K798" s="151"/>
      <c r="P798" s="151"/>
    </row>
    <row r="799" ht="12.0" customHeight="1">
      <c r="B799" s="1"/>
      <c r="K799" s="151"/>
      <c r="P799" s="151"/>
    </row>
    <row r="800" ht="12.0" customHeight="1">
      <c r="B800" s="1"/>
      <c r="K800" s="151"/>
      <c r="P800" s="151"/>
    </row>
    <row r="801" ht="12.0" customHeight="1">
      <c r="B801" s="1"/>
      <c r="K801" s="151"/>
      <c r="P801" s="151"/>
    </row>
    <row r="802" ht="12.0" customHeight="1">
      <c r="B802" s="1"/>
      <c r="K802" s="151"/>
      <c r="P802" s="151"/>
    </row>
    <row r="803" ht="12.0" customHeight="1">
      <c r="B803" s="1"/>
      <c r="K803" s="151"/>
      <c r="P803" s="151"/>
    </row>
    <row r="804" ht="12.0" customHeight="1">
      <c r="B804" s="1"/>
      <c r="K804" s="151"/>
      <c r="P804" s="151"/>
    </row>
    <row r="805" ht="12.0" customHeight="1">
      <c r="B805" s="1"/>
      <c r="K805" s="151"/>
      <c r="P805" s="151"/>
    </row>
    <row r="806" ht="12.0" customHeight="1">
      <c r="B806" s="1"/>
      <c r="K806" s="151"/>
      <c r="P806" s="151"/>
    </row>
    <row r="807" ht="12.0" customHeight="1">
      <c r="B807" s="1"/>
      <c r="K807" s="151"/>
      <c r="P807" s="151"/>
    </row>
    <row r="808" ht="12.0" customHeight="1">
      <c r="B808" s="1"/>
      <c r="K808" s="151"/>
      <c r="P808" s="151"/>
    </row>
    <row r="809" ht="12.0" customHeight="1">
      <c r="B809" s="1"/>
      <c r="K809" s="151"/>
      <c r="P809" s="151"/>
    </row>
    <row r="810" ht="12.0" customHeight="1">
      <c r="B810" s="1"/>
      <c r="K810" s="151"/>
      <c r="P810" s="151"/>
    </row>
    <row r="811" ht="12.0" customHeight="1">
      <c r="B811" s="1"/>
      <c r="K811" s="151"/>
      <c r="P811" s="151"/>
    </row>
    <row r="812" ht="12.0" customHeight="1">
      <c r="B812" s="1"/>
      <c r="K812" s="151"/>
      <c r="P812" s="151"/>
    </row>
    <row r="813" ht="12.0" customHeight="1">
      <c r="B813" s="1"/>
      <c r="K813" s="151"/>
      <c r="P813" s="151"/>
    </row>
    <row r="814" ht="12.0" customHeight="1">
      <c r="B814" s="1"/>
      <c r="K814" s="151"/>
      <c r="P814" s="151"/>
    </row>
    <row r="815" ht="12.0" customHeight="1">
      <c r="B815" s="1"/>
      <c r="K815" s="151"/>
      <c r="P815" s="151"/>
    </row>
    <row r="816" ht="12.0" customHeight="1">
      <c r="B816" s="1"/>
      <c r="K816" s="151"/>
      <c r="P816" s="151"/>
    </row>
    <row r="817" ht="12.0" customHeight="1">
      <c r="B817" s="1"/>
      <c r="K817" s="151"/>
      <c r="P817" s="151"/>
    </row>
    <row r="818" ht="12.0" customHeight="1">
      <c r="B818" s="1"/>
      <c r="K818" s="151"/>
      <c r="P818" s="151"/>
    </row>
    <row r="819" ht="12.0" customHeight="1">
      <c r="B819" s="1"/>
      <c r="K819" s="151"/>
      <c r="P819" s="151"/>
    </row>
    <row r="820" ht="12.0" customHeight="1">
      <c r="B820" s="1"/>
      <c r="K820" s="151"/>
      <c r="P820" s="151"/>
    </row>
    <row r="821" ht="12.0" customHeight="1">
      <c r="B821" s="1"/>
      <c r="K821" s="151"/>
      <c r="P821" s="151"/>
    </row>
    <row r="822" ht="12.0" customHeight="1">
      <c r="B822" s="1"/>
      <c r="K822" s="151"/>
      <c r="P822" s="151"/>
    </row>
    <row r="823" ht="12.0" customHeight="1">
      <c r="B823" s="1"/>
      <c r="K823" s="151"/>
      <c r="P823" s="151"/>
    </row>
    <row r="824" ht="12.0" customHeight="1">
      <c r="B824" s="1"/>
      <c r="K824" s="151"/>
      <c r="P824" s="151"/>
    </row>
    <row r="825" ht="12.0" customHeight="1">
      <c r="B825" s="1"/>
      <c r="K825" s="151"/>
      <c r="P825" s="151"/>
    </row>
    <row r="826" ht="12.0" customHeight="1">
      <c r="B826" s="1"/>
      <c r="K826" s="151"/>
      <c r="P826" s="151"/>
    </row>
    <row r="827" ht="12.0" customHeight="1">
      <c r="B827" s="1"/>
      <c r="K827" s="151"/>
      <c r="P827" s="151"/>
    </row>
    <row r="828" ht="12.0" customHeight="1">
      <c r="B828" s="1"/>
      <c r="K828" s="151"/>
      <c r="P828" s="151"/>
    </row>
    <row r="829" ht="12.0" customHeight="1">
      <c r="B829" s="1"/>
      <c r="K829" s="151"/>
      <c r="P829" s="151"/>
    </row>
    <row r="830" ht="12.0" customHeight="1">
      <c r="B830" s="1"/>
      <c r="K830" s="151"/>
      <c r="P830" s="151"/>
    </row>
    <row r="831" ht="12.0" customHeight="1">
      <c r="B831" s="1"/>
      <c r="K831" s="151"/>
      <c r="P831" s="151"/>
    </row>
    <row r="832" ht="12.0" customHeight="1">
      <c r="B832" s="1"/>
      <c r="K832" s="151"/>
      <c r="P832" s="151"/>
    </row>
    <row r="833" ht="12.0" customHeight="1">
      <c r="B833" s="1"/>
      <c r="K833" s="151"/>
      <c r="P833" s="151"/>
    </row>
    <row r="834" ht="12.0" customHeight="1">
      <c r="B834" s="1"/>
      <c r="K834" s="151"/>
      <c r="P834" s="151"/>
    </row>
    <row r="835" ht="12.0" customHeight="1">
      <c r="B835" s="1"/>
      <c r="K835" s="151"/>
      <c r="P835" s="151"/>
    </row>
    <row r="836" ht="12.0" customHeight="1">
      <c r="B836" s="1"/>
      <c r="K836" s="151"/>
      <c r="P836" s="151"/>
    </row>
    <row r="837" ht="12.0" customHeight="1">
      <c r="B837" s="1"/>
      <c r="K837" s="151"/>
      <c r="P837" s="151"/>
    </row>
    <row r="838" ht="12.0" customHeight="1">
      <c r="B838" s="1"/>
      <c r="K838" s="151"/>
      <c r="P838" s="151"/>
    </row>
    <row r="839" ht="12.0" customHeight="1">
      <c r="B839" s="1"/>
      <c r="K839" s="151"/>
      <c r="P839" s="151"/>
    </row>
    <row r="840" ht="12.0" customHeight="1">
      <c r="B840" s="1"/>
      <c r="K840" s="151"/>
      <c r="P840" s="151"/>
    </row>
    <row r="841" ht="12.0" customHeight="1">
      <c r="B841" s="1"/>
      <c r="K841" s="151"/>
      <c r="P841" s="151"/>
    </row>
    <row r="842" ht="12.0" customHeight="1">
      <c r="B842" s="1"/>
      <c r="K842" s="151"/>
      <c r="P842" s="151"/>
    </row>
    <row r="843" ht="12.0" customHeight="1">
      <c r="B843" s="1"/>
      <c r="K843" s="151"/>
      <c r="P843" s="151"/>
    </row>
    <row r="844" ht="12.0" customHeight="1">
      <c r="B844" s="1"/>
      <c r="K844" s="151"/>
      <c r="P844" s="151"/>
    </row>
    <row r="845" ht="12.0" customHeight="1">
      <c r="B845" s="1"/>
      <c r="K845" s="151"/>
      <c r="P845" s="151"/>
    </row>
    <row r="846" ht="12.0" customHeight="1">
      <c r="B846" s="1"/>
      <c r="K846" s="151"/>
      <c r="P846" s="151"/>
    </row>
    <row r="847" ht="12.0" customHeight="1">
      <c r="B847" s="1"/>
      <c r="K847" s="151"/>
      <c r="P847" s="151"/>
    </row>
    <row r="848" ht="12.0" customHeight="1">
      <c r="B848" s="1"/>
      <c r="K848" s="151"/>
      <c r="P848" s="151"/>
    </row>
    <row r="849" ht="12.0" customHeight="1">
      <c r="B849" s="1"/>
      <c r="K849" s="151"/>
      <c r="P849" s="151"/>
    </row>
    <row r="850" ht="12.0" customHeight="1">
      <c r="B850" s="1"/>
      <c r="K850" s="151"/>
      <c r="P850" s="151"/>
    </row>
    <row r="851" ht="12.0" customHeight="1">
      <c r="B851" s="1"/>
      <c r="K851" s="151"/>
      <c r="P851" s="151"/>
    </row>
    <row r="852" ht="12.0" customHeight="1">
      <c r="B852" s="1"/>
      <c r="K852" s="151"/>
      <c r="P852" s="151"/>
    </row>
    <row r="853" ht="12.0" customHeight="1">
      <c r="B853" s="1"/>
      <c r="K853" s="151"/>
      <c r="P853" s="151"/>
    </row>
    <row r="854" ht="12.0" customHeight="1">
      <c r="B854" s="1"/>
      <c r="K854" s="151"/>
      <c r="P854" s="151"/>
    </row>
    <row r="855" ht="12.0" customHeight="1">
      <c r="B855" s="1"/>
      <c r="K855" s="151"/>
      <c r="P855" s="151"/>
    </row>
    <row r="856" ht="12.0" customHeight="1">
      <c r="B856" s="1"/>
      <c r="K856" s="151"/>
      <c r="P856" s="151"/>
    </row>
    <row r="857" ht="12.0" customHeight="1">
      <c r="B857" s="1"/>
      <c r="K857" s="151"/>
      <c r="P857" s="151"/>
    </row>
    <row r="858" ht="12.0" customHeight="1">
      <c r="B858" s="1"/>
      <c r="K858" s="151"/>
      <c r="P858" s="151"/>
    </row>
    <row r="859" ht="12.0" customHeight="1">
      <c r="B859" s="1"/>
      <c r="K859" s="151"/>
      <c r="P859" s="151"/>
    </row>
    <row r="860" ht="12.0" customHeight="1">
      <c r="B860" s="1"/>
      <c r="K860" s="151"/>
      <c r="P860" s="151"/>
    </row>
    <row r="861" ht="12.0" customHeight="1">
      <c r="B861" s="1"/>
      <c r="K861" s="151"/>
      <c r="P861" s="151"/>
    </row>
    <row r="862" ht="12.0" customHeight="1">
      <c r="B862" s="1"/>
      <c r="K862" s="151"/>
      <c r="P862" s="151"/>
    </row>
    <row r="863" ht="12.0" customHeight="1">
      <c r="B863" s="1"/>
      <c r="K863" s="151"/>
      <c r="P863" s="151"/>
    </row>
    <row r="864" ht="12.0" customHeight="1">
      <c r="B864" s="1"/>
      <c r="K864" s="151"/>
      <c r="P864" s="151"/>
    </row>
    <row r="865" ht="12.0" customHeight="1">
      <c r="B865" s="1"/>
      <c r="K865" s="151"/>
      <c r="P865" s="151"/>
    </row>
    <row r="866" ht="12.0" customHeight="1">
      <c r="B866" s="1"/>
      <c r="K866" s="151"/>
      <c r="P866" s="151"/>
    </row>
    <row r="867" ht="12.0" customHeight="1">
      <c r="B867" s="1"/>
      <c r="K867" s="151"/>
      <c r="P867" s="151"/>
    </row>
    <row r="868" ht="12.0" customHeight="1">
      <c r="B868" s="1"/>
      <c r="K868" s="151"/>
      <c r="P868" s="151"/>
    </row>
    <row r="869" ht="12.0" customHeight="1">
      <c r="B869" s="1"/>
      <c r="K869" s="151"/>
      <c r="P869" s="151"/>
    </row>
    <row r="870" ht="12.0" customHeight="1">
      <c r="B870" s="1"/>
      <c r="K870" s="151"/>
      <c r="P870" s="151"/>
    </row>
    <row r="871" ht="12.0" customHeight="1">
      <c r="B871" s="1"/>
      <c r="K871" s="151"/>
      <c r="P871" s="151"/>
    </row>
    <row r="872" ht="12.0" customHeight="1">
      <c r="B872" s="1"/>
      <c r="K872" s="151"/>
      <c r="P872" s="151"/>
    </row>
    <row r="873" ht="12.0" customHeight="1">
      <c r="B873" s="1"/>
      <c r="K873" s="151"/>
      <c r="P873" s="151"/>
    </row>
    <row r="874" ht="12.0" customHeight="1">
      <c r="B874" s="1"/>
      <c r="K874" s="151"/>
      <c r="P874" s="151"/>
    </row>
    <row r="875" ht="12.0" customHeight="1">
      <c r="B875" s="1"/>
      <c r="K875" s="151"/>
      <c r="P875" s="151"/>
    </row>
    <row r="876" ht="12.0" customHeight="1">
      <c r="B876" s="1"/>
      <c r="K876" s="151"/>
      <c r="P876" s="151"/>
    </row>
    <row r="877" ht="12.0" customHeight="1">
      <c r="B877" s="1"/>
      <c r="K877" s="151"/>
      <c r="P877" s="151"/>
    </row>
    <row r="878" ht="12.0" customHeight="1">
      <c r="B878" s="1"/>
      <c r="K878" s="151"/>
      <c r="P878" s="151"/>
    </row>
    <row r="879" ht="12.0" customHeight="1">
      <c r="B879" s="1"/>
      <c r="K879" s="151"/>
      <c r="P879" s="151"/>
    </row>
    <row r="880" ht="12.0" customHeight="1">
      <c r="B880" s="1"/>
      <c r="K880" s="151"/>
      <c r="P880" s="151"/>
    </row>
    <row r="881" ht="12.0" customHeight="1">
      <c r="B881" s="1"/>
      <c r="K881" s="151"/>
      <c r="P881" s="151"/>
    </row>
    <row r="882" ht="12.0" customHeight="1">
      <c r="B882" s="1"/>
      <c r="K882" s="151"/>
      <c r="P882" s="151"/>
    </row>
    <row r="883" ht="12.0" customHeight="1">
      <c r="B883" s="1"/>
      <c r="K883" s="151"/>
      <c r="P883" s="151"/>
    </row>
    <row r="884" ht="12.0" customHeight="1">
      <c r="B884" s="1"/>
      <c r="K884" s="151"/>
      <c r="P884" s="151"/>
    </row>
    <row r="885" ht="12.0" customHeight="1">
      <c r="B885" s="1"/>
      <c r="K885" s="151"/>
      <c r="P885" s="151"/>
    </row>
    <row r="886" ht="12.0" customHeight="1">
      <c r="B886" s="1"/>
      <c r="K886" s="151"/>
      <c r="P886" s="151"/>
    </row>
    <row r="887" ht="12.0" customHeight="1">
      <c r="B887" s="1"/>
      <c r="K887" s="151"/>
      <c r="P887" s="151"/>
    </row>
    <row r="888" ht="12.0" customHeight="1">
      <c r="B888" s="1"/>
      <c r="K888" s="151"/>
      <c r="P888" s="151"/>
    </row>
    <row r="889" ht="12.0" customHeight="1">
      <c r="B889" s="1"/>
      <c r="K889" s="151"/>
      <c r="P889" s="151"/>
    </row>
    <row r="890" ht="12.0" customHeight="1">
      <c r="B890" s="1"/>
      <c r="K890" s="151"/>
      <c r="P890" s="151"/>
    </row>
    <row r="891" ht="12.0" customHeight="1">
      <c r="B891" s="1"/>
      <c r="K891" s="151"/>
      <c r="P891" s="151"/>
    </row>
    <row r="892" ht="12.0" customHeight="1">
      <c r="B892" s="1"/>
      <c r="K892" s="151"/>
      <c r="P892" s="151"/>
    </row>
    <row r="893" ht="12.0" customHeight="1">
      <c r="B893" s="1"/>
      <c r="K893" s="151"/>
      <c r="P893" s="151"/>
    </row>
    <row r="894" ht="12.0" customHeight="1">
      <c r="B894" s="1"/>
      <c r="K894" s="151"/>
      <c r="P894" s="151"/>
    </row>
    <row r="895" ht="12.0" customHeight="1">
      <c r="B895" s="1"/>
      <c r="K895" s="151"/>
      <c r="P895" s="151"/>
    </row>
    <row r="896" ht="12.0" customHeight="1">
      <c r="B896" s="1"/>
      <c r="K896" s="151"/>
      <c r="P896" s="151"/>
    </row>
    <row r="897" ht="12.0" customHeight="1">
      <c r="B897" s="1"/>
      <c r="K897" s="151"/>
      <c r="P897" s="151"/>
    </row>
    <row r="898" ht="12.0" customHeight="1">
      <c r="B898" s="1"/>
      <c r="K898" s="151"/>
      <c r="P898" s="151"/>
    </row>
    <row r="899" ht="12.0" customHeight="1">
      <c r="B899" s="1"/>
      <c r="K899" s="151"/>
      <c r="P899" s="151"/>
    </row>
    <row r="900" ht="12.0" customHeight="1">
      <c r="B900" s="1"/>
      <c r="K900" s="151"/>
      <c r="P900" s="151"/>
    </row>
    <row r="901" ht="12.0" customHeight="1">
      <c r="B901" s="1"/>
      <c r="K901" s="151"/>
      <c r="P901" s="151"/>
    </row>
    <row r="902" ht="12.0" customHeight="1">
      <c r="B902" s="1"/>
      <c r="K902" s="151"/>
      <c r="P902" s="151"/>
    </row>
    <row r="903" ht="12.0" customHeight="1">
      <c r="B903" s="1"/>
      <c r="K903" s="151"/>
      <c r="P903" s="151"/>
    </row>
    <row r="904" ht="12.0" customHeight="1">
      <c r="B904" s="1"/>
      <c r="K904" s="151"/>
      <c r="P904" s="151"/>
    </row>
    <row r="905" ht="12.0" customHeight="1">
      <c r="B905" s="1"/>
      <c r="K905" s="151"/>
      <c r="P905" s="151"/>
    </row>
    <row r="906" ht="12.0" customHeight="1">
      <c r="B906" s="1"/>
      <c r="K906" s="151"/>
      <c r="P906" s="151"/>
    </row>
    <row r="907" ht="12.0" customHeight="1">
      <c r="B907" s="1"/>
      <c r="K907" s="151"/>
      <c r="P907" s="151"/>
    </row>
    <row r="908" ht="12.0" customHeight="1">
      <c r="B908" s="1"/>
      <c r="K908" s="151"/>
      <c r="P908" s="151"/>
    </row>
    <row r="909" ht="12.0" customHeight="1">
      <c r="B909" s="1"/>
      <c r="K909" s="151"/>
      <c r="P909" s="151"/>
    </row>
    <row r="910" ht="12.0" customHeight="1">
      <c r="B910" s="1"/>
      <c r="K910" s="151"/>
      <c r="P910" s="151"/>
    </row>
    <row r="911" ht="12.0" customHeight="1">
      <c r="B911" s="1"/>
      <c r="K911" s="151"/>
      <c r="P911" s="151"/>
    </row>
    <row r="912" ht="12.0" customHeight="1">
      <c r="B912" s="1"/>
      <c r="K912" s="151"/>
      <c r="P912" s="151"/>
    </row>
    <row r="913" ht="12.0" customHeight="1">
      <c r="B913" s="1"/>
      <c r="K913" s="151"/>
      <c r="P913" s="151"/>
    </row>
    <row r="914" ht="12.0" customHeight="1">
      <c r="B914" s="1"/>
      <c r="K914" s="151"/>
      <c r="P914" s="151"/>
    </row>
    <row r="915" ht="12.0" customHeight="1">
      <c r="B915" s="1"/>
      <c r="K915" s="151"/>
      <c r="P915" s="151"/>
    </row>
    <row r="916" ht="12.0" customHeight="1">
      <c r="B916" s="1"/>
      <c r="K916" s="151"/>
      <c r="P916" s="151"/>
    </row>
    <row r="917" ht="12.0" customHeight="1">
      <c r="B917" s="1"/>
      <c r="K917" s="151"/>
      <c r="P917" s="151"/>
    </row>
    <row r="918" ht="12.0" customHeight="1">
      <c r="B918" s="1"/>
      <c r="K918" s="151"/>
      <c r="P918" s="151"/>
    </row>
    <row r="919" ht="12.0" customHeight="1">
      <c r="B919" s="1"/>
      <c r="K919" s="151"/>
      <c r="P919" s="151"/>
    </row>
    <row r="920" ht="12.0" customHeight="1">
      <c r="B920" s="1"/>
      <c r="K920" s="151"/>
      <c r="P920" s="151"/>
    </row>
    <row r="921" ht="12.0" customHeight="1">
      <c r="B921" s="1"/>
      <c r="K921" s="151"/>
      <c r="P921" s="151"/>
    </row>
    <row r="922" ht="12.0" customHeight="1">
      <c r="B922" s="1"/>
      <c r="K922" s="151"/>
      <c r="P922" s="151"/>
    </row>
    <row r="923" ht="12.0" customHeight="1">
      <c r="B923" s="1"/>
      <c r="K923" s="151"/>
      <c r="P923" s="151"/>
    </row>
    <row r="924" ht="12.0" customHeight="1">
      <c r="B924" s="1"/>
      <c r="K924" s="151"/>
      <c r="P924" s="151"/>
    </row>
    <row r="925" ht="12.0" customHeight="1">
      <c r="B925" s="1"/>
      <c r="K925" s="151"/>
      <c r="P925" s="151"/>
    </row>
    <row r="926" ht="12.0" customHeight="1">
      <c r="B926" s="1"/>
      <c r="K926" s="151"/>
      <c r="P926" s="151"/>
    </row>
    <row r="927" ht="12.0" customHeight="1">
      <c r="B927" s="1"/>
      <c r="K927" s="151"/>
      <c r="P927" s="151"/>
    </row>
    <row r="928" ht="12.0" customHeight="1">
      <c r="B928" s="1"/>
      <c r="K928" s="151"/>
      <c r="P928" s="151"/>
    </row>
    <row r="929" ht="12.0" customHeight="1">
      <c r="B929" s="1"/>
      <c r="K929" s="151"/>
      <c r="P929" s="151"/>
    </row>
    <row r="930" ht="12.0" customHeight="1">
      <c r="B930" s="1"/>
      <c r="K930" s="151"/>
      <c r="P930" s="151"/>
    </row>
    <row r="931" ht="12.0" customHeight="1">
      <c r="B931" s="1"/>
      <c r="K931" s="151"/>
      <c r="P931" s="151"/>
    </row>
    <row r="932" ht="12.0" customHeight="1">
      <c r="B932" s="1"/>
      <c r="K932" s="151"/>
      <c r="P932" s="151"/>
    </row>
    <row r="933" ht="12.0" customHeight="1">
      <c r="B933" s="1"/>
      <c r="K933" s="151"/>
      <c r="P933" s="151"/>
    </row>
    <row r="934" ht="12.0" customHeight="1">
      <c r="B934" s="1"/>
      <c r="K934" s="151"/>
      <c r="P934" s="151"/>
    </row>
    <row r="935" ht="12.0" customHeight="1">
      <c r="B935" s="1"/>
      <c r="K935" s="151"/>
      <c r="P935" s="151"/>
    </row>
    <row r="936" ht="12.0" customHeight="1">
      <c r="B936" s="1"/>
      <c r="K936" s="151"/>
      <c r="P936" s="151"/>
    </row>
    <row r="937" ht="12.0" customHeight="1">
      <c r="B937" s="1"/>
      <c r="K937" s="151"/>
      <c r="P937" s="151"/>
    </row>
    <row r="938" ht="12.0" customHeight="1">
      <c r="B938" s="1"/>
      <c r="K938" s="151"/>
      <c r="P938" s="151"/>
    </row>
    <row r="939" ht="12.0" customHeight="1">
      <c r="B939" s="1"/>
      <c r="K939" s="151"/>
      <c r="P939" s="151"/>
    </row>
    <row r="940" ht="12.0" customHeight="1">
      <c r="B940" s="1"/>
      <c r="K940" s="151"/>
      <c r="P940" s="151"/>
    </row>
    <row r="941" ht="12.0" customHeight="1">
      <c r="B941" s="1"/>
      <c r="K941" s="151"/>
      <c r="P941" s="151"/>
    </row>
    <row r="942" ht="12.0" customHeight="1">
      <c r="B942" s="1"/>
      <c r="K942" s="151"/>
      <c r="P942" s="151"/>
    </row>
    <row r="943" ht="12.0" customHeight="1">
      <c r="B943" s="1"/>
      <c r="K943" s="151"/>
      <c r="P943" s="151"/>
    </row>
    <row r="944" ht="12.0" customHeight="1">
      <c r="B944" s="1"/>
      <c r="K944" s="151"/>
      <c r="P944" s="151"/>
    </row>
    <row r="945" ht="12.0" customHeight="1">
      <c r="B945" s="1"/>
      <c r="K945" s="151"/>
      <c r="P945" s="151"/>
    </row>
    <row r="946" ht="12.0" customHeight="1">
      <c r="B946" s="1"/>
      <c r="K946" s="151"/>
      <c r="P946" s="151"/>
    </row>
    <row r="947" ht="12.0" customHeight="1">
      <c r="B947" s="1"/>
      <c r="K947" s="151"/>
      <c r="P947" s="151"/>
    </row>
    <row r="948" ht="12.0" customHeight="1">
      <c r="B948" s="1"/>
      <c r="K948" s="151"/>
      <c r="P948" s="151"/>
    </row>
    <row r="949" ht="12.0" customHeight="1">
      <c r="B949" s="1"/>
      <c r="K949" s="151"/>
      <c r="P949" s="151"/>
    </row>
    <row r="950" ht="12.0" customHeight="1">
      <c r="B950" s="1"/>
      <c r="K950" s="151"/>
      <c r="P950" s="151"/>
    </row>
    <row r="951" ht="12.0" customHeight="1">
      <c r="B951" s="1"/>
      <c r="K951" s="151"/>
      <c r="P951" s="151"/>
    </row>
    <row r="952" ht="12.0" customHeight="1">
      <c r="B952" s="1"/>
      <c r="K952" s="151"/>
      <c r="P952" s="151"/>
    </row>
    <row r="953" ht="12.0" customHeight="1">
      <c r="B953" s="1"/>
      <c r="K953" s="151"/>
      <c r="P953" s="151"/>
    </row>
    <row r="954" ht="12.0" customHeight="1">
      <c r="B954" s="1"/>
      <c r="K954" s="151"/>
      <c r="P954" s="151"/>
    </row>
    <row r="955" ht="12.0" customHeight="1">
      <c r="B955" s="1"/>
      <c r="K955" s="151"/>
      <c r="P955" s="151"/>
    </row>
    <row r="956" ht="12.0" customHeight="1">
      <c r="B956" s="1"/>
      <c r="K956" s="151"/>
      <c r="P956" s="151"/>
    </row>
    <row r="957" ht="12.0" customHeight="1">
      <c r="B957" s="1"/>
      <c r="K957" s="151"/>
      <c r="P957" s="151"/>
    </row>
    <row r="958" ht="12.0" customHeight="1">
      <c r="B958" s="1"/>
      <c r="K958" s="151"/>
      <c r="P958" s="151"/>
    </row>
    <row r="959" ht="12.0" customHeight="1">
      <c r="B959" s="1"/>
      <c r="K959" s="151"/>
      <c r="P959" s="151"/>
    </row>
    <row r="960" ht="12.0" customHeight="1">
      <c r="B960" s="1"/>
      <c r="K960" s="151"/>
      <c r="P960" s="151"/>
    </row>
    <row r="961" ht="12.0" customHeight="1">
      <c r="B961" s="1"/>
      <c r="K961" s="151"/>
      <c r="P961" s="151"/>
    </row>
    <row r="962" ht="12.0" customHeight="1">
      <c r="B962" s="1"/>
      <c r="K962" s="151"/>
      <c r="P962" s="151"/>
    </row>
    <row r="963" ht="12.0" customHeight="1">
      <c r="B963" s="1"/>
      <c r="K963" s="151"/>
      <c r="P963" s="151"/>
    </row>
    <row r="964" ht="12.0" customHeight="1">
      <c r="B964" s="1"/>
      <c r="K964" s="151"/>
      <c r="P964" s="151"/>
    </row>
    <row r="965" ht="12.0" customHeight="1">
      <c r="B965" s="1"/>
      <c r="K965" s="151"/>
      <c r="P965" s="151"/>
    </row>
    <row r="966" ht="12.0" customHeight="1">
      <c r="B966" s="1"/>
      <c r="K966" s="151"/>
      <c r="P966" s="151"/>
    </row>
    <row r="967" ht="12.0" customHeight="1">
      <c r="B967" s="1"/>
      <c r="K967" s="151"/>
      <c r="P967" s="151"/>
    </row>
    <row r="968" ht="12.0" customHeight="1">
      <c r="B968" s="1"/>
      <c r="K968" s="151"/>
      <c r="P968" s="151"/>
    </row>
    <row r="969" ht="12.0" customHeight="1">
      <c r="B969" s="1"/>
      <c r="K969" s="151"/>
      <c r="P969" s="151"/>
    </row>
    <row r="970" ht="12.0" customHeight="1">
      <c r="B970" s="1"/>
      <c r="K970" s="151"/>
      <c r="P970" s="151"/>
    </row>
    <row r="971" ht="12.0" customHeight="1">
      <c r="B971" s="1"/>
      <c r="K971" s="151"/>
      <c r="P971" s="151"/>
    </row>
    <row r="972" ht="12.0" customHeight="1">
      <c r="B972" s="1"/>
      <c r="K972" s="151"/>
      <c r="P972" s="151"/>
    </row>
    <row r="973" ht="12.0" customHeight="1">
      <c r="B973" s="1"/>
      <c r="K973" s="151"/>
      <c r="P973" s="151"/>
    </row>
    <row r="974" ht="12.0" customHeight="1">
      <c r="B974" s="1"/>
      <c r="K974" s="151"/>
      <c r="P974" s="151"/>
    </row>
    <row r="975" ht="12.0" customHeight="1">
      <c r="B975" s="1"/>
      <c r="K975" s="151"/>
      <c r="P975" s="151"/>
    </row>
    <row r="976" ht="12.0" customHeight="1">
      <c r="B976" s="1"/>
      <c r="K976" s="151"/>
      <c r="P976" s="151"/>
    </row>
    <row r="977" ht="12.0" customHeight="1">
      <c r="B977" s="1"/>
      <c r="K977" s="151"/>
      <c r="P977" s="151"/>
    </row>
    <row r="978" ht="12.0" customHeight="1">
      <c r="B978" s="1"/>
      <c r="K978" s="151"/>
      <c r="P978" s="151"/>
    </row>
    <row r="979" ht="12.0" customHeight="1">
      <c r="B979" s="1"/>
      <c r="K979" s="151"/>
      <c r="P979" s="151"/>
    </row>
    <row r="980" ht="12.0" customHeight="1">
      <c r="B980" s="1"/>
      <c r="K980" s="151"/>
      <c r="P980" s="151"/>
    </row>
    <row r="981" ht="12.0" customHeight="1">
      <c r="B981" s="1"/>
      <c r="K981" s="151"/>
      <c r="P981" s="151"/>
    </row>
    <row r="982" ht="12.0" customHeight="1">
      <c r="B982" s="1"/>
      <c r="K982" s="151"/>
      <c r="P982" s="151"/>
    </row>
    <row r="983" ht="12.0" customHeight="1">
      <c r="B983" s="1"/>
      <c r="K983" s="151"/>
      <c r="P983" s="151"/>
    </row>
    <row r="984" ht="12.0" customHeight="1">
      <c r="B984" s="1"/>
      <c r="K984" s="151"/>
      <c r="P984" s="151"/>
    </row>
    <row r="985" ht="12.0" customHeight="1">
      <c r="B985" s="1"/>
      <c r="K985" s="151"/>
      <c r="P985" s="151"/>
    </row>
    <row r="986" ht="12.0" customHeight="1">
      <c r="B986" s="1"/>
      <c r="K986" s="151"/>
      <c r="P986" s="151"/>
    </row>
    <row r="987" ht="12.0" customHeight="1">
      <c r="B987" s="1"/>
      <c r="K987" s="151"/>
      <c r="P987" s="151"/>
    </row>
    <row r="988" ht="12.0" customHeight="1">
      <c r="B988" s="1"/>
      <c r="K988" s="151"/>
      <c r="P988" s="151"/>
    </row>
    <row r="989" ht="12.0" customHeight="1">
      <c r="B989" s="1"/>
      <c r="K989" s="151"/>
      <c r="P989" s="151"/>
    </row>
    <row r="990" ht="12.0" customHeight="1">
      <c r="B990" s="1"/>
      <c r="K990" s="151"/>
      <c r="P990" s="151"/>
    </row>
    <row r="991" ht="12.0" customHeight="1">
      <c r="B991" s="1"/>
      <c r="K991" s="151"/>
      <c r="P991" s="151"/>
    </row>
    <row r="992" ht="12.0" customHeight="1">
      <c r="B992" s="1"/>
      <c r="K992" s="151"/>
      <c r="P992" s="151"/>
    </row>
    <row r="993" ht="12.0" customHeight="1">
      <c r="B993" s="1"/>
      <c r="K993" s="151"/>
      <c r="P993" s="151"/>
    </row>
    <row r="994" ht="12.0" customHeight="1">
      <c r="B994" s="1"/>
      <c r="K994" s="151"/>
      <c r="P994" s="151"/>
    </row>
    <row r="995" ht="12.0" customHeight="1">
      <c r="B995" s="1"/>
      <c r="K995" s="151"/>
      <c r="P995" s="151"/>
    </row>
    <row r="996" ht="12.0" customHeight="1">
      <c r="B996" s="1"/>
      <c r="K996" s="151"/>
      <c r="P996" s="151"/>
    </row>
    <row r="997" ht="12.0" customHeight="1">
      <c r="B997" s="1"/>
      <c r="K997" s="151"/>
      <c r="P997" s="151"/>
    </row>
    <row r="998" ht="12.0" customHeight="1">
      <c r="B998" s="1"/>
      <c r="K998" s="151"/>
      <c r="P998" s="151"/>
    </row>
    <row r="999" ht="12.0" customHeight="1">
      <c r="B999" s="1"/>
      <c r="K999" s="151"/>
      <c r="P999" s="151"/>
    </row>
    <row r="1000" ht="12.0" customHeight="1">
      <c r="B1000" s="1"/>
      <c r="K1000" s="151"/>
      <c r="P1000" s="151"/>
    </row>
    <row r="1001" ht="12.0" customHeight="1">
      <c r="B1001" s="1"/>
      <c r="K1001" s="151"/>
      <c r="P1001" s="151"/>
    </row>
  </sheetData>
  <mergeCells count="19">
    <mergeCell ref="J7:K7"/>
    <mergeCell ref="O7:P7"/>
    <mergeCell ref="F8:H8"/>
    <mergeCell ref="I8:K8"/>
    <mergeCell ref="L8:N8"/>
    <mergeCell ref="B18:B20"/>
    <mergeCell ref="B21:B25"/>
    <mergeCell ref="B57:B59"/>
    <mergeCell ref="B60:B62"/>
    <mergeCell ref="B64:B66"/>
    <mergeCell ref="B67:B69"/>
    <mergeCell ref="B70:B72"/>
    <mergeCell ref="B26:B30"/>
    <mergeCell ref="B34:B36"/>
    <mergeCell ref="B37:B39"/>
    <mergeCell ref="B41:B43"/>
    <mergeCell ref="B44:B46"/>
    <mergeCell ref="B47:B52"/>
    <mergeCell ref="B53:B56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31">
      <formula1>"TIMBER ROOF TRUSSES,NO ROOF TRUSSES"</formula1>
    </dataValidation>
    <dataValidation type="list" allowBlank="1" showErrorMessage="1" sqref="J18 J34 J37 J41 J44 J57 J60 J64 J67 J70 J74 J79:J80">
      <formula1>"YES,NO"</formula1>
    </dataValidation>
    <dataValidation type="list" allowBlank="1" showErrorMessage="1" sqref="O17:O18 O21 O26 O31 O34 O37 O41 O44 O47 O53 O57 O60 O64 O67 O70 O74 O79">
      <formula1>"DELAPIDATED,POOR,FAIR,GOOD,VERY GOOD,EXCELLENT,NOT APPLICABLE"</formula1>
    </dataValidation>
    <dataValidation type="list" allowBlank="1" showErrorMessage="1" sqref="J53">
      <formula1>"STEEL WINDOW FRAMES,ALUMINIUM WINDOW FRAMES,NO WINDOWS FITTED"</formula1>
    </dataValidation>
    <dataValidation type="list" allowBlank="1" showErrorMessage="1" sqref="J13">
      <formula1>"2010-2013,2014-2021,2021-2023"</formula1>
    </dataValidation>
    <dataValidation type="list" allowBlank="1" showErrorMessage="1" sqref="J47">
      <formula1>"VINYL FLOORING,TILING FLOORING,TIMBER FLOORING,CARPETS FLOORING,NO FLOORING"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21.38"/>
    <col customWidth="1" hidden="1" min="4" max="9" width="24.88"/>
    <col customWidth="1" min="10" max="10" width="15.88"/>
    <col customWidth="1" min="11" max="11" width="9.63"/>
    <col customWidth="1" hidden="1" min="12" max="12" width="8.25"/>
    <col customWidth="1" hidden="1" min="13" max="13" width="15.88"/>
    <col customWidth="1" hidden="1" min="14" max="14" width="18.75"/>
    <col customWidth="1" min="15" max="15" width="17.0"/>
    <col customWidth="1" min="16" max="16" width="16.0"/>
    <col customWidth="1" min="17" max="26" width="9.13"/>
  </cols>
  <sheetData>
    <row r="1" ht="12.0" customHeight="1">
      <c r="B1" s="1"/>
      <c r="K1" s="151"/>
      <c r="P1" s="151"/>
    </row>
    <row r="2" ht="12.0" customHeight="1">
      <c r="B2" s="1"/>
      <c r="K2" s="151"/>
      <c r="P2" s="151"/>
    </row>
    <row r="3" ht="12.0" customHeight="1">
      <c r="B3" s="1"/>
      <c r="C3" s="4" t="s">
        <v>120</v>
      </c>
      <c r="K3" s="151"/>
      <c r="P3" s="151"/>
    </row>
    <row r="4" ht="12.0" customHeight="1">
      <c r="B4" s="1"/>
      <c r="C4" s="4" t="s">
        <v>132</v>
      </c>
      <c r="K4" s="151"/>
      <c r="P4" s="151"/>
    </row>
    <row r="5" ht="12.0" customHeight="1">
      <c r="B5" s="1"/>
      <c r="C5" s="4"/>
      <c r="K5" s="151"/>
      <c r="P5" s="151"/>
    </row>
    <row r="6" ht="12.0" customHeight="1">
      <c r="B6" s="1"/>
      <c r="C6" s="4"/>
      <c r="K6" s="151"/>
      <c r="P6" s="151"/>
    </row>
    <row r="7" ht="30.75" customHeight="1">
      <c r="B7" s="1"/>
      <c r="C7" s="5"/>
      <c r="J7" s="6" t="s">
        <v>2</v>
      </c>
      <c r="K7" s="7"/>
      <c r="L7" s="166"/>
      <c r="M7" s="159"/>
      <c r="N7" s="160"/>
      <c r="O7" s="8" t="s">
        <v>3</v>
      </c>
      <c r="P7" s="7"/>
    </row>
    <row r="8" ht="49.5" customHeight="1">
      <c r="B8" s="631"/>
      <c r="C8" s="632"/>
      <c r="D8" s="633"/>
      <c r="E8" s="633"/>
      <c r="F8" s="634" t="s">
        <v>79</v>
      </c>
      <c r="G8" s="274"/>
      <c r="H8" s="7"/>
      <c r="I8" s="536" t="s">
        <v>80</v>
      </c>
      <c r="J8" s="274"/>
      <c r="K8" s="7"/>
      <c r="L8" s="635" t="s">
        <v>91</v>
      </c>
      <c r="M8" s="274"/>
      <c r="N8" s="7"/>
      <c r="O8" s="161"/>
      <c r="P8" s="151"/>
    </row>
    <row r="9" ht="49.5" customHeight="1">
      <c r="B9" s="631"/>
      <c r="C9" s="632" t="s">
        <v>130</v>
      </c>
      <c r="D9" s="636"/>
      <c r="E9" s="636"/>
      <c r="F9" s="636"/>
      <c r="G9" s="636"/>
      <c r="H9" s="636"/>
      <c r="I9" s="636"/>
      <c r="J9" s="636"/>
      <c r="K9" s="637"/>
      <c r="L9" s="638"/>
      <c r="M9" s="639"/>
      <c r="N9" s="640"/>
      <c r="P9" s="151"/>
    </row>
    <row r="10" ht="65.25" customHeight="1">
      <c r="A10" s="20"/>
      <c r="B10" s="167" t="s">
        <v>6</v>
      </c>
      <c r="C10" s="167" t="s">
        <v>7</v>
      </c>
      <c r="D10" s="168"/>
      <c r="E10" s="168" t="s">
        <v>8</v>
      </c>
      <c r="F10" s="169" t="s">
        <v>9</v>
      </c>
      <c r="G10" s="169" t="s">
        <v>10</v>
      </c>
      <c r="H10" s="169" t="s">
        <v>11</v>
      </c>
      <c r="I10" s="170" t="s">
        <v>12</v>
      </c>
      <c r="J10" s="26" t="s">
        <v>13</v>
      </c>
      <c r="K10" s="24" t="s">
        <v>14</v>
      </c>
      <c r="L10" s="171" t="s">
        <v>15</v>
      </c>
      <c r="M10" s="172" t="s">
        <v>16</v>
      </c>
      <c r="N10" s="173" t="s">
        <v>17</v>
      </c>
      <c r="O10" s="31" t="s">
        <v>18</v>
      </c>
      <c r="P10" s="24" t="s">
        <v>14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30.0" customHeight="1">
      <c r="A11" s="20"/>
      <c r="B11" s="174"/>
      <c r="C11" s="174"/>
      <c r="D11" s="175"/>
      <c r="E11" s="37"/>
      <c r="F11" s="176">
        <v>3.0</v>
      </c>
      <c r="G11" s="176">
        <v>2.0</v>
      </c>
      <c r="H11" s="176">
        <v>1.0</v>
      </c>
      <c r="I11" s="277"/>
      <c r="J11" s="278"/>
      <c r="K11" s="450"/>
      <c r="L11" s="641"/>
      <c r="M11" s="642"/>
      <c r="N11" s="643"/>
      <c r="O11" s="17"/>
      <c r="P11" s="234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30.0" customHeight="1">
      <c r="A12" s="17"/>
      <c r="B12" s="52"/>
      <c r="C12" s="184" t="s">
        <v>19</v>
      </c>
      <c r="D12" s="185"/>
      <c r="E12" s="48"/>
      <c r="F12" s="186"/>
      <c r="G12" s="186"/>
      <c r="H12" s="186"/>
      <c r="I12" s="283"/>
      <c r="J12" s="188">
        <v>500.0</v>
      </c>
      <c r="K12" s="189"/>
      <c r="L12" s="644" t="str">
        <f>AVERAGE(#REF!)</f>
        <v>#REF!</v>
      </c>
      <c r="M12" s="191">
        <v>553.5</v>
      </c>
      <c r="N12" s="193"/>
      <c r="O12" s="645"/>
      <c r="P12" s="19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customHeight="1">
      <c r="A13" s="17"/>
      <c r="B13" s="52"/>
      <c r="C13" s="194" t="s">
        <v>20</v>
      </c>
      <c r="D13" s="54" t="s">
        <v>11</v>
      </c>
      <c r="E13" s="54"/>
      <c r="F13" s="186"/>
      <c r="G13" s="186"/>
      <c r="H13" s="186"/>
      <c r="I13" s="646">
        <v>1.0</v>
      </c>
      <c r="J13" s="196" t="s">
        <v>9</v>
      </c>
      <c r="K13" s="197"/>
      <c r="L13" s="644"/>
      <c r="M13" s="191"/>
      <c r="N13" s="193"/>
      <c r="O13" s="250"/>
      <c r="P13" s="19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customHeight="1">
      <c r="A14" s="17"/>
      <c r="B14" s="52"/>
      <c r="C14" s="198"/>
      <c r="D14" s="54" t="s">
        <v>10</v>
      </c>
      <c r="E14" s="54"/>
      <c r="F14" s="186"/>
      <c r="G14" s="186"/>
      <c r="H14" s="186"/>
      <c r="I14" s="646">
        <v>2.0</v>
      </c>
      <c r="J14" s="56"/>
      <c r="K14" s="58"/>
      <c r="L14" s="549"/>
      <c r="M14" s="319"/>
      <c r="N14" s="550"/>
      <c r="O14" s="17"/>
      <c r="P14" s="62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customHeight="1">
      <c r="A15" s="17"/>
      <c r="B15" s="52"/>
      <c r="C15" s="198"/>
      <c r="D15" s="54" t="s">
        <v>9</v>
      </c>
      <c r="E15" s="54"/>
      <c r="F15" s="186"/>
      <c r="G15" s="186"/>
      <c r="H15" s="186"/>
      <c r="I15" s="646">
        <v>3.0</v>
      </c>
      <c r="J15" s="56"/>
      <c r="K15" s="58"/>
      <c r="L15" s="549"/>
      <c r="M15" s="319"/>
      <c r="N15" s="550"/>
      <c r="O15" s="17"/>
      <c r="P15" s="62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customHeight="1">
      <c r="A16" s="17"/>
      <c r="B16" s="52"/>
      <c r="C16" s="198"/>
      <c r="D16" s="54" t="s">
        <v>21</v>
      </c>
      <c r="E16" s="63">
        <v>1.19</v>
      </c>
      <c r="F16" s="186"/>
      <c r="G16" s="455">
        <v>1.25</v>
      </c>
      <c r="H16" s="455">
        <v>1.32</v>
      </c>
      <c r="I16" s="56"/>
      <c r="J16" s="56"/>
      <c r="K16" s="58"/>
      <c r="L16" s="549"/>
      <c r="M16" s="319"/>
      <c r="N16" s="550"/>
      <c r="O16" s="17"/>
      <c r="P16" s="6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67">
        <f>910*E16</f>
        <v>1082.9</v>
      </c>
      <c r="G17" s="67">
        <f>F17/$G$16</f>
        <v>866.32</v>
      </c>
      <c r="H17" s="67">
        <f>F17/$H$16</f>
        <v>820.3787879</v>
      </c>
      <c r="I17" s="68"/>
      <c r="J17" s="56"/>
      <c r="K17" s="70">
        <f>IF(J13="2010-2013",J12*H17,IF(J13="2014-2021",J12*G17,IF(J13="2021-2023",J12*F17,-2)))</f>
        <v>541450</v>
      </c>
      <c r="L17" s="552" t="str">
        <f t="shared" ref="L17:L18" si="1">AVERAGE(#REF!)</f>
        <v>#REF!</v>
      </c>
      <c r="M17" s="296">
        <v>390048.4</v>
      </c>
      <c r="N17" s="553">
        <f t="shared" ref="N17:N18" si="2">M17/$M$12</f>
        <v>704.6944896</v>
      </c>
      <c r="O17" s="207" t="s">
        <v>23</v>
      </c>
      <c r="P17" s="73">
        <f t="shared" ref="P17:P18" si="3">IF(O17="Delapidated",K17*0.6,IF(O17="Poor",K17*0.7,IF(O17="Fair",K17*0.8,IF(O17="Good",K17*0.85,IF(O17="Very Good",K17*0.9,IF(O17="Excellent",K17*1,IF(O17="Not Applicable",K17*1,0)))))))</f>
        <v>541450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66"/>
      <c r="F18" s="209"/>
      <c r="G18" s="67"/>
      <c r="H18" s="67"/>
      <c r="I18" s="68"/>
      <c r="J18" s="72" t="s">
        <v>25</v>
      </c>
      <c r="K18" s="70">
        <f>IF(J18="YES",IF(J13="2010-2013",H19*$J$12,IF(J13="2014-2021",G19*$J$12,IF(J13="2021-2023",F19*$J$12,0))),0)</f>
        <v>624750</v>
      </c>
      <c r="L18" s="552" t="str">
        <f t="shared" si="1"/>
        <v>#REF!</v>
      </c>
      <c r="M18" s="296">
        <v>529560.0</v>
      </c>
      <c r="N18" s="553">
        <f t="shared" si="2"/>
        <v>956.7479675</v>
      </c>
      <c r="O18" s="207" t="s">
        <v>23</v>
      </c>
      <c r="P18" s="73">
        <f t="shared" si="3"/>
        <v>624750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customHeight="1">
      <c r="A19" s="34"/>
      <c r="B19" s="84"/>
      <c r="C19" s="79" t="s">
        <v>25</v>
      </c>
      <c r="D19" s="66"/>
      <c r="E19" s="66"/>
      <c r="F19" s="67">
        <f>1050*E16</f>
        <v>1249.5</v>
      </c>
      <c r="G19" s="67">
        <f t="shared" ref="G19:G20" si="4">F19/$G$16</f>
        <v>999.6</v>
      </c>
      <c r="H19" s="67">
        <f t="shared" ref="H19:H20" si="5">F19/$H$16</f>
        <v>946.5909091</v>
      </c>
      <c r="I19" s="77">
        <v>1.0</v>
      </c>
      <c r="J19" s="46"/>
      <c r="K19" s="70"/>
      <c r="L19" s="552"/>
      <c r="M19" s="296"/>
      <c r="N19" s="553"/>
      <c r="O19" s="34"/>
      <c r="P19" s="73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customHeight="1">
      <c r="A20" s="34"/>
      <c r="B20" s="85"/>
      <c r="C20" s="79" t="s">
        <v>26</v>
      </c>
      <c r="D20" s="66"/>
      <c r="E20" s="66"/>
      <c r="F20" s="67">
        <v>0.0</v>
      </c>
      <c r="G20" s="67">
        <f t="shared" si="4"/>
        <v>0</v>
      </c>
      <c r="H20" s="67">
        <f t="shared" si="5"/>
        <v>0</v>
      </c>
      <c r="I20" s="77">
        <v>2.0</v>
      </c>
      <c r="J20" s="68"/>
      <c r="K20" s="70"/>
      <c r="L20" s="552"/>
      <c r="M20" s="296"/>
      <c r="N20" s="553"/>
      <c r="O20" s="34"/>
      <c r="P20" s="73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647">
        <f>B18+1</f>
        <v>3</v>
      </c>
      <c r="C21" s="208" t="s">
        <v>27</v>
      </c>
      <c r="D21" s="66"/>
      <c r="E21" s="66"/>
      <c r="F21" s="67"/>
      <c r="G21" s="67"/>
      <c r="H21" s="67"/>
      <c r="I21" s="68"/>
      <c r="J21" s="72" t="s">
        <v>28</v>
      </c>
      <c r="K21" s="70">
        <f>IF(J21="STOCK BRICKS",IF(J13="2010-2013",H22*$J$12,IF(J13="2014-2021",G22*$J$12,IF(J13="2021-2023",F22*$J$12,0))),IF(J21="BLOCKS",IF(J13="2010-2013",H23*$J$12,IF(J13="2014-2021",G23*$J$12,IF(J13="2021-2023",F23*$J$12,0))),IF(J21="FACE BRICKS",IF(J13="2010-2013",H24*$J$12,IF(J13="2014-2021",G24*$J$12,IF(J13="2021-2023",F24*$J$12,0))),0)))</f>
        <v>349432.159</v>
      </c>
      <c r="L21" s="552" t="str">
        <f>AVERAGE(#REF!)</f>
        <v>#REF!</v>
      </c>
      <c r="M21" s="296">
        <f>264000+61060</f>
        <v>325060</v>
      </c>
      <c r="N21" s="553">
        <f>M21/$M$12</f>
        <v>587.2809395</v>
      </c>
      <c r="O21" s="207" t="s">
        <v>23</v>
      </c>
      <c r="P21" s="73">
        <f>IF(O21="Delapidated",K21*0.6,IF(O21="Poor",K21*0.7,IF(O21="Fair",K21*0.8,IF(O21="Good",K21*0.85,IF(O21="Very Good",K21*0.9,IF(O21="Excellent",K21*1,IF(O21="Not Applicable",K21*1,0)))))))</f>
        <v>349432.159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customHeight="1">
      <c r="A22" s="34"/>
      <c r="B22" s="84"/>
      <c r="C22" s="79" t="s">
        <v>28</v>
      </c>
      <c r="D22" s="66"/>
      <c r="E22" s="66"/>
      <c r="F22" s="67">
        <f>587.280939476061*E16</f>
        <v>698.864318</v>
      </c>
      <c r="G22" s="67">
        <f t="shared" ref="G22:G25" si="6">F22/$G$16</f>
        <v>559.0914544</v>
      </c>
      <c r="H22" s="67">
        <f t="shared" ref="H22:H25" si="7">F22/$H$16</f>
        <v>529.4426651</v>
      </c>
      <c r="I22" s="77">
        <v>1.0</v>
      </c>
      <c r="J22" s="68"/>
      <c r="K22" s="70"/>
      <c r="L22" s="552"/>
      <c r="M22" s="296"/>
      <c r="N22" s="553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customHeight="1">
      <c r="A23" s="34"/>
      <c r="B23" s="84"/>
      <c r="C23" s="79" t="s">
        <v>29</v>
      </c>
      <c r="D23" s="66"/>
      <c r="E23" s="66"/>
      <c r="F23" s="67">
        <f>F22*0.8</f>
        <v>559.0914544</v>
      </c>
      <c r="G23" s="67">
        <f t="shared" si="6"/>
        <v>447.2731635</v>
      </c>
      <c r="H23" s="67">
        <f t="shared" si="7"/>
        <v>423.5541321</v>
      </c>
      <c r="I23" s="77">
        <v>2.0</v>
      </c>
      <c r="J23" s="68"/>
      <c r="K23" s="70"/>
      <c r="L23" s="552"/>
      <c r="M23" s="296"/>
      <c r="N23" s="553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customHeight="1">
      <c r="A24" s="34"/>
      <c r="B24" s="84"/>
      <c r="C24" s="79" t="s">
        <v>30</v>
      </c>
      <c r="D24" s="66"/>
      <c r="E24" s="66"/>
      <c r="F24" s="67">
        <f>F22*1.3</f>
        <v>908.5236134</v>
      </c>
      <c r="G24" s="67">
        <f t="shared" si="6"/>
        <v>726.8188907</v>
      </c>
      <c r="H24" s="67">
        <f t="shared" si="7"/>
        <v>688.2754647</v>
      </c>
      <c r="I24" s="77">
        <v>3.0</v>
      </c>
      <c r="J24" s="68"/>
      <c r="K24" s="70"/>
      <c r="L24" s="552"/>
      <c r="M24" s="296"/>
      <c r="N24" s="553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customHeight="1">
      <c r="A25" s="34"/>
      <c r="B25" s="85"/>
      <c r="C25" s="79" t="s">
        <v>31</v>
      </c>
      <c r="D25" s="66"/>
      <c r="E25" s="66"/>
      <c r="F25" s="67">
        <v>0.0</v>
      </c>
      <c r="G25" s="67">
        <f t="shared" si="6"/>
        <v>0</v>
      </c>
      <c r="H25" s="67">
        <f t="shared" si="7"/>
        <v>0</v>
      </c>
      <c r="I25" s="77">
        <v>4.0</v>
      </c>
      <c r="J25" s="68"/>
      <c r="K25" s="70"/>
      <c r="L25" s="552"/>
      <c r="M25" s="296"/>
      <c r="N25" s="553"/>
      <c r="O25" s="34"/>
      <c r="P25" s="73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127</v>
      </c>
      <c r="D26" s="66"/>
      <c r="E26" s="66"/>
      <c r="F26" s="67"/>
      <c r="G26" s="67"/>
      <c r="H26" s="67"/>
      <c r="I26" s="68"/>
      <c r="J26" s="72" t="s">
        <v>33</v>
      </c>
      <c r="K26" s="70">
        <f>IF(J26="CONCRETE ROOF TILES",IF(J13="2010-2013",H27*$J$12,IF(J13="2014-2021",G27*$J$12,IF(J13="2021-2023",F27*$J$12,0))),IF(J26="IBR",IF(J13="2010-2013",H28*$J$12,IF(J13="2014-2021",G28*$J$12,IF(J13="2021-2023",F28*$J$12,0))),IF(J26="CORRUGATED ROOFING SHEETS",IF(J13="2010-2013",H29*$J$12,IF(J13="2014-2021",G29*$J$12,IF(J13="2021-2023",F29*$J$12,0))),0)))</f>
        <v>130900</v>
      </c>
      <c r="L26" s="552" t="str">
        <f>AVERAGE(#REF!)</f>
        <v>#REF!</v>
      </c>
      <c r="M26" s="296">
        <f>165110+95200</f>
        <v>260310</v>
      </c>
      <c r="N26" s="553">
        <f>M26/$M$12</f>
        <v>470.298103</v>
      </c>
      <c r="O26" s="207" t="s">
        <v>23</v>
      </c>
      <c r="P26" s="73">
        <f>IF(O26="Delapidated",K26*0.6,IF(O26="Poor",K26*0.7,IF(O26="Fair",K26*0.8,IF(O26="Good",K26*0.85,IF(O26="Very Good",K26*0.9,IF(O26="Excellent",K26*1,IF(O26="Not Applicable",K26*1,0)))))))</f>
        <v>130900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customHeight="1">
      <c r="A27" s="34"/>
      <c r="B27" s="84"/>
      <c r="C27" s="79" t="s">
        <v>33</v>
      </c>
      <c r="D27" s="66"/>
      <c r="E27" s="66"/>
      <c r="F27" s="67">
        <f>220*E16</f>
        <v>261.8</v>
      </c>
      <c r="G27" s="67">
        <f t="shared" ref="G27:G30" si="8">F27/$G$16</f>
        <v>209.44</v>
      </c>
      <c r="H27" s="67">
        <f t="shared" ref="H27:H30" si="9">F27/$H$16</f>
        <v>198.3333333</v>
      </c>
      <c r="I27" s="77">
        <v>1.0</v>
      </c>
      <c r="J27" s="68"/>
      <c r="K27" s="70"/>
      <c r="L27" s="552"/>
      <c r="M27" s="296"/>
      <c r="N27" s="553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customHeight="1">
      <c r="A28" s="34"/>
      <c r="B28" s="84"/>
      <c r="C28" s="79" t="s">
        <v>34</v>
      </c>
      <c r="D28" s="66"/>
      <c r="E28" s="66"/>
      <c r="F28" s="67">
        <f>F27*1.6</f>
        <v>418.88</v>
      </c>
      <c r="G28" s="67">
        <f t="shared" si="8"/>
        <v>335.104</v>
      </c>
      <c r="H28" s="67">
        <f t="shared" si="9"/>
        <v>317.3333333</v>
      </c>
      <c r="I28" s="77">
        <v>2.0</v>
      </c>
      <c r="J28" s="68"/>
      <c r="K28" s="70"/>
      <c r="L28" s="552"/>
      <c r="M28" s="296"/>
      <c r="N28" s="553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customHeight="1">
      <c r="A29" s="34"/>
      <c r="B29" s="84"/>
      <c r="C29" s="79" t="s">
        <v>35</v>
      </c>
      <c r="D29" s="66"/>
      <c r="E29" s="66"/>
      <c r="F29" s="67">
        <f>F27*0.6</f>
        <v>157.08</v>
      </c>
      <c r="G29" s="67">
        <f t="shared" si="8"/>
        <v>125.664</v>
      </c>
      <c r="H29" s="67">
        <f t="shared" si="9"/>
        <v>119</v>
      </c>
      <c r="I29" s="77">
        <v>3.0</v>
      </c>
      <c r="J29" s="68"/>
      <c r="K29" s="70"/>
      <c r="L29" s="552"/>
      <c r="M29" s="296"/>
      <c r="N29" s="553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customHeight="1">
      <c r="A30" s="34"/>
      <c r="B30" s="85"/>
      <c r="C30" s="79" t="s">
        <v>36</v>
      </c>
      <c r="D30" s="66"/>
      <c r="E30" s="66"/>
      <c r="F30" s="67">
        <v>0.0</v>
      </c>
      <c r="G30" s="67">
        <f t="shared" si="8"/>
        <v>0</v>
      </c>
      <c r="H30" s="67">
        <f t="shared" si="9"/>
        <v>0</v>
      </c>
      <c r="I30" s="77">
        <v>4.0</v>
      </c>
      <c r="J30" s="68"/>
      <c r="K30" s="70"/>
      <c r="L30" s="552"/>
      <c r="M30" s="296"/>
      <c r="N30" s="553"/>
      <c r="O30" s="34"/>
      <c r="P30" s="73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4">
        <f>B26+1</f>
        <v>5</v>
      </c>
      <c r="C31" s="74" t="s">
        <v>37</v>
      </c>
      <c r="D31" s="66"/>
      <c r="E31" s="66"/>
      <c r="F31" s="67"/>
      <c r="G31" s="67"/>
      <c r="H31" s="67"/>
      <c r="I31" s="77"/>
      <c r="J31" s="72" t="s">
        <v>38</v>
      </c>
      <c r="K31" s="70">
        <f>IF(J31="TIMBER ROOF TRUSSES",IF(J13="2010-2013",H32*$J$12,IF(J13="2014-2021",G32*$J$12,IF(J13="2021-2023",F32*$J$12,0))),IF(J31="STRUCTURAL STEEL TRUSSES",IF(J13="2010-2013",#REF!*$J$12,IF(J13="2014-2021",#REF!*$J$12,IF(J13="2021-2023",#REF!*$J$12,0))),0))</f>
        <v>309400</v>
      </c>
      <c r="L31" s="59" t="str">
        <f>AVERAGE(#REF!)</f>
        <v>#REF!</v>
      </c>
      <c r="M31" s="43">
        <f>51922.2222222222+844</f>
        <v>52766.22222</v>
      </c>
      <c r="N31" s="71" t="str">
        <f>M31/$L$11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185640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customHeight="1">
      <c r="A32" s="34"/>
      <c r="B32" s="44"/>
      <c r="C32" s="79" t="s">
        <v>38</v>
      </c>
      <c r="D32" s="66"/>
      <c r="E32" s="66"/>
      <c r="F32" s="67">
        <f>520*E16</f>
        <v>618.8</v>
      </c>
      <c r="G32" s="67">
        <f>F32/$G$16</f>
        <v>495.04</v>
      </c>
      <c r="H32" s="67">
        <f t="shared" ref="H32:H33" si="10">F32/$H$16</f>
        <v>468.7878788</v>
      </c>
      <c r="I32" s="77"/>
      <c r="J32" s="68"/>
      <c r="K32" s="70"/>
      <c r="L32" s="552"/>
      <c r="M32" s="296"/>
      <c r="N32" s="553"/>
      <c r="O32" s="34"/>
      <c r="P32" s="73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customHeight="1">
      <c r="A33" s="34"/>
      <c r="B33" s="44"/>
      <c r="C33" s="79" t="s">
        <v>41</v>
      </c>
      <c r="D33" s="66"/>
      <c r="E33" s="66"/>
      <c r="F33" s="67">
        <v>0.0</v>
      </c>
      <c r="G33" s="67">
        <v>0.0</v>
      </c>
      <c r="H33" s="67">
        <f t="shared" si="10"/>
        <v>0</v>
      </c>
      <c r="I33" s="77"/>
      <c r="J33" s="68"/>
      <c r="K33" s="70"/>
      <c r="L33" s="552"/>
      <c r="M33" s="296"/>
      <c r="N33" s="553"/>
      <c r="O33" s="34"/>
      <c r="P33" s="73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customHeight="1">
      <c r="A34" s="34"/>
      <c r="B34" s="83">
        <v>6.0</v>
      </c>
      <c r="C34" s="208" t="s">
        <v>119</v>
      </c>
      <c r="D34" s="66"/>
      <c r="E34" s="66"/>
      <c r="F34" s="67"/>
      <c r="G34" s="67"/>
      <c r="H34" s="67"/>
      <c r="I34" s="68"/>
      <c r="J34" s="72" t="s">
        <v>25</v>
      </c>
      <c r="K34" s="70">
        <f>IF(J34="YES",IF(J13="2010-2013",H35*$J$12,IF(J13="2014-2021",G35*$J$12,IF(J13="2021-2023",F35*$J$12,0))),0)</f>
        <v>74375</v>
      </c>
      <c r="L34" s="552" t="str">
        <f>AVERAGE(#REF!)</f>
        <v>#REF!</v>
      </c>
      <c r="M34" s="296">
        <f>186810+20790</f>
        <v>207600</v>
      </c>
      <c r="N34" s="553">
        <f>M34/$M$12</f>
        <v>375.0677507</v>
      </c>
      <c r="O34" s="207" t="s">
        <v>23</v>
      </c>
      <c r="P34" s="73">
        <f>IF(O34="Delapidated",K34*0.6,IF(O34="Poor",K34*0.7,IF(O34="Fair",K34*0.8,IF(O34="Good",K34*0.85,IF(O34="Very Good",K34*0.9,IF(O34="Excellent",K34*1,IF(O34="Not Applicable",K34*1,0)))))))</f>
        <v>74375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4"/>
      <c r="C35" s="79" t="s">
        <v>25</v>
      </c>
      <c r="D35" s="66"/>
      <c r="E35" s="66"/>
      <c r="F35" s="67">
        <f>125*E16</f>
        <v>148.75</v>
      </c>
      <c r="G35" s="67">
        <f t="shared" ref="G35:G36" si="11">F35/$G$16</f>
        <v>119</v>
      </c>
      <c r="H35" s="67">
        <f t="shared" ref="H35:H36" si="12">F35/$H$16</f>
        <v>112.6893939</v>
      </c>
      <c r="I35" s="77">
        <v>1.0</v>
      </c>
      <c r="J35" s="68"/>
      <c r="K35" s="70"/>
      <c r="L35" s="552"/>
      <c r="M35" s="296"/>
      <c r="N35" s="553"/>
      <c r="O35" s="34"/>
      <c r="P35" s="73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customHeight="1">
      <c r="A36" s="34"/>
      <c r="B36" s="85"/>
      <c r="C36" s="79" t="s">
        <v>26</v>
      </c>
      <c r="D36" s="66"/>
      <c r="E36" s="66"/>
      <c r="F36" s="67">
        <v>0.0</v>
      </c>
      <c r="G36" s="67">
        <f t="shared" si="11"/>
        <v>0</v>
      </c>
      <c r="H36" s="67">
        <f t="shared" si="12"/>
        <v>0</v>
      </c>
      <c r="I36" s="77">
        <v>2.0</v>
      </c>
      <c r="J36" s="68"/>
      <c r="K36" s="70"/>
      <c r="L36" s="552"/>
      <c r="M36" s="296"/>
      <c r="N36" s="553"/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customHeight="1">
      <c r="A37" s="34"/>
      <c r="B37" s="83">
        <f>B34+1</f>
        <v>7</v>
      </c>
      <c r="C37" s="208" t="s">
        <v>45</v>
      </c>
      <c r="D37" s="66"/>
      <c r="E37" s="66"/>
      <c r="F37" s="67"/>
      <c r="G37" s="67"/>
      <c r="H37" s="67"/>
      <c r="I37" s="68"/>
      <c r="J37" s="72" t="s">
        <v>25</v>
      </c>
      <c r="K37" s="70">
        <f>IF(J37="YES",IF(J13="2010-2013",H38*$J$12,IF(J13="2014-2021",G38*$J$12,IF(J13="2021-2023",F38*$J$12,0))),0)</f>
        <v>267750</v>
      </c>
      <c r="L37" s="552"/>
      <c r="M37" s="296"/>
      <c r="N37" s="553"/>
      <c r="O37" s="207" t="s">
        <v>23</v>
      </c>
      <c r="P37" s="73">
        <f>IF(O37="Delapidated",K37*0.6,IF(O37="Poor",K37*0.7,IF(O37="Fair",K37*0.8,IF(O37="Good",K37*0.85,IF(O37="Very Good",K37*0.9,IF(O37="Excellent",K37*1,IF(O37="Not Applicable",K37*1,0)))))))</f>
        <v>267750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4"/>
      <c r="C38" s="79" t="s">
        <v>25</v>
      </c>
      <c r="D38" s="66"/>
      <c r="E38" s="66"/>
      <c r="F38" s="67">
        <f>450*E16</f>
        <v>535.5</v>
      </c>
      <c r="G38" s="67">
        <f t="shared" ref="G38:G39" si="13">F38/$G$16</f>
        <v>428.4</v>
      </c>
      <c r="H38" s="67">
        <f t="shared" ref="H38:H39" si="14">F38/$H$16</f>
        <v>405.6818182</v>
      </c>
      <c r="I38" s="77">
        <v>1.0</v>
      </c>
      <c r="J38" s="68"/>
      <c r="K38" s="70"/>
      <c r="L38" s="552"/>
      <c r="M38" s="296"/>
      <c r="N38" s="553"/>
      <c r="O38" s="34"/>
      <c r="P38" s="73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customHeight="1">
      <c r="A39" s="34"/>
      <c r="B39" s="85"/>
      <c r="C39" s="79" t="s">
        <v>26</v>
      </c>
      <c r="D39" s="66"/>
      <c r="E39" s="66"/>
      <c r="F39" s="67">
        <v>0.0</v>
      </c>
      <c r="G39" s="67">
        <f t="shared" si="13"/>
        <v>0</v>
      </c>
      <c r="H39" s="67">
        <f t="shared" si="14"/>
        <v>0</v>
      </c>
      <c r="I39" s="77">
        <v>2.0</v>
      </c>
      <c r="J39" s="68"/>
      <c r="K39" s="70"/>
      <c r="L39" s="552"/>
      <c r="M39" s="296"/>
      <c r="N39" s="553"/>
      <c r="O39" s="34"/>
      <c r="P39" s="73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customHeight="1">
      <c r="A40" s="34"/>
      <c r="B40" s="44"/>
      <c r="C40" s="214" t="s">
        <v>48</v>
      </c>
      <c r="D40" s="66"/>
      <c r="E40" s="66"/>
      <c r="F40" s="67"/>
      <c r="G40" s="67"/>
      <c r="H40" s="67"/>
      <c r="I40" s="77"/>
      <c r="J40" s="227">
        <v>6.0</v>
      </c>
      <c r="K40" s="70"/>
      <c r="L40" s="552"/>
      <c r="M40" s="296"/>
      <c r="N40" s="553"/>
      <c r="O40" s="34"/>
      <c r="P40" s="73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83">
        <f>B37+1</f>
        <v>8</v>
      </c>
      <c r="C41" s="208" t="s">
        <v>49</v>
      </c>
      <c r="D41" s="66"/>
      <c r="E41" s="66"/>
      <c r="F41" s="67"/>
      <c r="G41" s="67"/>
      <c r="H41" s="67"/>
      <c r="I41" s="68"/>
      <c r="J41" s="72" t="s">
        <v>25</v>
      </c>
      <c r="K41" s="70">
        <f>IF(J41="YES",IF(J13="2010-2013",H42*$J$40,IF(J13="2014-2021",G42*$J$40,IF(J13="2021-2023",F42*$J$40,0))),0)</f>
        <v>150000</v>
      </c>
      <c r="L41" s="552"/>
      <c r="M41" s="296"/>
      <c r="N41" s="553"/>
      <c r="O41" s="207" t="s">
        <v>23</v>
      </c>
      <c r="P41" s="73">
        <f>IF(O41="Delapidated",K41*0.6,IF(O41="Poor",K41*0.7,IF(O41="Fair",K41*0.8,IF(O41="Good",K41*0.85,IF(O41="Very Good",K41*0.9,IF(O41="Excellent",K41*1,IF(O41="Not Applicable",K41*1,0)))))))</f>
        <v>150000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4"/>
      <c r="C42" s="79" t="s">
        <v>25</v>
      </c>
      <c r="D42" s="66"/>
      <c r="E42" s="66"/>
      <c r="F42" s="67">
        <v>25000.0</v>
      </c>
      <c r="G42" s="67">
        <f t="shared" ref="G42:G43" si="15">F42/$G$16</f>
        <v>20000</v>
      </c>
      <c r="H42" s="67">
        <f t="shared" ref="H42:H43" si="16">F42/$H$16</f>
        <v>18939.39394</v>
      </c>
      <c r="I42" s="77">
        <v>1.0</v>
      </c>
      <c r="J42" s="68"/>
      <c r="K42" s="70"/>
      <c r="L42" s="552"/>
      <c r="M42" s="296"/>
      <c r="N42" s="553"/>
      <c r="O42" s="34"/>
      <c r="P42" s="73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customHeight="1">
      <c r="A43" s="34"/>
      <c r="B43" s="85"/>
      <c r="C43" s="79" t="s">
        <v>26</v>
      </c>
      <c r="D43" s="66"/>
      <c r="E43" s="66"/>
      <c r="F43" s="67">
        <v>0.0</v>
      </c>
      <c r="G43" s="67">
        <f t="shared" si="15"/>
        <v>0</v>
      </c>
      <c r="H43" s="67">
        <f t="shared" si="16"/>
        <v>0</v>
      </c>
      <c r="I43" s="77">
        <v>2.0</v>
      </c>
      <c r="J43" s="68"/>
      <c r="K43" s="70"/>
      <c r="L43" s="552"/>
      <c r="M43" s="296"/>
      <c r="N43" s="553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3">
        <f>B41+1</f>
        <v>9</v>
      </c>
      <c r="C44" s="208" t="s">
        <v>50</v>
      </c>
      <c r="D44" s="66"/>
      <c r="E44" s="66"/>
      <c r="F44" s="67"/>
      <c r="G44" s="67"/>
      <c r="H44" s="67"/>
      <c r="I44" s="68"/>
      <c r="J44" s="72" t="s">
        <v>25</v>
      </c>
      <c r="K44" s="70">
        <f>IF(J44="YES",IF(J13="2010-2013",H45*$J$12,IF(J13="2014-2021",G45*$J$12,IF(J13="2021-2023",F45*$J$12,0))),0)</f>
        <v>148750</v>
      </c>
      <c r="L44" s="552" t="str">
        <f>AVERAGE(#REF!)</f>
        <v>#REF!</v>
      </c>
      <c r="M44" s="296">
        <v>117880.0</v>
      </c>
      <c r="N44" s="553">
        <f>M44/$M$12</f>
        <v>212.9719964</v>
      </c>
      <c r="O44" s="207" t="s">
        <v>23</v>
      </c>
      <c r="P44" s="73">
        <f>IF(O44="Delapidated",K44*0.6,IF(O44="Poor",K44*0.7,IF(O44="Fair",K44*0.8,IF(O44="Good",K44*0.85,IF(O44="Very Good",K44*0.9,IF(O44="Excellent",K44*1,IF(O44="Not Applicable",K44*1,0)))))))</f>
        <v>148750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84"/>
      <c r="C45" s="79" t="s">
        <v>25</v>
      </c>
      <c r="D45" s="66"/>
      <c r="E45" s="66"/>
      <c r="F45" s="67">
        <f>250*E16</f>
        <v>297.5</v>
      </c>
      <c r="G45" s="67">
        <f t="shared" ref="G45:G46" si="17">F45/$G$16</f>
        <v>238</v>
      </c>
      <c r="H45" s="67">
        <f t="shared" ref="H45:H46" si="18">F45/$H$16</f>
        <v>225.3787879</v>
      </c>
      <c r="I45" s="77">
        <v>1.0</v>
      </c>
      <c r="J45" s="68"/>
      <c r="K45" s="70"/>
      <c r="L45" s="552"/>
      <c r="M45" s="296"/>
      <c r="N45" s="553"/>
      <c r="O45" s="34"/>
      <c r="P45" s="73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customHeight="1">
      <c r="A46" s="34"/>
      <c r="B46" s="85"/>
      <c r="C46" s="79" t="s">
        <v>26</v>
      </c>
      <c r="D46" s="66"/>
      <c r="E46" s="66"/>
      <c r="F46" s="67">
        <v>0.0</v>
      </c>
      <c r="G46" s="67">
        <f t="shared" si="17"/>
        <v>0</v>
      </c>
      <c r="H46" s="67">
        <f t="shared" si="18"/>
        <v>0</v>
      </c>
      <c r="I46" s="77">
        <v>2.0</v>
      </c>
      <c r="J46" s="68"/>
      <c r="K46" s="70"/>
      <c r="L46" s="552"/>
      <c r="M46" s="296"/>
      <c r="N46" s="553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83">
        <v>10.0</v>
      </c>
      <c r="C47" s="92" t="s">
        <v>51</v>
      </c>
      <c r="D47" s="66"/>
      <c r="E47" s="66"/>
      <c r="F47" s="67"/>
      <c r="G47" s="67"/>
      <c r="H47" s="67"/>
      <c r="I47" s="77"/>
      <c r="J47" s="72" t="s">
        <v>52</v>
      </c>
      <c r="K47" s="70">
        <f>IF(J47="VINYL FLOORING",IF(J13="2010-2013",H48*$J$12,IF(J13="2014-2021",G48*$J$12,IF(J13="2021-2023",F48*$J$12,0))),IF(J47="TILING FLOORING",IF(J13="2010-2013",H49*$J$12,IF(J13="2014-2021",G49*$J$12,IF(J13="2021-2023",F49*$J$12,0))),IF(J47="TIMBER FLOORING",IF(J13="2010-2013",H50*$J$12,IF(J13="2014-2021",G50*$J$12,IF(J13="2021-2023",F50*$J$12,0))),IF(J47="CARPETS FLOORING",IF(J13="2010-2013",H51*$J$12,IF(J13="2014-2021",G51*$J$12,IF(J13="2021-2023",F51*$J$12,0))),0))))</f>
        <v>267750</v>
      </c>
      <c r="L47" s="552"/>
      <c r="M47" s="296"/>
      <c r="N47" s="553"/>
      <c r="O47" s="207" t="s">
        <v>23</v>
      </c>
      <c r="P47" s="73">
        <f>IF(O47="Delapidated",K47*0.6,IF(O47="Poor",K47*0.7,IF(O47="Fair",K47*0.8,IF(O47="Good",K47*0.85,IF(O47="Very Good",K47*0.9,IF(O47="Excellent",K47*1,IF(O47="Not Applicable",K47*1,0)))))))</f>
        <v>267750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84"/>
      <c r="C48" s="79" t="s">
        <v>53</v>
      </c>
      <c r="D48" s="66"/>
      <c r="E48" s="66"/>
      <c r="F48" s="67">
        <f>F49*0.7</f>
        <v>374.85</v>
      </c>
      <c r="G48" s="67">
        <f t="shared" ref="G48:G52" si="19">F48/$G$16</f>
        <v>299.88</v>
      </c>
      <c r="H48" s="67">
        <f t="shared" ref="H48:H52" si="20">F48/$H$16</f>
        <v>283.9772727</v>
      </c>
      <c r="I48" s="77">
        <v>1.0</v>
      </c>
      <c r="J48" s="68"/>
      <c r="K48" s="70"/>
      <c r="L48" s="552"/>
      <c r="M48" s="296"/>
      <c r="N48" s="553"/>
      <c r="O48" s="34"/>
      <c r="P48" s="73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customHeight="1">
      <c r="A49" s="34"/>
      <c r="B49" s="84"/>
      <c r="C49" s="79" t="s">
        <v>52</v>
      </c>
      <c r="D49" s="66"/>
      <c r="E49" s="66"/>
      <c r="F49" s="67">
        <f>450*E16</f>
        <v>535.5</v>
      </c>
      <c r="G49" s="67">
        <f t="shared" si="19"/>
        <v>428.4</v>
      </c>
      <c r="H49" s="67">
        <f t="shared" si="20"/>
        <v>405.6818182</v>
      </c>
      <c r="I49" s="77">
        <v>2.0</v>
      </c>
      <c r="J49" s="68"/>
      <c r="K49" s="70"/>
      <c r="L49" s="552"/>
      <c r="M49" s="296"/>
      <c r="N49" s="553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customHeight="1">
      <c r="A50" s="34"/>
      <c r="B50" s="84"/>
      <c r="C50" s="79" t="s">
        <v>54</v>
      </c>
      <c r="D50" s="66"/>
      <c r="E50" s="66"/>
      <c r="F50" s="67">
        <f>F49*1.2</f>
        <v>642.6</v>
      </c>
      <c r="G50" s="67">
        <f t="shared" si="19"/>
        <v>514.08</v>
      </c>
      <c r="H50" s="67">
        <f t="shared" si="20"/>
        <v>486.8181818</v>
      </c>
      <c r="I50" s="77">
        <v>3.0</v>
      </c>
      <c r="J50" s="68"/>
      <c r="K50" s="70"/>
      <c r="L50" s="552"/>
      <c r="M50" s="296"/>
      <c r="N50" s="553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customHeight="1">
      <c r="A51" s="34"/>
      <c r="B51" s="84"/>
      <c r="C51" s="79" t="s">
        <v>55</v>
      </c>
      <c r="D51" s="66"/>
      <c r="E51" s="66"/>
      <c r="F51" s="67">
        <f>F49*1.3</f>
        <v>696.15</v>
      </c>
      <c r="G51" s="67">
        <f t="shared" si="19"/>
        <v>556.92</v>
      </c>
      <c r="H51" s="67">
        <f t="shared" si="20"/>
        <v>527.3863636</v>
      </c>
      <c r="I51" s="77">
        <v>4.0</v>
      </c>
      <c r="J51" s="68"/>
      <c r="K51" s="70"/>
      <c r="L51" s="552"/>
      <c r="M51" s="296"/>
      <c r="N51" s="553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customHeight="1">
      <c r="A52" s="34"/>
      <c r="B52" s="85"/>
      <c r="C52" s="79" t="s">
        <v>56</v>
      </c>
      <c r="D52" s="66"/>
      <c r="E52" s="66"/>
      <c r="F52" s="67">
        <v>0.0</v>
      </c>
      <c r="G52" s="67">
        <f t="shared" si="19"/>
        <v>0</v>
      </c>
      <c r="H52" s="67">
        <f t="shared" si="20"/>
        <v>0</v>
      </c>
      <c r="I52" s="77">
        <v>5.0</v>
      </c>
      <c r="J52" s="68"/>
      <c r="K52" s="70"/>
      <c r="L52" s="552"/>
      <c r="M52" s="296"/>
      <c r="N52" s="553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customHeight="1">
      <c r="A53" s="34"/>
      <c r="B53" s="83">
        <f>B47+1</f>
        <v>11</v>
      </c>
      <c r="C53" s="208" t="s">
        <v>57</v>
      </c>
      <c r="D53" s="66"/>
      <c r="E53" s="66"/>
      <c r="F53" s="67"/>
      <c r="G53" s="67"/>
      <c r="H53" s="67"/>
      <c r="I53" s="68"/>
      <c r="J53" s="72" t="s">
        <v>58</v>
      </c>
      <c r="K53" s="70">
        <f>IF(J53="STEEL WINDOW FRAMES",IF(J13="2010-2013",H54*$J$12,IF(J13="2014-2021",G54*$J$12,IF(J13="2021-2023",F54*$J$12,0))),IF(J53="ALUMINIUM WINDOW FRAMES",IF(J13="2010-2013",H55*$J$12,IF(J13="2014-2021",G55*$J$12,IF(J13="2021-2023",F55*$J$12,0))),0))</f>
        <v>446250</v>
      </c>
      <c r="L53" s="552" t="str">
        <f>AVERAGE(#REF!)</f>
        <v>#REF!</v>
      </c>
      <c r="M53" s="296">
        <v>288600.0</v>
      </c>
      <c r="N53" s="553">
        <f>M53/$M$12</f>
        <v>521.4092141</v>
      </c>
      <c r="O53" s="207" t="s">
        <v>23</v>
      </c>
      <c r="P53" s="73">
        <f>IF(O53="Delapidated",K53*0.6,IF(O53="Poor",K53*0.7,IF(O53="Fair",K53*0.8,IF(O53="Good",K53*0.85,IF(O53="Very Good",K53*0.9,IF(O53="Excellent",K53*1,IF(O53="Not Applicable",K53*1,0)))))))</f>
        <v>446250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34"/>
      <c r="B54" s="84"/>
      <c r="C54" s="79" t="s">
        <v>59</v>
      </c>
      <c r="D54" s="66"/>
      <c r="E54" s="66"/>
      <c r="F54" s="303">
        <f>F55*0.3</f>
        <v>267.75</v>
      </c>
      <c r="G54" s="67">
        <f t="shared" ref="G54:G56" si="21">F54/$G$16</f>
        <v>214.2</v>
      </c>
      <c r="H54" s="67">
        <f t="shared" ref="H54:H56" si="22">F54/$H$16</f>
        <v>202.8409091</v>
      </c>
      <c r="I54" s="77">
        <v>1.0</v>
      </c>
      <c r="J54" s="68"/>
      <c r="K54" s="70"/>
      <c r="L54" s="552"/>
      <c r="M54" s="296"/>
      <c r="N54" s="553"/>
      <c r="O54" s="34"/>
      <c r="P54" s="73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customHeight="1">
      <c r="A55" s="34"/>
      <c r="B55" s="84"/>
      <c r="C55" s="79" t="s">
        <v>58</v>
      </c>
      <c r="D55" s="66"/>
      <c r="E55" s="66"/>
      <c r="F55" s="67">
        <f>750*E16</f>
        <v>892.5</v>
      </c>
      <c r="G55" s="67">
        <f t="shared" si="21"/>
        <v>714</v>
      </c>
      <c r="H55" s="67">
        <f t="shared" si="22"/>
        <v>676.1363636</v>
      </c>
      <c r="I55" s="77">
        <v>2.0</v>
      </c>
      <c r="J55" s="68"/>
      <c r="K55" s="70"/>
      <c r="L55" s="552"/>
      <c r="M55" s="296"/>
      <c r="N55" s="553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34"/>
      <c r="B56" s="85"/>
      <c r="C56" s="79" t="s">
        <v>60</v>
      </c>
      <c r="D56" s="66"/>
      <c r="E56" s="66"/>
      <c r="F56" s="67">
        <v>0.0</v>
      </c>
      <c r="G56" s="67">
        <f t="shared" si="21"/>
        <v>0</v>
      </c>
      <c r="H56" s="67">
        <f t="shared" si="22"/>
        <v>0</v>
      </c>
      <c r="I56" s="77">
        <v>3.0</v>
      </c>
      <c r="J56" s="68"/>
      <c r="K56" s="70"/>
      <c r="L56" s="552"/>
      <c r="M56" s="296"/>
      <c r="N56" s="553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customHeight="1">
      <c r="A57" s="34"/>
      <c r="B57" s="83">
        <f>B53+1</f>
        <v>12</v>
      </c>
      <c r="C57" s="208" t="s">
        <v>61</v>
      </c>
      <c r="D57" s="66"/>
      <c r="E57" s="66"/>
      <c r="F57" s="67"/>
      <c r="G57" s="67"/>
      <c r="H57" s="67"/>
      <c r="I57" s="68"/>
      <c r="J57" s="72" t="s">
        <v>25</v>
      </c>
      <c r="K57" s="70">
        <f>IF(J57="YES",IF(J13="2010-2013",H58*$J$12,IF(J13="2014-2021",G58*$J$12,IF(J13="2021-2023",F58*$J$12,0))),0)</f>
        <v>226100</v>
      </c>
      <c r="L57" s="552" t="str">
        <f>AVERAGE(#REF!)</f>
        <v>#REF!</v>
      </c>
      <c r="M57" s="296">
        <v>190550.0</v>
      </c>
      <c r="N57" s="553">
        <f>M57/$M$12</f>
        <v>344.263776</v>
      </c>
      <c r="O57" s="207" t="s">
        <v>23</v>
      </c>
      <c r="P57" s="73">
        <f>IF(O57="Delapidated",K57*0.6,IF(O57="Poor",K57*0.7,IF(O57="Fair",K57*0.8,IF(O57="Good",K57*0.85,IF(O57="Very Good",K57*0.9,IF(O57="Excellent",K57*1,IF(O57="Not Applicable",K57*1,0)))))))</f>
        <v>226100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54.75" customHeight="1">
      <c r="A58" s="34"/>
      <c r="B58" s="84"/>
      <c r="C58" s="79" t="s">
        <v>25</v>
      </c>
      <c r="D58" s="66"/>
      <c r="E58" s="66"/>
      <c r="F58" s="67">
        <f>380*E16</f>
        <v>452.2</v>
      </c>
      <c r="G58" s="67">
        <f t="shared" ref="G58:G59" si="23">F58/$G$16</f>
        <v>361.76</v>
      </c>
      <c r="H58" s="67">
        <f t="shared" ref="H58:H59" si="24">F58/$H$16</f>
        <v>342.5757576</v>
      </c>
      <c r="I58" s="77">
        <v>1.0</v>
      </c>
      <c r="J58" s="68"/>
      <c r="K58" s="70"/>
      <c r="L58" s="552"/>
      <c r="M58" s="296"/>
      <c r="N58" s="553"/>
      <c r="O58" s="34"/>
      <c r="P58" s="73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customHeight="1">
      <c r="A59" s="34"/>
      <c r="B59" s="85"/>
      <c r="C59" s="79" t="s">
        <v>26</v>
      </c>
      <c r="D59" s="66"/>
      <c r="E59" s="66"/>
      <c r="F59" s="67">
        <v>0.0</v>
      </c>
      <c r="G59" s="67">
        <f t="shared" si="23"/>
        <v>0</v>
      </c>
      <c r="H59" s="67">
        <f t="shared" si="24"/>
        <v>0</v>
      </c>
      <c r="I59" s="77">
        <v>2.0</v>
      </c>
      <c r="J59" s="68"/>
      <c r="K59" s="70"/>
      <c r="L59" s="552"/>
      <c r="M59" s="296"/>
      <c r="N59" s="553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3">
        <f>B57+1</f>
        <v>13</v>
      </c>
      <c r="C60" s="208" t="s">
        <v>62</v>
      </c>
      <c r="D60" s="66"/>
      <c r="E60" s="66"/>
      <c r="F60" s="67"/>
      <c r="G60" s="67"/>
      <c r="H60" s="67"/>
      <c r="I60" s="68"/>
      <c r="J60" s="72" t="s">
        <v>25</v>
      </c>
      <c r="K60" s="70">
        <f>IF(J60="YES",IF(J13="2010-2013",H61*$J$12,IF(J13="2014-2021",G61*$J$12,IF(J13="2021-2023",F61*$J$12,0))),0)</f>
        <v>208250</v>
      </c>
      <c r="L60" s="552" t="str">
        <f>AVERAGE(#REF!)</f>
        <v>#REF!</v>
      </c>
      <c r="M60" s="296">
        <v>177790.0</v>
      </c>
      <c r="N60" s="553">
        <f>M60/$M$12</f>
        <v>321.2104788</v>
      </c>
      <c r="O60" s="207" t="s">
        <v>23</v>
      </c>
      <c r="P60" s="73">
        <f>IF(O60="Delapidated",K60*0.6,IF(O60="Poor",K60*0.7,IF(O60="Fair",K60*0.8,IF(O60="Good",K60*0.85,IF(O60="Very Good",K60*0.9,IF(O60="Excellent",K60*1,IF(O60="Not Applicable",K60*1,0)))))))</f>
        <v>208250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84"/>
      <c r="C61" s="79" t="s">
        <v>25</v>
      </c>
      <c r="D61" s="66"/>
      <c r="E61" s="66"/>
      <c r="F61" s="67">
        <f>350*E16</f>
        <v>416.5</v>
      </c>
      <c r="G61" s="67">
        <f t="shared" ref="G61:G62" si="25">F61/$G$16</f>
        <v>333.2</v>
      </c>
      <c r="H61" s="67">
        <f t="shared" ref="H61:H62" si="26">F61/$H$16</f>
        <v>315.530303</v>
      </c>
      <c r="I61" s="77">
        <v>1.0</v>
      </c>
      <c r="J61" s="68"/>
      <c r="K61" s="70"/>
      <c r="L61" s="552"/>
      <c r="M61" s="296"/>
      <c r="N61" s="553"/>
      <c r="O61" s="34"/>
      <c r="P61" s="73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customHeight="1">
      <c r="A62" s="34"/>
      <c r="B62" s="85"/>
      <c r="C62" s="79" t="s">
        <v>26</v>
      </c>
      <c r="D62" s="66"/>
      <c r="E62" s="66"/>
      <c r="F62" s="67">
        <v>0.0</v>
      </c>
      <c r="G62" s="67">
        <f t="shared" si="25"/>
        <v>0</v>
      </c>
      <c r="H62" s="67">
        <f t="shared" si="26"/>
        <v>0</v>
      </c>
      <c r="I62" s="77">
        <v>2.0</v>
      </c>
      <c r="J62" s="68"/>
      <c r="K62" s="70"/>
      <c r="L62" s="552"/>
      <c r="M62" s="296"/>
      <c r="N62" s="553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34"/>
      <c r="B63" s="44"/>
      <c r="C63" s="214" t="s">
        <v>63</v>
      </c>
      <c r="D63" s="66"/>
      <c r="E63" s="66"/>
      <c r="F63" s="67"/>
      <c r="G63" s="67"/>
      <c r="H63" s="67"/>
      <c r="I63" s="77"/>
      <c r="J63" s="227">
        <v>6.0</v>
      </c>
      <c r="K63" s="34"/>
      <c r="L63" s="552"/>
      <c r="M63" s="296"/>
      <c r="N63" s="553"/>
      <c r="O63" s="34"/>
      <c r="P63" s="73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83">
        <f>B60+1</f>
        <v>14</v>
      </c>
      <c r="C64" s="208" t="s">
        <v>64</v>
      </c>
      <c r="D64" s="66"/>
      <c r="E64" s="66"/>
      <c r="F64" s="67"/>
      <c r="G64" s="67"/>
      <c r="H64" s="67"/>
      <c r="I64" s="68"/>
      <c r="J64" s="72" t="s">
        <v>25</v>
      </c>
      <c r="K64" s="70">
        <f>IF(J64="YES",IF(J13="2010-2013",H65*J63,IF(J13="2014-2021",G65*J63,IF(J13="2021-2023",F65*J63,0))),0)</f>
        <v>270000</v>
      </c>
      <c r="L64" s="552" t="str">
        <f>AVERAGE(D64:F64)</f>
        <v>#DIV/0!</v>
      </c>
      <c r="M64" s="296">
        <f>136070+15150</f>
        <v>151220</v>
      </c>
      <c r="N64" s="553">
        <f>M64/$M$12</f>
        <v>273.2068654</v>
      </c>
      <c r="O64" s="207" t="s">
        <v>23</v>
      </c>
      <c r="P64" s="73">
        <f>IF(O64="Delapidated",K64*0.6,IF(O64="Poor",K64*0.7,IF(O64="Fair",K64*0.8,IF(O64="Good",K64*0.85,IF(O64="Very Good",K64*0.9,IF(O64="Excellent",K64*1,IF(O64="Not Applicable",K64*1,0)))))))</f>
        <v>270000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84"/>
      <c r="C65" s="79" t="s">
        <v>25</v>
      </c>
      <c r="D65" s="66"/>
      <c r="E65" s="66"/>
      <c r="F65" s="67">
        <v>45000.0</v>
      </c>
      <c r="G65" s="67">
        <f t="shared" ref="G65:G66" si="27">F65/$G$16</f>
        <v>36000</v>
      </c>
      <c r="H65" s="67">
        <f t="shared" ref="H65:H66" si="28">F65/$H$16</f>
        <v>34090.90909</v>
      </c>
      <c r="I65" s="77">
        <v>1.0</v>
      </c>
      <c r="J65" s="68"/>
      <c r="K65" s="70"/>
      <c r="L65" s="552"/>
      <c r="M65" s="296"/>
      <c r="N65" s="553"/>
      <c r="O65" s="34"/>
      <c r="P65" s="73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34"/>
      <c r="B66" s="85"/>
      <c r="C66" s="79" t="s">
        <v>26</v>
      </c>
      <c r="D66" s="66"/>
      <c r="E66" s="66"/>
      <c r="F66" s="67">
        <v>0.0</v>
      </c>
      <c r="G66" s="67">
        <f t="shared" si="27"/>
        <v>0</v>
      </c>
      <c r="H66" s="67">
        <f t="shared" si="28"/>
        <v>0</v>
      </c>
      <c r="I66" s="77">
        <v>2.0</v>
      </c>
      <c r="J66" s="68"/>
      <c r="K66" s="70"/>
      <c r="L66" s="552"/>
      <c r="M66" s="296"/>
      <c r="N66" s="553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83">
        <f>B64+1</f>
        <v>15</v>
      </c>
      <c r="C67" s="208" t="s">
        <v>65</v>
      </c>
      <c r="D67" s="66"/>
      <c r="E67" s="66"/>
      <c r="F67" s="67"/>
      <c r="G67" s="67"/>
      <c r="H67" s="67"/>
      <c r="I67" s="68"/>
      <c r="J67" s="72" t="s">
        <v>25</v>
      </c>
      <c r="K67" s="70">
        <f>IF(J67="YES",IF(J13="2010-2013",H68*$J$12,IF(J13="2014-2021",G68*$J$12,IF(J13="2021-2023",F68*$J$12,0))),0)</f>
        <v>190400</v>
      </c>
      <c r="L67" s="552" t="str">
        <f>AVERAGE(#REF!)</f>
        <v>#REF!</v>
      </c>
      <c r="M67" s="296">
        <v>84400.0</v>
      </c>
      <c r="N67" s="553">
        <f>M67/$M$12</f>
        <v>152.4841915</v>
      </c>
      <c r="O67" s="207" t="s">
        <v>23</v>
      </c>
      <c r="P67" s="73">
        <f>IF(O67="Delapidated",K67*0.6,IF(O67="Poor",K67*0.7,IF(O67="Fair",K67*0.8,IF(O67="Good",K67*0.85,IF(O67="Very Good",K67*0.9,IF(O67="Excellent",K67*1,IF(O67="Not Applicable",K67*1,0)))))))</f>
        <v>190400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84"/>
      <c r="C68" s="79" t="s">
        <v>25</v>
      </c>
      <c r="D68" s="66"/>
      <c r="E68" s="66"/>
      <c r="F68" s="67">
        <f>320*E16</f>
        <v>380.8</v>
      </c>
      <c r="G68" s="67">
        <f t="shared" ref="G68:G69" si="29">F68/$G$16</f>
        <v>304.64</v>
      </c>
      <c r="H68" s="67">
        <f t="shared" ref="H68:H69" si="30">F68/$H$16</f>
        <v>288.4848485</v>
      </c>
      <c r="I68" s="77">
        <v>1.0</v>
      </c>
      <c r="J68" s="68"/>
      <c r="K68" s="70"/>
      <c r="L68" s="552"/>
      <c r="M68" s="296"/>
      <c r="N68" s="553"/>
      <c r="O68" s="34"/>
      <c r="P68" s="73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customHeight="1">
      <c r="A69" s="34"/>
      <c r="B69" s="85"/>
      <c r="C69" s="79" t="s">
        <v>26</v>
      </c>
      <c r="D69" s="66"/>
      <c r="E69" s="66"/>
      <c r="F69" s="67">
        <v>0.0</v>
      </c>
      <c r="G69" s="67">
        <f t="shared" si="29"/>
        <v>0</v>
      </c>
      <c r="H69" s="67">
        <f t="shared" si="30"/>
        <v>0</v>
      </c>
      <c r="I69" s="77">
        <v>2.0</v>
      </c>
      <c r="J69" s="68"/>
      <c r="K69" s="70"/>
      <c r="L69" s="552"/>
      <c r="M69" s="296"/>
      <c r="N69" s="553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83">
        <f>B67+1</f>
        <v>16</v>
      </c>
      <c r="C70" s="208" t="s">
        <v>123</v>
      </c>
      <c r="D70" s="66"/>
      <c r="E70" s="66"/>
      <c r="F70" s="67"/>
      <c r="G70" s="67"/>
      <c r="H70" s="67"/>
      <c r="I70" s="68"/>
      <c r="J70" s="72" t="s">
        <v>25</v>
      </c>
      <c r="K70" s="70">
        <f>IF(J70="YES",IF(J13="2010-2013",H71*$J$12,IF(J13="2014-2021",G71*$J$12,IF(J13="2021-2023",F71*$J$12,0))),0)</f>
        <v>386750</v>
      </c>
      <c r="L70" s="552" t="str">
        <f>AVERAGE(#REF!)</f>
        <v>#REF!</v>
      </c>
      <c r="M70" s="296">
        <v>118050.0</v>
      </c>
      <c r="N70" s="553">
        <f>M70/$M$12</f>
        <v>213.2791328</v>
      </c>
      <c r="O70" s="207" t="s">
        <v>23</v>
      </c>
      <c r="P70" s="73">
        <f>IF(O70="Delapidated",K70*0.6,IF(O70="Poor",K70*0.7,IF(O70="Fair",K70*0.8,IF(O70="Good",K70*0.85,IF(O70="Very Good",K70*0.9,IF(O70="Excellent",K70*1,IF(O70="Not Applicable",K70*1,0)))))))</f>
        <v>386750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84"/>
      <c r="C71" s="79" t="s">
        <v>25</v>
      </c>
      <c r="D71" s="66"/>
      <c r="E71" s="66"/>
      <c r="F71" s="67">
        <f>650*E16</f>
        <v>773.5</v>
      </c>
      <c r="G71" s="67">
        <f t="shared" ref="G71:G72" si="31">F71/$G$16</f>
        <v>618.8</v>
      </c>
      <c r="H71" s="67">
        <f t="shared" ref="H71:H72" si="32">F71/$H$16</f>
        <v>585.9848485</v>
      </c>
      <c r="I71" s="77">
        <v>1.0</v>
      </c>
      <c r="J71" s="68"/>
      <c r="K71" s="70"/>
      <c r="L71" s="552"/>
      <c r="M71" s="296"/>
      <c r="N71" s="553"/>
      <c r="O71" s="34"/>
      <c r="P71" s="73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customHeight="1">
      <c r="A72" s="34"/>
      <c r="B72" s="85"/>
      <c r="C72" s="79" t="s">
        <v>26</v>
      </c>
      <c r="D72" s="66"/>
      <c r="E72" s="66"/>
      <c r="F72" s="67">
        <v>0.0</v>
      </c>
      <c r="G72" s="67">
        <f t="shared" si="31"/>
        <v>0</v>
      </c>
      <c r="H72" s="67">
        <f t="shared" si="32"/>
        <v>0</v>
      </c>
      <c r="I72" s="77">
        <v>2.0</v>
      </c>
      <c r="J72" s="68"/>
      <c r="K72" s="70"/>
      <c r="L72" s="552"/>
      <c r="M72" s="296"/>
      <c r="N72" s="553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34"/>
      <c r="B73" s="44"/>
      <c r="C73" s="214" t="s">
        <v>89</v>
      </c>
      <c r="D73" s="66"/>
      <c r="E73" s="66"/>
      <c r="F73" s="67"/>
      <c r="G73" s="67"/>
      <c r="H73" s="67"/>
      <c r="I73" s="77"/>
      <c r="J73" s="227">
        <v>6.0</v>
      </c>
      <c r="K73" s="34"/>
      <c r="L73" s="552"/>
      <c r="M73" s="296"/>
      <c r="N73" s="553"/>
      <c r="O73" s="34"/>
      <c r="P73" s="73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customHeight="1">
      <c r="A74" s="34"/>
      <c r="B74" s="44">
        <f>B70+1</f>
        <v>17</v>
      </c>
      <c r="C74" s="208" t="s">
        <v>124</v>
      </c>
      <c r="D74" s="66"/>
      <c r="E74" s="66"/>
      <c r="F74" s="67"/>
      <c r="G74" s="67"/>
      <c r="H74" s="67"/>
      <c r="I74" s="68"/>
      <c r="J74" s="309" t="s">
        <v>25</v>
      </c>
      <c r="K74" s="70">
        <f>IF(J74="YES",IF(J13="2010-2013",H75*J73,IF(J13="2014-2021",G75*J73,IF(J13="2021-2023",F75*J73,0))),0)</f>
        <v>51000</v>
      </c>
      <c r="L74" s="552"/>
      <c r="M74" s="296"/>
      <c r="N74" s="553"/>
      <c r="O74" s="207" t="s">
        <v>23</v>
      </c>
      <c r="P74" s="73">
        <f>IF(O74="Delapidated",K74*0.6,IF(O74="Poor",K74*0.7,IF(O74="Fair",K74*0.8,IF(O74="Good",K74*0.85,IF(O74="Very Good",K74*0.9,IF(O74="Excellent",K74*1,IF(O74="Not Applicable",K74*1,0)))))))</f>
        <v>51000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34"/>
      <c r="B75" s="44"/>
      <c r="C75" s="79" t="s">
        <v>25</v>
      </c>
      <c r="D75" s="66"/>
      <c r="E75" s="66"/>
      <c r="F75" s="67">
        <v>8500.0</v>
      </c>
      <c r="G75" s="67">
        <f t="shared" ref="G75:G76" si="33">F75/$G$16</f>
        <v>6800</v>
      </c>
      <c r="H75" s="67">
        <f t="shared" ref="H75:H76" si="34">F75/$H$16</f>
        <v>6439.393939</v>
      </c>
      <c r="I75" s="77">
        <v>1.0</v>
      </c>
      <c r="J75" s="322"/>
      <c r="K75" s="70"/>
      <c r="L75" s="552"/>
      <c r="M75" s="296"/>
      <c r="N75" s="553"/>
      <c r="O75" s="34"/>
      <c r="P75" s="73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34"/>
      <c r="B76" s="44"/>
      <c r="C76" s="79" t="s">
        <v>26</v>
      </c>
      <c r="D76" s="66"/>
      <c r="E76" s="66"/>
      <c r="F76" s="67">
        <v>0.0</v>
      </c>
      <c r="G76" s="67">
        <f t="shared" si="33"/>
        <v>0</v>
      </c>
      <c r="H76" s="67">
        <f t="shared" si="34"/>
        <v>0</v>
      </c>
      <c r="I76" s="77">
        <v>2.0</v>
      </c>
      <c r="J76" s="322"/>
      <c r="K76" s="648"/>
      <c r="L76" s="558"/>
      <c r="M76" s="305"/>
      <c r="N76" s="559"/>
      <c r="O76" s="17"/>
      <c r="P76" s="125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customHeight="1">
      <c r="A77" s="34"/>
      <c r="B77" s="44"/>
      <c r="C77" s="105"/>
      <c r="D77" s="66"/>
      <c r="E77" s="66"/>
      <c r="F77" s="67"/>
      <c r="G77" s="67"/>
      <c r="H77" s="67"/>
      <c r="I77" s="77"/>
      <c r="J77" s="480"/>
      <c r="K77" s="45"/>
      <c r="L77" s="190"/>
      <c r="M77" s="224"/>
      <c r="N77" s="225"/>
      <c r="O77" s="193"/>
      <c r="P77" s="197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30.0" customHeight="1">
      <c r="A78" s="34"/>
      <c r="B78" s="44"/>
      <c r="C78" s="214" t="s">
        <v>69</v>
      </c>
      <c r="D78" s="66"/>
      <c r="E78" s="66"/>
      <c r="F78" s="67"/>
      <c r="G78" s="67"/>
      <c r="H78" s="67"/>
      <c r="I78" s="90"/>
      <c r="J78" s="227">
        <v>25.0</v>
      </c>
      <c r="K78" s="228"/>
      <c r="L78" s="190"/>
      <c r="M78" s="224"/>
      <c r="N78" s="225"/>
      <c r="O78" s="193"/>
      <c r="P78" s="197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30.0" customHeight="1">
      <c r="A79" s="34"/>
      <c r="B79" s="44">
        <f>B74+1</f>
        <v>18</v>
      </c>
      <c r="C79" s="74" t="s">
        <v>70</v>
      </c>
      <c r="D79" s="66"/>
      <c r="E79" s="66"/>
      <c r="F79" s="67"/>
      <c r="G79" s="67"/>
      <c r="H79" s="67"/>
      <c r="I79" s="77"/>
      <c r="J79" s="229" t="s">
        <v>25</v>
      </c>
      <c r="K79" s="70">
        <f>IF(J79="YES",IF(J13="2010-2013",H80*J78,IF(J13="2014-2021",G80*J78,IF(J13="2021-2023",F80*J78,0))),0)</f>
        <v>116025</v>
      </c>
      <c r="L79" s="552"/>
      <c r="M79" s="296"/>
      <c r="N79" s="553"/>
      <c r="O79" s="207" t="s">
        <v>23</v>
      </c>
      <c r="P79" s="99">
        <f>IF(O79="Delapidated",K79*0.6,IF(O79="Poor",K79*0.7,IF(O79="Fair",K79*0.8,IF(O79="Good",K79*0.85,IF(O79="Very Good",K79*0.9,IF(O79="Excellent",K79*1,IF(O79="Not Applicable",K79*1,0)))))))</f>
        <v>116025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30.0" customHeight="1">
      <c r="A80" s="34"/>
      <c r="B80" s="219"/>
      <c r="C80" s="79" t="s">
        <v>25</v>
      </c>
      <c r="D80" s="66"/>
      <c r="E80" s="66"/>
      <c r="F80" s="67">
        <f>3900*E16</f>
        <v>4641</v>
      </c>
      <c r="G80" s="67">
        <f>F80/$G$16</f>
        <v>3712.8</v>
      </c>
      <c r="H80" s="67">
        <f>F80/$H$16</f>
        <v>3515.909091</v>
      </c>
      <c r="I80" s="77">
        <v>1.0</v>
      </c>
      <c r="J80" s="649"/>
      <c r="K80" s="650"/>
      <c r="L80" s="552"/>
      <c r="M80" s="296"/>
      <c r="N80" s="553"/>
      <c r="O80" s="17"/>
      <c r="P80" s="2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30.0" customHeight="1">
      <c r="A81" s="34"/>
      <c r="B81" s="235"/>
      <c r="C81" s="236" t="s">
        <v>26</v>
      </c>
      <c r="D81" s="237"/>
      <c r="E81" s="237"/>
      <c r="F81" s="238"/>
      <c r="G81" s="238"/>
      <c r="H81" s="238"/>
      <c r="I81" s="651">
        <v>2.0</v>
      </c>
      <c r="J81" s="122"/>
      <c r="K81" s="650"/>
      <c r="L81" s="552"/>
      <c r="M81" s="296"/>
      <c r="N81" s="553"/>
      <c r="O81" s="17"/>
      <c r="P81" s="2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30.0" customHeight="1">
      <c r="A82" s="17"/>
      <c r="B82" s="142"/>
      <c r="C82" s="88"/>
      <c r="D82" s="258"/>
      <c r="E82" s="258"/>
      <c r="F82" s="258"/>
      <c r="G82" s="258"/>
      <c r="H82" s="258"/>
      <c r="I82" s="665"/>
      <c r="J82" s="143"/>
      <c r="K82" s="666"/>
      <c r="L82" s="552"/>
      <c r="M82" s="60"/>
      <c r="N82" s="71"/>
      <c r="O82" s="17"/>
      <c r="P82" s="1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17"/>
      <c r="B83" s="340"/>
      <c r="C83" s="17"/>
      <c r="D83" s="341"/>
      <c r="E83" s="341"/>
      <c r="F83" s="80">
        <v>5851.58084914182</v>
      </c>
      <c r="G83" s="80"/>
      <c r="H83" s="80"/>
      <c r="I83" s="664"/>
      <c r="J83" s="144" t="s">
        <v>74</v>
      </c>
      <c r="K83" s="265">
        <f>SUM(K17:K81)</f>
        <v>4759332.159</v>
      </c>
      <c r="L83" s="552" t="str">
        <f t="shared" ref="L83:L84" si="35">AVERAGE(#REF!)</f>
        <v>#REF!</v>
      </c>
      <c r="M83" s="319">
        <v>3238850.0</v>
      </c>
      <c r="N83" s="553">
        <f>M83/$M$12</f>
        <v>5851.580849</v>
      </c>
      <c r="O83" s="17"/>
      <c r="P83" s="266">
        <f>SUM(P17:P81)</f>
        <v>4635572.159</v>
      </c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0.0" customHeight="1">
      <c r="A84" s="147"/>
      <c r="B84" s="119"/>
      <c r="C84" s="17"/>
      <c r="D84" s="344"/>
      <c r="E84" s="344"/>
      <c r="F84" s="344"/>
      <c r="G84" s="344"/>
      <c r="H84" s="344"/>
      <c r="I84" s="345"/>
      <c r="J84" s="144" t="s">
        <v>75</v>
      </c>
      <c r="K84" s="265">
        <f>K83/J12</f>
        <v>9518.664318</v>
      </c>
      <c r="L84" s="552" t="str">
        <f t="shared" si="35"/>
        <v>#REF!</v>
      </c>
      <c r="M84" s="319">
        <f>M83/M12</f>
        <v>5851.580849</v>
      </c>
      <c r="N84" s="550"/>
      <c r="O84" s="17"/>
      <c r="P84" s="266">
        <f>P83/J12</f>
        <v>9271.144318</v>
      </c>
      <c r="Q84" s="147"/>
      <c r="R84" s="147"/>
      <c r="S84" s="147"/>
      <c r="T84" s="147"/>
      <c r="U84" s="147"/>
      <c r="V84" s="147"/>
      <c r="W84" s="147"/>
      <c r="X84" s="147"/>
      <c r="Y84" s="147"/>
      <c r="Z84" s="147"/>
    </row>
    <row r="85" ht="12.0" customHeight="1">
      <c r="B85" s="1"/>
      <c r="K85" s="151"/>
      <c r="P85" s="151"/>
    </row>
    <row r="86" ht="45.75" customHeight="1">
      <c r="B86" s="1"/>
      <c r="C86" s="574"/>
      <c r="J86" s="144" t="s">
        <v>76</v>
      </c>
      <c r="K86" s="150">
        <f>K83/1.14</f>
        <v>4174852.771</v>
      </c>
      <c r="P86" s="150">
        <f>P83/1.14</f>
        <v>4066291.368</v>
      </c>
    </row>
    <row r="87" ht="12.0" customHeight="1">
      <c r="B87" s="1"/>
      <c r="J87" s="144" t="s">
        <v>77</v>
      </c>
      <c r="K87" s="150">
        <f>K86/J12</f>
        <v>8349.705542</v>
      </c>
      <c r="P87" s="150">
        <f>P86/J12</f>
        <v>8132.582735</v>
      </c>
    </row>
    <row r="88" ht="12.0" customHeight="1">
      <c r="B88" s="1"/>
      <c r="K88" s="151"/>
      <c r="P88" s="151"/>
    </row>
    <row r="89" ht="12.0" customHeight="1">
      <c r="B89" s="1"/>
      <c r="K89" s="151"/>
      <c r="P89" s="151"/>
    </row>
    <row r="90" ht="12.0" customHeight="1">
      <c r="B90" s="1"/>
      <c r="K90" s="151"/>
      <c r="P90" s="151"/>
    </row>
    <row r="91" ht="12.0" customHeight="1">
      <c r="B91" s="1"/>
      <c r="K91" s="151"/>
      <c r="P91" s="151"/>
    </row>
    <row r="92" ht="12.0" customHeight="1">
      <c r="B92" s="1"/>
      <c r="K92" s="151"/>
      <c r="P92" s="151"/>
    </row>
    <row r="93" ht="12.0" customHeight="1">
      <c r="B93" s="1"/>
      <c r="K93" s="151"/>
      <c r="P93" s="151"/>
    </row>
    <row r="94" ht="12.0" customHeight="1">
      <c r="B94" s="1"/>
      <c r="K94" s="151"/>
      <c r="P94" s="151"/>
    </row>
    <row r="95" ht="12.0" customHeight="1">
      <c r="B95" s="1"/>
      <c r="K95" s="151"/>
      <c r="P95" s="151"/>
    </row>
    <row r="96" ht="12.0" customHeight="1">
      <c r="B96" s="1"/>
      <c r="K96" s="151"/>
      <c r="P96" s="151"/>
    </row>
    <row r="97" ht="12.0" customHeight="1">
      <c r="B97" s="1"/>
      <c r="K97" s="151"/>
      <c r="P97" s="151"/>
    </row>
    <row r="98" ht="12.0" customHeight="1">
      <c r="B98" s="1"/>
      <c r="K98" s="151"/>
      <c r="P98" s="151"/>
    </row>
    <row r="99" ht="12.0" customHeight="1">
      <c r="B99" s="1"/>
      <c r="K99" s="151"/>
      <c r="P99" s="151"/>
    </row>
    <row r="100" ht="12.0" customHeight="1">
      <c r="B100" s="1"/>
      <c r="K100" s="151"/>
      <c r="P100" s="151"/>
    </row>
    <row r="101" ht="12.0" customHeight="1">
      <c r="B101" s="1"/>
      <c r="K101" s="151"/>
      <c r="P101" s="151"/>
    </row>
    <row r="102" ht="12.0" customHeight="1">
      <c r="B102" s="1"/>
      <c r="K102" s="151"/>
      <c r="P102" s="151"/>
    </row>
    <row r="103" ht="12.0" customHeight="1">
      <c r="B103" s="1"/>
      <c r="K103" s="151"/>
      <c r="P103" s="151"/>
    </row>
    <row r="104" ht="12.0" customHeight="1">
      <c r="B104" s="1"/>
      <c r="K104" s="151"/>
      <c r="P104" s="151"/>
    </row>
    <row r="105" ht="12.0" customHeight="1">
      <c r="B105" s="1"/>
      <c r="K105" s="151"/>
      <c r="P105" s="151"/>
    </row>
    <row r="106" ht="12.0" customHeight="1">
      <c r="B106" s="1"/>
      <c r="K106" s="151"/>
      <c r="P106" s="151"/>
    </row>
    <row r="107" ht="12.0" customHeight="1">
      <c r="B107" s="1"/>
      <c r="K107" s="151"/>
      <c r="P107" s="151"/>
    </row>
    <row r="108" ht="12.0" customHeight="1">
      <c r="B108" s="1"/>
      <c r="K108" s="151"/>
      <c r="P108" s="151"/>
    </row>
    <row r="109" ht="12.0" customHeight="1">
      <c r="B109" s="1"/>
      <c r="K109" s="151"/>
      <c r="P109" s="151"/>
    </row>
    <row r="110" ht="12.0" customHeight="1">
      <c r="B110" s="1"/>
      <c r="K110" s="151"/>
      <c r="P110" s="151"/>
    </row>
    <row r="111" ht="12.0" customHeight="1">
      <c r="B111" s="1"/>
      <c r="K111" s="151"/>
      <c r="P111" s="151"/>
    </row>
    <row r="112" ht="12.0" customHeight="1">
      <c r="B112" s="1"/>
      <c r="K112" s="151"/>
      <c r="P112" s="151"/>
    </row>
    <row r="113" ht="12.0" customHeight="1">
      <c r="B113" s="1"/>
      <c r="K113" s="151"/>
      <c r="P113" s="151"/>
    </row>
    <row r="114" ht="12.0" customHeight="1">
      <c r="B114" s="1"/>
      <c r="K114" s="151"/>
      <c r="P114" s="151"/>
    </row>
    <row r="115" ht="12.0" customHeight="1">
      <c r="B115" s="1"/>
      <c r="K115" s="151"/>
      <c r="P115" s="151"/>
    </row>
    <row r="116" ht="12.0" customHeight="1">
      <c r="B116" s="1"/>
      <c r="K116" s="151"/>
      <c r="P116" s="151"/>
    </row>
    <row r="117" ht="12.0" customHeight="1">
      <c r="B117" s="1"/>
      <c r="K117" s="151"/>
      <c r="P117" s="151"/>
    </row>
    <row r="118" ht="12.0" customHeight="1">
      <c r="B118" s="1"/>
      <c r="K118" s="151"/>
      <c r="P118" s="151"/>
    </row>
    <row r="119" ht="12.0" customHeight="1">
      <c r="B119" s="1"/>
      <c r="K119" s="151"/>
      <c r="P119" s="151"/>
    </row>
    <row r="120" ht="12.0" customHeight="1">
      <c r="B120" s="1"/>
      <c r="K120" s="151"/>
      <c r="P120" s="151"/>
    </row>
    <row r="121" ht="12.0" customHeight="1">
      <c r="B121" s="1"/>
      <c r="K121" s="151"/>
      <c r="P121" s="151"/>
    </row>
    <row r="122" ht="12.0" customHeight="1">
      <c r="B122" s="1"/>
      <c r="K122" s="151"/>
      <c r="P122" s="151"/>
    </row>
    <row r="123" ht="12.0" customHeight="1">
      <c r="B123" s="1"/>
      <c r="K123" s="151"/>
      <c r="P123" s="151"/>
    </row>
    <row r="124" ht="12.0" customHeight="1">
      <c r="B124" s="1"/>
      <c r="K124" s="151"/>
      <c r="P124" s="151"/>
    </row>
    <row r="125" ht="12.0" customHeight="1">
      <c r="B125" s="1"/>
      <c r="K125" s="151"/>
      <c r="P125" s="151"/>
    </row>
    <row r="126" ht="12.0" customHeight="1">
      <c r="B126" s="1"/>
      <c r="K126" s="151"/>
      <c r="P126" s="151"/>
    </row>
    <row r="127" ht="12.0" customHeight="1">
      <c r="B127" s="1"/>
      <c r="K127" s="151"/>
      <c r="P127" s="151"/>
    </row>
    <row r="128" ht="12.0" customHeight="1">
      <c r="B128" s="1"/>
      <c r="K128" s="151"/>
      <c r="P128" s="151"/>
    </row>
    <row r="129" ht="12.0" customHeight="1">
      <c r="B129" s="1"/>
      <c r="K129" s="151"/>
      <c r="P129" s="151"/>
    </row>
    <row r="130" ht="12.0" customHeight="1">
      <c r="B130" s="1"/>
      <c r="K130" s="151"/>
      <c r="P130" s="151"/>
    </row>
    <row r="131" ht="12.0" customHeight="1">
      <c r="B131" s="1"/>
      <c r="K131" s="151"/>
      <c r="P131" s="151"/>
    </row>
    <row r="132" ht="12.0" customHeight="1">
      <c r="B132" s="1"/>
      <c r="K132" s="151"/>
      <c r="P132" s="151"/>
    </row>
    <row r="133" ht="12.0" customHeight="1">
      <c r="B133" s="1"/>
      <c r="K133" s="151"/>
      <c r="P133" s="151"/>
    </row>
    <row r="134" ht="12.0" customHeight="1">
      <c r="B134" s="1"/>
      <c r="K134" s="151"/>
      <c r="P134" s="151"/>
    </row>
    <row r="135" ht="12.0" customHeight="1">
      <c r="B135" s="1"/>
      <c r="K135" s="151"/>
      <c r="P135" s="151"/>
    </row>
    <row r="136" ht="12.0" customHeight="1">
      <c r="B136" s="1"/>
      <c r="K136" s="151"/>
      <c r="P136" s="151"/>
    </row>
    <row r="137" ht="12.0" customHeight="1">
      <c r="B137" s="1"/>
      <c r="K137" s="151"/>
      <c r="P137" s="151"/>
    </row>
    <row r="138" ht="12.0" customHeight="1">
      <c r="B138" s="1"/>
      <c r="K138" s="151"/>
      <c r="P138" s="151"/>
    </row>
    <row r="139" ht="12.0" customHeight="1">
      <c r="B139" s="1"/>
      <c r="K139" s="151"/>
      <c r="P139" s="151"/>
    </row>
    <row r="140" ht="12.0" customHeight="1">
      <c r="B140" s="1"/>
      <c r="K140" s="151"/>
      <c r="P140" s="151"/>
    </row>
    <row r="141" ht="12.0" customHeight="1">
      <c r="B141" s="1"/>
      <c r="K141" s="151"/>
      <c r="P141" s="151"/>
    </row>
    <row r="142" ht="12.0" customHeight="1">
      <c r="B142" s="1"/>
      <c r="K142" s="151"/>
      <c r="P142" s="151"/>
    </row>
    <row r="143" ht="12.0" customHeight="1">
      <c r="B143" s="1"/>
      <c r="K143" s="151"/>
      <c r="P143" s="151"/>
    </row>
    <row r="144" ht="12.0" customHeight="1">
      <c r="B144" s="1"/>
      <c r="K144" s="151"/>
      <c r="P144" s="151"/>
    </row>
    <row r="145" ht="12.0" customHeight="1">
      <c r="B145" s="1"/>
      <c r="K145" s="151"/>
      <c r="P145" s="151"/>
    </row>
    <row r="146" ht="12.0" customHeight="1">
      <c r="B146" s="1"/>
      <c r="K146" s="151"/>
      <c r="P146" s="151"/>
    </row>
    <row r="147" ht="12.0" customHeight="1">
      <c r="B147" s="1"/>
      <c r="K147" s="151"/>
      <c r="P147" s="151"/>
    </row>
    <row r="148" ht="12.0" customHeight="1">
      <c r="B148" s="1"/>
      <c r="K148" s="151"/>
      <c r="P148" s="151"/>
    </row>
    <row r="149" ht="12.0" customHeight="1">
      <c r="B149" s="1"/>
      <c r="K149" s="151"/>
      <c r="P149" s="151"/>
    </row>
    <row r="150" ht="12.0" customHeight="1">
      <c r="B150" s="1"/>
      <c r="K150" s="151"/>
      <c r="P150" s="151"/>
    </row>
    <row r="151" ht="12.0" customHeight="1">
      <c r="B151" s="1"/>
      <c r="K151" s="151"/>
      <c r="P151" s="151"/>
    </row>
    <row r="152" ht="12.0" customHeight="1">
      <c r="B152" s="1"/>
      <c r="K152" s="151"/>
      <c r="P152" s="151"/>
    </row>
    <row r="153" ht="12.0" customHeight="1">
      <c r="B153" s="1"/>
      <c r="K153" s="151"/>
      <c r="P153" s="151"/>
    </row>
    <row r="154" ht="12.0" customHeight="1">
      <c r="B154" s="1"/>
      <c r="K154" s="151"/>
      <c r="P154" s="151"/>
    </row>
    <row r="155" ht="12.0" customHeight="1">
      <c r="B155" s="1"/>
      <c r="K155" s="151"/>
      <c r="P155" s="151"/>
    </row>
    <row r="156" ht="12.0" customHeight="1">
      <c r="B156" s="1"/>
      <c r="K156" s="151"/>
      <c r="P156" s="151"/>
    </row>
    <row r="157" ht="12.0" customHeight="1">
      <c r="B157" s="1"/>
      <c r="K157" s="151"/>
      <c r="P157" s="151"/>
    </row>
    <row r="158" ht="12.0" customHeight="1">
      <c r="B158" s="1"/>
      <c r="K158" s="151"/>
      <c r="P158" s="151"/>
    </row>
    <row r="159" ht="12.0" customHeight="1">
      <c r="B159" s="1"/>
      <c r="K159" s="151"/>
      <c r="P159" s="151"/>
    </row>
    <row r="160" ht="12.0" customHeight="1">
      <c r="B160" s="1"/>
      <c r="K160" s="151"/>
      <c r="P160" s="151"/>
    </row>
    <row r="161" ht="12.0" customHeight="1">
      <c r="B161" s="1"/>
      <c r="K161" s="151"/>
      <c r="P161" s="151"/>
    </row>
    <row r="162" ht="12.0" customHeight="1">
      <c r="B162" s="1"/>
      <c r="K162" s="151"/>
      <c r="P162" s="151"/>
    </row>
    <row r="163" ht="12.0" customHeight="1">
      <c r="B163" s="1"/>
      <c r="K163" s="151"/>
      <c r="P163" s="151"/>
    </row>
    <row r="164" ht="12.0" customHeight="1">
      <c r="B164" s="1"/>
      <c r="K164" s="151"/>
      <c r="P164" s="151"/>
    </row>
    <row r="165" ht="12.0" customHeight="1">
      <c r="B165" s="1"/>
      <c r="K165" s="151"/>
      <c r="P165" s="151"/>
    </row>
    <row r="166" ht="12.0" customHeight="1">
      <c r="B166" s="1"/>
      <c r="K166" s="151"/>
      <c r="P166" s="151"/>
    </row>
    <row r="167" ht="12.0" customHeight="1">
      <c r="B167" s="1"/>
      <c r="K167" s="151"/>
      <c r="P167" s="151"/>
    </row>
    <row r="168" ht="12.0" customHeight="1">
      <c r="B168" s="1"/>
      <c r="K168" s="151"/>
      <c r="P168" s="151"/>
    </row>
    <row r="169" ht="12.0" customHeight="1">
      <c r="B169" s="1"/>
      <c r="K169" s="151"/>
      <c r="P169" s="151"/>
    </row>
    <row r="170" ht="12.0" customHeight="1">
      <c r="B170" s="1"/>
      <c r="K170" s="151"/>
      <c r="P170" s="151"/>
    </row>
    <row r="171" ht="12.0" customHeight="1">
      <c r="B171" s="1"/>
      <c r="K171" s="151"/>
      <c r="P171" s="151"/>
    </row>
    <row r="172" ht="12.0" customHeight="1">
      <c r="B172" s="1"/>
      <c r="K172" s="151"/>
      <c r="P172" s="151"/>
    </row>
    <row r="173" ht="12.0" customHeight="1">
      <c r="B173" s="1"/>
      <c r="K173" s="151"/>
      <c r="P173" s="151"/>
    </row>
    <row r="174" ht="12.0" customHeight="1">
      <c r="B174" s="1"/>
      <c r="K174" s="151"/>
      <c r="P174" s="151"/>
    </row>
    <row r="175" ht="12.0" customHeight="1">
      <c r="B175" s="1"/>
      <c r="K175" s="151"/>
      <c r="P175" s="151"/>
    </row>
    <row r="176" ht="12.0" customHeight="1">
      <c r="B176" s="1"/>
      <c r="K176" s="151"/>
      <c r="P176" s="151"/>
    </row>
    <row r="177" ht="12.0" customHeight="1">
      <c r="B177" s="1"/>
      <c r="K177" s="151"/>
      <c r="P177" s="151"/>
    </row>
    <row r="178" ht="12.0" customHeight="1">
      <c r="B178" s="1"/>
      <c r="K178" s="151"/>
      <c r="P178" s="151"/>
    </row>
    <row r="179" ht="12.0" customHeight="1">
      <c r="B179" s="1"/>
      <c r="K179" s="151"/>
      <c r="P179" s="151"/>
    </row>
    <row r="180" ht="12.0" customHeight="1">
      <c r="B180" s="1"/>
      <c r="K180" s="151"/>
      <c r="P180" s="151"/>
    </row>
    <row r="181" ht="12.0" customHeight="1">
      <c r="B181" s="1"/>
      <c r="K181" s="151"/>
      <c r="P181" s="151"/>
    </row>
    <row r="182" ht="12.0" customHeight="1">
      <c r="B182" s="1"/>
      <c r="K182" s="151"/>
      <c r="P182" s="151"/>
    </row>
    <row r="183" ht="12.0" customHeight="1">
      <c r="B183" s="1"/>
      <c r="K183" s="151"/>
      <c r="P183" s="151"/>
    </row>
    <row r="184" ht="12.0" customHeight="1">
      <c r="B184" s="1"/>
      <c r="K184" s="151"/>
      <c r="P184" s="151"/>
    </row>
    <row r="185" ht="12.0" customHeight="1">
      <c r="B185" s="1"/>
      <c r="K185" s="151"/>
      <c r="P185" s="151"/>
    </row>
    <row r="186" ht="12.0" customHeight="1">
      <c r="B186" s="1"/>
      <c r="K186" s="151"/>
      <c r="P186" s="151"/>
    </row>
    <row r="187" ht="12.0" customHeight="1">
      <c r="B187" s="1"/>
      <c r="K187" s="151"/>
      <c r="P187" s="151"/>
    </row>
    <row r="188" ht="12.0" customHeight="1">
      <c r="B188" s="1"/>
      <c r="K188" s="151"/>
      <c r="P188" s="151"/>
    </row>
    <row r="189" ht="12.0" customHeight="1">
      <c r="B189" s="1"/>
      <c r="K189" s="151"/>
      <c r="P189" s="151"/>
    </row>
    <row r="190" ht="12.0" customHeight="1">
      <c r="B190" s="1"/>
      <c r="K190" s="151"/>
      <c r="P190" s="151"/>
    </row>
    <row r="191" ht="12.0" customHeight="1">
      <c r="B191" s="1"/>
      <c r="K191" s="151"/>
      <c r="P191" s="151"/>
    </row>
    <row r="192" ht="12.0" customHeight="1">
      <c r="B192" s="1"/>
      <c r="K192" s="151"/>
      <c r="P192" s="151"/>
    </row>
    <row r="193" ht="12.0" customHeight="1">
      <c r="B193" s="1"/>
      <c r="K193" s="151"/>
      <c r="P193" s="151"/>
    </row>
    <row r="194" ht="12.0" customHeight="1">
      <c r="B194" s="1"/>
      <c r="K194" s="151"/>
      <c r="P194" s="151"/>
    </row>
    <row r="195" ht="12.0" customHeight="1">
      <c r="B195" s="1"/>
      <c r="K195" s="151"/>
      <c r="P195" s="151"/>
    </row>
    <row r="196" ht="12.0" customHeight="1">
      <c r="B196" s="1"/>
      <c r="K196" s="151"/>
      <c r="P196" s="151"/>
    </row>
    <row r="197" ht="12.0" customHeight="1">
      <c r="B197" s="1"/>
      <c r="K197" s="151"/>
      <c r="P197" s="151"/>
    </row>
    <row r="198" ht="12.0" customHeight="1">
      <c r="B198" s="1"/>
      <c r="K198" s="151"/>
      <c r="P198" s="151"/>
    </row>
    <row r="199" ht="12.0" customHeight="1">
      <c r="B199" s="1"/>
      <c r="K199" s="151"/>
      <c r="P199" s="151"/>
    </row>
    <row r="200" ht="12.0" customHeight="1">
      <c r="B200" s="1"/>
      <c r="K200" s="151"/>
      <c r="P200" s="151"/>
    </row>
    <row r="201" ht="12.0" customHeight="1">
      <c r="B201" s="1"/>
      <c r="K201" s="151"/>
      <c r="P201" s="151"/>
    </row>
    <row r="202" ht="12.0" customHeight="1">
      <c r="B202" s="1"/>
      <c r="K202" s="151"/>
      <c r="P202" s="151"/>
    </row>
    <row r="203" ht="12.0" customHeight="1">
      <c r="B203" s="1"/>
      <c r="K203" s="151"/>
      <c r="P203" s="151"/>
    </row>
    <row r="204" ht="12.0" customHeight="1">
      <c r="B204" s="1"/>
      <c r="K204" s="151"/>
      <c r="P204" s="151"/>
    </row>
    <row r="205" ht="12.0" customHeight="1">
      <c r="B205" s="1"/>
      <c r="K205" s="151"/>
      <c r="P205" s="151"/>
    </row>
    <row r="206" ht="12.0" customHeight="1">
      <c r="B206" s="1"/>
      <c r="K206" s="151"/>
      <c r="P206" s="151"/>
    </row>
    <row r="207" ht="12.0" customHeight="1">
      <c r="B207" s="1"/>
      <c r="K207" s="151"/>
      <c r="P207" s="151"/>
    </row>
    <row r="208" ht="12.0" customHeight="1">
      <c r="B208" s="1"/>
      <c r="K208" s="151"/>
      <c r="P208" s="151"/>
    </row>
    <row r="209" ht="12.0" customHeight="1">
      <c r="B209" s="1"/>
      <c r="K209" s="151"/>
      <c r="P209" s="151"/>
    </row>
    <row r="210" ht="12.0" customHeight="1">
      <c r="B210" s="1"/>
      <c r="K210" s="151"/>
      <c r="P210" s="151"/>
    </row>
    <row r="211" ht="12.0" customHeight="1">
      <c r="B211" s="1"/>
      <c r="K211" s="151"/>
      <c r="P211" s="151"/>
    </row>
    <row r="212" ht="12.0" customHeight="1">
      <c r="B212" s="1"/>
      <c r="K212" s="151"/>
      <c r="P212" s="151"/>
    </row>
    <row r="213" ht="12.0" customHeight="1">
      <c r="B213" s="1"/>
      <c r="K213" s="151"/>
      <c r="P213" s="151"/>
    </row>
    <row r="214" ht="12.0" customHeight="1">
      <c r="B214" s="1"/>
      <c r="K214" s="151"/>
      <c r="P214" s="151"/>
    </row>
    <row r="215" ht="12.0" customHeight="1">
      <c r="B215" s="1"/>
      <c r="K215" s="151"/>
      <c r="P215" s="151"/>
    </row>
    <row r="216" ht="12.0" customHeight="1">
      <c r="B216" s="1"/>
      <c r="K216" s="151"/>
      <c r="P216" s="151"/>
    </row>
    <row r="217" ht="12.0" customHeight="1">
      <c r="B217" s="1"/>
      <c r="K217" s="151"/>
      <c r="P217" s="151"/>
    </row>
    <row r="218" ht="12.0" customHeight="1">
      <c r="B218" s="1"/>
      <c r="K218" s="151"/>
      <c r="P218" s="151"/>
    </row>
    <row r="219" ht="12.0" customHeight="1">
      <c r="B219" s="1"/>
      <c r="K219" s="151"/>
      <c r="P219" s="151"/>
    </row>
    <row r="220" ht="12.0" customHeight="1">
      <c r="B220" s="1"/>
      <c r="K220" s="151"/>
      <c r="P220" s="151"/>
    </row>
    <row r="221" ht="12.0" customHeight="1">
      <c r="B221" s="1"/>
      <c r="K221" s="151"/>
      <c r="P221" s="151"/>
    </row>
    <row r="222" ht="12.0" customHeight="1">
      <c r="B222" s="1"/>
      <c r="K222" s="151"/>
      <c r="P222" s="151"/>
    </row>
    <row r="223" ht="12.0" customHeight="1">
      <c r="B223" s="1"/>
      <c r="K223" s="151"/>
      <c r="P223" s="151"/>
    </row>
    <row r="224" ht="12.0" customHeight="1">
      <c r="B224" s="1"/>
      <c r="K224" s="151"/>
      <c r="P224" s="151"/>
    </row>
    <row r="225" ht="12.0" customHeight="1">
      <c r="B225" s="1"/>
      <c r="K225" s="151"/>
      <c r="P225" s="151"/>
    </row>
    <row r="226" ht="12.0" customHeight="1">
      <c r="B226" s="1"/>
      <c r="K226" s="151"/>
      <c r="P226" s="151"/>
    </row>
    <row r="227" ht="12.0" customHeight="1">
      <c r="B227" s="1"/>
      <c r="K227" s="151"/>
      <c r="P227" s="151"/>
    </row>
    <row r="228" ht="12.0" customHeight="1">
      <c r="B228" s="1"/>
      <c r="K228" s="151"/>
      <c r="P228" s="151"/>
    </row>
    <row r="229" ht="12.0" customHeight="1">
      <c r="B229" s="1"/>
      <c r="K229" s="151"/>
      <c r="P229" s="151"/>
    </row>
    <row r="230" ht="12.0" customHeight="1">
      <c r="B230" s="1"/>
      <c r="K230" s="151"/>
      <c r="P230" s="151"/>
    </row>
    <row r="231" ht="12.0" customHeight="1">
      <c r="B231" s="1"/>
      <c r="K231" s="151"/>
      <c r="P231" s="151"/>
    </row>
    <row r="232" ht="12.0" customHeight="1">
      <c r="B232" s="1"/>
      <c r="K232" s="151"/>
      <c r="P232" s="151"/>
    </row>
    <row r="233" ht="12.0" customHeight="1">
      <c r="B233" s="1"/>
      <c r="K233" s="151"/>
      <c r="P233" s="151"/>
    </row>
    <row r="234" ht="12.0" customHeight="1">
      <c r="B234" s="1"/>
      <c r="K234" s="151"/>
      <c r="P234" s="151"/>
    </row>
    <row r="235" ht="12.0" customHeight="1">
      <c r="B235" s="1"/>
      <c r="K235" s="151"/>
      <c r="P235" s="151"/>
    </row>
    <row r="236" ht="12.0" customHeight="1">
      <c r="B236" s="1"/>
      <c r="K236" s="151"/>
      <c r="P236" s="151"/>
    </row>
    <row r="237" ht="12.0" customHeight="1">
      <c r="B237" s="1"/>
      <c r="K237" s="151"/>
      <c r="P237" s="151"/>
    </row>
    <row r="238" ht="12.0" customHeight="1">
      <c r="B238" s="1"/>
      <c r="K238" s="151"/>
      <c r="P238" s="151"/>
    </row>
    <row r="239" ht="12.0" customHeight="1">
      <c r="B239" s="1"/>
      <c r="K239" s="151"/>
      <c r="P239" s="151"/>
    </row>
    <row r="240" ht="12.0" customHeight="1">
      <c r="B240" s="1"/>
      <c r="K240" s="151"/>
      <c r="P240" s="151"/>
    </row>
    <row r="241" ht="12.0" customHeight="1">
      <c r="B241" s="1"/>
      <c r="K241" s="151"/>
      <c r="P241" s="151"/>
    </row>
    <row r="242" ht="12.0" customHeight="1">
      <c r="B242" s="1"/>
      <c r="K242" s="151"/>
      <c r="P242" s="151"/>
    </row>
    <row r="243" ht="12.0" customHeight="1">
      <c r="B243" s="1"/>
      <c r="K243" s="151"/>
      <c r="P243" s="151"/>
    </row>
    <row r="244" ht="12.0" customHeight="1">
      <c r="B244" s="1"/>
      <c r="K244" s="151"/>
      <c r="P244" s="151"/>
    </row>
    <row r="245" ht="12.0" customHeight="1">
      <c r="B245" s="1"/>
      <c r="K245" s="151"/>
      <c r="P245" s="151"/>
    </row>
    <row r="246" ht="12.0" customHeight="1">
      <c r="B246" s="1"/>
      <c r="K246" s="151"/>
      <c r="P246" s="151"/>
    </row>
    <row r="247" ht="12.0" customHeight="1">
      <c r="B247" s="1"/>
      <c r="K247" s="151"/>
      <c r="P247" s="151"/>
    </row>
    <row r="248" ht="12.0" customHeight="1">
      <c r="B248" s="1"/>
      <c r="K248" s="151"/>
      <c r="P248" s="151"/>
    </row>
    <row r="249" ht="12.0" customHeight="1">
      <c r="B249" s="1"/>
      <c r="K249" s="151"/>
      <c r="P249" s="151"/>
    </row>
    <row r="250" ht="12.0" customHeight="1">
      <c r="B250" s="1"/>
      <c r="K250" s="151"/>
      <c r="P250" s="151"/>
    </row>
    <row r="251" ht="12.0" customHeight="1">
      <c r="B251" s="1"/>
      <c r="K251" s="151"/>
      <c r="P251" s="151"/>
    </row>
    <row r="252" ht="12.0" customHeight="1">
      <c r="B252" s="1"/>
      <c r="K252" s="151"/>
      <c r="P252" s="151"/>
    </row>
    <row r="253" ht="12.0" customHeight="1">
      <c r="B253" s="1"/>
      <c r="K253" s="151"/>
      <c r="P253" s="151"/>
    </row>
    <row r="254" ht="12.0" customHeight="1">
      <c r="B254" s="1"/>
      <c r="K254" s="151"/>
      <c r="P254" s="151"/>
    </row>
    <row r="255" ht="12.0" customHeight="1">
      <c r="B255" s="1"/>
      <c r="K255" s="151"/>
      <c r="P255" s="151"/>
    </row>
    <row r="256" ht="12.0" customHeight="1">
      <c r="B256" s="1"/>
      <c r="K256" s="151"/>
      <c r="P256" s="151"/>
    </row>
    <row r="257" ht="12.0" customHeight="1">
      <c r="B257" s="1"/>
      <c r="K257" s="151"/>
      <c r="P257" s="151"/>
    </row>
    <row r="258" ht="12.0" customHeight="1">
      <c r="B258" s="1"/>
      <c r="K258" s="151"/>
      <c r="P258" s="151"/>
    </row>
    <row r="259" ht="12.0" customHeight="1">
      <c r="B259" s="1"/>
      <c r="K259" s="151"/>
      <c r="P259" s="151"/>
    </row>
    <row r="260" ht="12.0" customHeight="1">
      <c r="B260" s="1"/>
      <c r="K260" s="151"/>
      <c r="P260" s="151"/>
    </row>
    <row r="261" ht="12.0" customHeight="1">
      <c r="B261" s="1"/>
      <c r="K261" s="151"/>
      <c r="P261" s="151"/>
    </row>
    <row r="262" ht="12.0" customHeight="1">
      <c r="B262" s="1"/>
      <c r="K262" s="151"/>
      <c r="P262" s="151"/>
    </row>
    <row r="263" ht="12.0" customHeight="1">
      <c r="B263" s="1"/>
      <c r="K263" s="151"/>
      <c r="P263" s="151"/>
    </row>
    <row r="264" ht="12.0" customHeight="1">
      <c r="B264" s="1"/>
      <c r="K264" s="151"/>
      <c r="P264" s="151"/>
    </row>
    <row r="265" ht="12.0" customHeight="1">
      <c r="B265" s="1"/>
      <c r="K265" s="151"/>
      <c r="P265" s="151"/>
    </row>
    <row r="266" ht="12.0" customHeight="1">
      <c r="B266" s="1"/>
      <c r="K266" s="151"/>
      <c r="P266" s="151"/>
    </row>
    <row r="267" ht="12.0" customHeight="1">
      <c r="B267" s="1"/>
      <c r="K267" s="151"/>
      <c r="P267" s="151"/>
    </row>
    <row r="268" ht="12.0" customHeight="1">
      <c r="B268" s="1"/>
      <c r="K268" s="151"/>
      <c r="P268" s="151"/>
    </row>
    <row r="269" ht="12.0" customHeight="1">
      <c r="B269" s="1"/>
      <c r="K269" s="151"/>
      <c r="P269" s="151"/>
    </row>
    <row r="270" ht="12.0" customHeight="1">
      <c r="B270" s="1"/>
      <c r="K270" s="151"/>
      <c r="P270" s="151"/>
    </row>
    <row r="271" ht="12.0" customHeight="1">
      <c r="B271" s="1"/>
      <c r="K271" s="151"/>
      <c r="P271" s="151"/>
    </row>
    <row r="272" ht="12.0" customHeight="1">
      <c r="B272" s="1"/>
      <c r="K272" s="151"/>
      <c r="P272" s="151"/>
    </row>
    <row r="273" ht="12.0" customHeight="1">
      <c r="B273" s="1"/>
      <c r="K273" s="151"/>
      <c r="P273" s="151"/>
    </row>
    <row r="274" ht="12.0" customHeight="1">
      <c r="B274" s="1"/>
      <c r="K274" s="151"/>
      <c r="P274" s="151"/>
    </row>
    <row r="275" ht="12.0" customHeight="1">
      <c r="B275" s="1"/>
      <c r="K275" s="151"/>
      <c r="P275" s="151"/>
    </row>
    <row r="276" ht="12.0" customHeight="1">
      <c r="B276" s="1"/>
      <c r="K276" s="151"/>
      <c r="P276" s="151"/>
    </row>
    <row r="277" ht="12.0" customHeight="1">
      <c r="B277" s="1"/>
      <c r="K277" s="151"/>
      <c r="P277" s="151"/>
    </row>
    <row r="278" ht="12.0" customHeight="1">
      <c r="B278" s="1"/>
      <c r="K278" s="151"/>
      <c r="P278" s="151"/>
    </row>
    <row r="279" ht="12.0" customHeight="1">
      <c r="B279" s="1"/>
      <c r="K279" s="151"/>
      <c r="P279" s="151"/>
    </row>
    <row r="280" ht="12.0" customHeight="1">
      <c r="B280" s="1"/>
      <c r="K280" s="151"/>
      <c r="P280" s="151"/>
    </row>
    <row r="281" ht="12.0" customHeight="1">
      <c r="B281" s="1"/>
      <c r="K281" s="151"/>
      <c r="P281" s="151"/>
    </row>
    <row r="282" ht="12.0" customHeight="1">
      <c r="B282" s="1"/>
      <c r="K282" s="151"/>
      <c r="P282" s="151"/>
    </row>
    <row r="283" ht="12.0" customHeight="1">
      <c r="B283" s="1"/>
      <c r="K283" s="151"/>
      <c r="P283" s="151"/>
    </row>
    <row r="284" ht="12.0" customHeight="1">
      <c r="B284" s="1"/>
      <c r="K284" s="151"/>
      <c r="P284" s="151"/>
    </row>
    <row r="285" ht="12.0" customHeight="1">
      <c r="B285" s="1"/>
      <c r="K285" s="151"/>
      <c r="P285" s="151"/>
    </row>
    <row r="286" ht="12.0" customHeight="1">
      <c r="B286" s="1"/>
      <c r="K286" s="151"/>
      <c r="P286" s="151"/>
    </row>
    <row r="287" ht="12.0" customHeight="1">
      <c r="B287" s="1"/>
      <c r="K287" s="151"/>
      <c r="P287" s="151"/>
    </row>
    <row r="288" ht="12.0" customHeight="1">
      <c r="B288" s="1"/>
      <c r="K288" s="151"/>
      <c r="P288" s="151"/>
    </row>
    <row r="289" ht="12.0" customHeight="1">
      <c r="B289" s="1"/>
      <c r="K289" s="151"/>
      <c r="P289" s="151"/>
    </row>
    <row r="290" ht="12.0" customHeight="1">
      <c r="B290" s="1"/>
      <c r="K290" s="151"/>
      <c r="P290" s="151"/>
    </row>
    <row r="291" ht="12.0" customHeight="1">
      <c r="B291" s="1"/>
      <c r="K291" s="151"/>
      <c r="P291" s="151"/>
    </row>
    <row r="292" ht="12.0" customHeight="1">
      <c r="B292" s="1"/>
      <c r="K292" s="151"/>
      <c r="P292" s="151"/>
    </row>
    <row r="293" ht="12.0" customHeight="1">
      <c r="B293" s="1"/>
      <c r="K293" s="151"/>
      <c r="P293" s="151"/>
    </row>
    <row r="294" ht="12.0" customHeight="1">
      <c r="B294" s="1"/>
      <c r="K294" s="151"/>
      <c r="P294" s="151"/>
    </row>
    <row r="295" ht="12.0" customHeight="1">
      <c r="B295" s="1"/>
      <c r="K295" s="151"/>
      <c r="P295" s="151"/>
    </row>
    <row r="296" ht="12.0" customHeight="1">
      <c r="B296" s="1"/>
      <c r="K296" s="151"/>
      <c r="P296" s="151"/>
    </row>
    <row r="297" ht="12.0" customHeight="1">
      <c r="B297" s="1"/>
      <c r="K297" s="151"/>
      <c r="P297" s="151"/>
    </row>
    <row r="298" ht="12.0" customHeight="1">
      <c r="B298" s="1"/>
      <c r="K298" s="151"/>
      <c r="P298" s="151"/>
    </row>
    <row r="299" ht="12.0" customHeight="1">
      <c r="B299" s="1"/>
      <c r="K299" s="151"/>
      <c r="P299" s="151"/>
    </row>
    <row r="300" ht="12.0" customHeight="1">
      <c r="B300" s="1"/>
      <c r="K300" s="151"/>
      <c r="P300" s="151"/>
    </row>
    <row r="301" ht="12.0" customHeight="1">
      <c r="B301" s="1"/>
      <c r="K301" s="151"/>
      <c r="P301" s="151"/>
    </row>
    <row r="302" ht="12.0" customHeight="1">
      <c r="B302" s="1"/>
      <c r="K302" s="151"/>
      <c r="P302" s="151"/>
    </row>
    <row r="303" ht="12.0" customHeight="1">
      <c r="B303" s="1"/>
      <c r="K303" s="151"/>
      <c r="P303" s="151"/>
    </row>
    <row r="304" ht="12.0" customHeight="1">
      <c r="B304" s="1"/>
      <c r="K304" s="151"/>
      <c r="P304" s="151"/>
    </row>
    <row r="305" ht="12.0" customHeight="1">
      <c r="B305" s="1"/>
      <c r="K305" s="151"/>
      <c r="P305" s="151"/>
    </row>
    <row r="306" ht="12.0" customHeight="1">
      <c r="B306" s="1"/>
      <c r="K306" s="151"/>
      <c r="P306" s="151"/>
    </row>
    <row r="307" ht="12.0" customHeight="1">
      <c r="B307" s="1"/>
      <c r="K307" s="151"/>
      <c r="P307" s="151"/>
    </row>
    <row r="308" ht="12.0" customHeight="1">
      <c r="B308" s="1"/>
      <c r="K308" s="151"/>
      <c r="P308" s="151"/>
    </row>
    <row r="309" ht="12.0" customHeight="1">
      <c r="B309" s="1"/>
      <c r="K309" s="151"/>
      <c r="P309" s="151"/>
    </row>
    <row r="310" ht="12.0" customHeight="1">
      <c r="B310" s="1"/>
      <c r="K310" s="151"/>
      <c r="P310" s="151"/>
    </row>
    <row r="311" ht="12.0" customHeight="1">
      <c r="B311" s="1"/>
      <c r="K311" s="151"/>
      <c r="P311" s="151"/>
    </row>
    <row r="312" ht="12.0" customHeight="1">
      <c r="B312" s="1"/>
      <c r="K312" s="151"/>
      <c r="P312" s="151"/>
    </row>
    <row r="313" ht="12.0" customHeight="1">
      <c r="B313" s="1"/>
      <c r="K313" s="151"/>
      <c r="P313" s="151"/>
    </row>
    <row r="314" ht="12.0" customHeight="1">
      <c r="B314" s="1"/>
      <c r="K314" s="151"/>
      <c r="P314" s="151"/>
    </row>
    <row r="315" ht="12.0" customHeight="1">
      <c r="B315" s="1"/>
      <c r="K315" s="151"/>
      <c r="P315" s="151"/>
    </row>
    <row r="316" ht="12.0" customHeight="1">
      <c r="B316" s="1"/>
      <c r="K316" s="151"/>
      <c r="P316" s="151"/>
    </row>
    <row r="317" ht="12.0" customHeight="1">
      <c r="B317" s="1"/>
      <c r="K317" s="151"/>
      <c r="P317" s="151"/>
    </row>
    <row r="318" ht="12.0" customHeight="1">
      <c r="B318" s="1"/>
      <c r="K318" s="151"/>
      <c r="P318" s="151"/>
    </row>
    <row r="319" ht="12.0" customHeight="1">
      <c r="B319" s="1"/>
      <c r="K319" s="151"/>
      <c r="P319" s="151"/>
    </row>
    <row r="320" ht="12.0" customHeight="1">
      <c r="B320" s="1"/>
      <c r="K320" s="151"/>
      <c r="P320" s="151"/>
    </row>
    <row r="321" ht="12.0" customHeight="1">
      <c r="B321" s="1"/>
      <c r="K321" s="151"/>
      <c r="P321" s="151"/>
    </row>
    <row r="322" ht="12.0" customHeight="1">
      <c r="B322" s="1"/>
      <c r="K322" s="151"/>
      <c r="P322" s="151"/>
    </row>
    <row r="323" ht="12.0" customHeight="1">
      <c r="B323" s="1"/>
      <c r="K323" s="151"/>
      <c r="P323" s="151"/>
    </row>
    <row r="324" ht="12.0" customHeight="1">
      <c r="B324" s="1"/>
      <c r="K324" s="151"/>
      <c r="P324" s="151"/>
    </row>
    <row r="325" ht="12.0" customHeight="1">
      <c r="B325" s="1"/>
      <c r="K325" s="151"/>
      <c r="P325" s="151"/>
    </row>
    <row r="326" ht="12.0" customHeight="1">
      <c r="B326" s="1"/>
      <c r="K326" s="151"/>
      <c r="P326" s="151"/>
    </row>
    <row r="327" ht="12.0" customHeight="1">
      <c r="B327" s="1"/>
      <c r="K327" s="151"/>
      <c r="P327" s="151"/>
    </row>
    <row r="328" ht="12.0" customHeight="1">
      <c r="B328" s="1"/>
      <c r="K328" s="151"/>
      <c r="P328" s="151"/>
    </row>
    <row r="329" ht="12.0" customHeight="1">
      <c r="B329" s="1"/>
      <c r="K329" s="151"/>
      <c r="P329" s="151"/>
    </row>
    <row r="330" ht="12.0" customHeight="1">
      <c r="B330" s="1"/>
      <c r="K330" s="151"/>
      <c r="P330" s="151"/>
    </row>
    <row r="331" ht="12.0" customHeight="1">
      <c r="B331" s="1"/>
      <c r="K331" s="151"/>
      <c r="P331" s="151"/>
    </row>
    <row r="332" ht="12.0" customHeight="1">
      <c r="B332" s="1"/>
      <c r="K332" s="151"/>
      <c r="P332" s="151"/>
    </row>
    <row r="333" ht="12.0" customHeight="1">
      <c r="B333" s="1"/>
      <c r="K333" s="151"/>
      <c r="P333" s="151"/>
    </row>
    <row r="334" ht="12.0" customHeight="1">
      <c r="B334" s="1"/>
      <c r="K334" s="151"/>
      <c r="P334" s="151"/>
    </row>
    <row r="335" ht="12.0" customHeight="1">
      <c r="B335" s="1"/>
      <c r="K335" s="151"/>
      <c r="P335" s="151"/>
    </row>
    <row r="336" ht="12.0" customHeight="1">
      <c r="B336" s="1"/>
      <c r="K336" s="151"/>
      <c r="P336" s="151"/>
    </row>
    <row r="337" ht="12.0" customHeight="1">
      <c r="B337" s="1"/>
      <c r="K337" s="151"/>
      <c r="P337" s="151"/>
    </row>
    <row r="338" ht="12.0" customHeight="1">
      <c r="B338" s="1"/>
      <c r="K338" s="151"/>
      <c r="P338" s="151"/>
    </row>
    <row r="339" ht="12.0" customHeight="1">
      <c r="B339" s="1"/>
      <c r="K339" s="151"/>
      <c r="P339" s="151"/>
    </row>
    <row r="340" ht="12.0" customHeight="1">
      <c r="B340" s="1"/>
      <c r="K340" s="151"/>
      <c r="P340" s="151"/>
    </row>
    <row r="341" ht="12.0" customHeight="1">
      <c r="B341" s="1"/>
      <c r="K341" s="151"/>
      <c r="P341" s="151"/>
    </row>
    <row r="342" ht="12.0" customHeight="1">
      <c r="B342" s="1"/>
      <c r="K342" s="151"/>
      <c r="P342" s="151"/>
    </row>
    <row r="343" ht="12.0" customHeight="1">
      <c r="B343" s="1"/>
      <c r="K343" s="151"/>
      <c r="P343" s="151"/>
    </row>
    <row r="344" ht="12.0" customHeight="1">
      <c r="B344" s="1"/>
      <c r="K344" s="151"/>
      <c r="P344" s="151"/>
    </row>
    <row r="345" ht="12.0" customHeight="1">
      <c r="B345" s="1"/>
      <c r="K345" s="151"/>
      <c r="P345" s="151"/>
    </row>
    <row r="346" ht="12.0" customHeight="1">
      <c r="B346" s="1"/>
      <c r="K346" s="151"/>
      <c r="P346" s="151"/>
    </row>
    <row r="347" ht="12.0" customHeight="1">
      <c r="B347" s="1"/>
      <c r="K347" s="151"/>
      <c r="P347" s="151"/>
    </row>
    <row r="348" ht="12.0" customHeight="1">
      <c r="B348" s="1"/>
      <c r="K348" s="151"/>
      <c r="P348" s="151"/>
    </row>
    <row r="349" ht="12.0" customHeight="1">
      <c r="B349" s="1"/>
      <c r="K349" s="151"/>
      <c r="P349" s="151"/>
    </row>
    <row r="350" ht="12.0" customHeight="1">
      <c r="B350" s="1"/>
      <c r="K350" s="151"/>
      <c r="P350" s="151"/>
    </row>
    <row r="351" ht="12.0" customHeight="1">
      <c r="B351" s="1"/>
      <c r="K351" s="151"/>
      <c r="P351" s="151"/>
    </row>
    <row r="352" ht="12.0" customHeight="1">
      <c r="B352" s="1"/>
      <c r="K352" s="151"/>
      <c r="P352" s="151"/>
    </row>
    <row r="353" ht="12.0" customHeight="1">
      <c r="B353" s="1"/>
      <c r="K353" s="151"/>
      <c r="P353" s="151"/>
    </row>
    <row r="354" ht="12.0" customHeight="1">
      <c r="B354" s="1"/>
      <c r="K354" s="151"/>
      <c r="P354" s="151"/>
    </row>
    <row r="355" ht="12.0" customHeight="1">
      <c r="B355" s="1"/>
      <c r="K355" s="151"/>
      <c r="P355" s="151"/>
    </row>
    <row r="356" ht="12.0" customHeight="1">
      <c r="B356" s="1"/>
      <c r="K356" s="151"/>
      <c r="P356" s="151"/>
    </row>
    <row r="357" ht="12.0" customHeight="1">
      <c r="B357" s="1"/>
      <c r="K357" s="151"/>
      <c r="P357" s="151"/>
    </row>
    <row r="358" ht="12.0" customHeight="1">
      <c r="B358" s="1"/>
      <c r="K358" s="151"/>
      <c r="P358" s="151"/>
    </row>
    <row r="359" ht="12.0" customHeight="1">
      <c r="B359" s="1"/>
      <c r="K359" s="151"/>
      <c r="P359" s="151"/>
    </row>
    <row r="360" ht="12.0" customHeight="1">
      <c r="B360" s="1"/>
      <c r="K360" s="151"/>
      <c r="P360" s="151"/>
    </row>
    <row r="361" ht="12.0" customHeight="1">
      <c r="B361" s="1"/>
      <c r="K361" s="151"/>
      <c r="P361" s="151"/>
    </row>
    <row r="362" ht="12.0" customHeight="1">
      <c r="B362" s="1"/>
      <c r="K362" s="151"/>
      <c r="P362" s="151"/>
    </row>
    <row r="363" ht="12.0" customHeight="1">
      <c r="B363" s="1"/>
      <c r="K363" s="151"/>
      <c r="P363" s="151"/>
    </row>
    <row r="364" ht="12.0" customHeight="1">
      <c r="B364" s="1"/>
      <c r="K364" s="151"/>
      <c r="P364" s="151"/>
    </row>
    <row r="365" ht="12.0" customHeight="1">
      <c r="B365" s="1"/>
      <c r="K365" s="151"/>
      <c r="P365" s="151"/>
    </row>
    <row r="366" ht="12.0" customHeight="1">
      <c r="B366" s="1"/>
      <c r="K366" s="151"/>
      <c r="P366" s="151"/>
    </row>
    <row r="367" ht="12.0" customHeight="1">
      <c r="B367" s="1"/>
      <c r="K367" s="151"/>
      <c r="P367" s="151"/>
    </row>
    <row r="368" ht="12.0" customHeight="1">
      <c r="B368" s="1"/>
      <c r="K368" s="151"/>
      <c r="P368" s="151"/>
    </row>
    <row r="369" ht="12.0" customHeight="1">
      <c r="B369" s="1"/>
      <c r="K369" s="151"/>
      <c r="P369" s="151"/>
    </row>
    <row r="370" ht="12.0" customHeight="1">
      <c r="B370" s="1"/>
      <c r="K370" s="151"/>
      <c r="P370" s="151"/>
    </row>
    <row r="371" ht="12.0" customHeight="1">
      <c r="B371" s="1"/>
      <c r="K371" s="151"/>
      <c r="P371" s="151"/>
    </row>
    <row r="372" ht="12.0" customHeight="1">
      <c r="B372" s="1"/>
      <c r="K372" s="151"/>
      <c r="P372" s="151"/>
    </row>
    <row r="373" ht="12.0" customHeight="1">
      <c r="B373" s="1"/>
      <c r="K373" s="151"/>
      <c r="P373" s="151"/>
    </row>
    <row r="374" ht="12.0" customHeight="1">
      <c r="B374" s="1"/>
      <c r="K374" s="151"/>
      <c r="P374" s="151"/>
    </row>
    <row r="375" ht="12.0" customHeight="1">
      <c r="B375" s="1"/>
      <c r="K375" s="151"/>
      <c r="P375" s="151"/>
    </row>
    <row r="376" ht="12.0" customHeight="1">
      <c r="B376" s="1"/>
      <c r="K376" s="151"/>
      <c r="P376" s="151"/>
    </row>
    <row r="377" ht="12.0" customHeight="1">
      <c r="B377" s="1"/>
      <c r="K377" s="151"/>
      <c r="P377" s="151"/>
    </row>
    <row r="378" ht="12.0" customHeight="1">
      <c r="B378" s="1"/>
      <c r="K378" s="151"/>
      <c r="P378" s="151"/>
    </row>
    <row r="379" ht="12.0" customHeight="1">
      <c r="B379" s="1"/>
      <c r="K379" s="151"/>
      <c r="P379" s="151"/>
    </row>
    <row r="380" ht="12.0" customHeight="1">
      <c r="B380" s="1"/>
      <c r="K380" s="151"/>
      <c r="P380" s="151"/>
    </row>
    <row r="381" ht="12.0" customHeight="1">
      <c r="B381" s="1"/>
      <c r="K381" s="151"/>
      <c r="P381" s="151"/>
    </row>
    <row r="382" ht="12.0" customHeight="1">
      <c r="B382" s="1"/>
      <c r="K382" s="151"/>
      <c r="P382" s="151"/>
    </row>
    <row r="383" ht="12.0" customHeight="1">
      <c r="B383" s="1"/>
      <c r="K383" s="151"/>
      <c r="P383" s="151"/>
    </row>
    <row r="384" ht="12.0" customHeight="1">
      <c r="B384" s="1"/>
      <c r="K384" s="151"/>
      <c r="P384" s="151"/>
    </row>
    <row r="385" ht="12.0" customHeight="1">
      <c r="B385" s="1"/>
      <c r="K385" s="151"/>
      <c r="P385" s="151"/>
    </row>
    <row r="386" ht="12.0" customHeight="1">
      <c r="B386" s="1"/>
      <c r="K386" s="151"/>
      <c r="P386" s="151"/>
    </row>
    <row r="387" ht="12.0" customHeight="1">
      <c r="B387" s="1"/>
      <c r="K387" s="151"/>
      <c r="P387" s="151"/>
    </row>
    <row r="388" ht="12.0" customHeight="1">
      <c r="B388" s="1"/>
      <c r="K388" s="151"/>
      <c r="P388" s="151"/>
    </row>
    <row r="389" ht="12.0" customHeight="1">
      <c r="B389" s="1"/>
      <c r="K389" s="151"/>
      <c r="P389" s="151"/>
    </row>
    <row r="390" ht="12.0" customHeight="1">
      <c r="B390" s="1"/>
      <c r="K390" s="151"/>
      <c r="P390" s="151"/>
    </row>
    <row r="391" ht="12.0" customHeight="1">
      <c r="B391" s="1"/>
      <c r="K391" s="151"/>
      <c r="P391" s="151"/>
    </row>
    <row r="392" ht="12.0" customHeight="1">
      <c r="B392" s="1"/>
      <c r="K392" s="151"/>
      <c r="P392" s="151"/>
    </row>
    <row r="393" ht="12.0" customHeight="1">
      <c r="B393" s="1"/>
      <c r="K393" s="151"/>
      <c r="P393" s="151"/>
    </row>
    <row r="394" ht="12.0" customHeight="1">
      <c r="B394" s="1"/>
      <c r="K394" s="151"/>
      <c r="P394" s="151"/>
    </row>
    <row r="395" ht="12.0" customHeight="1">
      <c r="B395" s="1"/>
      <c r="K395" s="151"/>
      <c r="P395" s="151"/>
    </row>
    <row r="396" ht="12.0" customHeight="1">
      <c r="B396" s="1"/>
      <c r="K396" s="151"/>
      <c r="P396" s="151"/>
    </row>
    <row r="397" ht="12.0" customHeight="1">
      <c r="B397" s="1"/>
      <c r="K397" s="151"/>
      <c r="P397" s="151"/>
    </row>
    <row r="398" ht="12.0" customHeight="1">
      <c r="B398" s="1"/>
      <c r="K398" s="151"/>
      <c r="P398" s="151"/>
    </row>
    <row r="399" ht="12.0" customHeight="1">
      <c r="B399" s="1"/>
      <c r="K399" s="151"/>
      <c r="P399" s="151"/>
    </row>
    <row r="400" ht="12.0" customHeight="1">
      <c r="B400" s="1"/>
      <c r="K400" s="151"/>
      <c r="P400" s="151"/>
    </row>
    <row r="401" ht="12.0" customHeight="1">
      <c r="B401" s="1"/>
      <c r="K401" s="151"/>
      <c r="P401" s="151"/>
    </row>
    <row r="402" ht="12.0" customHeight="1">
      <c r="B402" s="1"/>
      <c r="K402" s="151"/>
      <c r="P402" s="151"/>
    </row>
    <row r="403" ht="12.0" customHeight="1">
      <c r="B403" s="1"/>
      <c r="K403" s="151"/>
      <c r="P403" s="151"/>
    </row>
    <row r="404" ht="12.0" customHeight="1">
      <c r="B404" s="1"/>
      <c r="K404" s="151"/>
      <c r="P404" s="151"/>
    </row>
    <row r="405" ht="12.0" customHeight="1">
      <c r="B405" s="1"/>
      <c r="K405" s="151"/>
      <c r="P405" s="151"/>
    </row>
    <row r="406" ht="12.0" customHeight="1">
      <c r="B406" s="1"/>
      <c r="K406" s="151"/>
      <c r="P406" s="151"/>
    </row>
    <row r="407" ht="12.0" customHeight="1">
      <c r="B407" s="1"/>
      <c r="K407" s="151"/>
      <c r="P407" s="151"/>
    </row>
    <row r="408" ht="12.0" customHeight="1">
      <c r="B408" s="1"/>
      <c r="K408" s="151"/>
      <c r="P408" s="151"/>
    </row>
    <row r="409" ht="12.0" customHeight="1">
      <c r="B409" s="1"/>
      <c r="K409" s="151"/>
      <c r="P409" s="151"/>
    </row>
    <row r="410" ht="12.0" customHeight="1">
      <c r="B410" s="1"/>
      <c r="K410" s="151"/>
      <c r="P410" s="151"/>
    </row>
    <row r="411" ht="12.0" customHeight="1">
      <c r="B411" s="1"/>
      <c r="K411" s="151"/>
      <c r="P411" s="151"/>
    </row>
    <row r="412" ht="12.0" customHeight="1">
      <c r="B412" s="1"/>
      <c r="K412" s="151"/>
      <c r="P412" s="151"/>
    </row>
    <row r="413" ht="12.0" customHeight="1">
      <c r="B413" s="1"/>
      <c r="K413" s="151"/>
      <c r="P413" s="151"/>
    </row>
    <row r="414" ht="12.0" customHeight="1">
      <c r="B414" s="1"/>
      <c r="K414" s="151"/>
      <c r="P414" s="151"/>
    </row>
    <row r="415" ht="12.0" customHeight="1">
      <c r="B415" s="1"/>
      <c r="K415" s="151"/>
      <c r="P415" s="151"/>
    </row>
    <row r="416" ht="12.0" customHeight="1">
      <c r="B416" s="1"/>
      <c r="K416" s="151"/>
      <c r="P416" s="151"/>
    </row>
    <row r="417" ht="12.0" customHeight="1">
      <c r="B417" s="1"/>
      <c r="K417" s="151"/>
      <c r="P417" s="151"/>
    </row>
    <row r="418" ht="12.0" customHeight="1">
      <c r="B418" s="1"/>
      <c r="K418" s="151"/>
      <c r="P418" s="151"/>
    </row>
    <row r="419" ht="12.0" customHeight="1">
      <c r="B419" s="1"/>
      <c r="K419" s="151"/>
      <c r="P419" s="151"/>
    </row>
    <row r="420" ht="12.0" customHeight="1">
      <c r="B420" s="1"/>
      <c r="K420" s="151"/>
      <c r="P420" s="151"/>
    </row>
    <row r="421" ht="12.0" customHeight="1">
      <c r="B421" s="1"/>
      <c r="K421" s="151"/>
      <c r="P421" s="151"/>
    </row>
    <row r="422" ht="12.0" customHeight="1">
      <c r="B422" s="1"/>
      <c r="K422" s="151"/>
      <c r="P422" s="151"/>
    </row>
    <row r="423" ht="12.0" customHeight="1">
      <c r="B423" s="1"/>
      <c r="K423" s="151"/>
      <c r="P423" s="151"/>
    </row>
    <row r="424" ht="12.0" customHeight="1">
      <c r="B424" s="1"/>
      <c r="K424" s="151"/>
      <c r="P424" s="151"/>
    </row>
    <row r="425" ht="12.0" customHeight="1">
      <c r="B425" s="1"/>
      <c r="K425" s="151"/>
      <c r="P425" s="151"/>
    </row>
    <row r="426" ht="12.0" customHeight="1">
      <c r="B426" s="1"/>
      <c r="K426" s="151"/>
      <c r="P426" s="151"/>
    </row>
    <row r="427" ht="12.0" customHeight="1">
      <c r="B427" s="1"/>
      <c r="K427" s="151"/>
      <c r="P427" s="151"/>
    </row>
    <row r="428" ht="12.0" customHeight="1">
      <c r="B428" s="1"/>
      <c r="K428" s="151"/>
      <c r="P428" s="151"/>
    </row>
    <row r="429" ht="12.0" customHeight="1">
      <c r="B429" s="1"/>
      <c r="K429" s="151"/>
      <c r="P429" s="151"/>
    </row>
    <row r="430" ht="12.0" customHeight="1">
      <c r="B430" s="1"/>
      <c r="K430" s="151"/>
      <c r="P430" s="151"/>
    </row>
    <row r="431" ht="12.0" customHeight="1">
      <c r="B431" s="1"/>
      <c r="K431" s="151"/>
      <c r="P431" s="151"/>
    </row>
    <row r="432" ht="12.0" customHeight="1">
      <c r="B432" s="1"/>
      <c r="K432" s="151"/>
      <c r="P432" s="151"/>
    </row>
    <row r="433" ht="12.0" customHeight="1">
      <c r="B433" s="1"/>
      <c r="K433" s="151"/>
      <c r="P433" s="151"/>
    </row>
    <row r="434" ht="12.0" customHeight="1">
      <c r="B434" s="1"/>
      <c r="K434" s="151"/>
      <c r="P434" s="151"/>
    </row>
    <row r="435" ht="12.0" customHeight="1">
      <c r="B435" s="1"/>
      <c r="K435" s="151"/>
      <c r="P435" s="151"/>
    </row>
    <row r="436" ht="12.0" customHeight="1">
      <c r="B436" s="1"/>
      <c r="K436" s="151"/>
      <c r="P436" s="151"/>
    </row>
    <row r="437" ht="12.0" customHeight="1">
      <c r="B437" s="1"/>
      <c r="K437" s="151"/>
      <c r="P437" s="151"/>
    </row>
    <row r="438" ht="12.0" customHeight="1">
      <c r="B438" s="1"/>
      <c r="K438" s="151"/>
      <c r="P438" s="151"/>
    </row>
    <row r="439" ht="12.0" customHeight="1">
      <c r="B439" s="1"/>
      <c r="K439" s="151"/>
      <c r="P439" s="151"/>
    </row>
    <row r="440" ht="12.0" customHeight="1">
      <c r="B440" s="1"/>
      <c r="K440" s="151"/>
      <c r="P440" s="151"/>
    </row>
    <row r="441" ht="12.0" customHeight="1">
      <c r="B441" s="1"/>
      <c r="K441" s="151"/>
      <c r="P441" s="151"/>
    </row>
    <row r="442" ht="12.0" customHeight="1">
      <c r="B442" s="1"/>
      <c r="K442" s="151"/>
      <c r="P442" s="151"/>
    </row>
    <row r="443" ht="12.0" customHeight="1">
      <c r="B443" s="1"/>
      <c r="K443" s="151"/>
      <c r="P443" s="151"/>
    </row>
    <row r="444" ht="12.0" customHeight="1">
      <c r="B444" s="1"/>
      <c r="K444" s="151"/>
      <c r="P444" s="151"/>
    </row>
    <row r="445" ht="12.0" customHeight="1">
      <c r="B445" s="1"/>
      <c r="K445" s="151"/>
      <c r="P445" s="151"/>
    </row>
    <row r="446" ht="12.0" customHeight="1">
      <c r="B446" s="1"/>
      <c r="K446" s="151"/>
      <c r="P446" s="151"/>
    </row>
    <row r="447" ht="12.0" customHeight="1">
      <c r="B447" s="1"/>
      <c r="K447" s="151"/>
      <c r="P447" s="151"/>
    </row>
    <row r="448" ht="12.0" customHeight="1">
      <c r="B448" s="1"/>
      <c r="K448" s="151"/>
      <c r="P448" s="151"/>
    </row>
    <row r="449" ht="12.0" customHeight="1">
      <c r="B449" s="1"/>
      <c r="K449" s="151"/>
      <c r="P449" s="151"/>
    </row>
    <row r="450" ht="12.0" customHeight="1">
      <c r="B450" s="1"/>
      <c r="K450" s="151"/>
      <c r="P450" s="151"/>
    </row>
    <row r="451" ht="12.0" customHeight="1">
      <c r="B451" s="1"/>
      <c r="K451" s="151"/>
      <c r="P451" s="151"/>
    </row>
    <row r="452" ht="12.0" customHeight="1">
      <c r="B452" s="1"/>
      <c r="K452" s="151"/>
      <c r="P452" s="151"/>
    </row>
    <row r="453" ht="12.0" customHeight="1">
      <c r="B453" s="1"/>
      <c r="K453" s="151"/>
      <c r="P453" s="151"/>
    </row>
    <row r="454" ht="12.0" customHeight="1">
      <c r="B454" s="1"/>
      <c r="K454" s="151"/>
      <c r="P454" s="151"/>
    </row>
    <row r="455" ht="12.0" customHeight="1">
      <c r="B455" s="1"/>
      <c r="K455" s="151"/>
      <c r="P455" s="151"/>
    </row>
    <row r="456" ht="12.0" customHeight="1">
      <c r="B456" s="1"/>
      <c r="K456" s="151"/>
      <c r="P456" s="151"/>
    </row>
    <row r="457" ht="12.0" customHeight="1">
      <c r="B457" s="1"/>
      <c r="K457" s="151"/>
      <c r="P457" s="151"/>
    </row>
    <row r="458" ht="12.0" customHeight="1">
      <c r="B458" s="1"/>
      <c r="K458" s="151"/>
      <c r="P458" s="151"/>
    </row>
    <row r="459" ht="12.0" customHeight="1">
      <c r="B459" s="1"/>
      <c r="K459" s="151"/>
      <c r="P459" s="151"/>
    </row>
    <row r="460" ht="12.0" customHeight="1">
      <c r="B460" s="1"/>
      <c r="K460" s="151"/>
      <c r="P460" s="151"/>
    </row>
    <row r="461" ht="12.0" customHeight="1">
      <c r="B461" s="1"/>
      <c r="K461" s="151"/>
      <c r="P461" s="151"/>
    </row>
    <row r="462" ht="12.0" customHeight="1">
      <c r="B462" s="1"/>
      <c r="K462" s="151"/>
      <c r="P462" s="151"/>
    </row>
    <row r="463" ht="12.0" customHeight="1">
      <c r="B463" s="1"/>
      <c r="K463" s="151"/>
      <c r="P463" s="151"/>
    </row>
    <row r="464" ht="12.0" customHeight="1">
      <c r="B464" s="1"/>
      <c r="K464" s="151"/>
      <c r="P464" s="151"/>
    </row>
    <row r="465" ht="12.0" customHeight="1">
      <c r="B465" s="1"/>
      <c r="K465" s="151"/>
      <c r="P465" s="151"/>
    </row>
    <row r="466" ht="12.0" customHeight="1">
      <c r="B466" s="1"/>
      <c r="K466" s="151"/>
      <c r="P466" s="151"/>
    </row>
    <row r="467" ht="12.0" customHeight="1">
      <c r="B467" s="1"/>
      <c r="K467" s="151"/>
      <c r="P467" s="151"/>
    </row>
    <row r="468" ht="12.0" customHeight="1">
      <c r="B468" s="1"/>
      <c r="K468" s="151"/>
      <c r="P468" s="151"/>
    </row>
    <row r="469" ht="12.0" customHeight="1">
      <c r="B469" s="1"/>
      <c r="K469" s="151"/>
      <c r="P469" s="151"/>
    </row>
    <row r="470" ht="12.0" customHeight="1">
      <c r="B470" s="1"/>
      <c r="K470" s="151"/>
      <c r="P470" s="151"/>
    </row>
    <row r="471" ht="12.0" customHeight="1">
      <c r="B471" s="1"/>
      <c r="K471" s="151"/>
      <c r="P471" s="151"/>
    </row>
    <row r="472" ht="12.0" customHeight="1">
      <c r="B472" s="1"/>
      <c r="K472" s="151"/>
      <c r="P472" s="151"/>
    </row>
    <row r="473" ht="12.0" customHeight="1">
      <c r="B473" s="1"/>
      <c r="K473" s="151"/>
      <c r="P473" s="151"/>
    </row>
    <row r="474" ht="12.0" customHeight="1">
      <c r="B474" s="1"/>
      <c r="K474" s="151"/>
      <c r="P474" s="151"/>
    </row>
    <row r="475" ht="12.0" customHeight="1">
      <c r="B475" s="1"/>
      <c r="K475" s="151"/>
      <c r="P475" s="151"/>
    </row>
    <row r="476" ht="12.0" customHeight="1">
      <c r="B476" s="1"/>
      <c r="K476" s="151"/>
      <c r="P476" s="151"/>
    </row>
    <row r="477" ht="12.0" customHeight="1">
      <c r="B477" s="1"/>
      <c r="K477" s="151"/>
      <c r="P477" s="151"/>
    </row>
    <row r="478" ht="12.0" customHeight="1">
      <c r="B478" s="1"/>
      <c r="K478" s="151"/>
      <c r="P478" s="151"/>
    </row>
    <row r="479" ht="12.0" customHeight="1">
      <c r="B479" s="1"/>
      <c r="K479" s="151"/>
      <c r="P479" s="151"/>
    </row>
    <row r="480" ht="12.0" customHeight="1">
      <c r="B480" s="1"/>
      <c r="K480" s="151"/>
      <c r="P480" s="151"/>
    </row>
    <row r="481" ht="12.0" customHeight="1">
      <c r="B481" s="1"/>
      <c r="K481" s="151"/>
      <c r="P481" s="151"/>
    </row>
    <row r="482" ht="12.0" customHeight="1">
      <c r="B482" s="1"/>
      <c r="K482" s="151"/>
      <c r="P482" s="151"/>
    </row>
    <row r="483" ht="12.0" customHeight="1">
      <c r="B483" s="1"/>
      <c r="K483" s="151"/>
      <c r="P483" s="151"/>
    </row>
    <row r="484" ht="12.0" customHeight="1">
      <c r="B484" s="1"/>
      <c r="K484" s="151"/>
      <c r="P484" s="151"/>
    </row>
    <row r="485" ht="12.0" customHeight="1">
      <c r="B485" s="1"/>
      <c r="K485" s="151"/>
      <c r="P485" s="151"/>
    </row>
    <row r="486" ht="12.0" customHeight="1">
      <c r="B486" s="1"/>
      <c r="K486" s="151"/>
      <c r="P486" s="151"/>
    </row>
    <row r="487" ht="12.0" customHeight="1">
      <c r="B487" s="1"/>
      <c r="K487" s="151"/>
      <c r="P487" s="151"/>
    </row>
    <row r="488" ht="12.0" customHeight="1">
      <c r="B488" s="1"/>
      <c r="K488" s="151"/>
      <c r="P488" s="151"/>
    </row>
    <row r="489" ht="12.0" customHeight="1">
      <c r="B489" s="1"/>
      <c r="K489" s="151"/>
      <c r="P489" s="151"/>
    </row>
    <row r="490" ht="12.0" customHeight="1">
      <c r="B490" s="1"/>
      <c r="K490" s="151"/>
      <c r="P490" s="151"/>
    </row>
    <row r="491" ht="12.0" customHeight="1">
      <c r="B491" s="1"/>
      <c r="K491" s="151"/>
      <c r="P491" s="151"/>
    </row>
    <row r="492" ht="12.0" customHeight="1">
      <c r="B492" s="1"/>
      <c r="K492" s="151"/>
      <c r="P492" s="151"/>
    </row>
    <row r="493" ht="12.0" customHeight="1">
      <c r="B493" s="1"/>
      <c r="K493" s="151"/>
      <c r="P493" s="151"/>
    </row>
    <row r="494" ht="12.0" customHeight="1">
      <c r="B494" s="1"/>
      <c r="K494" s="151"/>
      <c r="P494" s="151"/>
    </row>
    <row r="495" ht="12.0" customHeight="1">
      <c r="B495" s="1"/>
      <c r="K495" s="151"/>
      <c r="P495" s="151"/>
    </row>
    <row r="496" ht="12.0" customHeight="1">
      <c r="B496" s="1"/>
      <c r="K496" s="151"/>
      <c r="P496" s="151"/>
    </row>
    <row r="497" ht="12.0" customHeight="1">
      <c r="B497" s="1"/>
      <c r="K497" s="151"/>
      <c r="P497" s="151"/>
    </row>
    <row r="498" ht="12.0" customHeight="1">
      <c r="B498" s="1"/>
      <c r="K498" s="151"/>
      <c r="P498" s="151"/>
    </row>
    <row r="499" ht="12.0" customHeight="1">
      <c r="B499" s="1"/>
      <c r="K499" s="151"/>
      <c r="P499" s="151"/>
    </row>
    <row r="500" ht="12.0" customHeight="1">
      <c r="B500" s="1"/>
      <c r="K500" s="151"/>
      <c r="P500" s="151"/>
    </row>
    <row r="501" ht="12.0" customHeight="1">
      <c r="B501" s="1"/>
      <c r="K501" s="151"/>
      <c r="P501" s="151"/>
    </row>
    <row r="502" ht="12.0" customHeight="1">
      <c r="B502" s="1"/>
      <c r="K502" s="151"/>
      <c r="P502" s="151"/>
    </row>
    <row r="503" ht="12.0" customHeight="1">
      <c r="B503" s="1"/>
      <c r="K503" s="151"/>
      <c r="P503" s="151"/>
    </row>
    <row r="504" ht="12.0" customHeight="1">
      <c r="B504" s="1"/>
      <c r="K504" s="151"/>
      <c r="P504" s="151"/>
    </row>
    <row r="505" ht="12.0" customHeight="1">
      <c r="B505" s="1"/>
      <c r="K505" s="151"/>
      <c r="P505" s="151"/>
    </row>
    <row r="506" ht="12.0" customHeight="1">
      <c r="B506" s="1"/>
      <c r="K506" s="151"/>
      <c r="P506" s="151"/>
    </row>
    <row r="507" ht="12.0" customHeight="1">
      <c r="B507" s="1"/>
      <c r="K507" s="151"/>
      <c r="P507" s="151"/>
    </row>
    <row r="508" ht="12.0" customHeight="1">
      <c r="B508" s="1"/>
      <c r="K508" s="151"/>
      <c r="P508" s="151"/>
    </row>
    <row r="509" ht="12.0" customHeight="1">
      <c r="B509" s="1"/>
      <c r="K509" s="151"/>
      <c r="P509" s="151"/>
    </row>
    <row r="510" ht="12.0" customHeight="1">
      <c r="B510" s="1"/>
      <c r="K510" s="151"/>
      <c r="P510" s="151"/>
    </row>
    <row r="511" ht="12.0" customHeight="1">
      <c r="B511" s="1"/>
      <c r="K511" s="151"/>
      <c r="P511" s="151"/>
    </row>
    <row r="512" ht="12.0" customHeight="1">
      <c r="B512" s="1"/>
      <c r="K512" s="151"/>
      <c r="P512" s="151"/>
    </row>
    <row r="513" ht="12.0" customHeight="1">
      <c r="B513" s="1"/>
      <c r="K513" s="151"/>
      <c r="P513" s="151"/>
    </row>
    <row r="514" ht="12.0" customHeight="1">
      <c r="B514" s="1"/>
      <c r="K514" s="151"/>
      <c r="P514" s="151"/>
    </row>
    <row r="515" ht="12.0" customHeight="1">
      <c r="B515" s="1"/>
      <c r="K515" s="151"/>
      <c r="P515" s="151"/>
    </row>
    <row r="516" ht="12.0" customHeight="1">
      <c r="B516" s="1"/>
      <c r="K516" s="151"/>
      <c r="P516" s="151"/>
    </row>
    <row r="517" ht="12.0" customHeight="1">
      <c r="B517" s="1"/>
      <c r="K517" s="151"/>
      <c r="P517" s="151"/>
    </row>
    <row r="518" ht="12.0" customHeight="1">
      <c r="B518" s="1"/>
      <c r="K518" s="151"/>
      <c r="P518" s="151"/>
    </row>
    <row r="519" ht="12.0" customHeight="1">
      <c r="B519" s="1"/>
      <c r="K519" s="151"/>
      <c r="P519" s="151"/>
    </row>
    <row r="520" ht="12.0" customHeight="1">
      <c r="B520" s="1"/>
      <c r="K520" s="151"/>
      <c r="P520" s="151"/>
    </row>
    <row r="521" ht="12.0" customHeight="1">
      <c r="B521" s="1"/>
      <c r="K521" s="151"/>
      <c r="P521" s="151"/>
    </row>
    <row r="522" ht="12.0" customHeight="1">
      <c r="B522" s="1"/>
      <c r="K522" s="151"/>
      <c r="P522" s="151"/>
    </row>
    <row r="523" ht="12.0" customHeight="1">
      <c r="B523" s="1"/>
      <c r="K523" s="151"/>
      <c r="P523" s="151"/>
    </row>
    <row r="524" ht="12.0" customHeight="1">
      <c r="B524" s="1"/>
      <c r="K524" s="151"/>
      <c r="P524" s="151"/>
    </row>
    <row r="525" ht="12.0" customHeight="1">
      <c r="B525" s="1"/>
      <c r="K525" s="151"/>
      <c r="P525" s="151"/>
    </row>
    <row r="526" ht="12.0" customHeight="1">
      <c r="B526" s="1"/>
      <c r="K526" s="151"/>
      <c r="P526" s="151"/>
    </row>
    <row r="527" ht="12.0" customHeight="1">
      <c r="B527" s="1"/>
      <c r="K527" s="151"/>
      <c r="P527" s="151"/>
    </row>
    <row r="528" ht="12.0" customHeight="1">
      <c r="B528" s="1"/>
      <c r="K528" s="151"/>
      <c r="P528" s="151"/>
    </row>
    <row r="529" ht="12.0" customHeight="1">
      <c r="B529" s="1"/>
      <c r="K529" s="151"/>
      <c r="P529" s="151"/>
    </row>
    <row r="530" ht="12.0" customHeight="1">
      <c r="B530" s="1"/>
      <c r="K530" s="151"/>
      <c r="P530" s="151"/>
    </row>
    <row r="531" ht="12.0" customHeight="1">
      <c r="B531" s="1"/>
      <c r="K531" s="151"/>
      <c r="P531" s="151"/>
    </row>
    <row r="532" ht="12.0" customHeight="1">
      <c r="B532" s="1"/>
      <c r="K532" s="151"/>
      <c r="P532" s="151"/>
    </row>
    <row r="533" ht="12.0" customHeight="1">
      <c r="B533" s="1"/>
      <c r="K533" s="151"/>
      <c r="P533" s="151"/>
    </row>
    <row r="534" ht="12.0" customHeight="1">
      <c r="B534" s="1"/>
      <c r="K534" s="151"/>
      <c r="P534" s="151"/>
    </row>
    <row r="535" ht="12.0" customHeight="1">
      <c r="B535" s="1"/>
      <c r="K535" s="151"/>
      <c r="P535" s="151"/>
    </row>
    <row r="536" ht="12.0" customHeight="1">
      <c r="B536" s="1"/>
      <c r="K536" s="151"/>
      <c r="P536" s="151"/>
    </row>
    <row r="537" ht="12.0" customHeight="1">
      <c r="B537" s="1"/>
      <c r="K537" s="151"/>
      <c r="P537" s="151"/>
    </row>
    <row r="538" ht="12.0" customHeight="1">
      <c r="B538" s="1"/>
      <c r="K538" s="151"/>
      <c r="P538" s="151"/>
    </row>
    <row r="539" ht="12.0" customHeight="1">
      <c r="B539" s="1"/>
      <c r="K539" s="151"/>
      <c r="P539" s="151"/>
    </row>
    <row r="540" ht="12.0" customHeight="1">
      <c r="B540" s="1"/>
      <c r="K540" s="151"/>
      <c r="P540" s="151"/>
    </row>
    <row r="541" ht="12.0" customHeight="1">
      <c r="B541" s="1"/>
      <c r="K541" s="151"/>
      <c r="P541" s="151"/>
    </row>
    <row r="542" ht="12.0" customHeight="1">
      <c r="B542" s="1"/>
      <c r="K542" s="151"/>
      <c r="P542" s="151"/>
    </row>
    <row r="543" ht="12.0" customHeight="1">
      <c r="B543" s="1"/>
      <c r="K543" s="151"/>
      <c r="P543" s="151"/>
    </row>
    <row r="544" ht="12.0" customHeight="1">
      <c r="B544" s="1"/>
      <c r="K544" s="151"/>
      <c r="P544" s="151"/>
    </row>
    <row r="545" ht="12.0" customHeight="1">
      <c r="B545" s="1"/>
      <c r="K545" s="151"/>
      <c r="P545" s="151"/>
    </row>
    <row r="546" ht="12.0" customHeight="1">
      <c r="B546" s="1"/>
      <c r="K546" s="151"/>
      <c r="P546" s="151"/>
    </row>
    <row r="547" ht="12.0" customHeight="1">
      <c r="B547" s="1"/>
      <c r="K547" s="151"/>
      <c r="P547" s="151"/>
    </row>
    <row r="548" ht="12.0" customHeight="1">
      <c r="B548" s="1"/>
      <c r="K548" s="151"/>
      <c r="P548" s="151"/>
    </row>
    <row r="549" ht="12.0" customHeight="1">
      <c r="B549" s="1"/>
      <c r="K549" s="151"/>
      <c r="P549" s="151"/>
    </row>
    <row r="550" ht="12.0" customHeight="1">
      <c r="B550" s="1"/>
      <c r="K550" s="151"/>
      <c r="P550" s="151"/>
    </row>
    <row r="551" ht="12.0" customHeight="1">
      <c r="B551" s="1"/>
      <c r="K551" s="151"/>
      <c r="P551" s="151"/>
    </row>
    <row r="552" ht="12.0" customHeight="1">
      <c r="B552" s="1"/>
      <c r="K552" s="151"/>
      <c r="P552" s="151"/>
    </row>
    <row r="553" ht="12.0" customHeight="1">
      <c r="B553" s="1"/>
      <c r="K553" s="151"/>
      <c r="P553" s="151"/>
    </row>
    <row r="554" ht="12.0" customHeight="1">
      <c r="B554" s="1"/>
      <c r="K554" s="151"/>
      <c r="P554" s="151"/>
    </row>
    <row r="555" ht="12.0" customHeight="1">
      <c r="B555" s="1"/>
      <c r="K555" s="151"/>
      <c r="P555" s="151"/>
    </row>
    <row r="556" ht="12.0" customHeight="1">
      <c r="B556" s="1"/>
      <c r="K556" s="151"/>
      <c r="P556" s="151"/>
    </row>
    <row r="557" ht="12.0" customHeight="1">
      <c r="B557" s="1"/>
      <c r="K557" s="151"/>
      <c r="P557" s="151"/>
    </row>
    <row r="558" ht="12.0" customHeight="1">
      <c r="B558" s="1"/>
      <c r="K558" s="151"/>
      <c r="P558" s="151"/>
    </row>
    <row r="559" ht="12.0" customHeight="1">
      <c r="B559" s="1"/>
      <c r="K559" s="151"/>
      <c r="P559" s="151"/>
    </row>
    <row r="560" ht="12.0" customHeight="1">
      <c r="B560" s="1"/>
      <c r="K560" s="151"/>
      <c r="P560" s="151"/>
    </row>
    <row r="561" ht="12.0" customHeight="1">
      <c r="B561" s="1"/>
      <c r="K561" s="151"/>
      <c r="P561" s="151"/>
    </row>
    <row r="562" ht="12.0" customHeight="1">
      <c r="B562" s="1"/>
      <c r="K562" s="151"/>
      <c r="P562" s="151"/>
    </row>
    <row r="563" ht="12.0" customHeight="1">
      <c r="B563" s="1"/>
      <c r="K563" s="151"/>
      <c r="P563" s="151"/>
    </row>
    <row r="564" ht="12.0" customHeight="1">
      <c r="B564" s="1"/>
      <c r="K564" s="151"/>
      <c r="P564" s="151"/>
    </row>
    <row r="565" ht="12.0" customHeight="1">
      <c r="B565" s="1"/>
      <c r="K565" s="151"/>
      <c r="P565" s="151"/>
    </row>
    <row r="566" ht="12.0" customHeight="1">
      <c r="B566" s="1"/>
      <c r="K566" s="151"/>
      <c r="P566" s="151"/>
    </row>
    <row r="567" ht="12.0" customHeight="1">
      <c r="B567" s="1"/>
      <c r="K567" s="151"/>
      <c r="P567" s="151"/>
    </row>
    <row r="568" ht="12.0" customHeight="1">
      <c r="B568" s="1"/>
      <c r="K568" s="151"/>
      <c r="P568" s="151"/>
    </row>
    <row r="569" ht="12.0" customHeight="1">
      <c r="B569" s="1"/>
      <c r="K569" s="151"/>
      <c r="P569" s="151"/>
    </row>
    <row r="570" ht="12.0" customHeight="1">
      <c r="B570" s="1"/>
      <c r="K570" s="151"/>
      <c r="P570" s="151"/>
    </row>
    <row r="571" ht="12.0" customHeight="1">
      <c r="B571" s="1"/>
      <c r="K571" s="151"/>
      <c r="P571" s="151"/>
    </row>
    <row r="572" ht="12.0" customHeight="1">
      <c r="B572" s="1"/>
      <c r="K572" s="151"/>
      <c r="P572" s="151"/>
    </row>
    <row r="573" ht="12.0" customHeight="1">
      <c r="B573" s="1"/>
      <c r="K573" s="151"/>
      <c r="P573" s="151"/>
    </row>
    <row r="574" ht="12.0" customHeight="1">
      <c r="B574" s="1"/>
      <c r="K574" s="151"/>
      <c r="P574" s="151"/>
    </row>
    <row r="575" ht="12.0" customHeight="1">
      <c r="B575" s="1"/>
      <c r="K575" s="151"/>
      <c r="P575" s="151"/>
    </row>
    <row r="576" ht="12.0" customHeight="1">
      <c r="B576" s="1"/>
      <c r="K576" s="151"/>
      <c r="P576" s="151"/>
    </row>
    <row r="577" ht="12.0" customHeight="1">
      <c r="B577" s="1"/>
      <c r="K577" s="151"/>
      <c r="P577" s="151"/>
    </row>
    <row r="578" ht="12.0" customHeight="1">
      <c r="B578" s="1"/>
      <c r="K578" s="151"/>
      <c r="P578" s="151"/>
    </row>
    <row r="579" ht="12.0" customHeight="1">
      <c r="B579" s="1"/>
      <c r="K579" s="151"/>
      <c r="P579" s="151"/>
    </row>
    <row r="580" ht="12.0" customHeight="1">
      <c r="B580" s="1"/>
      <c r="K580" s="151"/>
      <c r="P580" s="151"/>
    </row>
    <row r="581" ht="12.0" customHeight="1">
      <c r="B581" s="1"/>
      <c r="K581" s="151"/>
      <c r="P581" s="151"/>
    </row>
    <row r="582" ht="12.0" customHeight="1">
      <c r="B582" s="1"/>
      <c r="K582" s="151"/>
      <c r="P582" s="151"/>
    </row>
    <row r="583" ht="12.0" customHeight="1">
      <c r="B583" s="1"/>
      <c r="K583" s="151"/>
      <c r="P583" s="151"/>
    </row>
    <row r="584" ht="12.0" customHeight="1">
      <c r="B584" s="1"/>
      <c r="K584" s="151"/>
      <c r="P584" s="151"/>
    </row>
    <row r="585" ht="12.0" customHeight="1">
      <c r="B585" s="1"/>
      <c r="K585" s="151"/>
      <c r="P585" s="151"/>
    </row>
    <row r="586" ht="12.0" customHeight="1">
      <c r="B586" s="1"/>
      <c r="K586" s="151"/>
      <c r="P586" s="151"/>
    </row>
    <row r="587" ht="12.0" customHeight="1">
      <c r="B587" s="1"/>
      <c r="K587" s="151"/>
      <c r="P587" s="151"/>
    </row>
    <row r="588" ht="12.0" customHeight="1">
      <c r="B588" s="1"/>
      <c r="K588" s="151"/>
      <c r="P588" s="151"/>
    </row>
    <row r="589" ht="12.0" customHeight="1">
      <c r="B589" s="1"/>
      <c r="K589" s="151"/>
      <c r="P589" s="151"/>
    </row>
    <row r="590" ht="12.0" customHeight="1">
      <c r="B590" s="1"/>
      <c r="K590" s="151"/>
      <c r="P590" s="151"/>
    </row>
    <row r="591" ht="12.0" customHeight="1">
      <c r="B591" s="1"/>
      <c r="K591" s="151"/>
      <c r="P591" s="151"/>
    </row>
    <row r="592" ht="12.0" customHeight="1">
      <c r="B592" s="1"/>
      <c r="K592" s="151"/>
      <c r="P592" s="151"/>
    </row>
    <row r="593" ht="12.0" customHeight="1">
      <c r="B593" s="1"/>
      <c r="K593" s="151"/>
      <c r="P593" s="151"/>
    </row>
    <row r="594" ht="12.0" customHeight="1">
      <c r="B594" s="1"/>
      <c r="K594" s="151"/>
      <c r="P594" s="151"/>
    </row>
    <row r="595" ht="12.0" customHeight="1">
      <c r="B595" s="1"/>
      <c r="K595" s="151"/>
      <c r="P595" s="151"/>
    </row>
    <row r="596" ht="12.0" customHeight="1">
      <c r="B596" s="1"/>
      <c r="K596" s="151"/>
      <c r="P596" s="151"/>
    </row>
    <row r="597" ht="12.0" customHeight="1">
      <c r="B597" s="1"/>
      <c r="K597" s="151"/>
      <c r="P597" s="151"/>
    </row>
    <row r="598" ht="12.0" customHeight="1">
      <c r="B598" s="1"/>
      <c r="K598" s="151"/>
      <c r="P598" s="151"/>
    </row>
    <row r="599" ht="12.0" customHeight="1">
      <c r="B599" s="1"/>
      <c r="K599" s="151"/>
      <c r="P599" s="151"/>
    </row>
    <row r="600" ht="12.0" customHeight="1">
      <c r="B600" s="1"/>
      <c r="K600" s="151"/>
      <c r="P600" s="151"/>
    </row>
    <row r="601" ht="12.0" customHeight="1">
      <c r="B601" s="1"/>
      <c r="K601" s="151"/>
      <c r="P601" s="151"/>
    </row>
    <row r="602" ht="12.0" customHeight="1">
      <c r="B602" s="1"/>
      <c r="K602" s="151"/>
      <c r="P602" s="151"/>
    </row>
    <row r="603" ht="12.0" customHeight="1">
      <c r="B603" s="1"/>
      <c r="K603" s="151"/>
      <c r="P603" s="151"/>
    </row>
    <row r="604" ht="12.0" customHeight="1">
      <c r="B604" s="1"/>
      <c r="K604" s="151"/>
      <c r="P604" s="151"/>
    </row>
    <row r="605" ht="12.0" customHeight="1">
      <c r="B605" s="1"/>
      <c r="K605" s="151"/>
      <c r="P605" s="151"/>
    </row>
    <row r="606" ht="12.0" customHeight="1">
      <c r="B606" s="1"/>
      <c r="K606" s="151"/>
      <c r="P606" s="151"/>
    </row>
    <row r="607" ht="12.0" customHeight="1">
      <c r="B607" s="1"/>
      <c r="K607" s="151"/>
      <c r="P607" s="151"/>
    </row>
    <row r="608" ht="12.0" customHeight="1">
      <c r="B608" s="1"/>
      <c r="K608" s="151"/>
      <c r="P608" s="151"/>
    </row>
    <row r="609" ht="12.0" customHeight="1">
      <c r="B609" s="1"/>
      <c r="K609" s="151"/>
      <c r="P609" s="151"/>
    </row>
    <row r="610" ht="12.0" customHeight="1">
      <c r="B610" s="1"/>
      <c r="K610" s="151"/>
      <c r="P610" s="151"/>
    </row>
    <row r="611" ht="12.0" customHeight="1">
      <c r="B611" s="1"/>
      <c r="K611" s="151"/>
      <c r="P611" s="151"/>
    </row>
    <row r="612" ht="12.0" customHeight="1">
      <c r="B612" s="1"/>
      <c r="K612" s="151"/>
      <c r="P612" s="151"/>
    </row>
    <row r="613" ht="12.0" customHeight="1">
      <c r="B613" s="1"/>
      <c r="K613" s="151"/>
      <c r="P613" s="151"/>
    </row>
    <row r="614" ht="12.0" customHeight="1">
      <c r="B614" s="1"/>
      <c r="K614" s="151"/>
      <c r="P614" s="151"/>
    </row>
    <row r="615" ht="12.0" customHeight="1">
      <c r="B615" s="1"/>
      <c r="K615" s="151"/>
      <c r="P615" s="151"/>
    </row>
    <row r="616" ht="12.0" customHeight="1">
      <c r="B616" s="1"/>
      <c r="K616" s="151"/>
      <c r="P616" s="151"/>
    </row>
    <row r="617" ht="12.0" customHeight="1">
      <c r="B617" s="1"/>
      <c r="K617" s="151"/>
      <c r="P617" s="151"/>
    </row>
    <row r="618" ht="12.0" customHeight="1">
      <c r="B618" s="1"/>
      <c r="K618" s="151"/>
      <c r="P618" s="151"/>
    </row>
    <row r="619" ht="12.0" customHeight="1">
      <c r="B619" s="1"/>
      <c r="K619" s="151"/>
      <c r="P619" s="151"/>
    </row>
    <row r="620" ht="12.0" customHeight="1">
      <c r="B620" s="1"/>
      <c r="K620" s="151"/>
      <c r="P620" s="151"/>
    </row>
    <row r="621" ht="12.0" customHeight="1">
      <c r="B621" s="1"/>
      <c r="K621" s="151"/>
      <c r="P621" s="151"/>
    </row>
    <row r="622" ht="12.0" customHeight="1">
      <c r="B622" s="1"/>
      <c r="K622" s="151"/>
      <c r="P622" s="151"/>
    </row>
    <row r="623" ht="12.0" customHeight="1">
      <c r="B623" s="1"/>
      <c r="K623" s="151"/>
      <c r="P623" s="151"/>
    </row>
    <row r="624" ht="12.0" customHeight="1">
      <c r="B624" s="1"/>
      <c r="K624" s="151"/>
      <c r="P624" s="151"/>
    </row>
    <row r="625" ht="12.0" customHeight="1">
      <c r="B625" s="1"/>
      <c r="K625" s="151"/>
      <c r="P625" s="151"/>
    </row>
    <row r="626" ht="12.0" customHeight="1">
      <c r="B626" s="1"/>
      <c r="K626" s="151"/>
      <c r="P626" s="151"/>
    </row>
    <row r="627" ht="12.0" customHeight="1">
      <c r="B627" s="1"/>
      <c r="K627" s="151"/>
      <c r="P627" s="151"/>
    </row>
    <row r="628" ht="12.0" customHeight="1">
      <c r="B628" s="1"/>
      <c r="K628" s="151"/>
      <c r="P628" s="151"/>
    </row>
    <row r="629" ht="12.0" customHeight="1">
      <c r="B629" s="1"/>
      <c r="K629" s="151"/>
      <c r="P629" s="151"/>
    </row>
    <row r="630" ht="12.0" customHeight="1">
      <c r="B630" s="1"/>
      <c r="K630" s="151"/>
      <c r="P630" s="151"/>
    </row>
    <row r="631" ht="12.0" customHeight="1">
      <c r="B631" s="1"/>
      <c r="K631" s="151"/>
      <c r="P631" s="151"/>
    </row>
    <row r="632" ht="12.0" customHeight="1">
      <c r="B632" s="1"/>
      <c r="K632" s="151"/>
      <c r="P632" s="151"/>
    </row>
    <row r="633" ht="12.0" customHeight="1">
      <c r="B633" s="1"/>
      <c r="K633" s="151"/>
      <c r="P633" s="151"/>
    </row>
    <row r="634" ht="12.0" customHeight="1">
      <c r="B634" s="1"/>
      <c r="K634" s="151"/>
      <c r="P634" s="151"/>
    </row>
    <row r="635" ht="12.0" customHeight="1">
      <c r="B635" s="1"/>
      <c r="K635" s="151"/>
      <c r="P635" s="151"/>
    </row>
    <row r="636" ht="12.0" customHeight="1">
      <c r="B636" s="1"/>
      <c r="K636" s="151"/>
      <c r="P636" s="151"/>
    </row>
    <row r="637" ht="12.0" customHeight="1">
      <c r="B637" s="1"/>
      <c r="K637" s="151"/>
      <c r="P637" s="151"/>
    </row>
    <row r="638" ht="12.0" customHeight="1">
      <c r="B638" s="1"/>
      <c r="K638" s="151"/>
      <c r="P638" s="151"/>
    </row>
    <row r="639" ht="12.0" customHeight="1">
      <c r="B639" s="1"/>
      <c r="K639" s="151"/>
      <c r="P639" s="151"/>
    </row>
    <row r="640" ht="12.0" customHeight="1">
      <c r="B640" s="1"/>
      <c r="K640" s="151"/>
      <c r="P640" s="151"/>
    </row>
    <row r="641" ht="12.0" customHeight="1">
      <c r="B641" s="1"/>
      <c r="K641" s="151"/>
      <c r="P641" s="151"/>
    </row>
    <row r="642" ht="12.0" customHeight="1">
      <c r="B642" s="1"/>
      <c r="K642" s="151"/>
      <c r="P642" s="151"/>
    </row>
    <row r="643" ht="12.0" customHeight="1">
      <c r="B643" s="1"/>
      <c r="K643" s="151"/>
      <c r="P643" s="151"/>
    </row>
    <row r="644" ht="12.0" customHeight="1">
      <c r="B644" s="1"/>
      <c r="K644" s="151"/>
      <c r="P644" s="151"/>
    </row>
    <row r="645" ht="12.0" customHeight="1">
      <c r="B645" s="1"/>
      <c r="K645" s="151"/>
      <c r="P645" s="151"/>
    </row>
    <row r="646" ht="12.0" customHeight="1">
      <c r="B646" s="1"/>
      <c r="K646" s="151"/>
      <c r="P646" s="151"/>
    </row>
    <row r="647" ht="12.0" customHeight="1">
      <c r="B647" s="1"/>
      <c r="K647" s="151"/>
      <c r="P647" s="151"/>
    </row>
    <row r="648" ht="12.0" customHeight="1">
      <c r="B648" s="1"/>
      <c r="K648" s="151"/>
      <c r="P648" s="151"/>
    </row>
    <row r="649" ht="12.0" customHeight="1">
      <c r="B649" s="1"/>
      <c r="K649" s="151"/>
      <c r="P649" s="151"/>
    </row>
    <row r="650" ht="12.0" customHeight="1">
      <c r="B650" s="1"/>
      <c r="K650" s="151"/>
      <c r="P650" s="151"/>
    </row>
    <row r="651" ht="12.0" customHeight="1">
      <c r="B651" s="1"/>
      <c r="K651" s="151"/>
      <c r="P651" s="151"/>
    </row>
    <row r="652" ht="12.0" customHeight="1">
      <c r="B652" s="1"/>
      <c r="K652" s="151"/>
      <c r="P652" s="151"/>
    </row>
    <row r="653" ht="12.0" customHeight="1">
      <c r="B653" s="1"/>
      <c r="K653" s="151"/>
      <c r="P653" s="151"/>
    </row>
    <row r="654" ht="12.0" customHeight="1">
      <c r="B654" s="1"/>
      <c r="K654" s="151"/>
      <c r="P654" s="151"/>
    </row>
    <row r="655" ht="12.0" customHeight="1">
      <c r="B655" s="1"/>
      <c r="K655" s="151"/>
      <c r="P655" s="151"/>
    </row>
    <row r="656" ht="12.0" customHeight="1">
      <c r="B656" s="1"/>
      <c r="K656" s="151"/>
      <c r="P656" s="151"/>
    </row>
    <row r="657" ht="12.0" customHeight="1">
      <c r="B657" s="1"/>
      <c r="K657" s="151"/>
      <c r="P657" s="151"/>
    </row>
    <row r="658" ht="12.0" customHeight="1">
      <c r="B658" s="1"/>
      <c r="K658" s="151"/>
      <c r="P658" s="151"/>
    </row>
    <row r="659" ht="12.0" customHeight="1">
      <c r="B659" s="1"/>
      <c r="K659" s="151"/>
      <c r="P659" s="151"/>
    </row>
    <row r="660" ht="12.0" customHeight="1">
      <c r="B660" s="1"/>
      <c r="K660" s="151"/>
      <c r="P660" s="151"/>
    </row>
    <row r="661" ht="12.0" customHeight="1">
      <c r="B661" s="1"/>
      <c r="K661" s="151"/>
      <c r="P661" s="151"/>
    </row>
    <row r="662" ht="12.0" customHeight="1">
      <c r="B662" s="1"/>
      <c r="K662" s="151"/>
      <c r="P662" s="151"/>
    </row>
    <row r="663" ht="12.0" customHeight="1">
      <c r="B663" s="1"/>
      <c r="K663" s="151"/>
      <c r="P663" s="151"/>
    </row>
    <row r="664" ht="12.0" customHeight="1">
      <c r="B664" s="1"/>
      <c r="K664" s="151"/>
      <c r="P664" s="151"/>
    </row>
    <row r="665" ht="12.0" customHeight="1">
      <c r="B665" s="1"/>
      <c r="K665" s="151"/>
      <c r="P665" s="151"/>
    </row>
    <row r="666" ht="12.0" customHeight="1">
      <c r="B666" s="1"/>
      <c r="K666" s="151"/>
      <c r="P666" s="151"/>
    </row>
    <row r="667" ht="12.0" customHeight="1">
      <c r="B667" s="1"/>
      <c r="K667" s="151"/>
      <c r="P667" s="151"/>
    </row>
    <row r="668" ht="12.0" customHeight="1">
      <c r="B668" s="1"/>
      <c r="K668" s="151"/>
      <c r="P668" s="151"/>
    </row>
    <row r="669" ht="12.0" customHeight="1">
      <c r="B669" s="1"/>
      <c r="K669" s="151"/>
      <c r="P669" s="151"/>
    </row>
    <row r="670" ht="12.0" customHeight="1">
      <c r="B670" s="1"/>
      <c r="K670" s="151"/>
      <c r="P670" s="151"/>
    </row>
    <row r="671" ht="12.0" customHeight="1">
      <c r="B671" s="1"/>
      <c r="K671" s="151"/>
      <c r="P671" s="151"/>
    </row>
    <row r="672" ht="12.0" customHeight="1">
      <c r="B672" s="1"/>
      <c r="K672" s="151"/>
      <c r="P672" s="151"/>
    </row>
    <row r="673" ht="12.0" customHeight="1">
      <c r="B673" s="1"/>
      <c r="K673" s="151"/>
      <c r="P673" s="151"/>
    </row>
    <row r="674" ht="12.0" customHeight="1">
      <c r="B674" s="1"/>
      <c r="K674" s="151"/>
      <c r="P674" s="151"/>
    </row>
    <row r="675" ht="12.0" customHeight="1">
      <c r="B675" s="1"/>
      <c r="K675" s="151"/>
      <c r="P675" s="151"/>
    </row>
    <row r="676" ht="12.0" customHeight="1">
      <c r="B676" s="1"/>
      <c r="K676" s="151"/>
      <c r="P676" s="151"/>
    </row>
    <row r="677" ht="12.0" customHeight="1">
      <c r="B677" s="1"/>
      <c r="K677" s="151"/>
      <c r="P677" s="151"/>
    </row>
    <row r="678" ht="12.0" customHeight="1">
      <c r="B678" s="1"/>
      <c r="K678" s="151"/>
      <c r="P678" s="151"/>
    </row>
    <row r="679" ht="12.0" customHeight="1">
      <c r="B679" s="1"/>
      <c r="K679" s="151"/>
      <c r="P679" s="151"/>
    </row>
    <row r="680" ht="12.0" customHeight="1">
      <c r="B680" s="1"/>
      <c r="K680" s="151"/>
      <c r="P680" s="151"/>
    </row>
    <row r="681" ht="12.0" customHeight="1">
      <c r="B681" s="1"/>
      <c r="K681" s="151"/>
      <c r="P681" s="151"/>
    </row>
    <row r="682" ht="12.0" customHeight="1">
      <c r="B682" s="1"/>
      <c r="K682" s="151"/>
      <c r="P682" s="151"/>
    </row>
    <row r="683" ht="12.0" customHeight="1">
      <c r="B683" s="1"/>
      <c r="K683" s="151"/>
      <c r="P683" s="151"/>
    </row>
    <row r="684" ht="12.0" customHeight="1">
      <c r="B684" s="1"/>
      <c r="K684" s="151"/>
      <c r="P684" s="151"/>
    </row>
    <row r="685" ht="12.0" customHeight="1">
      <c r="B685" s="1"/>
      <c r="K685" s="151"/>
      <c r="P685" s="151"/>
    </row>
    <row r="686" ht="12.0" customHeight="1">
      <c r="B686" s="1"/>
      <c r="K686" s="151"/>
      <c r="P686" s="151"/>
    </row>
    <row r="687" ht="12.0" customHeight="1">
      <c r="B687" s="1"/>
      <c r="K687" s="151"/>
      <c r="P687" s="151"/>
    </row>
    <row r="688" ht="12.0" customHeight="1">
      <c r="B688" s="1"/>
      <c r="K688" s="151"/>
      <c r="P688" s="151"/>
    </row>
    <row r="689" ht="12.0" customHeight="1">
      <c r="B689" s="1"/>
      <c r="K689" s="151"/>
      <c r="P689" s="151"/>
    </row>
    <row r="690" ht="12.0" customHeight="1">
      <c r="B690" s="1"/>
      <c r="K690" s="151"/>
      <c r="P690" s="151"/>
    </row>
    <row r="691" ht="12.0" customHeight="1">
      <c r="B691" s="1"/>
      <c r="K691" s="151"/>
      <c r="P691" s="151"/>
    </row>
    <row r="692" ht="12.0" customHeight="1">
      <c r="B692" s="1"/>
      <c r="K692" s="151"/>
      <c r="P692" s="151"/>
    </row>
    <row r="693" ht="12.0" customHeight="1">
      <c r="B693" s="1"/>
      <c r="K693" s="151"/>
      <c r="P693" s="151"/>
    </row>
    <row r="694" ht="12.0" customHeight="1">
      <c r="B694" s="1"/>
      <c r="K694" s="151"/>
      <c r="P694" s="151"/>
    </row>
    <row r="695" ht="12.0" customHeight="1">
      <c r="B695" s="1"/>
      <c r="K695" s="151"/>
      <c r="P695" s="151"/>
    </row>
    <row r="696" ht="12.0" customHeight="1">
      <c r="B696" s="1"/>
      <c r="K696" s="151"/>
      <c r="P696" s="151"/>
    </row>
    <row r="697" ht="12.0" customHeight="1">
      <c r="B697" s="1"/>
      <c r="K697" s="151"/>
      <c r="P697" s="151"/>
    </row>
    <row r="698" ht="12.0" customHeight="1">
      <c r="B698" s="1"/>
      <c r="K698" s="151"/>
      <c r="P698" s="151"/>
    </row>
    <row r="699" ht="12.0" customHeight="1">
      <c r="B699" s="1"/>
      <c r="K699" s="151"/>
      <c r="P699" s="151"/>
    </row>
    <row r="700" ht="12.0" customHeight="1">
      <c r="B700" s="1"/>
      <c r="K700" s="151"/>
      <c r="P700" s="151"/>
    </row>
    <row r="701" ht="12.0" customHeight="1">
      <c r="B701" s="1"/>
      <c r="K701" s="151"/>
      <c r="P701" s="151"/>
    </row>
    <row r="702" ht="12.0" customHeight="1">
      <c r="B702" s="1"/>
      <c r="K702" s="151"/>
      <c r="P702" s="151"/>
    </row>
    <row r="703" ht="12.0" customHeight="1">
      <c r="B703" s="1"/>
      <c r="K703" s="151"/>
      <c r="P703" s="151"/>
    </row>
    <row r="704" ht="12.0" customHeight="1">
      <c r="B704" s="1"/>
      <c r="K704" s="151"/>
      <c r="P704" s="151"/>
    </row>
    <row r="705" ht="12.0" customHeight="1">
      <c r="B705" s="1"/>
      <c r="K705" s="151"/>
      <c r="P705" s="151"/>
    </row>
    <row r="706" ht="12.0" customHeight="1">
      <c r="B706" s="1"/>
      <c r="K706" s="151"/>
      <c r="P706" s="151"/>
    </row>
    <row r="707" ht="12.0" customHeight="1">
      <c r="B707" s="1"/>
      <c r="K707" s="151"/>
      <c r="P707" s="151"/>
    </row>
    <row r="708" ht="12.0" customHeight="1">
      <c r="B708" s="1"/>
      <c r="K708" s="151"/>
      <c r="P708" s="151"/>
    </row>
    <row r="709" ht="12.0" customHeight="1">
      <c r="B709" s="1"/>
      <c r="K709" s="151"/>
      <c r="P709" s="151"/>
    </row>
    <row r="710" ht="12.0" customHeight="1">
      <c r="B710" s="1"/>
      <c r="K710" s="151"/>
      <c r="P710" s="151"/>
    </row>
    <row r="711" ht="12.0" customHeight="1">
      <c r="B711" s="1"/>
      <c r="K711" s="151"/>
      <c r="P711" s="151"/>
    </row>
    <row r="712" ht="12.0" customHeight="1">
      <c r="B712" s="1"/>
      <c r="K712" s="151"/>
      <c r="P712" s="151"/>
    </row>
    <row r="713" ht="12.0" customHeight="1">
      <c r="B713" s="1"/>
      <c r="K713" s="151"/>
      <c r="P713" s="151"/>
    </row>
    <row r="714" ht="12.0" customHeight="1">
      <c r="B714" s="1"/>
      <c r="K714" s="151"/>
      <c r="P714" s="151"/>
    </row>
    <row r="715" ht="12.0" customHeight="1">
      <c r="B715" s="1"/>
      <c r="K715" s="151"/>
      <c r="P715" s="151"/>
    </row>
    <row r="716" ht="12.0" customHeight="1">
      <c r="B716" s="1"/>
      <c r="K716" s="151"/>
      <c r="P716" s="151"/>
    </row>
    <row r="717" ht="12.0" customHeight="1">
      <c r="B717" s="1"/>
      <c r="K717" s="151"/>
      <c r="P717" s="151"/>
    </row>
    <row r="718" ht="12.0" customHeight="1">
      <c r="B718" s="1"/>
      <c r="K718" s="151"/>
      <c r="P718" s="151"/>
    </row>
    <row r="719" ht="12.0" customHeight="1">
      <c r="B719" s="1"/>
      <c r="K719" s="151"/>
      <c r="P719" s="151"/>
    </row>
    <row r="720" ht="12.0" customHeight="1">
      <c r="B720" s="1"/>
      <c r="K720" s="151"/>
      <c r="P720" s="151"/>
    </row>
    <row r="721" ht="12.0" customHeight="1">
      <c r="B721" s="1"/>
      <c r="K721" s="151"/>
      <c r="P721" s="151"/>
    </row>
    <row r="722" ht="12.0" customHeight="1">
      <c r="B722" s="1"/>
      <c r="K722" s="151"/>
      <c r="P722" s="151"/>
    </row>
    <row r="723" ht="12.0" customHeight="1">
      <c r="B723" s="1"/>
      <c r="K723" s="151"/>
      <c r="P723" s="151"/>
    </row>
    <row r="724" ht="12.0" customHeight="1">
      <c r="B724" s="1"/>
      <c r="K724" s="151"/>
      <c r="P724" s="151"/>
    </row>
    <row r="725" ht="12.0" customHeight="1">
      <c r="B725" s="1"/>
      <c r="K725" s="151"/>
      <c r="P725" s="151"/>
    </row>
    <row r="726" ht="12.0" customHeight="1">
      <c r="B726" s="1"/>
      <c r="K726" s="151"/>
      <c r="P726" s="151"/>
    </row>
    <row r="727" ht="12.0" customHeight="1">
      <c r="B727" s="1"/>
      <c r="K727" s="151"/>
      <c r="P727" s="151"/>
    </row>
    <row r="728" ht="12.0" customHeight="1">
      <c r="B728" s="1"/>
      <c r="K728" s="151"/>
      <c r="P728" s="151"/>
    </row>
    <row r="729" ht="12.0" customHeight="1">
      <c r="B729" s="1"/>
      <c r="K729" s="151"/>
      <c r="P729" s="151"/>
    </row>
    <row r="730" ht="12.0" customHeight="1">
      <c r="B730" s="1"/>
      <c r="K730" s="151"/>
      <c r="P730" s="151"/>
    </row>
    <row r="731" ht="12.0" customHeight="1">
      <c r="B731" s="1"/>
      <c r="K731" s="151"/>
      <c r="P731" s="151"/>
    </row>
    <row r="732" ht="12.0" customHeight="1">
      <c r="B732" s="1"/>
      <c r="K732" s="151"/>
      <c r="P732" s="151"/>
    </row>
    <row r="733" ht="12.0" customHeight="1">
      <c r="B733" s="1"/>
      <c r="K733" s="151"/>
      <c r="P733" s="151"/>
    </row>
    <row r="734" ht="12.0" customHeight="1">
      <c r="B734" s="1"/>
      <c r="K734" s="151"/>
      <c r="P734" s="151"/>
    </row>
    <row r="735" ht="12.0" customHeight="1">
      <c r="B735" s="1"/>
      <c r="K735" s="151"/>
      <c r="P735" s="151"/>
    </row>
    <row r="736" ht="12.0" customHeight="1">
      <c r="B736" s="1"/>
      <c r="K736" s="151"/>
      <c r="P736" s="151"/>
    </row>
    <row r="737" ht="12.0" customHeight="1">
      <c r="B737" s="1"/>
      <c r="K737" s="151"/>
      <c r="P737" s="151"/>
    </row>
    <row r="738" ht="12.0" customHeight="1">
      <c r="B738" s="1"/>
      <c r="K738" s="151"/>
      <c r="P738" s="151"/>
    </row>
    <row r="739" ht="12.0" customHeight="1">
      <c r="B739" s="1"/>
      <c r="K739" s="151"/>
      <c r="P739" s="151"/>
    </row>
    <row r="740" ht="12.0" customHeight="1">
      <c r="B740" s="1"/>
      <c r="K740" s="151"/>
      <c r="P740" s="151"/>
    </row>
    <row r="741" ht="12.0" customHeight="1">
      <c r="B741" s="1"/>
      <c r="K741" s="151"/>
      <c r="P741" s="151"/>
    </row>
    <row r="742" ht="12.0" customHeight="1">
      <c r="B742" s="1"/>
      <c r="K742" s="151"/>
      <c r="P742" s="151"/>
    </row>
    <row r="743" ht="12.0" customHeight="1">
      <c r="B743" s="1"/>
      <c r="K743" s="151"/>
      <c r="P743" s="151"/>
    </row>
    <row r="744" ht="12.0" customHeight="1">
      <c r="B744" s="1"/>
      <c r="K744" s="151"/>
      <c r="P744" s="151"/>
    </row>
    <row r="745" ht="12.0" customHeight="1">
      <c r="B745" s="1"/>
      <c r="K745" s="151"/>
      <c r="P745" s="151"/>
    </row>
    <row r="746" ht="12.0" customHeight="1">
      <c r="B746" s="1"/>
      <c r="K746" s="151"/>
      <c r="P746" s="151"/>
    </row>
    <row r="747" ht="12.0" customHeight="1">
      <c r="B747" s="1"/>
      <c r="K747" s="151"/>
      <c r="P747" s="151"/>
    </row>
    <row r="748" ht="12.0" customHeight="1">
      <c r="B748" s="1"/>
      <c r="K748" s="151"/>
      <c r="P748" s="151"/>
    </row>
    <row r="749" ht="12.0" customHeight="1">
      <c r="B749" s="1"/>
      <c r="K749" s="151"/>
      <c r="P749" s="151"/>
    </row>
    <row r="750" ht="12.0" customHeight="1">
      <c r="B750" s="1"/>
      <c r="K750" s="151"/>
      <c r="P750" s="151"/>
    </row>
    <row r="751" ht="12.0" customHeight="1">
      <c r="B751" s="1"/>
      <c r="K751" s="151"/>
      <c r="P751" s="151"/>
    </row>
    <row r="752" ht="12.0" customHeight="1">
      <c r="B752" s="1"/>
      <c r="K752" s="151"/>
      <c r="P752" s="151"/>
    </row>
    <row r="753" ht="12.0" customHeight="1">
      <c r="B753" s="1"/>
      <c r="K753" s="151"/>
      <c r="P753" s="151"/>
    </row>
    <row r="754" ht="12.0" customHeight="1">
      <c r="B754" s="1"/>
      <c r="K754" s="151"/>
      <c r="P754" s="151"/>
    </row>
    <row r="755" ht="12.0" customHeight="1">
      <c r="B755" s="1"/>
      <c r="K755" s="151"/>
      <c r="P755" s="151"/>
    </row>
    <row r="756" ht="12.0" customHeight="1">
      <c r="B756" s="1"/>
      <c r="K756" s="151"/>
      <c r="P756" s="151"/>
    </row>
    <row r="757" ht="12.0" customHeight="1">
      <c r="B757" s="1"/>
      <c r="K757" s="151"/>
      <c r="P757" s="151"/>
    </row>
    <row r="758" ht="12.0" customHeight="1">
      <c r="B758" s="1"/>
      <c r="K758" s="151"/>
      <c r="P758" s="151"/>
    </row>
    <row r="759" ht="12.0" customHeight="1">
      <c r="B759" s="1"/>
      <c r="K759" s="151"/>
      <c r="P759" s="151"/>
    </row>
    <row r="760" ht="12.0" customHeight="1">
      <c r="B760" s="1"/>
      <c r="K760" s="151"/>
      <c r="P760" s="151"/>
    </row>
    <row r="761" ht="12.0" customHeight="1">
      <c r="B761" s="1"/>
      <c r="K761" s="151"/>
      <c r="P761" s="151"/>
    </row>
    <row r="762" ht="12.0" customHeight="1">
      <c r="B762" s="1"/>
      <c r="K762" s="151"/>
      <c r="P762" s="151"/>
    </row>
    <row r="763" ht="12.0" customHeight="1">
      <c r="B763" s="1"/>
      <c r="K763" s="151"/>
      <c r="P763" s="151"/>
    </row>
    <row r="764" ht="12.0" customHeight="1">
      <c r="B764" s="1"/>
      <c r="K764" s="151"/>
      <c r="P764" s="151"/>
    </row>
    <row r="765" ht="12.0" customHeight="1">
      <c r="B765" s="1"/>
      <c r="K765" s="151"/>
      <c r="P765" s="151"/>
    </row>
    <row r="766" ht="12.0" customHeight="1">
      <c r="B766" s="1"/>
      <c r="K766" s="151"/>
      <c r="P766" s="151"/>
    </row>
    <row r="767" ht="12.0" customHeight="1">
      <c r="B767" s="1"/>
      <c r="K767" s="151"/>
      <c r="P767" s="151"/>
    </row>
    <row r="768" ht="12.0" customHeight="1">
      <c r="B768" s="1"/>
      <c r="K768" s="151"/>
      <c r="P768" s="151"/>
    </row>
    <row r="769" ht="12.0" customHeight="1">
      <c r="B769" s="1"/>
      <c r="K769" s="151"/>
      <c r="P769" s="151"/>
    </row>
    <row r="770" ht="12.0" customHeight="1">
      <c r="B770" s="1"/>
      <c r="K770" s="151"/>
      <c r="P770" s="151"/>
    </row>
    <row r="771" ht="12.0" customHeight="1">
      <c r="B771" s="1"/>
      <c r="K771" s="151"/>
      <c r="P771" s="151"/>
    </row>
    <row r="772" ht="12.0" customHeight="1">
      <c r="B772" s="1"/>
      <c r="K772" s="151"/>
      <c r="P772" s="151"/>
    </row>
    <row r="773" ht="12.0" customHeight="1">
      <c r="B773" s="1"/>
      <c r="K773" s="151"/>
      <c r="P773" s="151"/>
    </row>
    <row r="774" ht="12.0" customHeight="1">
      <c r="B774" s="1"/>
      <c r="K774" s="151"/>
      <c r="P774" s="151"/>
    </row>
    <row r="775" ht="12.0" customHeight="1">
      <c r="B775" s="1"/>
      <c r="K775" s="151"/>
      <c r="P775" s="151"/>
    </row>
    <row r="776" ht="12.0" customHeight="1">
      <c r="B776" s="1"/>
      <c r="K776" s="151"/>
      <c r="P776" s="151"/>
    </row>
    <row r="777" ht="12.0" customHeight="1">
      <c r="B777" s="1"/>
      <c r="K777" s="151"/>
      <c r="P777" s="151"/>
    </row>
    <row r="778" ht="12.0" customHeight="1">
      <c r="B778" s="1"/>
      <c r="K778" s="151"/>
      <c r="P778" s="151"/>
    </row>
    <row r="779" ht="12.0" customHeight="1">
      <c r="B779" s="1"/>
      <c r="K779" s="151"/>
      <c r="P779" s="151"/>
    </row>
    <row r="780" ht="12.0" customHeight="1">
      <c r="B780" s="1"/>
      <c r="K780" s="151"/>
      <c r="P780" s="151"/>
    </row>
    <row r="781" ht="12.0" customHeight="1">
      <c r="B781" s="1"/>
      <c r="K781" s="151"/>
      <c r="P781" s="151"/>
    </row>
    <row r="782" ht="12.0" customHeight="1">
      <c r="B782" s="1"/>
      <c r="K782" s="151"/>
      <c r="P782" s="151"/>
    </row>
    <row r="783" ht="12.0" customHeight="1">
      <c r="B783" s="1"/>
      <c r="K783" s="151"/>
      <c r="P783" s="151"/>
    </row>
    <row r="784" ht="12.0" customHeight="1">
      <c r="B784" s="1"/>
      <c r="K784" s="151"/>
      <c r="P784" s="151"/>
    </row>
    <row r="785" ht="12.0" customHeight="1">
      <c r="B785" s="1"/>
      <c r="K785" s="151"/>
      <c r="P785" s="151"/>
    </row>
    <row r="786" ht="12.0" customHeight="1">
      <c r="B786" s="1"/>
      <c r="K786" s="151"/>
      <c r="P786" s="151"/>
    </row>
    <row r="787" ht="12.0" customHeight="1">
      <c r="B787" s="1"/>
      <c r="K787" s="151"/>
      <c r="P787" s="151"/>
    </row>
    <row r="788" ht="12.0" customHeight="1">
      <c r="B788" s="1"/>
      <c r="K788" s="151"/>
      <c r="P788" s="151"/>
    </row>
    <row r="789" ht="12.0" customHeight="1">
      <c r="B789" s="1"/>
      <c r="K789" s="151"/>
      <c r="P789" s="151"/>
    </row>
    <row r="790" ht="12.0" customHeight="1">
      <c r="B790" s="1"/>
      <c r="K790" s="151"/>
      <c r="P790" s="151"/>
    </row>
    <row r="791" ht="12.0" customHeight="1">
      <c r="B791" s="1"/>
      <c r="K791" s="151"/>
      <c r="P791" s="151"/>
    </row>
    <row r="792" ht="12.0" customHeight="1">
      <c r="B792" s="1"/>
      <c r="K792" s="151"/>
      <c r="P792" s="151"/>
    </row>
    <row r="793" ht="12.0" customHeight="1">
      <c r="B793" s="1"/>
      <c r="K793" s="151"/>
      <c r="P793" s="151"/>
    </row>
    <row r="794" ht="12.0" customHeight="1">
      <c r="B794" s="1"/>
      <c r="K794" s="151"/>
      <c r="P794" s="151"/>
    </row>
    <row r="795" ht="12.0" customHeight="1">
      <c r="B795" s="1"/>
      <c r="K795" s="151"/>
      <c r="P795" s="151"/>
    </row>
    <row r="796" ht="12.0" customHeight="1">
      <c r="B796" s="1"/>
      <c r="K796" s="151"/>
      <c r="P796" s="151"/>
    </row>
    <row r="797" ht="12.0" customHeight="1">
      <c r="B797" s="1"/>
      <c r="K797" s="151"/>
      <c r="P797" s="151"/>
    </row>
    <row r="798" ht="12.0" customHeight="1">
      <c r="B798" s="1"/>
      <c r="K798" s="151"/>
      <c r="P798" s="151"/>
    </row>
    <row r="799" ht="12.0" customHeight="1">
      <c r="B799" s="1"/>
      <c r="K799" s="151"/>
      <c r="P799" s="151"/>
    </row>
    <row r="800" ht="12.0" customHeight="1">
      <c r="B800" s="1"/>
      <c r="K800" s="151"/>
      <c r="P800" s="151"/>
    </row>
    <row r="801" ht="12.0" customHeight="1">
      <c r="B801" s="1"/>
      <c r="K801" s="151"/>
      <c r="P801" s="151"/>
    </row>
    <row r="802" ht="12.0" customHeight="1">
      <c r="B802" s="1"/>
      <c r="K802" s="151"/>
      <c r="P802" s="151"/>
    </row>
    <row r="803" ht="12.0" customHeight="1">
      <c r="B803" s="1"/>
      <c r="K803" s="151"/>
      <c r="P803" s="151"/>
    </row>
    <row r="804" ht="12.0" customHeight="1">
      <c r="B804" s="1"/>
      <c r="K804" s="151"/>
      <c r="P804" s="151"/>
    </row>
    <row r="805" ht="12.0" customHeight="1">
      <c r="B805" s="1"/>
      <c r="K805" s="151"/>
      <c r="P805" s="151"/>
    </row>
    <row r="806" ht="12.0" customHeight="1">
      <c r="B806" s="1"/>
      <c r="K806" s="151"/>
      <c r="P806" s="151"/>
    </row>
    <row r="807" ht="12.0" customHeight="1">
      <c r="B807" s="1"/>
      <c r="K807" s="151"/>
      <c r="P807" s="151"/>
    </row>
    <row r="808" ht="12.0" customHeight="1">
      <c r="B808" s="1"/>
      <c r="K808" s="151"/>
      <c r="P808" s="151"/>
    </row>
    <row r="809" ht="12.0" customHeight="1">
      <c r="B809" s="1"/>
      <c r="K809" s="151"/>
      <c r="P809" s="151"/>
    </row>
    <row r="810" ht="12.0" customHeight="1">
      <c r="B810" s="1"/>
      <c r="K810" s="151"/>
      <c r="P810" s="151"/>
    </row>
    <row r="811" ht="12.0" customHeight="1">
      <c r="B811" s="1"/>
      <c r="K811" s="151"/>
      <c r="P811" s="151"/>
    </row>
    <row r="812" ht="12.0" customHeight="1">
      <c r="B812" s="1"/>
      <c r="K812" s="151"/>
      <c r="P812" s="151"/>
    </row>
    <row r="813" ht="12.0" customHeight="1">
      <c r="B813" s="1"/>
      <c r="K813" s="151"/>
      <c r="P813" s="151"/>
    </row>
    <row r="814" ht="12.0" customHeight="1">
      <c r="B814" s="1"/>
      <c r="K814" s="151"/>
      <c r="P814" s="151"/>
    </row>
    <row r="815" ht="12.0" customHeight="1">
      <c r="B815" s="1"/>
      <c r="K815" s="151"/>
      <c r="P815" s="151"/>
    </row>
    <row r="816" ht="12.0" customHeight="1">
      <c r="B816" s="1"/>
      <c r="K816" s="151"/>
      <c r="P816" s="151"/>
    </row>
    <row r="817" ht="12.0" customHeight="1">
      <c r="B817" s="1"/>
      <c r="K817" s="151"/>
      <c r="P817" s="151"/>
    </row>
    <row r="818" ht="12.0" customHeight="1">
      <c r="B818" s="1"/>
      <c r="K818" s="151"/>
      <c r="P818" s="151"/>
    </row>
    <row r="819" ht="12.0" customHeight="1">
      <c r="B819" s="1"/>
      <c r="K819" s="151"/>
      <c r="P819" s="151"/>
    </row>
    <row r="820" ht="12.0" customHeight="1">
      <c r="B820" s="1"/>
      <c r="K820" s="151"/>
      <c r="P820" s="151"/>
    </row>
    <row r="821" ht="12.0" customHeight="1">
      <c r="B821" s="1"/>
      <c r="K821" s="151"/>
      <c r="P821" s="151"/>
    </row>
    <row r="822" ht="12.0" customHeight="1">
      <c r="B822" s="1"/>
      <c r="K822" s="151"/>
      <c r="P822" s="151"/>
    </row>
    <row r="823" ht="12.0" customHeight="1">
      <c r="B823" s="1"/>
      <c r="K823" s="151"/>
      <c r="P823" s="151"/>
    </row>
    <row r="824" ht="12.0" customHeight="1">
      <c r="B824" s="1"/>
      <c r="K824" s="151"/>
      <c r="P824" s="151"/>
    </row>
    <row r="825" ht="12.0" customHeight="1">
      <c r="B825" s="1"/>
      <c r="K825" s="151"/>
      <c r="P825" s="151"/>
    </row>
    <row r="826" ht="12.0" customHeight="1">
      <c r="B826" s="1"/>
      <c r="K826" s="151"/>
      <c r="P826" s="151"/>
    </row>
    <row r="827" ht="12.0" customHeight="1">
      <c r="B827" s="1"/>
      <c r="K827" s="151"/>
      <c r="P827" s="151"/>
    </row>
    <row r="828" ht="12.0" customHeight="1">
      <c r="B828" s="1"/>
      <c r="K828" s="151"/>
      <c r="P828" s="151"/>
    </row>
    <row r="829" ht="12.0" customHeight="1">
      <c r="B829" s="1"/>
      <c r="K829" s="151"/>
      <c r="P829" s="151"/>
    </row>
    <row r="830" ht="12.0" customHeight="1">
      <c r="B830" s="1"/>
      <c r="K830" s="151"/>
      <c r="P830" s="151"/>
    </row>
    <row r="831" ht="12.0" customHeight="1">
      <c r="B831" s="1"/>
      <c r="K831" s="151"/>
      <c r="P831" s="151"/>
    </row>
    <row r="832" ht="12.0" customHeight="1">
      <c r="B832" s="1"/>
      <c r="K832" s="151"/>
      <c r="P832" s="151"/>
    </row>
    <row r="833" ht="12.0" customHeight="1">
      <c r="B833" s="1"/>
      <c r="K833" s="151"/>
      <c r="P833" s="151"/>
    </row>
    <row r="834" ht="12.0" customHeight="1">
      <c r="B834" s="1"/>
      <c r="K834" s="151"/>
      <c r="P834" s="151"/>
    </row>
    <row r="835" ht="12.0" customHeight="1">
      <c r="B835" s="1"/>
      <c r="K835" s="151"/>
      <c r="P835" s="151"/>
    </row>
    <row r="836" ht="12.0" customHeight="1">
      <c r="B836" s="1"/>
      <c r="K836" s="151"/>
      <c r="P836" s="151"/>
    </row>
    <row r="837" ht="12.0" customHeight="1">
      <c r="B837" s="1"/>
      <c r="K837" s="151"/>
      <c r="P837" s="151"/>
    </row>
    <row r="838" ht="12.0" customHeight="1">
      <c r="B838" s="1"/>
      <c r="K838" s="151"/>
      <c r="P838" s="151"/>
    </row>
    <row r="839" ht="12.0" customHeight="1">
      <c r="B839" s="1"/>
      <c r="K839" s="151"/>
      <c r="P839" s="151"/>
    </row>
    <row r="840" ht="12.0" customHeight="1">
      <c r="B840" s="1"/>
      <c r="K840" s="151"/>
      <c r="P840" s="151"/>
    </row>
    <row r="841" ht="12.0" customHeight="1">
      <c r="B841" s="1"/>
      <c r="K841" s="151"/>
      <c r="P841" s="151"/>
    </row>
    <row r="842" ht="12.0" customHeight="1">
      <c r="B842" s="1"/>
      <c r="K842" s="151"/>
      <c r="P842" s="151"/>
    </row>
    <row r="843" ht="12.0" customHeight="1">
      <c r="B843" s="1"/>
      <c r="K843" s="151"/>
      <c r="P843" s="151"/>
    </row>
    <row r="844" ht="12.0" customHeight="1">
      <c r="B844" s="1"/>
      <c r="K844" s="151"/>
      <c r="P844" s="151"/>
    </row>
    <row r="845" ht="12.0" customHeight="1">
      <c r="B845" s="1"/>
      <c r="K845" s="151"/>
      <c r="P845" s="151"/>
    </row>
    <row r="846" ht="12.0" customHeight="1">
      <c r="B846" s="1"/>
      <c r="K846" s="151"/>
      <c r="P846" s="151"/>
    </row>
    <row r="847" ht="12.0" customHeight="1">
      <c r="B847" s="1"/>
      <c r="K847" s="151"/>
      <c r="P847" s="151"/>
    </row>
    <row r="848" ht="12.0" customHeight="1">
      <c r="B848" s="1"/>
      <c r="K848" s="151"/>
      <c r="P848" s="151"/>
    </row>
    <row r="849" ht="12.0" customHeight="1">
      <c r="B849" s="1"/>
      <c r="K849" s="151"/>
      <c r="P849" s="151"/>
    </row>
    <row r="850" ht="12.0" customHeight="1">
      <c r="B850" s="1"/>
      <c r="K850" s="151"/>
      <c r="P850" s="151"/>
    </row>
    <row r="851" ht="12.0" customHeight="1">
      <c r="B851" s="1"/>
      <c r="K851" s="151"/>
      <c r="P851" s="151"/>
    </row>
    <row r="852" ht="12.0" customHeight="1">
      <c r="B852" s="1"/>
      <c r="K852" s="151"/>
      <c r="P852" s="151"/>
    </row>
    <row r="853" ht="12.0" customHeight="1">
      <c r="B853" s="1"/>
      <c r="K853" s="151"/>
      <c r="P853" s="151"/>
    </row>
    <row r="854" ht="12.0" customHeight="1">
      <c r="B854" s="1"/>
      <c r="K854" s="151"/>
      <c r="P854" s="151"/>
    </row>
    <row r="855" ht="12.0" customHeight="1">
      <c r="B855" s="1"/>
      <c r="K855" s="151"/>
      <c r="P855" s="151"/>
    </row>
    <row r="856" ht="12.0" customHeight="1">
      <c r="B856" s="1"/>
      <c r="K856" s="151"/>
      <c r="P856" s="151"/>
    </row>
    <row r="857" ht="12.0" customHeight="1">
      <c r="B857" s="1"/>
      <c r="K857" s="151"/>
      <c r="P857" s="151"/>
    </row>
    <row r="858" ht="12.0" customHeight="1">
      <c r="B858" s="1"/>
      <c r="K858" s="151"/>
      <c r="P858" s="151"/>
    </row>
    <row r="859" ht="12.0" customHeight="1">
      <c r="B859" s="1"/>
      <c r="K859" s="151"/>
      <c r="P859" s="151"/>
    </row>
    <row r="860" ht="12.0" customHeight="1">
      <c r="B860" s="1"/>
      <c r="K860" s="151"/>
      <c r="P860" s="151"/>
    </row>
    <row r="861" ht="12.0" customHeight="1">
      <c r="B861" s="1"/>
      <c r="K861" s="151"/>
      <c r="P861" s="151"/>
    </row>
    <row r="862" ht="12.0" customHeight="1">
      <c r="B862" s="1"/>
      <c r="K862" s="151"/>
      <c r="P862" s="151"/>
    </row>
    <row r="863" ht="12.0" customHeight="1">
      <c r="B863" s="1"/>
      <c r="K863" s="151"/>
      <c r="P863" s="151"/>
    </row>
    <row r="864" ht="12.0" customHeight="1">
      <c r="B864" s="1"/>
      <c r="K864" s="151"/>
      <c r="P864" s="151"/>
    </row>
    <row r="865" ht="12.0" customHeight="1">
      <c r="B865" s="1"/>
      <c r="K865" s="151"/>
      <c r="P865" s="151"/>
    </row>
    <row r="866" ht="12.0" customHeight="1">
      <c r="B866" s="1"/>
      <c r="K866" s="151"/>
      <c r="P866" s="151"/>
    </row>
    <row r="867" ht="12.0" customHeight="1">
      <c r="B867" s="1"/>
      <c r="K867" s="151"/>
      <c r="P867" s="151"/>
    </row>
    <row r="868" ht="12.0" customHeight="1">
      <c r="B868" s="1"/>
      <c r="K868" s="151"/>
      <c r="P868" s="151"/>
    </row>
    <row r="869" ht="12.0" customHeight="1">
      <c r="B869" s="1"/>
      <c r="K869" s="151"/>
      <c r="P869" s="151"/>
    </row>
    <row r="870" ht="12.0" customHeight="1">
      <c r="B870" s="1"/>
      <c r="K870" s="151"/>
      <c r="P870" s="151"/>
    </row>
    <row r="871" ht="12.0" customHeight="1">
      <c r="B871" s="1"/>
      <c r="K871" s="151"/>
      <c r="P871" s="151"/>
    </row>
    <row r="872" ht="12.0" customHeight="1">
      <c r="B872" s="1"/>
      <c r="K872" s="151"/>
      <c r="P872" s="151"/>
    </row>
    <row r="873" ht="12.0" customHeight="1">
      <c r="B873" s="1"/>
      <c r="K873" s="151"/>
      <c r="P873" s="151"/>
    </row>
    <row r="874" ht="12.0" customHeight="1">
      <c r="B874" s="1"/>
      <c r="K874" s="151"/>
      <c r="P874" s="151"/>
    </row>
    <row r="875" ht="12.0" customHeight="1">
      <c r="B875" s="1"/>
      <c r="K875" s="151"/>
      <c r="P875" s="151"/>
    </row>
    <row r="876" ht="12.0" customHeight="1">
      <c r="B876" s="1"/>
      <c r="K876" s="151"/>
      <c r="P876" s="151"/>
    </row>
    <row r="877" ht="12.0" customHeight="1">
      <c r="B877" s="1"/>
      <c r="K877" s="151"/>
      <c r="P877" s="151"/>
    </row>
    <row r="878" ht="12.0" customHeight="1">
      <c r="B878" s="1"/>
      <c r="K878" s="151"/>
      <c r="P878" s="151"/>
    </row>
    <row r="879" ht="12.0" customHeight="1">
      <c r="B879" s="1"/>
      <c r="K879" s="151"/>
      <c r="P879" s="151"/>
    </row>
    <row r="880" ht="12.0" customHeight="1">
      <c r="B880" s="1"/>
      <c r="K880" s="151"/>
      <c r="P880" s="151"/>
    </row>
    <row r="881" ht="12.0" customHeight="1">
      <c r="B881" s="1"/>
      <c r="K881" s="151"/>
      <c r="P881" s="151"/>
    </row>
    <row r="882" ht="12.0" customHeight="1">
      <c r="B882" s="1"/>
      <c r="K882" s="151"/>
      <c r="P882" s="151"/>
    </row>
    <row r="883" ht="12.0" customHeight="1">
      <c r="B883" s="1"/>
      <c r="K883" s="151"/>
      <c r="P883" s="151"/>
    </row>
    <row r="884" ht="12.0" customHeight="1">
      <c r="B884" s="1"/>
      <c r="K884" s="151"/>
      <c r="P884" s="151"/>
    </row>
    <row r="885" ht="12.0" customHeight="1">
      <c r="B885" s="1"/>
      <c r="K885" s="151"/>
      <c r="P885" s="151"/>
    </row>
    <row r="886" ht="12.0" customHeight="1">
      <c r="B886" s="1"/>
      <c r="K886" s="151"/>
      <c r="P886" s="151"/>
    </row>
    <row r="887" ht="12.0" customHeight="1">
      <c r="B887" s="1"/>
      <c r="K887" s="151"/>
      <c r="P887" s="151"/>
    </row>
    <row r="888" ht="12.0" customHeight="1">
      <c r="B888" s="1"/>
      <c r="K888" s="151"/>
      <c r="P888" s="151"/>
    </row>
    <row r="889" ht="12.0" customHeight="1">
      <c r="B889" s="1"/>
      <c r="K889" s="151"/>
      <c r="P889" s="151"/>
    </row>
    <row r="890" ht="12.0" customHeight="1">
      <c r="B890" s="1"/>
      <c r="K890" s="151"/>
      <c r="P890" s="151"/>
    </row>
    <row r="891" ht="12.0" customHeight="1">
      <c r="B891" s="1"/>
      <c r="K891" s="151"/>
      <c r="P891" s="151"/>
    </row>
    <row r="892" ht="12.0" customHeight="1">
      <c r="B892" s="1"/>
      <c r="K892" s="151"/>
      <c r="P892" s="151"/>
    </row>
    <row r="893" ht="12.0" customHeight="1">
      <c r="B893" s="1"/>
      <c r="K893" s="151"/>
      <c r="P893" s="151"/>
    </row>
    <row r="894" ht="12.0" customHeight="1">
      <c r="B894" s="1"/>
      <c r="K894" s="151"/>
      <c r="P894" s="151"/>
    </row>
    <row r="895" ht="12.0" customHeight="1">
      <c r="B895" s="1"/>
      <c r="K895" s="151"/>
      <c r="P895" s="151"/>
    </row>
    <row r="896" ht="12.0" customHeight="1">
      <c r="B896" s="1"/>
      <c r="K896" s="151"/>
      <c r="P896" s="151"/>
    </row>
    <row r="897" ht="12.0" customHeight="1">
      <c r="B897" s="1"/>
      <c r="K897" s="151"/>
      <c r="P897" s="151"/>
    </row>
    <row r="898" ht="12.0" customHeight="1">
      <c r="B898" s="1"/>
      <c r="K898" s="151"/>
      <c r="P898" s="151"/>
    </row>
    <row r="899" ht="12.0" customHeight="1">
      <c r="B899" s="1"/>
      <c r="K899" s="151"/>
      <c r="P899" s="151"/>
    </row>
    <row r="900" ht="12.0" customHeight="1">
      <c r="B900" s="1"/>
      <c r="K900" s="151"/>
      <c r="P900" s="151"/>
    </row>
    <row r="901" ht="12.0" customHeight="1">
      <c r="B901" s="1"/>
      <c r="K901" s="151"/>
      <c r="P901" s="151"/>
    </row>
    <row r="902" ht="12.0" customHeight="1">
      <c r="B902" s="1"/>
      <c r="K902" s="151"/>
      <c r="P902" s="151"/>
    </row>
    <row r="903" ht="12.0" customHeight="1">
      <c r="B903" s="1"/>
      <c r="K903" s="151"/>
      <c r="P903" s="151"/>
    </row>
    <row r="904" ht="12.0" customHeight="1">
      <c r="B904" s="1"/>
      <c r="K904" s="151"/>
      <c r="P904" s="151"/>
    </row>
    <row r="905" ht="12.0" customHeight="1">
      <c r="B905" s="1"/>
      <c r="K905" s="151"/>
      <c r="P905" s="151"/>
    </row>
    <row r="906" ht="12.0" customHeight="1">
      <c r="B906" s="1"/>
      <c r="K906" s="151"/>
      <c r="P906" s="151"/>
    </row>
    <row r="907" ht="12.0" customHeight="1">
      <c r="B907" s="1"/>
      <c r="K907" s="151"/>
      <c r="P907" s="151"/>
    </row>
    <row r="908" ht="12.0" customHeight="1">
      <c r="B908" s="1"/>
      <c r="K908" s="151"/>
      <c r="P908" s="151"/>
    </row>
    <row r="909" ht="12.0" customHeight="1">
      <c r="B909" s="1"/>
      <c r="K909" s="151"/>
      <c r="P909" s="151"/>
    </row>
    <row r="910" ht="12.0" customHeight="1">
      <c r="B910" s="1"/>
      <c r="K910" s="151"/>
      <c r="P910" s="151"/>
    </row>
    <row r="911" ht="12.0" customHeight="1">
      <c r="B911" s="1"/>
      <c r="K911" s="151"/>
      <c r="P911" s="151"/>
    </row>
    <row r="912" ht="12.0" customHeight="1">
      <c r="B912" s="1"/>
      <c r="K912" s="151"/>
      <c r="P912" s="151"/>
    </row>
    <row r="913" ht="12.0" customHeight="1">
      <c r="B913" s="1"/>
      <c r="K913" s="151"/>
      <c r="P913" s="151"/>
    </row>
    <row r="914" ht="12.0" customHeight="1">
      <c r="B914" s="1"/>
      <c r="K914" s="151"/>
      <c r="P914" s="151"/>
    </row>
    <row r="915" ht="12.0" customHeight="1">
      <c r="B915" s="1"/>
      <c r="K915" s="151"/>
      <c r="P915" s="151"/>
    </row>
    <row r="916" ht="12.0" customHeight="1">
      <c r="B916" s="1"/>
      <c r="K916" s="151"/>
      <c r="P916" s="151"/>
    </row>
    <row r="917" ht="12.0" customHeight="1">
      <c r="B917" s="1"/>
      <c r="K917" s="151"/>
      <c r="P917" s="151"/>
    </row>
    <row r="918" ht="12.0" customHeight="1">
      <c r="B918" s="1"/>
      <c r="K918" s="151"/>
      <c r="P918" s="151"/>
    </row>
    <row r="919" ht="12.0" customHeight="1">
      <c r="B919" s="1"/>
      <c r="K919" s="151"/>
      <c r="P919" s="151"/>
    </row>
    <row r="920" ht="12.0" customHeight="1">
      <c r="B920" s="1"/>
      <c r="K920" s="151"/>
      <c r="P920" s="151"/>
    </row>
    <row r="921" ht="12.0" customHeight="1">
      <c r="B921" s="1"/>
      <c r="K921" s="151"/>
      <c r="P921" s="151"/>
    </row>
    <row r="922" ht="12.0" customHeight="1">
      <c r="B922" s="1"/>
      <c r="K922" s="151"/>
      <c r="P922" s="151"/>
    </row>
    <row r="923" ht="12.0" customHeight="1">
      <c r="B923" s="1"/>
      <c r="K923" s="151"/>
      <c r="P923" s="151"/>
    </row>
    <row r="924" ht="12.0" customHeight="1">
      <c r="B924" s="1"/>
      <c r="K924" s="151"/>
      <c r="P924" s="151"/>
    </row>
    <row r="925" ht="12.0" customHeight="1">
      <c r="B925" s="1"/>
      <c r="K925" s="151"/>
      <c r="P925" s="151"/>
    </row>
    <row r="926" ht="12.0" customHeight="1">
      <c r="B926" s="1"/>
      <c r="K926" s="151"/>
      <c r="P926" s="151"/>
    </row>
    <row r="927" ht="12.0" customHeight="1">
      <c r="B927" s="1"/>
      <c r="K927" s="151"/>
      <c r="P927" s="151"/>
    </row>
    <row r="928" ht="12.0" customHeight="1">
      <c r="B928" s="1"/>
      <c r="K928" s="151"/>
      <c r="P928" s="151"/>
    </row>
    <row r="929" ht="12.0" customHeight="1">
      <c r="B929" s="1"/>
      <c r="K929" s="151"/>
      <c r="P929" s="151"/>
    </row>
    <row r="930" ht="12.0" customHeight="1">
      <c r="B930" s="1"/>
      <c r="K930" s="151"/>
      <c r="P930" s="151"/>
    </row>
    <row r="931" ht="12.0" customHeight="1">
      <c r="B931" s="1"/>
      <c r="K931" s="151"/>
      <c r="P931" s="151"/>
    </row>
    <row r="932" ht="12.0" customHeight="1">
      <c r="B932" s="1"/>
      <c r="K932" s="151"/>
      <c r="P932" s="151"/>
    </row>
    <row r="933" ht="12.0" customHeight="1">
      <c r="B933" s="1"/>
      <c r="K933" s="151"/>
      <c r="P933" s="151"/>
    </row>
    <row r="934" ht="12.0" customHeight="1">
      <c r="B934" s="1"/>
      <c r="K934" s="151"/>
      <c r="P934" s="151"/>
    </row>
    <row r="935" ht="12.0" customHeight="1">
      <c r="B935" s="1"/>
      <c r="K935" s="151"/>
      <c r="P935" s="151"/>
    </row>
    <row r="936" ht="12.0" customHeight="1">
      <c r="B936" s="1"/>
      <c r="K936" s="151"/>
      <c r="P936" s="151"/>
    </row>
    <row r="937" ht="12.0" customHeight="1">
      <c r="B937" s="1"/>
      <c r="K937" s="151"/>
      <c r="P937" s="151"/>
    </row>
    <row r="938" ht="12.0" customHeight="1">
      <c r="B938" s="1"/>
      <c r="K938" s="151"/>
      <c r="P938" s="151"/>
    </row>
    <row r="939" ht="12.0" customHeight="1">
      <c r="B939" s="1"/>
      <c r="K939" s="151"/>
      <c r="P939" s="151"/>
    </row>
    <row r="940" ht="12.0" customHeight="1">
      <c r="B940" s="1"/>
      <c r="K940" s="151"/>
      <c r="P940" s="151"/>
    </row>
    <row r="941" ht="12.0" customHeight="1">
      <c r="B941" s="1"/>
      <c r="K941" s="151"/>
      <c r="P941" s="151"/>
    </row>
    <row r="942" ht="12.0" customHeight="1">
      <c r="B942" s="1"/>
      <c r="K942" s="151"/>
      <c r="P942" s="151"/>
    </row>
    <row r="943" ht="12.0" customHeight="1">
      <c r="B943" s="1"/>
      <c r="K943" s="151"/>
      <c r="P943" s="151"/>
    </row>
    <row r="944" ht="12.0" customHeight="1">
      <c r="B944" s="1"/>
      <c r="K944" s="151"/>
      <c r="P944" s="151"/>
    </row>
    <row r="945" ht="12.0" customHeight="1">
      <c r="B945" s="1"/>
      <c r="K945" s="151"/>
      <c r="P945" s="151"/>
    </row>
    <row r="946" ht="12.0" customHeight="1">
      <c r="B946" s="1"/>
      <c r="K946" s="151"/>
      <c r="P946" s="151"/>
    </row>
    <row r="947" ht="12.0" customHeight="1">
      <c r="B947" s="1"/>
      <c r="K947" s="151"/>
      <c r="P947" s="151"/>
    </row>
    <row r="948" ht="12.0" customHeight="1">
      <c r="B948" s="1"/>
      <c r="K948" s="151"/>
      <c r="P948" s="151"/>
    </row>
    <row r="949" ht="12.0" customHeight="1">
      <c r="B949" s="1"/>
      <c r="K949" s="151"/>
      <c r="P949" s="151"/>
    </row>
    <row r="950" ht="12.0" customHeight="1">
      <c r="B950" s="1"/>
      <c r="K950" s="151"/>
      <c r="P950" s="151"/>
    </row>
    <row r="951" ht="12.0" customHeight="1">
      <c r="B951" s="1"/>
      <c r="K951" s="151"/>
      <c r="P951" s="151"/>
    </row>
    <row r="952" ht="12.0" customHeight="1">
      <c r="B952" s="1"/>
      <c r="K952" s="151"/>
      <c r="P952" s="151"/>
    </row>
    <row r="953" ht="12.0" customHeight="1">
      <c r="B953" s="1"/>
      <c r="K953" s="151"/>
      <c r="P953" s="151"/>
    </row>
    <row r="954" ht="12.0" customHeight="1">
      <c r="B954" s="1"/>
      <c r="K954" s="151"/>
      <c r="P954" s="151"/>
    </row>
    <row r="955" ht="12.0" customHeight="1">
      <c r="B955" s="1"/>
      <c r="K955" s="151"/>
      <c r="P955" s="151"/>
    </row>
    <row r="956" ht="12.0" customHeight="1">
      <c r="B956" s="1"/>
      <c r="K956" s="151"/>
      <c r="P956" s="151"/>
    </row>
    <row r="957" ht="12.0" customHeight="1">
      <c r="B957" s="1"/>
      <c r="K957" s="151"/>
      <c r="P957" s="151"/>
    </row>
    <row r="958" ht="12.0" customHeight="1">
      <c r="B958" s="1"/>
      <c r="K958" s="151"/>
      <c r="P958" s="151"/>
    </row>
    <row r="959" ht="12.0" customHeight="1">
      <c r="B959" s="1"/>
      <c r="K959" s="151"/>
      <c r="P959" s="151"/>
    </row>
    <row r="960" ht="12.0" customHeight="1">
      <c r="B960" s="1"/>
      <c r="K960" s="151"/>
      <c r="P960" s="151"/>
    </row>
    <row r="961" ht="12.0" customHeight="1">
      <c r="B961" s="1"/>
      <c r="K961" s="151"/>
      <c r="P961" s="151"/>
    </row>
    <row r="962" ht="12.0" customHeight="1">
      <c r="B962" s="1"/>
      <c r="K962" s="151"/>
      <c r="P962" s="151"/>
    </row>
    <row r="963" ht="12.0" customHeight="1">
      <c r="B963" s="1"/>
      <c r="K963" s="151"/>
      <c r="P963" s="151"/>
    </row>
    <row r="964" ht="12.0" customHeight="1">
      <c r="B964" s="1"/>
      <c r="K964" s="151"/>
      <c r="P964" s="151"/>
    </row>
    <row r="965" ht="12.0" customHeight="1">
      <c r="B965" s="1"/>
      <c r="K965" s="151"/>
      <c r="P965" s="151"/>
    </row>
    <row r="966" ht="12.0" customHeight="1">
      <c r="B966" s="1"/>
      <c r="K966" s="151"/>
      <c r="P966" s="151"/>
    </row>
    <row r="967" ht="12.0" customHeight="1">
      <c r="B967" s="1"/>
      <c r="K967" s="151"/>
      <c r="P967" s="151"/>
    </row>
    <row r="968" ht="12.0" customHeight="1">
      <c r="B968" s="1"/>
      <c r="K968" s="151"/>
      <c r="P968" s="151"/>
    </row>
    <row r="969" ht="12.0" customHeight="1">
      <c r="B969" s="1"/>
      <c r="K969" s="151"/>
      <c r="P969" s="151"/>
    </row>
    <row r="970" ht="12.0" customHeight="1">
      <c r="B970" s="1"/>
      <c r="K970" s="151"/>
      <c r="P970" s="151"/>
    </row>
    <row r="971" ht="12.0" customHeight="1">
      <c r="B971" s="1"/>
      <c r="K971" s="151"/>
      <c r="P971" s="151"/>
    </row>
    <row r="972" ht="12.0" customHeight="1">
      <c r="B972" s="1"/>
      <c r="K972" s="151"/>
      <c r="P972" s="151"/>
    </row>
    <row r="973" ht="12.0" customHeight="1">
      <c r="B973" s="1"/>
      <c r="K973" s="151"/>
      <c r="P973" s="151"/>
    </row>
    <row r="974" ht="12.0" customHeight="1">
      <c r="B974" s="1"/>
      <c r="K974" s="151"/>
      <c r="P974" s="151"/>
    </row>
    <row r="975" ht="12.0" customHeight="1">
      <c r="B975" s="1"/>
      <c r="K975" s="151"/>
      <c r="P975" s="151"/>
    </row>
    <row r="976" ht="12.0" customHeight="1">
      <c r="B976" s="1"/>
      <c r="K976" s="151"/>
      <c r="P976" s="151"/>
    </row>
    <row r="977" ht="12.0" customHeight="1">
      <c r="B977" s="1"/>
      <c r="K977" s="151"/>
      <c r="P977" s="151"/>
    </row>
    <row r="978" ht="12.0" customHeight="1">
      <c r="B978" s="1"/>
      <c r="K978" s="151"/>
      <c r="P978" s="151"/>
    </row>
    <row r="979" ht="12.0" customHeight="1">
      <c r="B979" s="1"/>
      <c r="K979" s="151"/>
      <c r="P979" s="151"/>
    </row>
    <row r="980" ht="12.0" customHeight="1">
      <c r="B980" s="1"/>
      <c r="K980" s="151"/>
      <c r="P980" s="151"/>
    </row>
    <row r="981" ht="12.0" customHeight="1">
      <c r="B981" s="1"/>
      <c r="K981" s="151"/>
      <c r="P981" s="151"/>
    </row>
    <row r="982" ht="12.0" customHeight="1">
      <c r="B982" s="1"/>
      <c r="K982" s="151"/>
      <c r="P982" s="151"/>
    </row>
    <row r="983" ht="12.0" customHeight="1">
      <c r="B983" s="1"/>
      <c r="K983" s="151"/>
      <c r="P983" s="151"/>
    </row>
    <row r="984" ht="12.0" customHeight="1">
      <c r="B984" s="1"/>
      <c r="K984" s="151"/>
      <c r="P984" s="151"/>
    </row>
    <row r="985" ht="12.0" customHeight="1">
      <c r="B985" s="1"/>
      <c r="K985" s="151"/>
      <c r="P985" s="151"/>
    </row>
    <row r="986" ht="12.0" customHeight="1">
      <c r="B986" s="1"/>
      <c r="K986" s="151"/>
      <c r="P986" s="151"/>
    </row>
    <row r="987" ht="12.0" customHeight="1">
      <c r="B987" s="1"/>
      <c r="K987" s="151"/>
      <c r="P987" s="151"/>
    </row>
    <row r="988" ht="12.0" customHeight="1">
      <c r="B988" s="1"/>
      <c r="K988" s="151"/>
      <c r="P988" s="151"/>
    </row>
    <row r="989" ht="12.0" customHeight="1">
      <c r="B989" s="1"/>
      <c r="K989" s="151"/>
      <c r="P989" s="151"/>
    </row>
    <row r="990" ht="12.0" customHeight="1">
      <c r="B990" s="1"/>
      <c r="K990" s="151"/>
      <c r="P990" s="151"/>
    </row>
    <row r="991" ht="12.0" customHeight="1">
      <c r="B991" s="1"/>
      <c r="K991" s="151"/>
      <c r="P991" s="151"/>
    </row>
    <row r="992" ht="12.0" customHeight="1">
      <c r="B992" s="1"/>
      <c r="K992" s="151"/>
      <c r="P992" s="151"/>
    </row>
    <row r="993" ht="12.0" customHeight="1">
      <c r="B993" s="1"/>
      <c r="K993" s="151"/>
      <c r="P993" s="151"/>
    </row>
    <row r="994" ht="12.0" customHeight="1">
      <c r="B994" s="1"/>
      <c r="K994" s="151"/>
      <c r="P994" s="151"/>
    </row>
    <row r="995" ht="12.0" customHeight="1">
      <c r="B995" s="1"/>
      <c r="K995" s="151"/>
      <c r="P995" s="151"/>
    </row>
    <row r="996" ht="12.0" customHeight="1">
      <c r="B996" s="1"/>
      <c r="K996" s="151"/>
      <c r="P996" s="151"/>
    </row>
    <row r="997" ht="12.0" customHeight="1">
      <c r="B997" s="1"/>
      <c r="K997" s="151"/>
      <c r="P997" s="151"/>
    </row>
    <row r="998" ht="12.0" customHeight="1">
      <c r="B998" s="1"/>
      <c r="K998" s="151"/>
      <c r="P998" s="151"/>
    </row>
    <row r="999" ht="12.0" customHeight="1">
      <c r="B999" s="1"/>
      <c r="K999" s="151"/>
      <c r="P999" s="151"/>
    </row>
    <row r="1000" ht="12.0" customHeight="1">
      <c r="B1000" s="1"/>
      <c r="K1000" s="151"/>
      <c r="P1000" s="151"/>
    </row>
    <row r="1001" ht="12.0" customHeight="1">
      <c r="B1001" s="1"/>
      <c r="K1001" s="151"/>
      <c r="P1001" s="151"/>
    </row>
  </sheetData>
  <mergeCells count="19">
    <mergeCell ref="J7:K7"/>
    <mergeCell ref="O7:P7"/>
    <mergeCell ref="F8:H8"/>
    <mergeCell ref="I8:K8"/>
    <mergeCell ref="L8:N8"/>
    <mergeCell ref="B18:B20"/>
    <mergeCell ref="B21:B25"/>
    <mergeCell ref="B57:B59"/>
    <mergeCell ref="B60:B62"/>
    <mergeCell ref="B64:B66"/>
    <mergeCell ref="B67:B69"/>
    <mergeCell ref="B70:B72"/>
    <mergeCell ref="B26:B30"/>
    <mergeCell ref="B34:B36"/>
    <mergeCell ref="B37:B39"/>
    <mergeCell ref="B41:B43"/>
    <mergeCell ref="B44:B46"/>
    <mergeCell ref="B47:B52"/>
    <mergeCell ref="B53:B56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31">
      <formula1>"TIMBER ROOF TRUSSES,NO ROOF TRUSSES"</formula1>
    </dataValidation>
    <dataValidation type="list" allowBlank="1" showErrorMessage="1" sqref="J18 J34 J37 J41 J44 J57 J60 J64 J67 J70 J74 J79:J80">
      <formula1>"YES,NO"</formula1>
    </dataValidation>
    <dataValidation type="list" allowBlank="1" showErrorMessage="1" sqref="O17:O18 O21 O26 O31 O34 O37 O41 O44 O47 O53 O57 O60 O64 O67 O70 O74 O79">
      <formula1>"DELAPIDATED,POOR,FAIR,GOOD,VERY GOOD,EXCELLENT,NOT APPLICABLE"</formula1>
    </dataValidation>
    <dataValidation type="list" allowBlank="1" showErrorMessage="1" sqref="J53">
      <formula1>"STEEL WINDOW FRAMES,ALUMINIUM WINDOW FRAMES,NO WINDOWS FITTED"</formula1>
    </dataValidation>
    <dataValidation type="list" allowBlank="1" showErrorMessage="1" sqref="J13">
      <formula1>"2010-2013,2014-2021,2021-2023"</formula1>
    </dataValidation>
    <dataValidation type="list" allowBlank="1" showErrorMessage="1" sqref="J47">
      <formula1>"VINYL FLOORING,TILING FLOORING,TIMBER FLOORING,CARPETS FLOORING,NO FLOORING"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24.5"/>
    <col customWidth="1" min="4" max="9" width="24.88"/>
    <col customWidth="1" min="10" max="10" width="25.0"/>
    <col customWidth="1" min="11" max="11" width="18.0"/>
    <col customWidth="1" hidden="1" min="12" max="14" width="30.75"/>
    <col customWidth="1" min="15" max="15" width="21.63"/>
    <col customWidth="1" min="16" max="16" width="30.75"/>
    <col customWidth="1" min="17" max="26" width="9.13"/>
  </cols>
  <sheetData>
    <row r="1" ht="12.0" customHeight="1">
      <c r="B1" s="1"/>
      <c r="K1" s="2"/>
      <c r="P1" s="2"/>
    </row>
    <row r="2" ht="12.0" customHeight="1">
      <c r="B2" s="1"/>
      <c r="K2" s="2"/>
      <c r="P2" s="2"/>
    </row>
    <row r="3" ht="36.75" customHeight="1">
      <c r="B3" s="1"/>
      <c r="C3" s="4" t="s">
        <v>133</v>
      </c>
      <c r="K3" s="2"/>
      <c r="P3" s="2"/>
    </row>
    <row r="4" ht="12.0" customHeight="1">
      <c r="B4" s="1"/>
      <c r="C4" s="667" t="s">
        <v>134</v>
      </c>
      <c r="K4" s="2"/>
      <c r="P4" s="2"/>
    </row>
    <row r="5" ht="43.5" customHeight="1">
      <c r="B5" s="1"/>
      <c r="C5" s="667"/>
      <c r="K5" s="2"/>
      <c r="P5" s="2"/>
    </row>
    <row r="6" ht="30.75" customHeight="1">
      <c r="B6" s="1"/>
      <c r="C6" s="152"/>
      <c r="J6" s="626"/>
      <c r="K6" s="626"/>
      <c r="L6" s="630"/>
      <c r="M6" s="630"/>
      <c r="O6" s="630"/>
      <c r="P6" s="630"/>
    </row>
    <row r="7" ht="30.75" customHeight="1">
      <c r="B7" s="1"/>
      <c r="C7" s="152"/>
      <c r="J7" s="6" t="s">
        <v>2</v>
      </c>
      <c r="K7" s="7"/>
      <c r="L7" s="8" t="s">
        <v>3</v>
      </c>
      <c r="M7" s="7"/>
      <c r="O7" s="8" t="s">
        <v>3</v>
      </c>
      <c r="P7" s="7"/>
    </row>
    <row r="8" ht="49.5" hidden="1" customHeight="1">
      <c r="A8" s="632"/>
      <c r="B8" s="631"/>
      <c r="C8" s="632"/>
      <c r="D8" s="633"/>
      <c r="E8" s="633"/>
      <c r="F8" s="535" t="s">
        <v>79</v>
      </c>
      <c r="G8" s="274"/>
      <c r="H8" s="7"/>
      <c r="I8" s="536" t="s">
        <v>80</v>
      </c>
      <c r="J8" s="274"/>
      <c r="K8" s="7"/>
      <c r="L8" s="635" t="s">
        <v>91</v>
      </c>
      <c r="M8" s="274"/>
      <c r="N8" s="7"/>
      <c r="P8" s="2"/>
    </row>
    <row r="9" ht="49.5" hidden="1" customHeight="1">
      <c r="A9" s="632"/>
      <c r="B9" s="631"/>
      <c r="C9" s="632"/>
      <c r="D9" s="633"/>
      <c r="E9" s="633"/>
      <c r="F9" s="633"/>
      <c r="G9" s="633"/>
      <c r="H9" s="633"/>
      <c r="I9" s="633"/>
      <c r="J9" s="633"/>
      <c r="K9" s="668"/>
      <c r="L9" s="161"/>
      <c r="M9" s="161"/>
      <c r="P9" s="2"/>
    </row>
    <row r="10" ht="49.5" hidden="1" customHeight="1">
      <c r="A10" s="632"/>
      <c r="B10" s="631"/>
      <c r="C10" s="632" t="s">
        <v>135</v>
      </c>
      <c r="D10" s="636"/>
      <c r="E10" s="636"/>
      <c r="F10" s="636"/>
      <c r="G10" s="636"/>
      <c r="H10" s="636"/>
      <c r="I10" s="636"/>
      <c r="J10" s="636"/>
      <c r="K10" s="669"/>
      <c r="L10" s="161"/>
      <c r="M10" s="161"/>
      <c r="P10" s="2"/>
    </row>
    <row r="11" ht="58.5" customHeight="1">
      <c r="A11" s="44"/>
      <c r="B11" s="167" t="s">
        <v>6</v>
      </c>
      <c r="C11" s="167" t="s">
        <v>7</v>
      </c>
      <c r="D11" s="168"/>
      <c r="E11" s="168" t="s">
        <v>8</v>
      </c>
      <c r="F11" s="169" t="s">
        <v>9</v>
      </c>
      <c r="G11" s="169" t="s">
        <v>10</v>
      </c>
      <c r="H11" s="169" t="s">
        <v>11</v>
      </c>
      <c r="I11" s="170" t="s">
        <v>12</v>
      </c>
      <c r="J11" s="26" t="s">
        <v>13</v>
      </c>
      <c r="K11" s="24" t="s">
        <v>14</v>
      </c>
      <c r="L11" s="31" t="s">
        <v>18</v>
      </c>
      <c r="M11" s="24" t="s">
        <v>14</v>
      </c>
      <c r="N11" s="670" t="s">
        <v>17</v>
      </c>
      <c r="O11" s="31" t="s">
        <v>18</v>
      </c>
      <c r="P11" s="24" t="s">
        <v>14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30.0" customHeight="1">
      <c r="A12" s="671"/>
      <c r="B12" s="174"/>
      <c r="C12" s="672" t="s">
        <v>136</v>
      </c>
      <c r="D12" s="673"/>
      <c r="E12" s="37"/>
      <c r="F12" s="176">
        <v>3.0</v>
      </c>
      <c r="G12" s="176">
        <v>2.0</v>
      </c>
      <c r="H12" s="176">
        <v>1.0</v>
      </c>
      <c r="I12" s="673"/>
      <c r="J12" s="673"/>
      <c r="K12" s="674"/>
      <c r="L12" s="20"/>
      <c r="M12" s="20"/>
      <c r="N12" s="20"/>
      <c r="O12" s="20"/>
      <c r="P12" s="675"/>
      <c r="Q12" s="676"/>
      <c r="R12" s="676"/>
      <c r="S12" s="676"/>
      <c r="T12" s="676"/>
      <c r="U12" s="676"/>
      <c r="V12" s="676"/>
      <c r="W12" s="676"/>
      <c r="X12" s="676"/>
      <c r="Y12" s="676"/>
      <c r="Z12" s="676"/>
    </row>
    <row r="13" ht="30.0" customHeight="1">
      <c r="A13" s="671"/>
      <c r="B13" s="174"/>
      <c r="C13" s="672"/>
      <c r="D13" s="673"/>
      <c r="E13" s="48"/>
      <c r="F13" s="673">
        <v>3.0</v>
      </c>
      <c r="G13" s="673">
        <v>2.0</v>
      </c>
      <c r="H13" s="673">
        <v>1.0</v>
      </c>
      <c r="I13" s="673"/>
      <c r="J13" s="677"/>
      <c r="K13" s="678"/>
      <c r="L13" s="20"/>
      <c r="M13" s="20"/>
      <c r="N13" s="20"/>
      <c r="O13" s="17"/>
      <c r="P13" s="679"/>
      <c r="Q13" s="676"/>
      <c r="R13" s="676"/>
      <c r="S13" s="676"/>
      <c r="T13" s="676"/>
      <c r="U13" s="676"/>
      <c r="V13" s="676"/>
      <c r="W13" s="676"/>
      <c r="X13" s="676"/>
      <c r="Y13" s="676"/>
      <c r="Z13" s="676"/>
    </row>
    <row r="14" ht="30.0" customHeight="1">
      <c r="A14" s="255"/>
      <c r="B14" s="52"/>
      <c r="C14" s="184" t="s">
        <v>19</v>
      </c>
      <c r="D14" s="185"/>
      <c r="E14" s="54"/>
      <c r="F14" s="186"/>
      <c r="G14" s="186"/>
      <c r="H14" s="186"/>
      <c r="I14" s="283"/>
      <c r="J14" s="188">
        <v>250.0</v>
      </c>
      <c r="K14" s="189"/>
      <c r="L14" s="190" t="str">
        <f>AVERAGE(#REF!)</f>
        <v>#REF!</v>
      </c>
      <c r="M14" s="191">
        <v>322.3</v>
      </c>
      <c r="N14" s="380"/>
      <c r="O14" s="193"/>
      <c r="P14" s="19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customHeight="1">
      <c r="A15" s="255"/>
      <c r="B15" s="52"/>
      <c r="C15" s="194" t="s">
        <v>20</v>
      </c>
      <c r="D15" s="185" t="s">
        <v>81</v>
      </c>
      <c r="E15" s="54"/>
      <c r="F15" s="186"/>
      <c r="G15" s="186"/>
      <c r="H15" s="186"/>
      <c r="I15" s="56"/>
      <c r="J15" s="196" t="s">
        <v>9</v>
      </c>
      <c r="K15" s="197"/>
      <c r="L15" s="190"/>
      <c r="M15" s="191"/>
      <c r="N15" s="380"/>
      <c r="O15" s="193"/>
      <c r="P15" s="19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9.25" customHeight="1">
      <c r="A16" s="255"/>
      <c r="B16" s="52"/>
      <c r="C16" s="198"/>
      <c r="D16" s="185" t="s">
        <v>21</v>
      </c>
      <c r="E16" s="63">
        <v>1.24</v>
      </c>
      <c r="F16" s="185"/>
      <c r="G16" s="203">
        <v>1.25</v>
      </c>
      <c r="H16" s="203">
        <v>1.32</v>
      </c>
      <c r="I16" s="56"/>
      <c r="J16" s="56"/>
      <c r="K16" s="58"/>
      <c r="L16" s="199"/>
      <c r="M16" s="14"/>
      <c r="N16" s="680"/>
      <c r="O16" s="17"/>
      <c r="P16" s="60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219"/>
      <c r="B17" s="44">
        <v>1.0</v>
      </c>
      <c r="C17" s="65" t="s">
        <v>22</v>
      </c>
      <c r="D17" s="66"/>
      <c r="E17" s="66"/>
      <c r="F17" s="67">
        <f>713.062364256903*E16</f>
        <v>884.1973317</v>
      </c>
      <c r="G17" s="67">
        <f>F17/$G$16</f>
        <v>707.3578653</v>
      </c>
      <c r="H17" s="67">
        <f>F17/$H$16</f>
        <v>669.8464634</v>
      </c>
      <c r="I17" s="68"/>
      <c r="J17" s="204"/>
      <c r="K17" s="70">
        <f>IF(J15="2010-2013",J14*H17,IF(J15="2014-2021",J14*G17,IF(J15="2021-2023",J14*F17,-2)))</f>
        <v>221049.3329</v>
      </c>
      <c r="L17" s="199" t="str">
        <f t="shared" ref="L17:L18" si="1">AVERAGE(#REF!)</f>
        <v>#REF!</v>
      </c>
      <c r="M17" s="205">
        <v>229820.0</v>
      </c>
      <c r="N17" s="206">
        <f t="shared" ref="N17:N18" si="2">M17/$M$14</f>
        <v>713.0623643</v>
      </c>
      <c r="O17" s="207" t="s">
        <v>23</v>
      </c>
      <c r="P17" s="73">
        <f t="shared" ref="P17:P18" si="3">IF(O17="Delapidated",K17*0.6,IF(O17="Poor",K17*0.7,IF(O17="Fair",K17*0.8,IF(O17="Good",K17*0.85,IF(O17="Very Good",K17*0.9,IF(O17="Excellent",K17*1,IF(O17="Not Applicable",K17*1,0)))))))</f>
        <v>221049.3329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219"/>
      <c r="B18" s="83">
        <f>B17+1</f>
        <v>2</v>
      </c>
      <c r="C18" s="208" t="s">
        <v>24</v>
      </c>
      <c r="D18" s="66"/>
      <c r="E18" s="66"/>
      <c r="F18" s="209"/>
      <c r="G18" s="67"/>
      <c r="H18" s="67"/>
      <c r="I18" s="68"/>
      <c r="J18" s="72" t="s">
        <v>25</v>
      </c>
      <c r="K18" s="70">
        <f>IF(J18="YES",IF(J15="2010-2013",H19*$J$14,IF(J15="2014-2021",G19*$J$14,IF(J15="2021-2023",F19*$J$14,0))),0)</f>
        <v>43782.81105</v>
      </c>
      <c r="L18" s="199" t="str">
        <f t="shared" si="1"/>
        <v>#REF!</v>
      </c>
      <c r="M18" s="205">
        <v>45520.0</v>
      </c>
      <c r="N18" s="206">
        <f t="shared" si="2"/>
        <v>141.2348743</v>
      </c>
      <c r="O18" s="207" t="s">
        <v>82</v>
      </c>
      <c r="P18" s="73">
        <f t="shared" si="3"/>
        <v>39404.52994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customHeight="1">
      <c r="A19" s="219"/>
      <c r="B19" s="84"/>
      <c r="C19" s="79" t="s">
        <v>25</v>
      </c>
      <c r="D19" s="66"/>
      <c r="E19" s="66"/>
      <c r="F19" s="67">
        <f>141.234874340676*E16</f>
        <v>175.1312442</v>
      </c>
      <c r="G19" s="67">
        <f t="shared" ref="G19:G20" si="4">F19/$G$16</f>
        <v>140.1049953</v>
      </c>
      <c r="H19" s="67">
        <f t="shared" ref="H19:H20" si="5">F19/$H$16</f>
        <v>132.675185</v>
      </c>
      <c r="I19" s="77">
        <v>1.0</v>
      </c>
      <c r="J19" s="68"/>
      <c r="K19" s="70"/>
      <c r="L19" s="199"/>
      <c r="M19" s="205"/>
      <c r="N19" s="206"/>
      <c r="O19" s="34"/>
      <c r="P19" s="402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customHeight="1">
      <c r="A20" s="219"/>
      <c r="B20" s="85"/>
      <c r="C20" s="79" t="s">
        <v>26</v>
      </c>
      <c r="D20" s="66"/>
      <c r="E20" s="66"/>
      <c r="F20" s="67"/>
      <c r="G20" s="67">
        <f t="shared" si="4"/>
        <v>0</v>
      </c>
      <c r="H20" s="67">
        <f t="shared" si="5"/>
        <v>0</v>
      </c>
      <c r="I20" s="77">
        <v>2.0</v>
      </c>
      <c r="J20" s="68"/>
      <c r="K20" s="70"/>
      <c r="L20" s="199"/>
      <c r="M20" s="205"/>
      <c r="N20" s="206"/>
      <c r="O20" s="34"/>
      <c r="P20" s="402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219"/>
      <c r="B21" s="83">
        <f>B18+1</f>
        <v>3</v>
      </c>
      <c r="C21" s="208" t="s">
        <v>27</v>
      </c>
      <c r="D21" s="66"/>
      <c r="E21" s="66"/>
      <c r="F21" s="67"/>
      <c r="G21" s="67"/>
      <c r="H21" s="67"/>
      <c r="I21" s="68"/>
      <c r="J21" s="72" t="s">
        <v>28</v>
      </c>
      <c r="K21" s="70">
        <f>IF(J21="STOCK BRICKS",IF(J15="2010-2013",H22*$J$15,IF(J15="2014-2021",G22*$J$14,IF(J15="2021-2023",F22*$J$14,0))),IF(J21="BLOCKS",IF(J15="2010-2013",H23*$J$14,IF(J15="2014-2021",G23*$J$14,IF(J15="2021-2023",F23*$J$14,0))),IF(J21="FACE BRICKS",IF(J15="2010-2013",H24*$J$14,IF(J15="2014-2021",G24*$J$14,IF(J15="2021-2023",F24*$J$14,0))),0)))</f>
        <v>184210.9836</v>
      </c>
      <c r="L21" s="199" t="str">
        <f>AVERAGE(#REF!)</f>
        <v>#REF!</v>
      </c>
      <c r="M21" s="205">
        <f>185120+6400</f>
        <v>191520</v>
      </c>
      <c r="N21" s="206">
        <f>M21/$M$14</f>
        <v>594.2289792</v>
      </c>
      <c r="O21" s="207" t="s">
        <v>82</v>
      </c>
      <c r="P21" s="73">
        <f>IF(O21="Delapidated",K21*0.6,IF(O21="Poor",K21*0.7,IF(O21="Fair",K21*0.8,IF(O21="Good",K21*0.85,IF(O21="Very Good",K21*0.9,IF(O21="Excellent",K21*1,IF(O21="Not Applicable",K21*1,0)))))))</f>
        <v>165789.8852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customHeight="1">
      <c r="A22" s="219"/>
      <c r="B22" s="84"/>
      <c r="C22" s="79" t="s">
        <v>28</v>
      </c>
      <c r="D22" s="66"/>
      <c r="E22" s="66"/>
      <c r="F22" s="67">
        <f>594.228979211914*E16</f>
        <v>736.8439342</v>
      </c>
      <c r="G22" s="67">
        <f t="shared" ref="G22:G25" si="6">F22/$G$16</f>
        <v>589.4751474</v>
      </c>
      <c r="H22" s="67">
        <f t="shared" ref="H22:H25" si="7">F22/$H$16</f>
        <v>558.2151017</v>
      </c>
      <c r="I22" s="77">
        <v>1.0</v>
      </c>
      <c r="J22" s="68"/>
      <c r="K22" s="70"/>
      <c r="L22" s="199"/>
      <c r="M22" s="205"/>
      <c r="N22" s="206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customHeight="1">
      <c r="A23" s="219"/>
      <c r="B23" s="84"/>
      <c r="C23" s="79" t="s">
        <v>29</v>
      </c>
      <c r="D23" s="66"/>
      <c r="E23" s="66"/>
      <c r="F23" s="67">
        <f>F22*0.8</f>
        <v>589.4751474</v>
      </c>
      <c r="G23" s="67">
        <f t="shared" si="6"/>
        <v>471.5801179</v>
      </c>
      <c r="H23" s="67">
        <f t="shared" si="7"/>
        <v>446.5720813</v>
      </c>
      <c r="I23" s="77">
        <v>2.0</v>
      </c>
      <c r="J23" s="68"/>
      <c r="K23" s="70"/>
      <c r="L23" s="199"/>
      <c r="M23" s="205"/>
      <c r="N23" s="206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customHeight="1">
      <c r="A24" s="219"/>
      <c r="B24" s="84"/>
      <c r="C24" s="79" t="s">
        <v>30</v>
      </c>
      <c r="D24" s="66"/>
      <c r="E24" s="66"/>
      <c r="F24" s="67">
        <f>F22*1.3</f>
        <v>957.8971145</v>
      </c>
      <c r="G24" s="67">
        <f t="shared" si="6"/>
        <v>766.3176916</v>
      </c>
      <c r="H24" s="67">
        <f t="shared" si="7"/>
        <v>725.6796322</v>
      </c>
      <c r="I24" s="77">
        <v>3.0</v>
      </c>
      <c r="J24" s="68"/>
      <c r="K24" s="70"/>
      <c r="L24" s="199"/>
      <c r="M24" s="205"/>
      <c r="N24" s="206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customHeight="1">
      <c r="A25" s="219"/>
      <c r="B25" s="85"/>
      <c r="C25" s="79" t="s">
        <v>31</v>
      </c>
      <c r="D25" s="66"/>
      <c r="E25" s="66"/>
      <c r="F25" s="67">
        <v>0.0</v>
      </c>
      <c r="G25" s="67">
        <f t="shared" si="6"/>
        <v>0</v>
      </c>
      <c r="H25" s="67">
        <f t="shared" si="7"/>
        <v>0</v>
      </c>
      <c r="I25" s="77">
        <v>4.0</v>
      </c>
      <c r="J25" s="68"/>
      <c r="K25" s="70"/>
      <c r="L25" s="199"/>
      <c r="M25" s="205"/>
      <c r="N25" s="206"/>
      <c r="O25" s="34"/>
      <c r="P25" s="402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219"/>
      <c r="B26" s="83">
        <f>B21+1</f>
        <v>4</v>
      </c>
      <c r="C26" s="208" t="s">
        <v>127</v>
      </c>
      <c r="D26" s="66"/>
      <c r="E26" s="66"/>
      <c r="F26" s="67"/>
      <c r="G26" s="67"/>
      <c r="H26" s="67"/>
      <c r="I26" s="68"/>
      <c r="J26" s="72" t="s">
        <v>33</v>
      </c>
      <c r="K26" s="70">
        <f>IF(J26="CONCRETE ROOF TILES",IF(J15="2010-2013",H27*$J$14,IF(J15="2014-2021",G27*$J$14,IF(J15="2021-2023",F27*$J$14,0))),IF(J26="IBR",IF(J15="2010-2013",H28*$J$14,IF(J15="2014-2021",G28*$J$14,IF(J15="2021-2023",F28*$J$14,0))),IF(J26="CORRUGATED ROOFING SHEETS",IF(J15="2010-2013",H29*$J$14,IF(J15="2014-2021",G29*$J$14,IF(J15="2021-2023",F29*$J$14,0))),0)))</f>
        <v>40300</v>
      </c>
      <c r="L26" s="199" t="str">
        <f>AVERAGE(#REF!)</f>
        <v>#REF!</v>
      </c>
      <c r="M26" s="205">
        <f>190340+3050</f>
        <v>193390</v>
      </c>
      <c r="N26" s="206">
        <f>M26/$M$14</f>
        <v>600.031027</v>
      </c>
      <c r="O26" s="207" t="s">
        <v>82</v>
      </c>
      <c r="P26" s="73">
        <f>IF(O26="Delapidated",K26*0.6,IF(O26="Poor",K26*0.7,IF(O26="Fair",K26*0.8,IF(O26="Good",K26*0.85,IF(O26="Very Good",K26*0.9,IF(O26="Excellent",K26*1,IF(O26="Not Applicable",K26*1,0)))))))</f>
        <v>36270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customHeight="1">
      <c r="A27" s="219"/>
      <c r="B27" s="84"/>
      <c r="C27" s="79" t="s">
        <v>33</v>
      </c>
      <c r="D27" s="66"/>
      <c r="E27" s="66"/>
      <c r="F27" s="67">
        <f>130*E16</f>
        <v>161.2</v>
      </c>
      <c r="G27" s="67">
        <f t="shared" ref="G27:G30" si="8">F27/$G$16</f>
        <v>128.96</v>
      </c>
      <c r="H27" s="67">
        <f t="shared" ref="H27:H30" si="9">F27/$H$16</f>
        <v>122.1212121</v>
      </c>
      <c r="I27" s="77">
        <v>1.0</v>
      </c>
      <c r="J27" s="68"/>
      <c r="K27" s="70"/>
      <c r="L27" s="199"/>
      <c r="M27" s="205"/>
      <c r="N27" s="206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customHeight="1">
      <c r="A28" s="219"/>
      <c r="B28" s="84"/>
      <c r="C28" s="79" t="s">
        <v>34</v>
      </c>
      <c r="D28" s="66"/>
      <c r="E28" s="66"/>
      <c r="F28" s="67">
        <f>F27*1.6</f>
        <v>257.92</v>
      </c>
      <c r="G28" s="67">
        <f t="shared" si="8"/>
        <v>206.336</v>
      </c>
      <c r="H28" s="67">
        <f t="shared" si="9"/>
        <v>195.3939394</v>
      </c>
      <c r="I28" s="77">
        <v>2.0</v>
      </c>
      <c r="J28" s="68"/>
      <c r="K28" s="70"/>
      <c r="L28" s="199"/>
      <c r="M28" s="205"/>
      <c r="N28" s="206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customHeight="1">
      <c r="A29" s="219"/>
      <c r="B29" s="84"/>
      <c r="C29" s="79" t="s">
        <v>35</v>
      </c>
      <c r="D29" s="66"/>
      <c r="E29" s="66"/>
      <c r="F29" s="67">
        <f>F27*0.6</f>
        <v>96.72</v>
      </c>
      <c r="G29" s="67">
        <f t="shared" si="8"/>
        <v>77.376</v>
      </c>
      <c r="H29" s="67">
        <f t="shared" si="9"/>
        <v>73.27272727</v>
      </c>
      <c r="I29" s="77">
        <v>3.0</v>
      </c>
      <c r="J29" s="68"/>
      <c r="K29" s="70"/>
      <c r="L29" s="199"/>
      <c r="M29" s="205"/>
      <c r="N29" s="206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customHeight="1">
      <c r="A30" s="219"/>
      <c r="B30" s="85"/>
      <c r="C30" s="79" t="s">
        <v>36</v>
      </c>
      <c r="D30" s="66"/>
      <c r="E30" s="66"/>
      <c r="F30" s="67">
        <v>0.0</v>
      </c>
      <c r="G30" s="67">
        <f t="shared" si="8"/>
        <v>0</v>
      </c>
      <c r="H30" s="67">
        <f t="shared" si="9"/>
        <v>0</v>
      </c>
      <c r="I30" s="77">
        <v>4.0</v>
      </c>
      <c r="J30" s="68"/>
      <c r="K30" s="70"/>
      <c r="L30" s="199"/>
      <c r="M30" s="205"/>
      <c r="N30" s="206"/>
      <c r="O30" s="34"/>
      <c r="P30" s="402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219"/>
      <c r="B31" s="44">
        <f>B26+1</f>
        <v>5</v>
      </c>
      <c r="C31" s="74" t="s">
        <v>37</v>
      </c>
      <c r="D31" s="66"/>
      <c r="E31" s="66"/>
      <c r="F31" s="67"/>
      <c r="G31" s="67"/>
      <c r="H31" s="67"/>
      <c r="I31" s="77"/>
      <c r="J31" s="72" t="s">
        <v>38</v>
      </c>
      <c r="K31" s="70">
        <f>IF(J31="TIMBER ROOF TRUSSES",IF(J15="2010-2013",H32*$J$14,IF(J15="2014-2021",G32*$J$14,IF(J15="2021-2023",F32*$J$14,0))),IF(J31="STRUCTURAL STEEL TRUSSES",IF(J15="2010-2013",H33*$J$14,IF(J15="2014-2021",G33*$J$14,IF(J15="2021-2023",F33*$J$14,0))),0))</f>
        <v>108500</v>
      </c>
      <c r="L31" s="59" t="str">
        <f>AVERAGE(#REF!)</f>
        <v>#REF!</v>
      </c>
      <c r="M31" s="43">
        <f>51922.2222222222+844</f>
        <v>52766.22222</v>
      </c>
      <c r="N31" s="71" t="str">
        <f>M31/$L$12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65100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customHeight="1">
      <c r="A32" s="219"/>
      <c r="B32" s="44"/>
      <c r="C32" s="79" t="s">
        <v>38</v>
      </c>
      <c r="D32" s="66"/>
      <c r="E32" s="66"/>
      <c r="F32" s="67">
        <f>350*E16</f>
        <v>434</v>
      </c>
      <c r="G32" s="67">
        <f t="shared" ref="G32:G33" si="10">F32/$G$16</f>
        <v>347.2</v>
      </c>
      <c r="H32" s="67">
        <f>F32/$H$13</f>
        <v>434</v>
      </c>
      <c r="I32" s="77"/>
      <c r="J32" s="68"/>
      <c r="K32" s="70"/>
      <c r="L32" s="552"/>
      <c r="M32" s="296"/>
      <c r="N32" s="553"/>
      <c r="O32" s="34"/>
      <c r="P32" s="73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customHeight="1">
      <c r="A33" s="219"/>
      <c r="B33" s="44"/>
      <c r="C33" s="79" t="s">
        <v>137</v>
      </c>
      <c r="D33" s="66"/>
      <c r="E33" s="66"/>
      <c r="F33" s="67">
        <f>1100*E16</f>
        <v>1364</v>
      </c>
      <c r="G33" s="67">
        <f t="shared" si="10"/>
        <v>1091.2</v>
      </c>
      <c r="H33" s="67">
        <f t="shared" ref="H33:H34" si="11">F33/$H$16</f>
        <v>1033.333333</v>
      </c>
      <c r="I33" s="77"/>
      <c r="J33" s="68"/>
      <c r="K33" s="70"/>
      <c r="L33" s="552"/>
      <c r="M33" s="296"/>
      <c r="N33" s="553"/>
      <c r="O33" s="34"/>
      <c r="P33" s="73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customHeight="1">
      <c r="A34" s="219"/>
      <c r="B34" s="44"/>
      <c r="C34" s="79" t="s">
        <v>41</v>
      </c>
      <c r="D34" s="66"/>
      <c r="E34" s="66"/>
      <c r="F34" s="67">
        <v>0.0</v>
      </c>
      <c r="G34" s="67">
        <v>0.0</v>
      </c>
      <c r="H34" s="67">
        <f t="shared" si="11"/>
        <v>0</v>
      </c>
      <c r="I34" s="77"/>
      <c r="J34" s="68"/>
      <c r="K34" s="70"/>
      <c r="L34" s="552"/>
      <c r="M34" s="296"/>
      <c r="N34" s="553"/>
      <c r="O34" s="34"/>
      <c r="P34" s="73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219"/>
      <c r="B35" s="83">
        <v>6.0</v>
      </c>
      <c r="C35" s="208" t="s">
        <v>119</v>
      </c>
      <c r="D35" s="66"/>
      <c r="E35" s="66"/>
      <c r="F35" s="67"/>
      <c r="G35" s="67"/>
      <c r="H35" s="67"/>
      <c r="I35" s="68"/>
      <c r="J35" s="72" t="s">
        <v>25</v>
      </c>
      <c r="K35" s="70">
        <f>IF(J35="YES",IF(J15="2010-2013",H36*$J$14,IF(J15="2014-2021",G36*$J$14,IF(J15="2021-2023",F36*$J$14,0))),0)</f>
        <v>16573.77536</v>
      </c>
      <c r="L35" s="199" t="str">
        <f>AVERAGE(#REF!)</f>
        <v>#REF!</v>
      </c>
      <c r="M35" s="205">
        <f>147740+52160</f>
        <v>199900</v>
      </c>
      <c r="N35" s="206">
        <f>M35/$M$14</f>
        <v>620.2295998</v>
      </c>
      <c r="O35" s="207" t="s">
        <v>82</v>
      </c>
      <c r="P35" s="73">
        <f>IF(O35="Delapidated",K35*0.6,IF(O35="Poor",K35*0.7,IF(O35="Fair",K35*0.8,IF(O35="Good",K35*0.85,IF(O35="Very Good",K35*0.9,IF(O35="Excellent",K35*1,IF(O35="Not Applicable",K35*1,0)))))))</f>
        <v>14916.39783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customHeight="1">
      <c r="A36" s="219"/>
      <c r="B36" s="84"/>
      <c r="C36" s="79" t="s">
        <v>25</v>
      </c>
      <c r="D36" s="66"/>
      <c r="E36" s="66"/>
      <c r="F36" s="67">
        <f>620.229599751784*8.62%*E16</f>
        <v>66.29510146</v>
      </c>
      <c r="G36" s="67">
        <f t="shared" ref="G36:G37" si="12">F36/$G$16</f>
        <v>53.03608117</v>
      </c>
      <c r="H36" s="67">
        <f t="shared" ref="H36:H37" si="13">F36/$H$16</f>
        <v>50.22356171</v>
      </c>
      <c r="I36" s="77">
        <v>1.0</v>
      </c>
      <c r="J36" s="68"/>
      <c r="K36" s="70"/>
      <c r="L36" s="199"/>
      <c r="M36" s="205"/>
      <c r="N36" s="206"/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customHeight="1">
      <c r="A37" s="219"/>
      <c r="B37" s="85"/>
      <c r="C37" s="79" t="s">
        <v>26</v>
      </c>
      <c r="D37" s="66"/>
      <c r="E37" s="66"/>
      <c r="F37" s="67">
        <v>0.0</v>
      </c>
      <c r="G37" s="67">
        <f t="shared" si="12"/>
        <v>0</v>
      </c>
      <c r="H37" s="67">
        <f t="shared" si="13"/>
        <v>0</v>
      </c>
      <c r="I37" s="77">
        <v>2.0</v>
      </c>
      <c r="J37" s="68"/>
      <c r="K37" s="70"/>
      <c r="L37" s="199"/>
      <c r="M37" s="205"/>
      <c r="N37" s="206"/>
      <c r="O37" s="34"/>
      <c r="P37" s="402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219"/>
      <c r="B38" s="83">
        <f>B35+1</f>
        <v>7</v>
      </c>
      <c r="C38" s="208" t="s">
        <v>45</v>
      </c>
      <c r="D38" s="66"/>
      <c r="E38" s="66"/>
      <c r="F38" s="67"/>
      <c r="G38" s="67"/>
      <c r="H38" s="67"/>
      <c r="I38" s="68"/>
      <c r="J38" s="72" t="s">
        <v>25</v>
      </c>
      <c r="K38" s="70">
        <f>IF(J38="YES",IF(J15="2010-2013",H39*$J$14,IF(J15="2014-2021",G39*$J$14,IF(J15="2021-2023",F39*$J$14,0))),0)</f>
        <v>142742.121</v>
      </c>
      <c r="L38" s="199"/>
      <c r="M38" s="205"/>
      <c r="N38" s="206">
        <f>M38/$M$14</f>
        <v>0</v>
      </c>
      <c r="O38" s="207" t="s">
        <v>82</v>
      </c>
      <c r="P38" s="73">
        <f>IF(O38="Delapidated",K38*0.6,IF(O38="Poor",K38*0.7,IF(O38="Fair",K38*0.8,IF(O38="Good",K38*0.85,IF(O38="Very Good",K38*0.9,IF(O38="Excellent",K38*1,IF(O38="Not Applicable",K38*1,0)))))))</f>
        <v>128467.9089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customHeight="1">
      <c r="A39" s="219"/>
      <c r="B39" s="84"/>
      <c r="C39" s="79" t="s">
        <v>25</v>
      </c>
      <c r="D39" s="66"/>
      <c r="E39" s="66"/>
      <c r="F39" s="67">
        <f>620.229599751784*74.24%*E16</f>
        <v>570.968484</v>
      </c>
      <c r="G39" s="67">
        <f t="shared" ref="G39:G40" si="14">F39/$G$16</f>
        <v>456.7747872</v>
      </c>
      <c r="H39" s="67">
        <f t="shared" ref="H39:H40" si="15">F39/$H$16</f>
        <v>432.5518818</v>
      </c>
      <c r="I39" s="77">
        <v>1.0</v>
      </c>
      <c r="J39" s="68"/>
      <c r="K39" s="681"/>
      <c r="L39" s="199"/>
      <c r="M39" s="205"/>
      <c r="N39" s="206"/>
      <c r="O39" s="34"/>
      <c r="P39" s="402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customHeight="1">
      <c r="A40" s="219"/>
      <c r="B40" s="85"/>
      <c r="C40" s="79" t="s">
        <v>26</v>
      </c>
      <c r="D40" s="66"/>
      <c r="E40" s="66"/>
      <c r="F40" s="67">
        <v>0.0</v>
      </c>
      <c r="G40" s="67">
        <f t="shared" si="14"/>
        <v>0</v>
      </c>
      <c r="H40" s="67">
        <f t="shared" si="15"/>
        <v>0</v>
      </c>
      <c r="I40" s="77">
        <v>2.0</v>
      </c>
      <c r="J40" s="68"/>
      <c r="K40" s="70"/>
      <c r="L40" s="199"/>
      <c r="M40" s="205"/>
      <c r="N40" s="206"/>
      <c r="O40" s="34"/>
      <c r="P40" s="402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219"/>
      <c r="B41" s="44"/>
      <c r="C41" s="214" t="s">
        <v>48</v>
      </c>
      <c r="D41" s="66"/>
      <c r="E41" s="66"/>
      <c r="F41" s="67"/>
      <c r="G41" s="67"/>
      <c r="H41" s="67"/>
      <c r="I41" s="77"/>
      <c r="J41" s="227">
        <v>10.0</v>
      </c>
      <c r="K41" s="193"/>
      <c r="L41" s="199"/>
      <c r="M41" s="205"/>
      <c r="N41" s="206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219"/>
      <c r="B42" s="83">
        <f>B38+1</f>
        <v>8</v>
      </c>
      <c r="C42" s="208" t="s">
        <v>49</v>
      </c>
      <c r="D42" s="66"/>
      <c r="E42" s="66"/>
      <c r="F42" s="67"/>
      <c r="G42" s="67"/>
      <c r="H42" s="67"/>
      <c r="I42" s="68"/>
      <c r="J42" s="72" t="s">
        <v>25</v>
      </c>
      <c r="K42" s="70">
        <f>IF(J42="YES",IF(J15="2010-2013",H43*J41,IF(J15="2014-2021",G43*J41,IF(J15="2021-2023",F43*J41,0))),0)</f>
        <v>40000</v>
      </c>
      <c r="L42" s="199"/>
      <c r="M42" s="205"/>
      <c r="N42" s="206">
        <f>M42/$M$14</f>
        <v>0</v>
      </c>
      <c r="O42" s="207" t="s">
        <v>82</v>
      </c>
      <c r="P42" s="73">
        <f>IF(O42="Delapidated",K42*0.6,IF(O42="Poor",K42*0.7,IF(O42="Fair",K42*0.8,IF(O42="Good",K42*0.85,IF(O42="Very Good",K42*0.9,IF(O42="Excellent",K42*1,IF(O42="Not Applicable",K42*1,0)))))))</f>
        <v>36000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customHeight="1">
      <c r="A43" s="219"/>
      <c r="B43" s="84"/>
      <c r="C43" s="79" t="s">
        <v>25</v>
      </c>
      <c r="D43" s="66"/>
      <c r="E43" s="66"/>
      <c r="F43" s="67">
        <v>4000.0</v>
      </c>
      <c r="G43" s="67">
        <f t="shared" ref="G43:G47" si="16">F43/$G$16</f>
        <v>3200</v>
      </c>
      <c r="H43" s="67">
        <f t="shared" ref="H43:H47" si="17">F43/$H$16</f>
        <v>3030.30303</v>
      </c>
      <c r="I43" s="77">
        <v>1.0</v>
      </c>
      <c r="J43" s="68"/>
      <c r="K43" s="70"/>
      <c r="L43" s="199"/>
      <c r="M43" s="205"/>
      <c r="N43" s="206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219"/>
      <c r="B44" s="85"/>
      <c r="C44" s="79" t="s">
        <v>26</v>
      </c>
      <c r="D44" s="66"/>
      <c r="E44" s="66"/>
      <c r="F44" s="67">
        <v>0.0</v>
      </c>
      <c r="G44" s="67">
        <f t="shared" si="16"/>
        <v>0</v>
      </c>
      <c r="H44" s="67">
        <f t="shared" si="17"/>
        <v>0</v>
      </c>
      <c r="I44" s="77">
        <v>2.0</v>
      </c>
      <c r="J44" s="68"/>
      <c r="K44" s="70"/>
      <c r="L44" s="199"/>
      <c r="M44" s="205"/>
      <c r="N44" s="206"/>
      <c r="O44" s="34"/>
      <c r="P44" s="402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219"/>
      <c r="B45" s="83">
        <f>B42+1</f>
        <v>9</v>
      </c>
      <c r="C45" s="208" t="s">
        <v>50</v>
      </c>
      <c r="D45" s="66"/>
      <c r="E45" s="66"/>
      <c r="F45" s="67"/>
      <c r="G45" s="67">
        <f t="shared" si="16"/>
        <v>0</v>
      </c>
      <c r="H45" s="67">
        <f t="shared" si="17"/>
        <v>0</v>
      </c>
      <c r="I45" s="68"/>
      <c r="J45" s="72" t="s">
        <v>25</v>
      </c>
      <c r="K45" s="70">
        <f>IF(J45="YES",IF(J15="2010-2013",H46*$J$14,IF(J15="2014-2021",G46*$J$14,IF(J15="2021-2023",F46*$J$14,0))),0)</f>
        <v>46500</v>
      </c>
      <c r="L45" s="199" t="str">
        <f>AVERAGE(#REF!)</f>
        <v>#REF!</v>
      </c>
      <c r="M45" s="205">
        <v>52160.0</v>
      </c>
      <c r="N45" s="206">
        <f>M45/$M$14</f>
        <v>161.836798</v>
      </c>
      <c r="O45" s="207" t="s">
        <v>82</v>
      </c>
      <c r="P45" s="73">
        <f>IF(O45="Delapidated",K45*0.6,IF(O45="Poor",K45*0.7,IF(O45="Fair",K45*0.8,IF(O45="Good",K45*0.85,IF(O45="Very Good",K45*0.9,IF(O45="Excellent",K45*1,IF(O45="Not Applicable",K45*1,0)))))))</f>
        <v>41850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customHeight="1">
      <c r="A46" s="219"/>
      <c r="B46" s="84"/>
      <c r="C46" s="79" t="s">
        <v>25</v>
      </c>
      <c r="D46" s="66"/>
      <c r="E46" s="66"/>
      <c r="F46" s="67">
        <f>150*E16</f>
        <v>186</v>
      </c>
      <c r="G46" s="67">
        <f t="shared" si="16"/>
        <v>148.8</v>
      </c>
      <c r="H46" s="67">
        <f t="shared" si="17"/>
        <v>140.9090909</v>
      </c>
      <c r="I46" s="77">
        <v>1.0</v>
      </c>
      <c r="J46" s="68"/>
      <c r="K46" s="70"/>
      <c r="L46" s="199"/>
      <c r="M46" s="205"/>
      <c r="N46" s="206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219"/>
      <c r="B47" s="85"/>
      <c r="C47" s="79" t="s">
        <v>26</v>
      </c>
      <c r="D47" s="66"/>
      <c r="E47" s="66"/>
      <c r="F47" s="67">
        <v>0.0</v>
      </c>
      <c r="G47" s="67">
        <f t="shared" si="16"/>
        <v>0</v>
      </c>
      <c r="H47" s="67">
        <f t="shared" si="17"/>
        <v>0</v>
      </c>
      <c r="I47" s="77">
        <v>2.0</v>
      </c>
      <c r="J47" s="68"/>
      <c r="K47" s="70"/>
      <c r="L47" s="199"/>
      <c r="M47" s="205"/>
      <c r="N47" s="206"/>
      <c r="O47" s="34"/>
      <c r="P47" s="402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219"/>
      <c r="B48" s="83">
        <v>10.0</v>
      </c>
      <c r="C48" s="92" t="s">
        <v>51</v>
      </c>
      <c r="D48" s="66"/>
      <c r="E48" s="66"/>
      <c r="F48" s="67"/>
      <c r="G48" s="67"/>
      <c r="H48" s="67"/>
      <c r="I48" s="77"/>
      <c r="J48" s="72" t="s">
        <v>52</v>
      </c>
      <c r="K48" s="70">
        <f>IF(J48="VINYL FLOORING",IF(J15="2010-2013",H49*$J$14,IF(J15="2014-2021",G49*$J$14,IF(J15="2021-2023",F49*$J$14,0))),IF(J48="TILING FLOORING",IF(J15="2010-2013",H50*$J$14,IF(J15="2014-2021",G50*$J$14,IF(J15="2021-2023",F50*$J$14,0))),IF(J48="TIMBER FLOORING",IF(J15="2010-2013",H51*$J$14,IF(J15="2014-2021",G51*$J$14,IF(J15="2021-2023",F51*$J$14,0))),IF(J48="CARPETS FLOORING",IF(J15="2010-2013",H52*$J$14,IF(J15="2014-2021",G52*$J$14,IF(J15="2021-2023",F52*$J$14,0))),0))))</f>
        <v>54560</v>
      </c>
      <c r="L48" s="199"/>
      <c r="M48" s="205"/>
      <c r="N48" s="206"/>
      <c r="O48" s="207" t="s">
        <v>82</v>
      </c>
      <c r="P48" s="73">
        <f>IF(O48="Delapidated",K48*0.6,IF(O48="Poor",K48*0.7,IF(O48="Fair",K48*0.8,IF(O48="Good",K48*0.85,IF(O48="Very Good",K48*0.9,IF(O48="Excellent",K48*1,IF(O48="Not Applicable",K48*1,0)))))))</f>
        <v>49104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customHeight="1">
      <c r="A49" s="219"/>
      <c r="B49" s="84"/>
      <c r="C49" s="79" t="s">
        <v>53</v>
      </c>
      <c r="D49" s="66"/>
      <c r="E49" s="66"/>
      <c r="F49" s="67">
        <f>F50*0.7</f>
        <v>152.768</v>
      </c>
      <c r="G49" s="67">
        <f t="shared" ref="G49:G53" si="18">F49/$G$16</f>
        <v>122.2144</v>
      </c>
      <c r="H49" s="67">
        <f t="shared" ref="H49:H53" si="19">F49/$H$16</f>
        <v>115.7333333</v>
      </c>
      <c r="I49" s="77">
        <v>1.0</v>
      </c>
      <c r="J49" s="68"/>
      <c r="K49" s="70"/>
      <c r="L49" s="199"/>
      <c r="M49" s="205"/>
      <c r="N49" s="206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customHeight="1">
      <c r="A50" s="219"/>
      <c r="B50" s="84"/>
      <c r="C50" s="79" t="s">
        <v>52</v>
      </c>
      <c r="D50" s="66"/>
      <c r="E50" s="66"/>
      <c r="F50" s="67">
        <f>220*0.8*E16</f>
        <v>218.24</v>
      </c>
      <c r="G50" s="67">
        <f t="shared" si="18"/>
        <v>174.592</v>
      </c>
      <c r="H50" s="67">
        <f t="shared" si="19"/>
        <v>165.3333333</v>
      </c>
      <c r="I50" s="77">
        <v>2.0</v>
      </c>
      <c r="J50" s="68"/>
      <c r="K50" s="70"/>
      <c r="L50" s="199"/>
      <c r="M50" s="205"/>
      <c r="N50" s="206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customHeight="1">
      <c r="A51" s="219"/>
      <c r="B51" s="84"/>
      <c r="C51" s="79" t="s">
        <v>54</v>
      </c>
      <c r="D51" s="66"/>
      <c r="E51" s="66"/>
      <c r="F51" s="67">
        <f>F50*1.2</f>
        <v>261.888</v>
      </c>
      <c r="G51" s="67">
        <f t="shared" si="18"/>
        <v>209.5104</v>
      </c>
      <c r="H51" s="67">
        <f t="shared" si="19"/>
        <v>198.4</v>
      </c>
      <c r="I51" s="77">
        <v>3.0</v>
      </c>
      <c r="J51" s="68"/>
      <c r="K51" s="70"/>
      <c r="L51" s="199"/>
      <c r="M51" s="205"/>
      <c r="N51" s="206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customHeight="1">
      <c r="A52" s="219"/>
      <c r="B52" s="84"/>
      <c r="C52" s="79" t="s">
        <v>55</v>
      </c>
      <c r="D52" s="66"/>
      <c r="E52" s="66"/>
      <c r="F52" s="67">
        <f>F50*1.3</f>
        <v>283.712</v>
      </c>
      <c r="G52" s="67">
        <f t="shared" si="18"/>
        <v>226.9696</v>
      </c>
      <c r="H52" s="67">
        <f t="shared" si="19"/>
        <v>214.9333333</v>
      </c>
      <c r="I52" s="77">
        <v>4.0</v>
      </c>
      <c r="J52" s="68"/>
      <c r="K52" s="70"/>
      <c r="L52" s="199"/>
      <c r="M52" s="205"/>
      <c r="N52" s="206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customHeight="1">
      <c r="A53" s="219"/>
      <c r="B53" s="85"/>
      <c r="C53" s="79" t="s">
        <v>56</v>
      </c>
      <c r="D53" s="66"/>
      <c r="E53" s="66"/>
      <c r="F53" s="67">
        <v>0.0</v>
      </c>
      <c r="G53" s="67">
        <f t="shared" si="18"/>
        <v>0</v>
      </c>
      <c r="H53" s="67">
        <f t="shared" si="19"/>
        <v>0</v>
      </c>
      <c r="I53" s="77">
        <v>5.0</v>
      </c>
      <c r="J53" s="68"/>
      <c r="K53" s="70"/>
      <c r="L53" s="199"/>
      <c r="M53" s="205"/>
      <c r="N53" s="206"/>
      <c r="O53" s="34"/>
      <c r="P53" s="402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219"/>
      <c r="B54" s="83">
        <v>11.0</v>
      </c>
      <c r="C54" s="208" t="s">
        <v>57</v>
      </c>
      <c r="D54" s="66"/>
      <c r="E54" s="66"/>
      <c r="F54" s="67"/>
      <c r="G54" s="67"/>
      <c r="H54" s="67"/>
      <c r="I54" s="68"/>
      <c r="J54" s="72" t="s">
        <v>58</v>
      </c>
      <c r="K54" s="70">
        <f>IF(J54="STEEL WINDOW FRAMES",IF(J15="2010-2013",H55*$J$14,IF(J15="2014-2021",G55*$J$14,IF(J15="2021-2023",F55*$J$14,0))),IF(J54="ALUMINIUM WINDOW FRAMES",IF(J15="2010-2013",H56*$J$14,IF(J15="2014-2021",G56*$J$14,IF(J15="2021-2023",F56*$J$14,0))),0))</f>
        <v>77500</v>
      </c>
      <c r="L54" s="199" t="str">
        <f>AVERAGE(#REF!)</f>
        <v>#REF!</v>
      </c>
      <c r="M54" s="205">
        <v>79420.0</v>
      </c>
      <c r="N54" s="206">
        <f>M54/$M$14</f>
        <v>246.4163823</v>
      </c>
      <c r="O54" s="207" t="s">
        <v>82</v>
      </c>
      <c r="P54" s="73">
        <f>IF(O54="Delapidated",K54*0.6,IF(O54="Poor",K54*0.7,IF(O54="Fair",K54*0.8,IF(O54="Good",K54*0.85,IF(O54="Very Good",K54*0.9,IF(O54="Excellent",K54*1,IF(O54="Not Applicable",K54*1,0)))))))</f>
        <v>69750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customHeight="1">
      <c r="A55" s="219"/>
      <c r="B55" s="84"/>
      <c r="C55" s="79" t="s">
        <v>59</v>
      </c>
      <c r="D55" s="66"/>
      <c r="E55" s="66"/>
      <c r="F55" s="67">
        <f>94.6129032258065*E16</f>
        <v>117.32</v>
      </c>
      <c r="G55" s="67">
        <f t="shared" ref="G55:G57" si="20">F55/$G$16</f>
        <v>93.856</v>
      </c>
      <c r="H55" s="67">
        <f t="shared" ref="H55:H57" si="21">F55/$H$16</f>
        <v>88.87878788</v>
      </c>
      <c r="I55" s="77">
        <v>1.0</v>
      </c>
      <c r="J55" s="68"/>
      <c r="K55" s="70"/>
      <c r="L55" s="199"/>
      <c r="M55" s="205"/>
      <c r="N55" s="206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219"/>
      <c r="B56" s="84"/>
      <c r="C56" s="79" t="s">
        <v>58</v>
      </c>
      <c r="D56" s="66"/>
      <c r="E56" s="66"/>
      <c r="F56" s="67">
        <f>250*E16</f>
        <v>310</v>
      </c>
      <c r="G56" s="67">
        <f t="shared" si="20"/>
        <v>248</v>
      </c>
      <c r="H56" s="67">
        <f t="shared" si="21"/>
        <v>234.8484848</v>
      </c>
      <c r="I56" s="77">
        <v>2.0</v>
      </c>
      <c r="J56" s="68"/>
      <c r="K56" s="70"/>
      <c r="L56" s="199"/>
      <c r="M56" s="205"/>
      <c r="N56" s="206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customHeight="1">
      <c r="A57" s="219"/>
      <c r="B57" s="85"/>
      <c r="C57" s="79" t="s">
        <v>60</v>
      </c>
      <c r="D57" s="66"/>
      <c r="E57" s="66"/>
      <c r="F57" s="67">
        <v>0.0</v>
      </c>
      <c r="G57" s="67">
        <f t="shared" si="20"/>
        <v>0</v>
      </c>
      <c r="H57" s="67">
        <f t="shared" si="21"/>
        <v>0</v>
      </c>
      <c r="I57" s="77">
        <v>3.0</v>
      </c>
      <c r="J57" s="68"/>
      <c r="K57" s="70"/>
      <c r="L57" s="199"/>
      <c r="M57" s="205"/>
      <c r="N57" s="206"/>
      <c r="O57" s="34"/>
      <c r="P57" s="402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customHeight="1">
      <c r="A58" s="219"/>
      <c r="B58" s="83">
        <f>B54+1</f>
        <v>12</v>
      </c>
      <c r="C58" s="208" t="s">
        <v>61</v>
      </c>
      <c r="D58" s="66"/>
      <c r="E58" s="66"/>
      <c r="F58" s="67"/>
      <c r="G58" s="67"/>
      <c r="H58" s="67"/>
      <c r="I58" s="68"/>
      <c r="J58" s="72" t="s">
        <v>25</v>
      </c>
      <c r="K58" s="70">
        <f>IF(J58="YES",IF(J15="2010-2013",H59*$J$14,IF(J15="2014-2021",G59*$J$14,IF(J15="2021-2023",F59*$J$14,0))),0)</f>
        <v>85959.35464</v>
      </c>
      <c r="L58" s="199" t="str">
        <f>AVERAGE(#REF!)</f>
        <v>#REF!</v>
      </c>
      <c r="M58" s="205">
        <v>89370.0</v>
      </c>
      <c r="N58" s="206">
        <f>M58/$M$14</f>
        <v>277.2882408</v>
      </c>
      <c r="O58" s="207" t="s">
        <v>23</v>
      </c>
      <c r="P58" s="73">
        <f>IF(O58="Delapidated",K58*0.6,IF(O58="Poor",K58*0.7,IF(O58="Fair",K58*0.8,IF(O58="Good",K58*0.85,IF(O58="Very Good",K58*0.9,IF(O58="Excellent",K58*1,IF(O58="Not Applicable",K58*1,0)))))))</f>
        <v>85959.35464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customHeight="1">
      <c r="A59" s="219"/>
      <c r="B59" s="84"/>
      <c r="C59" s="79" t="s">
        <v>25</v>
      </c>
      <c r="D59" s="66"/>
      <c r="E59" s="66"/>
      <c r="F59" s="67">
        <f>277.288240769469*E16</f>
        <v>343.8374186</v>
      </c>
      <c r="G59" s="67">
        <f t="shared" ref="G59:G60" si="22">F59/$G$16</f>
        <v>275.0699348</v>
      </c>
      <c r="H59" s="67">
        <f t="shared" ref="H59:H60" si="23">F59/$H$16</f>
        <v>260.4828928</v>
      </c>
      <c r="I59" s="77">
        <v>1.0</v>
      </c>
      <c r="J59" s="68"/>
      <c r="K59" s="70"/>
      <c r="L59" s="199"/>
      <c r="M59" s="205"/>
      <c r="N59" s="206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219"/>
      <c r="B60" s="85"/>
      <c r="C60" s="79" t="s">
        <v>26</v>
      </c>
      <c r="D60" s="66"/>
      <c r="E60" s="66"/>
      <c r="F60" s="67">
        <v>0.0</v>
      </c>
      <c r="G60" s="67">
        <f t="shared" si="22"/>
        <v>0</v>
      </c>
      <c r="H60" s="67">
        <f t="shared" si="23"/>
        <v>0</v>
      </c>
      <c r="I60" s="77">
        <v>2.0</v>
      </c>
      <c r="J60" s="68"/>
      <c r="K60" s="70"/>
      <c r="L60" s="199"/>
      <c r="M60" s="205"/>
      <c r="N60" s="206"/>
      <c r="O60" s="34"/>
      <c r="P60" s="402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219"/>
      <c r="B61" s="83">
        <f>B58+1</f>
        <v>13</v>
      </c>
      <c r="C61" s="208" t="s">
        <v>62</v>
      </c>
      <c r="D61" s="66"/>
      <c r="E61" s="66"/>
      <c r="F61" s="67"/>
      <c r="G61" s="67"/>
      <c r="H61" s="67"/>
      <c r="I61" s="68"/>
      <c r="J61" s="72" t="s">
        <v>25</v>
      </c>
      <c r="K61" s="70">
        <f>IF(J61="YES",IF(J15="2010-2013",H62*$J$14,IF(J15="2014-2021",G62*$J$14,IF(J15="2021-2023",F62*$J$14,0))),0)</f>
        <v>26040</v>
      </c>
      <c r="L61" s="199" t="str">
        <f>AVERAGE(#REF!)</f>
        <v>#REF!</v>
      </c>
      <c r="M61" s="205">
        <v>95830.0</v>
      </c>
      <c r="N61" s="206">
        <f>M61/$M$14</f>
        <v>297.3316786</v>
      </c>
      <c r="O61" s="207" t="s">
        <v>23</v>
      </c>
      <c r="P61" s="73">
        <f>IF(O61="Delapidated",K61*0.6,IF(O61="Poor",K61*0.7,IF(O61="Fair",K61*0.8,IF(O61="Good",K61*0.85,IF(O61="Very Good",K61*0.9,IF(O61="Excellent",K61*1,IF(O61="Not Applicable",K61*1,0)))))))</f>
        <v>26040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customHeight="1">
      <c r="A62" s="219"/>
      <c r="B62" s="84"/>
      <c r="C62" s="79" t="s">
        <v>25</v>
      </c>
      <c r="D62" s="66"/>
      <c r="E62" s="66"/>
      <c r="F62" s="67">
        <f>420*0.2*E16</f>
        <v>104.16</v>
      </c>
      <c r="G62" s="67">
        <f t="shared" ref="G62:G63" si="24">F62/$G$16</f>
        <v>83.328</v>
      </c>
      <c r="H62" s="67">
        <f t="shared" ref="H62:H63" si="25">F62/$H$16</f>
        <v>78.90909091</v>
      </c>
      <c r="I62" s="77">
        <v>1.0</v>
      </c>
      <c r="J62" s="68"/>
      <c r="K62" s="70"/>
      <c r="L62" s="199"/>
      <c r="M62" s="205"/>
      <c r="N62" s="206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219"/>
      <c r="B63" s="85"/>
      <c r="C63" s="79" t="s">
        <v>26</v>
      </c>
      <c r="D63" s="66"/>
      <c r="E63" s="66"/>
      <c r="F63" s="67">
        <v>0.0</v>
      </c>
      <c r="G63" s="67">
        <f t="shared" si="24"/>
        <v>0</v>
      </c>
      <c r="H63" s="67">
        <f t="shared" si="25"/>
        <v>0</v>
      </c>
      <c r="I63" s="77">
        <v>2.0</v>
      </c>
      <c r="J63" s="68"/>
      <c r="K63" s="70"/>
      <c r="L63" s="199"/>
      <c r="M63" s="205"/>
      <c r="N63" s="206"/>
      <c r="O63" s="34"/>
      <c r="P63" s="402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219"/>
      <c r="B64" s="44"/>
      <c r="C64" s="214" t="s">
        <v>63</v>
      </c>
      <c r="D64" s="66"/>
      <c r="E64" s="66"/>
      <c r="F64" s="67"/>
      <c r="G64" s="67"/>
      <c r="H64" s="67"/>
      <c r="I64" s="77"/>
      <c r="J64" s="227">
        <v>10.0</v>
      </c>
      <c r="K64" s="193"/>
      <c r="L64" s="199"/>
      <c r="M64" s="205"/>
      <c r="N64" s="206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219"/>
      <c r="B65" s="83">
        <f>B61+1</f>
        <v>14</v>
      </c>
      <c r="C65" s="208" t="s">
        <v>64</v>
      </c>
      <c r="D65" s="66"/>
      <c r="E65" s="66"/>
      <c r="F65" s="67"/>
      <c r="G65" s="67"/>
      <c r="H65" s="67"/>
      <c r="I65" s="68"/>
      <c r="J65" s="72" t="s">
        <v>25</v>
      </c>
      <c r="K65" s="70">
        <f>IF(J65="YES",IF(J15="2010-2013",H66*J64,IF(J15="2014-2021",G66*J64,IF(J15="2021-2023",F66*J64,0))),0)</f>
        <v>250000</v>
      </c>
      <c r="L65" s="199" t="str">
        <f>AVERAGE(#REF!)</f>
        <v>#REF!</v>
      </c>
      <c r="M65" s="205">
        <f>142810+3790</f>
        <v>146600</v>
      </c>
      <c r="N65" s="206">
        <f>M65/$M$14</f>
        <v>454.8557245</v>
      </c>
      <c r="O65" s="207" t="s">
        <v>82</v>
      </c>
      <c r="P65" s="73">
        <f>IF(O65="Delapidated",K65*0.6,IF(O65="Poor",K65*0.7,IF(O65="Fair",K65*0.8,IF(O65="Good",K65*0.85,IF(O65="Very Good",K65*0.9,IF(O65="Excellent",K65*1,IF(O65="Not Applicable",K65*1,0)))))))</f>
        <v>225000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219"/>
      <c r="B66" s="84"/>
      <c r="C66" s="79" t="s">
        <v>25</v>
      </c>
      <c r="D66" s="66"/>
      <c r="E66" s="66"/>
      <c r="F66" s="67">
        <v>25000.0</v>
      </c>
      <c r="G66" s="67">
        <f t="shared" ref="G66:G67" si="26">F66/$G$16</f>
        <v>20000</v>
      </c>
      <c r="H66" s="67">
        <f t="shared" ref="H66:H67" si="27">F66/$H$16</f>
        <v>18939.39394</v>
      </c>
      <c r="I66" s="77">
        <v>1.0</v>
      </c>
      <c r="J66" s="68"/>
      <c r="K66" s="70"/>
      <c r="L66" s="199"/>
      <c r="M66" s="205"/>
      <c r="N66" s="206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219"/>
      <c r="B67" s="85"/>
      <c r="C67" s="79" t="s">
        <v>26</v>
      </c>
      <c r="D67" s="66"/>
      <c r="E67" s="66"/>
      <c r="F67" s="67">
        <v>0.0</v>
      </c>
      <c r="G67" s="67">
        <f t="shared" si="26"/>
        <v>0</v>
      </c>
      <c r="H67" s="67">
        <f t="shared" si="27"/>
        <v>0</v>
      </c>
      <c r="I67" s="77">
        <v>2.0</v>
      </c>
      <c r="J67" s="68"/>
      <c r="K67" s="70"/>
      <c r="L67" s="199"/>
      <c r="M67" s="205"/>
      <c r="N67" s="206"/>
      <c r="O67" s="34"/>
      <c r="P67" s="402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219"/>
      <c r="B68" s="83">
        <f>B65+1</f>
        <v>15</v>
      </c>
      <c r="C68" s="208" t="s">
        <v>65</v>
      </c>
      <c r="D68" s="66"/>
      <c r="E68" s="66"/>
      <c r="F68" s="67"/>
      <c r="G68" s="67"/>
      <c r="H68" s="67"/>
      <c r="I68" s="68"/>
      <c r="J68" s="72" t="s">
        <v>25</v>
      </c>
      <c r="K68" s="70">
        <f>IF(J68="YES",IF(J15="2010-2013",H69*$J$14,IF(J15="2014-2021",G69*$J$14,IF(J15="2021-2023",F69*$J$14,0))),0)</f>
        <v>57854.4834</v>
      </c>
      <c r="L68" s="199" t="str">
        <f>AVERAGE(#REF!)</f>
        <v>#REF!</v>
      </c>
      <c r="M68" s="205">
        <v>60150.0</v>
      </c>
      <c r="N68" s="206">
        <f>M68/$M$14</f>
        <v>186.6273658</v>
      </c>
      <c r="O68" s="207" t="s">
        <v>138</v>
      </c>
      <c r="P68" s="73">
        <f>IF(O68="Delapidated",K68*0.6,IF(O68="Poor",K68*0.7,IF(O68="Fair",K68*0.8,IF(O68="Good",K68*0.85,IF(O68="Very Good",K68*0.9,IF(O68="Excellent",K68*1,IF(O68="Not Applicable",K68*1,0)))))))</f>
        <v>49176.31089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customHeight="1">
      <c r="A69" s="219"/>
      <c r="B69" s="84"/>
      <c r="C69" s="79" t="s">
        <v>25</v>
      </c>
      <c r="D69" s="66"/>
      <c r="E69" s="66"/>
      <c r="F69" s="67">
        <f>186.627365808253*E16</f>
        <v>231.4179336</v>
      </c>
      <c r="G69" s="67">
        <f t="shared" ref="G69:G70" si="28">F69/$G$16</f>
        <v>185.1343469</v>
      </c>
      <c r="H69" s="67">
        <f t="shared" ref="H69:H70" si="29">F69/$H$16</f>
        <v>175.3166164</v>
      </c>
      <c r="I69" s="77">
        <v>1.0</v>
      </c>
      <c r="J69" s="68"/>
      <c r="K69" s="70"/>
      <c r="L69" s="199"/>
      <c r="M69" s="205"/>
      <c r="N69" s="206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219"/>
      <c r="B70" s="85"/>
      <c r="C70" s="79" t="s">
        <v>26</v>
      </c>
      <c r="D70" s="66"/>
      <c r="E70" s="66"/>
      <c r="F70" s="67">
        <v>0.0</v>
      </c>
      <c r="G70" s="67">
        <f t="shared" si="28"/>
        <v>0</v>
      </c>
      <c r="H70" s="67">
        <f t="shared" si="29"/>
        <v>0</v>
      </c>
      <c r="I70" s="77">
        <v>2.0</v>
      </c>
      <c r="J70" s="307"/>
      <c r="K70" s="70"/>
      <c r="L70" s="199"/>
      <c r="M70" s="205"/>
      <c r="N70" s="206"/>
      <c r="O70" s="34"/>
      <c r="P70" s="402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219"/>
      <c r="B71" s="83">
        <f>B68+1</f>
        <v>16</v>
      </c>
      <c r="C71" s="208" t="s">
        <v>123</v>
      </c>
      <c r="D71" s="66"/>
      <c r="E71" s="66"/>
      <c r="F71" s="67"/>
      <c r="G71" s="67"/>
      <c r="H71" s="67"/>
      <c r="I71" s="68"/>
      <c r="J71" s="72" t="s">
        <v>25</v>
      </c>
      <c r="K71" s="70">
        <f>IF(J71="YES",IF(J15="2010-2013",H72*$J$14,IF(J15="2014-2021",G72*$J$14,IF(J15="2021-2023",F72*$J$14,0))),0)</f>
        <v>111592.3053</v>
      </c>
      <c r="L71" s="199" t="str">
        <f>AVERAGE(#REF!)</f>
        <v>#REF!</v>
      </c>
      <c r="M71" s="205">
        <v>116020.0</v>
      </c>
      <c r="N71" s="206">
        <f>M71/$M$14</f>
        <v>359.9751784</v>
      </c>
      <c r="O71" s="207" t="s">
        <v>139</v>
      </c>
      <c r="P71" s="73">
        <f>IF(O71="Delapidated",K71*0.6,IF(O71="Poor",K71*0.7,IF(O71="Fair",K71*0.8,IF(O71="Good",K71*0.85,IF(O71="Very Good",K71*0.9,IF(O71="Excellent",K71*1,IF(O71="Not Applicable",K71*1,0)))))))</f>
        <v>78114.61371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customHeight="1">
      <c r="A72" s="219"/>
      <c r="B72" s="84"/>
      <c r="C72" s="79" t="s">
        <v>25</v>
      </c>
      <c r="D72" s="66"/>
      <c r="E72" s="66"/>
      <c r="F72" s="67">
        <f>359.975178405213*E16</f>
        <v>446.3692212</v>
      </c>
      <c r="G72" s="67">
        <f t="shared" ref="G72:G73" si="30">F72/$G$16</f>
        <v>357.095377</v>
      </c>
      <c r="H72" s="67">
        <f t="shared" ref="H72:H73" si="31">F72/$H$16</f>
        <v>338.1585009</v>
      </c>
      <c r="I72" s="77">
        <v>1.0</v>
      </c>
      <c r="J72" s="68"/>
      <c r="K72" s="70"/>
      <c r="L72" s="199"/>
      <c r="M72" s="205"/>
      <c r="N72" s="206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219"/>
      <c r="B73" s="85"/>
      <c r="C73" s="79" t="s">
        <v>26</v>
      </c>
      <c r="D73" s="66"/>
      <c r="E73" s="66"/>
      <c r="F73" s="67">
        <v>0.0</v>
      </c>
      <c r="G73" s="67">
        <f t="shared" si="30"/>
        <v>0</v>
      </c>
      <c r="H73" s="67">
        <f t="shared" si="31"/>
        <v>0</v>
      </c>
      <c r="I73" s="77">
        <v>2.0</v>
      </c>
      <c r="J73" s="68"/>
      <c r="K73" s="70"/>
      <c r="L73" s="199"/>
      <c r="M73" s="205"/>
      <c r="N73" s="206"/>
      <c r="O73" s="34"/>
      <c r="P73" s="402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customHeight="1">
      <c r="A74" s="219"/>
      <c r="B74" s="44"/>
      <c r="C74" s="214" t="s">
        <v>89</v>
      </c>
      <c r="D74" s="66"/>
      <c r="E74" s="66"/>
      <c r="F74" s="67"/>
      <c r="G74" s="67"/>
      <c r="H74" s="67"/>
      <c r="I74" s="77"/>
      <c r="J74" s="227">
        <v>1.0</v>
      </c>
      <c r="K74" s="70"/>
      <c r="L74" s="199"/>
      <c r="M74" s="205"/>
      <c r="N74" s="206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219"/>
      <c r="B75" s="44">
        <f>B71+1</f>
        <v>17</v>
      </c>
      <c r="C75" s="208" t="s">
        <v>68</v>
      </c>
      <c r="D75" s="66"/>
      <c r="E75" s="66"/>
      <c r="F75" s="67"/>
      <c r="G75" s="67"/>
      <c r="H75" s="67"/>
      <c r="I75" s="68"/>
      <c r="J75" s="72" t="s">
        <v>25</v>
      </c>
      <c r="K75" s="58">
        <f>IF(J75="YES",IF(J15="2010-2013",H76*J74,IF(J15="2014-2021",G76*J74,IF(J15="2021-2023",F76*J74,0))),0)</f>
        <v>6500</v>
      </c>
      <c r="L75" s="199"/>
      <c r="M75" s="205"/>
      <c r="N75" s="206"/>
      <c r="O75" s="207" t="s">
        <v>87</v>
      </c>
      <c r="P75" s="73">
        <f>IF(O75="Delapidated",K75*0.6,IF(O75="Poor",K75*0.7,IF(O75="Fair",K75*0.8,IF(O75="Good",K75*0.85,IF(O75="Very Good",K75*0.9,IF(O75="Excellent",K75*1,IF(O75="Not Applicable",K75*1,0)))))))</f>
        <v>3900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219"/>
      <c r="B76" s="219"/>
      <c r="C76" s="79" t="s">
        <v>25</v>
      </c>
      <c r="D76" s="66"/>
      <c r="E76" s="66"/>
      <c r="F76" s="67">
        <v>6500.0</v>
      </c>
      <c r="G76" s="67">
        <f t="shared" ref="G76:G77" si="32">F76/$G$16</f>
        <v>5200</v>
      </c>
      <c r="H76" s="67">
        <f t="shared" ref="H76:H77" si="33">F76/$H$16</f>
        <v>4924.242424</v>
      </c>
      <c r="I76" s="77">
        <v>1.0</v>
      </c>
      <c r="J76" s="322"/>
      <c r="K76" s="58"/>
      <c r="L76" s="199"/>
      <c r="M76" s="205"/>
      <c r="N76" s="206"/>
      <c r="O76" s="17"/>
      <c r="P76" s="99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customHeight="1">
      <c r="A77" s="255"/>
      <c r="B77" s="219"/>
      <c r="C77" s="79" t="s">
        <v>26</v>
      </c>
      <c r="D77" s="97"/>
      <c r="E77" s="97"/>
      <c r="F77" s="98">
        <v>0.0</v>
      </c>
      <c r="G77" s="67">
        <f t="shared" si="32"/>
        <v>0</v>
      </c>
      <c r="H77" s="67">
        <f t="shared" si="33"/>
        <v>0</v>
      </c>
      <c r="I77" s="77">
        <v>2.0</v>
      </c>
      <c r="J77" s="322"/>
      <c r="K77" s="123"/>
      <c r="L77" s="199"/>
      <c r="M77" s="14"/>
      <c r="N77" s="206">
        <f>M77/$M$14</f>
        <v>0</v>
      </c>
      <c r="O77" s="250"/>
      <c r="P77" s="125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0.0" customHeight="1">
      <c r="A78" s="193"/>
      <c r="B78" s="250"/>
      <c r="C78" s="220"/>
      <c r="D78" s="314"/>
      <c r="E78" s="314"/>
      <c r="F78" s="314"/>
      <c r="G78" s="67"/>
      <c r="H78" s="67"/>
      <c r="I78" s="222"/>
      <c r="J78" s="480"/>
      <c r="K78" s="197"/>
      <c r="L78" s="190"/>
      <c r="M78" s="191"/>
      <c r="N78" s="225"/>
      <c r="O78" s="193"/>
      <c r="P78" s="197"/>
      <c r="Q78" s="250"/>
      <c r="R78" s="250"/>
      <c r="S78" s="250"/>
      <c r="T78" s="250"/>
      <c r="U78" s="250"/>
      <c r="V78" s="250"/>
      <c r="W78" s="250"/>
      <c r="X78" s="250"/>
      <c r="Y78" s="250"/>
      <c r="Z78" s="250"/>
    </row>
    <row r="79" ht="30.0" customHeight="1">
      <c r="A79" s="255"/>
      <c r="B79" s="219"/>
      <c r="C79" s="214" t="s">
        <v>69</v>
      </c>
      <c r="D79" s="97"/>
      <c r="E79" s="97"/>
      <c r="F79" s="98"/>
      <c r="G79" s="67"/>
      <c r="H79" s="67"/>
      <c r="I79" s="90"/>
      <c r="J79" s="227">
        <v>45.0</v>
      </c>
      <c r="K79" s="189"/>
      <c r="L79" s="190"/>
      <c r="M79" s="191"/>
      <c r="N79" s="225"/>
      <c r="O79" s="193"/>
      <c r="P79" s="610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0.0" customHeight="1">
      <c r="A80" s="255"/>
      <c r="B80" s="44">
        <v>18.0</v>
      </c>
      <c r="C80" s="74" t="s">
        <v>70</v>
      </c>
      <c r="D80" s="97"/>
      <c r="E80" s="97"/>
      <c r="F80" s="98"/>
      <c r="G80" s="67"/>
      <c r="H80" s="67"/>
      <c r="I80" s="77"/>
      <c r="J80" s="229" t="s">
        <v>25</v>
      </c>
      <c r="K80" s="285">
        <f>IF(J80="YES",IF(J15="2010-2013",H81*J79,IF(J15="2014-2021",G81*J79,IF(J15="2021-2023",F81*J79,0))),0)</f>
        <v>139500</v>
      </c>
      <c r="L80" s="199"/>
      <c r="M80" s="14"/>
      <c r="N80" s="206"/>
      <c r="O80" s="231" t="s">
        <v>82</v>
      </c>
      <c r="P80" s="120">
        <f>IF(O80="Delapidated",K80*0.6,IF(O80="Poor",K80*0.7,IF(O80="Fair",K80*0.8,IF(O80="Good",K80*0.85,IF(O80="Very Good",K80*0.9,IF(O80="Excellent",K80*1,IF(O80="Not Applicable",K80*1,0)))))))</f>
        <v>125550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0.0" customHeight="1">
      <c r="A81" s="255"/>
      <c r="B81" s="219"/>
      <c r="C81" s="79" t="s">
        <v>25</v>
      </c>
      <c r="D81" s="97"/>
      <c r="E81" s="97"/>
      <c r="F81" s="98">
        <f>2500*E16</f>
        <v>3100</v>
      </c>
      <c r="G81" s="67">
        <f>F81/$G$16</f>
        <v>2480</v>
      </c>
      <c r="H81" s="67">
        <f>F81/$H$16</f>
        <v>2348.484848</v>
      </c>
      <c r="I81" s="77"/>
      <c r="J81" s="322"/>
      <c r="K81" s="58"/>
      <c r="L81" s="199"/>
      <c r="M81" s="14"/>
      <c r="N81" s="206"/>
      <c r="O81" s="17"/>
      <c r="P81" s="99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customHeight="1">
      <c r="A82" s="255"/>
      <c r="B82" s="219"/>
      <c r="C82" s="79" t="s">
        <v>26</v>
      </c>
      <c r="D82" s="97"/>
      <c r="E82" s="97"/>
      <c r="F82" s="98"/>
      <c r="G82" s="98"/>
      <c r="H82" s="98"/>
      <c r="I82" s="77"/>
      <c r="J82" s="322"/>
      <c r="K82" s="58"/>
      <c r="L82" s="199"/>
      <c r="M82" s="14"/>
      <c r="N82" s="206"/>
      <c r="O82" s="17"/>
      <c r="P82" s="99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88"/>
      <c r="B83" s="682"/>
      <c r="C83" s="683" t="s">
        <v>71</v>
      </c>
      <c r="D83" s="133"/>
      <c r="E83" s="133"/>
      <c r="F83" s="133">
        <v>4653.11821284518</v>
      </c>
      <c r="G83" s="133"/>
      <c r="H83" s="133"/>
      <c r="I83" s="113"/>
      <c r="J83" s="114"/>
      <c r="K83" s="285"/>
      <c r="L83" s="199" t="str">
        <f>AVERAGE(#REF!)</f>
        <v>#REF!</v>
      </c>
      <c r="M83" s="205">
        <f>SUM(M17:M71)</f>
        <v>1552466.222</v>
      </c>
      <c r="N83" s="206">
        <f t="shared" ref="N83:N87" si="34">M83/$M$14</f>
        <v>4816.835936</v>
      </c>
      <c r="O83" s="34"/>
      <c r="P83" s="73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30.0" customHeight="1">
      <c r="A84" s="17"/>
      <c r="B84" s="684"/>
      <c r="C84" s="685" t="s">
        <v>72</v>
      </c>
      <c r="D84" s="118"/>
      <c r="E84" s="118"/>
      <c r="F84" s="118">
        <v>0.0</v>
      </c>
      <c r="G84" s="118"/>
      <c r="H84" s="118"/>
      <c r="I84" s="686"/>
      <c r="J84" s="686"/>
      <c r="K84" s="687"/>
      <c r="L84" s="199"/>
      <c r="M84" s="14"/>
      <c r="N84" s="206">
        <f t="shared" si="34"/>
        <v>0</v>
      </c>
      <c r="O84" s="17"/>
      <c r="P84" s="99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30.0" customHeight="1">
      <c r="A85" s="17"/>
      <c r="B85" s="688"/>
      <c r="C85" s="689"/>
      <c r="D85" s="127"/>
      <c r="E85" s="127"/>
      <c r="F85" s="127">
        <v>0.0</v>
      </c>
      <c r="G85" s="127"/>
      <c r="H85" s="127"/>
      <c r="I85" s="127"/>
      <c r="J85" s="127"/>
      <c r="K85" s="115"/>
      <c r="L85" s="199"/>
      <c r="M85" s="14"/>
      <c r="N85" s="206">
        <f t="shared" si="34"/>
        <v>0</v>
      </c>
      <c r="O85" s="17"/>
      <c r="P85" s="99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17"/>
      <c r="B86" s="690"/>
      <c r="C86" s="691" t="s">
        <v>71</v>
      </c>
      <c r="D86" s="133"/>
      <c r="E86" s="133"/>
      <c r="F86" s="133">
        <v>4653.11821284518</v>
      </c>
      <c r="G86" s="133"/>
      <c r="H86" s="133"/>
      <c r="I86" s="133"/>
      <c r="J86" s="133"/>
      <c r="K86" s="134"/>
      <c r="L86" s="199" t="str">
        <f>AVERAGE(#REF!)</f>
        <v>#REF!</v>
      </c>
      <c r="M86" s="14">
        <f>SUM(M83:M85)</f>
        <v>1552466.222</v>
      </c>
      <c r="N86" s="206">
        <f t="shared" si="34"/>
        <v>4816.835936</v>
      </c>
      <c r="O86" s="17"/>
      <c r="P86" s="99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customHeight="1">
      <c r="A87" s="17"/>
      <c r="B87" s="692"/>
      <c r="C87" s="693" t="s">
        <v>73</v>
      </c>
      <c r="D87" s="140"/>
      <c r="E87" s="140"/>
      <c r="F87" s="140">
        <v>0.0</v>
      </c>
      <c r="G87" s="140"/>
      <c r="H87" s="140"/>
      <c r="I87" s="140"/>
      <c r="J87" s="140"/>
      <c r="K87" s="141">
        <f>SUM(K17:K82)</f>
        <v>1653165.167</v>
      </c>
      <c r="L87" s="199"/>
      <c r="M87" s="14"/>
      <c r="N87" s="206">
        <f t="shared" si="34"/>
        <v>0</v>
      </c>
      <c r="O87" s="17"/>
      <c r="P87" s="99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customHeight="1">
      <c r="A88" s="17"/>
      <c r="B88" s="142"/>
      <c r="C88" s="88"/>
      <c r="D88" s="143"/>
      <c r="E88" s="143"/>
      <c r="F88" s="143"/>
      <c r="G88" s="143"/>
      <c r="H88" s="143"/>
      <c r="I88" s="143"/>
      <c r="J88" s="143"/>
      <c r="K88" s="666"/>
      <c r="L88" s="199"/>
      <c r="M88" s="117"/>
      <c r="N88" s="118"/>
      <c r="O88" s="17"/>
      <c r="P88" s="694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0.0" customHeight="1">
      <c r="A89" s="250"/>
      <c r="B89" s="340"/>
      <c r="C89" s="250"/>
      <c r="D89" s="342"/>
      <c r="E89" s="342"/>
      <c r="F89" s="342">
        <v>4653.11821284518</v>
      </c>
      <c r="G89" s="342"/>
      <c r="H89" s="342"/>
      <c r="I89" s="342"/>
      <c r="J89" s="144" t="s">
        <v>74</v>
      </c>
      <c r="K89" s="265">
        <f>SUM(K17:K80)</f>
        <v>1653165.167</v>
      </c>
      <c r="L89" s="247" t="str">
        <f t="shared" ref="L89:L90" si="35">AVERAGE(#REF!)</f>
        <v>#REF!</v>
      </c>
      <c r="M89" s="326">
        <f>SUM(M86:M87)</f>
        <v>1552466.222</v>
      </c>
      <c r="N89" s="249">
        <f t="shared" ref="N89:N90" si="36">M89/$M$14</f>
        <v>4816.835936</v>
      </c>
      <c r="O89" s="17"/>
      <c r="P89" s="266">
        <f>SUM(P17:P87)</f>
        <v>1461442.334</v>
      </c>
      <c r="Q89" s="250"/>
      <c r="R89" s="250"/>
      <c r="S89" s="250"/>
      <c r="T89" s="250"/>
      <c r="U89" s="250"/>
      <c r="V89" s="250"/>
      <c r="W89" s="250"/>
      <c r="X89" s="250"/>
      <c r="Y89" s="250"/>
      <c r="Z89" s="250"/>
    </row>
    <row r="90" ht="30.0" customHeight="1">
      <c r="A90" s="147"/>
      <c r="B90" s="119"/>
      <c r="C90" s="17"/>
      <c r="D90" s="148"/>
      <c r="E90" s="148"/>
      <c r="F90" s="148"/>
      <c r="G90" s="148"/>
      <c r="H90" s="148"/>
      <c r="I90" s="148"/>
      <c r="J90" s="144" t="s">
        <v>75</v>
      </c>
      <c r="K90" s="265">
        <f>K89/J14</f>
        <v>6612.660669</v>
      </c>
      <c r="L90" s="199" t="str">
        <f t="shared" si="35"/>
        <v>#REF!</v>
      </c>
      <c r="M90" s="14">
        <f>M89/M14</f>
        <v>4816.835936</v>
      </c>
      <c r="N90" s="206">
        <f t="shared" si="36"/>
        <v>14.94519372</v>
      </c>
      <c r="O90" s="17"/>
      <c r="P90" s="266">
        <f>P89/J14</f>
        <v>5845.769336</v>
      </c>
      <c r="Q90" s="147"/>
      <c r="R90" s="147"/>
      <c r="S90" s="147"/>
      <c r="T90" s="147"/>
      <c r="U90" s="147"/>
      <c r="V90" s="147"/>
      <c r="W90" s="147"/>
      <c r="X90" s="147"/>
      <c r="Y90" s="147"/>
      <c r="Z90" s="147"/>
    </row>
    <row r="91" ht="12.0" customHeight="1">
      <c r="B91" s="1"/>
      <c r="K91" s="2"/>
      <c r="O91" s="17"/>
      <c r="P91" s="261"/>
    </row>
    <row r="92" ht="45.75" customHeight="1">
      <c r="B92" s="1"/>
      <c r="C92" s="574"/>
      <c r="J92" s="144" t="s">
        <v>76</v>
      </c>
      <c r="K92" s="150">
        <f>K89/1.14</f>
        <v>1450144.884</v>
      </c>
      <c r="O92" s="17"/>
      <c r="P92" s="150">
        <f>P89/1.14</f>
        <v>1281966.96</v>
      </c>
    </row>
    <row r="93" ht="12.0" customHeight="1">
      <c r="B93" s="1"/>
      <c r="J93" s="144" t="s">
        <v>77</v>
      </c>
      <c r="K93" s="150">
        <f>K92/J14</f>
        <v>5800.579534</v>
      </c>
      <c r="O93" s="17"/>
      <c r="P93" s="150">
        <f>P92/J14</f>
        <v>5127.867839</v>
      </c>
    </row>
    <row r="94" ht="12.0" customHeight="1">
      <c r="B94" s="1"/>
      <c r="K94" s="2"/>
      <c r="O94" s="147"/>
      <c r="P94" s="2"/>
    </row>
    <row r="95" ht="12.0" customHeight="1">
      <c r="B95" s="1"/>
      <c r="K95" s="2"/>
      <c r="P95" s="2"/>
    </row>
    <row r="96" ht="12.0" customHeight="1">
      <c r="B96" s="1"/>
      <c r="K96" s="2"/>
      <c r="P96" s="2"/>
    </row>
    <row r="97" ht="12.0" customHeight="1">
      <c r="B97" s="1"/>
      <c r="K97" s="2"/>
      <c r="P97" s="2"/>
    </row>
    <row r="98" ht="12.0" customHeight="1">
      <c r="B98" s="1"/>
      <c r="K98" s="2"/>
      <c r="P98" s="2"/>
    </row>
    <row r="99" ht="12.0" customHeight="1">
      <c r="B99" s="1"/>
      <c r="K99" s="2"/>
      <c r="P99" s="2"/>
    </row>
    <row r="100" ht="12.0" customHeight="1">
      <c r="B100" s="1"/>
      <c r="K100" s="2"/>
      <c r="P100" s="2"/>
    </row>
    <row r="101" ht="12.0" customHeight="1">
      <c r="B101" s="1"/>
      <c r="K101" s="2"/>
      <c r="P101" s="2"/>
    </row>
    <row r="102" ht="12.0" customHeight="1">
      <c r="B102" s="1"/>
      <c r="K102" s="2"/>
      <c r="P102" s="2"/>
    </row>
    <row r="103" ht="12.0" customHeight="1">
      <c r="B103" s="1"/>
      <c r="K103" s="2"/>
      <c r="P103" s="2"/>
    </row>
    <row r="104" ht="12.0" customHeight="1">
      <c r="B104" s="1"/>
      <c r="K104" s="2"/>
      <c r="P104" s="2"/>
    </row>
    <row r="105" ht="12.0" customHeight="1">
      <c r="B105" s="1"/>
      <c r="K105" s="2"/>
      <c r="P105" s="2"/>
    </row>
    <row r="106" ht="12.0" customHeight="1">
      <c r="B106" s="1"/>
      <c r="K106" s="2"/>
      <c r="P106" s="2"/>
    </row>
    <row r="107" ht="12.0" customHeight="1">
      <c r="B107" s="1"/>
      <c r="K107" s="2"/>
      <c r="P107" s="2"/>
    </row>
    <row r="108" ht="12.0" customHeight="1">
      <c r="B108" s="1"/>
      <c r="K108" s="2"/>
      <c r="P108" s="2"/>
    </row>
    <row r="109" ht="12.0" customHeight="1">
      <c r="B109" s="1"/>
      <c r="K109" s="2"/>
      <c r="P109" s="2"/>
    </row>
    <row r="110" ht="12.0" customHeight="1">
      <c r="B110" s="1"/>
      <c r="K110" s="2"/>
      <c r="P110" s="2"/>
    </row>
    <row r="111" ht="12.0" customHeight="1">
      <c r="B111" s="1"/>
      <c r="K111" s="2"/>
      <c r="P111" s="2"/>
    </row>
    <row r="112" ht="12.0" customHeight="1">
      <c r="B112" s="1"/>
      <c r="K112" s="2"/>
      <c r="P112" s="2"/>
    </row>
    <row r="113" ht="12.0" customHeight="1">
      <c r="B113" s="1"/>
      <c r="K113" s="2"/>
      <c r="P113" s="2"/>
    </row>
    <row r="114" ht="12.0" customHeight="1">
      <c r="B114" s="1"/>
      <c r="K114" s="2"/>
      <c r="P114" s="2"/>
    </row>
    <row r="115" ht="12.0" customHeight="1">
      <c r="B115" s="1"/>
      <c r="K115" s="2"/>
      <c r="P115" s="2"/>
    </row>
    <row r="116" ht="12.0" customHeight="1">
      <c r="B116" s="1"/>
      <c r="K116" s="2"/>
      <c r="P116" s="2"/>
    </row>
    <row r="117" ht="12.0" customHeight="1">
      <c r="B117" s="1"/>
      <c r="K117" s="2"/>
      <c r="P117" s="2"/>
    </row>
    <row r="118" ht="12.0" customHeight="1">
      <c r="B118" s="1"/>
      <c r="K118" s="2"/>
      <c r="P118" s="2"/>
    </row>
    <row r="119" ht="12.0" customHeight="1">
      <c r="B119" s="1"/>
      <c r="K119" s="2"/>
      <c r="P119" s="2"/>
    </row>
    <row r="120" ht="12.0" customHeight="1">
      <c r="B120" s="1"/>
      <c r="K120" s="2"/>
      <c r="P120" s="2"/>
    </row>
    <row r="121" ht="12.0" customHeight="1">
      <c r="B121" s="1"/>
      <c r="K121" s="2"/>
      <c r="P121" s="2"/>
    </row>
    <row r="122" ht="12.0" customHeight="1">
      <c r="B122" s="1"/>
      <c r="K122" s="2"/>
      <c r="P122" s="2"/>
    </row>
    <row r="123" ht="12.0" customHeight="1">
      <c r="B123" s="1"/>
      <c r="K123" s="2"/>
      <c r="P123" s="2"/>
    </row>
    <row r="124" ht="12.0" customHeight="1">
      <c r="B124" s="1"/>
      <c r="K124" s="2"/>
      <c r="P124" s="2"/>
    </row>
    <row r="125" ht="12.0" customHeight="1">
      <c r="B125" s="1"/>
      <c r="K125" s="2"/>
      <c r="P125" s="2"/>
    </row>
    <row r="126" ht="12.0" customHeight="1">
      <c r="B126" s="1"/>
      <c r="K126" s="2"/>
      <c r="P126" s="2"/>
    </row>
    <row r="127" ht="12.0" customHeight="1">
      <c r="B127" s="1"/>
      <c r="K127" s="2"/>
      <c r="P127" s="2"/>
    </row>
    <row r="128" ht="12.0" customHeight="1">
      <c r="B128" s="1"/>
      <c r="K128" s="2"/>
      <c r="P128" s="2"/>
    </row>
    <row r="129" ht="12.0" customHeight="1">
      <c r="B129" s="1"/>
      <c r="K129" s="2"/>
      <c r="P129" s="2"/>
    </row>
    <row r="130" ht="12.0" customHeight="1">
      <c r="B130" s="1"/>
      <c r="K130" s="2"/>
      <c r="P130" s="2"/>
    </row>
    <row r="131" ht="12.0" customHeight="1">
      <c r="B131" s="1"/>
      <c r="K131" s="2"/>
      <c r="P131" s="2"/>
    </row>
    <row r="132" ht="12.0" customHeight="1">
      <c r="B132" s="1"/>
      <c r="K132" s="2"/>
      <c r="P132" s="2"/>
    </row>
    <row r="133" ht="12.0" customHeight="1">
      <c r="B133" s="1"/>
      <c r="K133" s="2"/>
      <c r="P133" s="2"/>
    </row>
    <row r="134" ht="12.0" customHeight="1">
      <c r="B134" s="1"/>
      <c r="K134" s="2"/>
      <c r="P134" s="2"/>
    </row>
    <row r="135" ht="12.0" customHeight="1">
      <c r="B135" s="1"/>
      <c r="K135" s="2"/>
      <c r="P135" s="2"/>
    </row>
    <row r="136" ht="12.0" customHeight="1">
      <c r="B136" s="1"/>
      <c r="K136" s="2"/>
      <c r="P136" s="2"/>
    </row>
    <row r="137" ht="12.0" customHeight="1">
      <c r="B137" s="1"/>
      <c r="K137" s="2"/>
      <c r="P137" s="2"/>
    </row>
    <row r="138" ht="12.0" customHeight="1">
      <c r="B138" s="1"/>
      <c r="K138" s="2"/>
      <c r="P138" s="2"/>
    </row>
    <row r="139" ht="12.0" customHeight="1">
      <c r="B139" s="1"/>
      <c r="K139" s="2"/>
      <c r="P139" s="2"/>
    </row>
    <row r="140" ht="12.0" customHeight="1">
      <c r="B140" s="1"/>
      <c r="K140" s="2"/>
      <c r="P140" s="2"/>
    </row>
    <row r="141" ht="12.0" customHeight="1">
      <c r="B141" s="1"/>
      <c r="K141" s="2"/>
      <c r="P141" s="2"/>
    </row>
    <row r="142" ht="12.0" customHeight="1">
      <c r="B142" s="1"/>
      <c r="K142" s="2"/>
      <c r="P142" s="2"/>
    </row>
    <row r="143" ht="12.0" customHeight="1">
      <c r="B143" s="1"/>
      <c r="K143" s="2"/>
      <c r="P143" s="2"/>
    </row>
    <row r="144" ht="12.0" customHeight="1">
      <c r="B144" s="1"/>
      <c r="K144" s="2"/>
      <c r="P144" s="2"/>
    </row>
    <row r="145" ht="12.0" customHeight="1">
      <c r="B145" s="1"/>
      <c r="K145" s="2"/>
      <c r="P145" s="2"/>
    </row>
    <row r="146" ht="12.0" customHeight="1">
      <c r="B146" s="1"/>
      <c r="K146" s="2"/>
      <c r="P146" s="2"/>
    </row>
    <row r="147" ht="12.0" customHeight="1">
      <c r="B147" s="1"/>
      <c r="K147" s="2"/>
      <c r="P147" s="2"/>
    </row>
    <row r="148" ht="12.0" customHeight="1">
      <c r="B148" s="1"/>
      <c r="K148" s="2"/>
      <c r="P148" s="2"/>
    </row>
    <row r="149" ht="12.0" customHeight="1">
      <c r="B149" s="1"/>
      <c r="K149" s="2"/>
      <c r="P149" s="2"/>
    </row>
    <row r="150" ht="12.0" customHeight="1">
      <c r="B150" s="1"/>
      <c r="K150" s="2"/>
      <c r="P150" s="2"/>
    </row>
    <row r="151" ht="12.0" customHeight="1">
      <c r="B151" s="1"/>
      <c r="K151" s="2"/>
      <c r="P151" s="2"/>
    </row>
    <row r="152" ht="12.0" customHeight="1">
      <c r="B152" s="1"/>
      <c r="K152" s="2"/>
      <c r="P152" s="2"/>
    </row>
    <row r="153" ht="12.0" customHeight="1">
      <c r="B153" s="1"/>
      <c r="K153" s="2"/>
      <c r="P153" s="2"/>
    </row>
    <row r="154" ht="12.0" customHeight="1">
      <c r="B154" s="1"/>
      <c r="K154" s="2"/>
      <c r="P154" s="2"/>
    </row>
    <row r="155" ht="12.0" customHeight="1">
      <c r="B155" s="1"/>
      <c r="K155" s="2"/>
      <c r="P155" s="2"/>
    </row>
    <row r="156" ht="12.0" customHeight="1">
      <c r="B156" s="1"/>
      <c r="K156" s="2"/>
      <c r="P156" s="2"/>
    </row>
    <row r="157" ht="12.0" customHeight="1">
      <c r="B157" s="1"/>
      <c r="K157" s="2"/>
      <c r="P157" s="2"/>
    </row>
    <row r="158" ht="12.0" customHeight="1">
      <c r="B158" s="1"/>
      <c r="K158" s="2"/>
      <c r="P158" s="2"/>
    </row>
    <row r="159" ht="12.0" customHeight="1">
      <c r="B159" s="1"/>
      <c r="K159" s="2"/>
      <c r="P159" s="2"/>
    </row>
    <row r="160" ht="12.0" customHeight="1">
      <c r="B160" s="1"/>
      <c r="K160" s="2"/>
      <c r="P160" s="2"/>
    </row>
    <row r="161" ht="12.0" customHeight="1">
      <c r="B161" s="1"/>
      <c r="K161" s="2"/>
      <c r="P161" s="2"/>
    </row>
    <row r="162" ht="12.0" customHeight="1">
      <c r="B162" s="1"/>
      <c r="K162" s="2"/>
      <c r="P162" s="2"/>
    </row>
    <row r="163" ht="12.0" customHeight="1">
      <c r="B163" s="1"/>
      <c r="K163" s="2"/>
      <c r="P163" s="2"/>
    </row>
    <row r="164" ht="12.0" customHeight="1">
      <c r="B164" s="1"/>
      <c r="K164" s="2"/>
      <c r="P164" s="2"/>
    </row>
    <row r="165" ht="12.0" customHeight="1">
      <c r="B165" s="1"/>
      <c r="K165" s="2"/>
      <c r="P165" s="2"/>
    </row>
    <row r="166" ht="12.0" customHeight="1">
      <c r="B166" s="1"/>
      <c r="K166" s="2"/>
      <c r="P166" s="2"/>
    </row>
    <row r="167" ht="12.0" customHeight="1">
      <c r="B167" s="1"/>
      <c r="K167" s="2"/>
      <c r="P167" s="2"/>
    </row>
    <row r="168" ht="12.0" customHeight="1">
      <c r="B168" s="1"/>
      <c r="K168" s="2"/>
      <c r="P168" s="2"/>
    </row>
    <row r="169" ht="12.0" customHeight="1">
      <c r="B169" s="1"/>
      <c r="K169" s="2"/>
      <c r="P169" s="2"/>
    </row>
    <row r="170" ht="12.0" customHeight="1">
      <c r="B170" s="1"/>
      <c r="K170" s="2"/>
      <c r="P170" s="2"/>
    </row>
    <row r="171" ht="12.0" customHeight="1">
      <c r="B171" s="1"/>
      <c r="K171" s="2"/>
      <c r="P171" s="2"/>
    </row>
    <row r="172" ht="12.0" customHeight="1">
      <c r="B172" s="1"/>
      <c r="K172" s="2"/>
      <c r="P172" s="2"/>
    </row>
    <row r="173" ht="12.0" customHeight="1">
      <c r="B173" s="1"/>
      <c r="K173" s="2"/>
      <c r="P173" s="2"/>
    </row>
    <row r="174" ht="12.0" customHeight="1">
      <c r="B174" s="1"/>
      <c r="K174" s="2"/>
      <c r="P174" s="2"/>
    </row>
    <row r="175" ht="12.0" customHeight="1">
      <c r="B175" s="1"/>
      <c r="K175" s="2"/>
      <c r="P175" s="2"/>
    </row>
    <row r="176" ht="12.0" customHeight="1">
      <c r="B176" s="1"/>
      <c r="K176" s="2"/>
      <c r="P176" s="2"/>
    </row>
    <row r="177" ht="12.0" customHeight="1">
      <c r="B177" s="1"/>
      <c r="K177" s="2"/>
      <c r="P177" s="2"/>
    </row>
    <row r="178" ht="12.0" customHeight="1">
      <c r="B178" s="1"/>
      <c r="K178" s="2"/>
      <c r="P178" s="2"/>
    </row>
    <row r="179" ht="12.0" customHeight="1">
      <c r="B179" s="1"/>
      <c r="K179" s="2"/>
      <c r="P179" s="2"/>
    </row>
    <row r="180" ht="12.0" customHeight="1">
      <c r="B180" s="1"/>
      <c r="K180" s="2"/>
      <c r="P180" s="2"/>
    </row>
    <row r="181" ht="12.0" customHeight="1">
      <c r="B181" s="1"/>
      <c r="K181" s="2"/>
      <c r="P181" s="2"/>
    </row>
    <row r="182" ht="12.0" customHeight="1">
      <c r="B182" s="1"/>
      <c r="K182" s="2"/>
      <c r="P182" s="2"/>
    </row>
    <row r="183" ht="12.0" customHeight="1">
      <c r="B183" s="1"/>
      <c r="K183" s="2"/>
      <c r="P183" s="2"/>
    </row>
    <row r="184" ht="12.0" customHeight="1">
      <c r="B184" s="1"/>
      <c r="K184" s="2"/>
      <c r="P184" s="2"/>
    </row>
    <row r="185" ht="12.0" customHeight="1">
      <c r="B185" s="1"/>
      <c r="K185" s="2"/>
      <c r="P185" s="2"/>
    </row>
    <row r="186" ht="12.0" customHeight="1">
      <c r="B186" s="1"/>
      <c r="K186" s="2"/>
      <c r="P186" s="2"/>
    </row>
    <row r="187" ht="12.0" customHeight="1">
      <c r="B187" s="1"/>
      <c r="K187" s="2"/>
      <c r="P187" s="2"/>
    </row>
    <row r="188" ht="12.0" customHeight="1">
      <c r="B188" s="1"/>
      <c r="K188" s="2"/>
      <c r="P188" s="2"/>
    </row>
    <row r="189" ht="12.0" customHeight="1">
      <c r="B189" s="1"/>
      <c r="K189" s="2"/>
      <c r="P189" s="2"/>
    </row>
    <row r="190" ht="12.0" customHeight="1">
      <c r="B190" s="1"/>
      <c r="K190" s="2"/>
      <c r="P190" s="2"/>
    </row>
    <row r="191" ht="12.0" customHeight="1">
      <c r="B191" s="1"/>
      <c r="K191" s="2"/>
      <c r="P191" s="2"/>
    </row>
    <row r="192" ht="12.0" customHeight="1">
      <c r="B192" s="1"/>
      <c r="K192" s="2"/>
      <c r="P192" s="2"/>
    </row>
    <row r="193" ht="12.0" customHeight="1">
      <c r="B193" s="1"/>
      <c r="K193" s="2"/>
      <c r="P193" s="2"/>
    </row>
    <row r="194" ht="12.0" customHeight="1">
      <c r="B194" s="1"/>
      <c r="K194" s="2"/>
      <c r="P194" s="2"/>
    </row>
    <row r="195" ht="12.0" customHeight="1">
      <c r="B195" s="1"/>
      <c r="K195" s="2"/>
      <c r="P195" s="2"/>
    </row>
    <row r="196" ht="12.0" customHeight="1">
      <c r="B196" s="1"/>
      <c r="K196" s="2"/>
      <c r="P196" s="2"/>
    </row>
    <row r="197" ht="12.0" customHeight="1">
      <c r="B197" s="1"/>
      <c r="K197" s="2"/>
      <c r="P197" s="2"/>
    </row>
    <row r="198" ht="12.0" customHeight="1">
      <c r="B198" s="1"/>
      <c r="K198" s="2"/>
      <c r="P198" s="2"/>
    </row>
    <row r="199" ht="12.0" customHeight="1">
      <c r="B199" s="1"/>
      <c r="K199" s="2"/>
      <c r="P199" s="2"/>
    </row>
    <row r="200" ht="12.0" customHeight="1">
      <c r="B200" s="1"/>
      <c r="K200" s="2"/>
      <c r="P200" s="2"/>
    </row>
    <row r="201" ht="12.0" customHeight="1">
      <c r="B201" s="1"/>
      <c r="K201" s="2"/>
      <c r="P201" s="2"/>
    </row>
    <row r="202" ht="12.0" customHeight="1">
      <c r="B202" s="1"/>
      <c r="K202" s="2"/>
      <c r="P202" s="2"/>
    </row>
    <row r="203" ht="12.0" customHeight="1">
      <c r="B203" s="1"/>
      <c r="K203" s="2"/>
      <c r="P203" s="2"/>
    </row>
    <row r="204" ht="12.0" customHeight="1">
      <c r="B204" s="1"/>
      <c r="K204" s="2"/>
      <c r="P204" s="2"/>
    </row>
    <row r="205" ht="12.0" customHeight="1">
      <c r="B205" s="1"/>
      <c r="K205" s="2"/>
      <c r="P205" s="2"/>
    </row>
    <row r="206" ht="12.0" customHeight="1">
      <c r="B206" s="1"/>
      <c r="K206" s="2"/>
      <c r="P206" s="2"/>
    </row>
    <row r="207" ht="12.0" customHeight="1">
      <c r="B207" s="1"/>
      <c r="K207" s="2"/>
      <c r="P207" s="2"/>
    </row>
    <row r="208" ht="12.0" customHeight="1">
      <c r="B208" s="1"/>
      <c r="K208" s="2"/>
      <c r="P208" s="2"/>
    </row>
    <row r="209" ht="12.0" customHeight="1">
      <c r="B209" s="1"/>
      <c r="K209" s="2"/>
      <c r="P209" s="2"/>
    </row>
    <row r="210" ht="12.0" customHeight="1">
      <c r="B210" s="1"/>
      <c r="K210" s="2"/>
      <c r="P210" s="2"/>
    </row>
    <row r="211" ht="12.0" customHeight="1">
      <c r="B211" s="1"/>
      <c r="K211" s="2"/>
      <c r="P211" s="2"/>
    </row>
    <row r="212" ht="12.0" customHeight="1">
      <c r="B212" s="1"/>
      <c r="K212" s="2"/>
      <c r="P212" s="2"/>
    </row>
    <row r="213" ht="12.0" customHeight="1">
      <c r="B213" s="1"/>
      <c r="K213" s="2"/>
      <c r="P213" s="2"/>
    </row>
    <row r="214" ht="12.0" customHeight="1">
      <c r="B214" s="1"/>
      <c r="K214" s="2"/>
      <c r="P214" s="2"/>
    </row>
    <row r="215" ht="12.0" customHeight="1">
      <c r="B215" s="1"/>
      <c r="K215" s="2"/>
      <c r="P215" s="2"/>
    </row>
    <row r="216" ht="12.0" customHeight="1">
      <c r="B216" s="1"/>
      <c r="K216" s="2"/>
      <c r="P216" s="2"/>
    </row>
    <row r="217" ht="12.0" customHeight="1">
      <c r="B217" s="1"/>
      <c r="K217" s="2"/>
      <c r="P217" s="2"/>
    </row>
    <row r="218" ht="12.0" customHeight="1">
      <c r="B218" s="1"/>
      <c r="K218" s="2"/>
      <c r="P218" s="2"/>
    </row>
    <row r="219" ht="12.0" customHeight="1">
      <c r="B219" s="1"/>
      <c r="K219" s="2"/>
      <c r="P219" s="2"/>
    </row>
    <row r="220" ht="12.0" customHeight="1">
      <c r="B220" s="1"/>
      <c r="K220" s="2"/>
      <c r="P220" s="2"/>
    </row>
    <row r="221" ht="12.0" customHeight="1">
      <c r="B221" s="1"/>
      <c r="K221" s="2"/>
      <c r="P221" s="2"/>
    </row>
    <row r="222" ht="12.0" customHeight="1">
      <c r="B222" s="1"/>
      <c r="K222" s="2"/>
      <c r="P222" s="2"/>
    </row>
    <row r="223" ht="12.0" customHeight="1">
      <c r="B223" s="1"/>
      <c r="K223" s="2"/>
      <c r="P223" s="2"/>
    </row>
    <row r="224" ht="12.0" customHeight="1">
      <c r="B224" s="1"/>
      <c r="K224" s="2"/>
      <c r="P224" s="2"/>
    </row>
    <row r="225" ht="12.0" customHeight="1">
      <c r="B225" s="1"/>
      <c r="K225" s="2"/>
      <c r="P225" s="2"/>
    </row>
    <row r="226" ht="12.0" customHeight="1">
      <c r="B226" s="1"/>
      <c r="K226" s="2"/>
      <c r="P226" s="2"/>
    </row>
    <row r="227" ht="12.0" customHeight="1">
      <c r="B227" s="1"/>
      <c r="K227" s="2"/>
      <c r="P227" s="2"/>
    </row>
    <row r="228" ht="12.0" customHeight="1">
      <c r="B228" s="1"/>
      <c r="K228" s="2"/>
      <c r="P228" s="2"/>
    </row>
    <row r="229" ht="12.0" customHeight="1">
      <c r="B229" s="1"/>
      <c r="K229" s="2"/>
      <c r="P229" s="2"/>
    </row>
    <row r="230" ht="12.0" customHeight="1">
      <c r="B230" s="1"/>
      <c r="K230" s="2"/>
      <c r="P230" s="2"/>
    </row>
    <row r="231" ht="12.0" customHeight="1">
      <c r="B231" s="1"/>
      <c r="K231" s="2"/>
      <c r="P231" s="2"/>
    </row>
    <row r="232" ht="12.0" customHeight="1">
      <c r="B232" s="1"/>
      <c r="K232" s="2"/>
      <c r="P232" s="2"/>
    </row>
    <row r="233" ht="12.0" customHeight="1">
      <c r="B233" s="1"/>
      <c r="K233" s="2"/>
      <c r="P233" s="2"/>
    </row>
    <row r="234" ht="12.0" customHeight="1">
      <c r="B234" s="1"/>
      <c r="K234" s="2"/>
      <c r="P234" s="2"/>
    </row>
    <row r="235" ht="12.0" customHeight="1">
      <c r="B235" s="1"/>
      <c r="K235" s="2"/>
      <c r="P235" s="2"/>
    </row>
    <row r="236" ht="12.0" customHeight="1">
      <c r="B236" s="1"/>
      <c r="K236" s="2"/>
      <c r="P236" s="2"/>
    </row>
    <row r="237" ht="12.0" customHeight="1">
      <c r="B237" s="1"/>
      <c r="K237" s="2"/>
      <c r="P237" s="2"/>
    </row>
    <row r="238" ht="12.0" customHeight="1">
      <c r="B238" s="1"/>
      <c r="K238" s="2"/>
      <c r="P238" s="2"/>
    </row>
    <row r="239" ht="12.0" customHeight="1">
      <c r="B239" s="1"/>
      <c r="K239" s="2"/>
      <c r="P239" s="2"/>
    </row>
    <row r="240" ht="12.0" customHeight="1">
      <c r="B240" s="1"/>
      <c r="K240" s="2"/>
      <c r="P240" s="2"/>
    </row>
    <row r="241" ht="12.0" customHeight="1">
      <c r="B241" s="1"/>
      <c r="K241" s="2"/>
      <c r="P241" s="2"/>
    </row>
    <row r="242" ht="12.0" customHeight="1">
      <c r="B242" s="1"/>
      <c r="K242" s="2"/>
      <c r="P242" s="2"/>
    </row>
    <row r="243" ht="12.0" customHeight="1">
      <c r="B243" s="1"/>
      <c r="K243" s="2"/>
      <c r="P243" s="2"/>
    </row>
    <row r="244" ht="12.0" customHeight="1">
      <c r="B244" s="1"/>
      <c r="K244" s="2"/>
      <c r="P244" s="2"/>
    </row>
    <row r="245" ht="12.0" customHeight="1">
      <c r="B245" s="1"/>
      <c r="K245" s="2"/>
      <c r="P245" s="2"/>
    </row>
    <row r="246" ht="12.0" customHeight="1">
      <c r="B246" s="1"/>
      <c r="K246" s="2"/>
      <c r="P246" s="2"/>
    </row>
    <row r="247" ht="12.0" customHeight="1">
      <c r="B247" s="1"/>
      <c r="K247" s="2"/>
      <c r="P247" s="2"/>
    </row>
    <row r="248" ht="12.0" customHeight="1">
      <c r="B248" s="1"/>
      <c r="K248" s="2"/>
      <c r="P248" s="2"/>
    </row>
    <row r="249" ht="12.0" customHeight="1">
      <c r="B249" s="1"/>
      <c r="K249" s="2"/>
      <c r="P249" s="2"/>
    </row>
    <row r="250" ht="12.0" customHeight="1">
      <c r="B250" s="1"/>
      <c r="K250" s="2"/>
      <c r="P250" s="2"/>
    </row>
    <row r="251" ht="12.0" customHeight="1">
      <c r="B251" s="1"/>
      <c r="K251" s="2"/>
      <c r="P251" s="2"/>
    </row>
    <row r="252" ht="12.0" customHeight="1">
      <c r="B252" s="1"/>
      <c r="K252" s="2"/>
      <c r="P252" s="2"/>
    </row>
    <row r="253" ht="12.0" customHeight="1">
      <c r="B253" s="1"/>
      <c r="K253" s="2"/>
      <c r="P253" s="2"/>
    </row>
    <row r="254" ht="12.0" customHeight="1">
      <c r="B254" s="1"/>
      <c r="K254" s="2"/>
      <c r="P254" s="2"/>
    </row>
    <row r="255" ht="12.0" customHeight="1">
      <c r="B255" s="1"/>
      <c r="K255" s="2"/>
      <c r="P255" s="2"/>
    </row>
    <row r="256" ht="12.0" customHeight="1">
      <c r="B256" s="1"/>
      <c r="K256" s="2"/>
      <c r="P256" s="2"/>
    </row>
    <row r="257" ht="12.0" customHeight="1">
      <c r="B257" s="1"/>
      <c r="K257" s="2"/>
      <c r="P257" s="2"/>
    </row>
    <row r="258" ht="12.0" customHeight="1">
      <c r="B258" s="1"/>
      <c r="K258" s="2"/>
      <c r="P258" s="2"/>
    </row>
    <row r="259" ht="12.0" customHeight="1">
      <c r="B259" s="1"/>
      <c r="K259" s="2"/>
      <c r="P259" s="2"/>
    </row>
    <row r="260" ht="12.0" customHeight="1">
      <c r="B260" s="1"/>
      <c r="K260" s="2"/>
      <c r="P260" s="2"/>
    </row>
    <row r="261" ht="12.0" customHeight="1">
      <c r="B261" s="1"/>
      <c r="K261" s="2"/>
      <c r="P261" s="2"/>
    </row>
    <row r="262" ht="12.0" customHeight="1">
      <c r="B262" s="1"/>
      <c r="K262" s="2"/>
      <c r="P262" s="2"/>
    </row>
    <row r="263" ht="12.0" customHeight="1">
      <c r="B263" s="1"/>
      <c r="K263" s="2"/>
      <c r="P263" s="2"/>
    </row>
    <row r="264" ht="12.0" customHeight="1">
      <c r="B264" s="1"/>
      <c r="K264" s="2"/>
      <c r="P264" s="2"/>
    </row>
    <row r="265" ht="12.0" customHeight="1">
      <c r="B265" s="1"/>
      <c r="K265" s="2"/>
      <c r="P265" s="2"/>
    </row>
    <row r="266" ht="12.0" customHeight="1">
      <c r="B266" s="1"/>
      <c r="K266" s="2"/>
      <c r="P266" s="2"/>
    </row>
    <row r="267" ht="12.0" customHeight="1">
      <c r="B267" s="1"/>
      <c r="K267" s="2"/>
      <c r="P267" s="2"/>
    </row>
    <row r="268" ht="12.0" customHeight="1">
      <c r="B268" s="1"/>
      <c r="K268" s="2"/>
      <c r="P268" s="2"/>
    </row>
    <row r="269" ht="12.0" customHeight="1">
      <c r="B269" s="1"/>
      <c r="K269" s="2"/>
      <c r="P269" s="2"/>
    </row>
    <row r="270" ht="12.0" customHeight="1">
      <c r="B270" s="1"/>
      <c r="K270" s="2"/>
      <c r="P270" s="2"/>
    </row>
    <row r="271" ht="12.0" customHeight="1">
      <c r="B271" s="1"/>
      <c r="K271" s="2"/>
      <c r="P271" s="2"/>
    </row>
    <row r="272" ht="12.0" customHeight="1">
      <c r="B272" s="1"/>
      <c r="K272" s="2"/>
      <c r="P272" s="2"/>
    </row>
    <row r="273" ht="12.0" customHeight="1">
      <c r="B273" s="1"/>
      <c r="K273" s="2"/>
      <c r="P273" s="2"/>
    </row>
    <row r="274" ht="12.0" customHeight="1">
      <c r="B274" s="1"/>
      <c r="K274" s="2"/>
      <c r="P274" s="2"/>
    </row>
    <row r="275" ht="12.0" customHeight="1">
      <c r="B275" s="1"/>
      <c r="K275" s="2"/>
      <c r="P275" s="2"/>
    </row>
    <row r="276" ht="12.0" customHeight="1">
      <c r="B276" s="1"/>
      <c r="K276" s="2"/>
      <c r="P276" s="2"/>
    </row>
    <row r="277" ht="12.0" customHeight="1">
      <c r="B277" s="1"/>
      <c r="K277" s="2"/>
      <c r="P277" s="2"/>
    </row>
    <row r="278" ht="12.0" customHeight="1">
      <c r="B278" s="1"/>
      <c r="K278" s="2"/>
      <c r="P278" s="2"/>
    </row>
    <row r="279" ht="12.0" customHeight="1">
      <c r="B279" s="1"/>
      <c r="K279" s="2"/>
      <c r="P279" s="2"/>
    </row>
    <row r="280" ht="12.0" customHeight="1">
      <c r="B280" s="1"/>
      <c r="K280" s="2"/>
      <c r="P280" s="2"/>
    </row>
    <row r="281" ht="12.0" customHeight="1">
      <c r="B281" s="1"/>
      <c r="K281" s="2"/>
      <c r="P281" s="2"/>
    </row>
    <row r="282" ht="12.0" customHeight="1">
      <c r="B282" s="1"/>
      <c r="K282" s="2"/>
      <c r="P282" s="2"/>
    </row>
    <row r="283" ht="12.0" customHeight="1">
      <c r="B283" s="1"/>
      <c r="K283" s="2"/>
      <c r="P283" s="2"/>
    </row>
    <row r="284" ht="12.0" customHeight="1">
      <c r="B284" s="1"/>
      <c r="K284" s="2"/>
      <c r="P284" s="2"/>
    </row>
    <row r="285" ht="12.0" customHeight="1">
      <c r="B285" s="1"/>
      <c r="K285" s="2"/>
      <c r="P285" s="2"/>
    </row>
    <row r="286" ht="12.0" customHeight="1">
      <c r="B286" s="1"/>
      <c r="K286" s="2"/>
      <c r="P286" s="2"/>
    </row>
    <row r="287" ht="12.0" customHeight="1">
      <c r="B287" s="1"/>
      <c r="K287" s="2"/>
      <c r="P287" s="2"/>
    </row>
    <row r="288" ht="12.0" customHeight="1">
      <c r="B288" s="1"/>
      <c r="K288" s="2"/>
      <c r="P288" s="2"/>
    </row>
    <row r="289" ht="12.0" customHeight="1">
      <c r="B289" s="1"/>
      <c r="K289" s="2"/>
      <c r="P289" s="2"/>
    </row>
    <row r="290" ht="12.0" customHeight="1">
      <c r="B290" s="1"/>
      <c r="K290" s="2"/>
      <c r="P290" s="2"/>
    </row>
    <row r="291" ht="12.0" customHeight="1">
      <c r="B291" s="1"/>
      <c r="K291" s="2"/>
      <c r="P291" s="2"/>
    </row>
    <row r="292" ht="12.0" customHeight="1">
      <c r="B292" s="1"/>
      <c r="K292" s="2"/>
      <c r="P292" s="2"/>
    </row>
    <row r="293" ht="12.0" customHeight="1">
      <c r="B293" s="1"/>
      <c r="K293" s="2"/>
      <c r="P293" s="2"/>
    </row>
    <row r="294" ht="12.0" customHeight="1">
      <c r="B294" s="1"/>
      <c r="K294" s="2"/>
      <c r="P294" s="2"/>
    </row>
    <row r="295" ht="12.0" customHeight="1">
      <c r="B295" s="1"/>
      <c r="K295" s="2"/>
      <c r="P295" s="2"/>
    </row>
    <row r="296" ht="12.0" customHeight="1">
      <c r="B296" s="1"/>
      <c r="K296" s="2"/>
      <c r="P296" s="2"/>
    </row>
    <row r="297" ht="12.0" customHeight="1">
      <c r="B297" s="1"/>
      <c r="K297" s="2"/>
      <c r="P297" s="2"/>
    </row>
    <row r="298" ht="12.0" customHeight="1">
      <c r="B298" s="1"/>
      <c r="K298" s="2"/>
      <c r="P298" s="2"/>
    </row>
    <row r="299" ht="12.0" customHeight="1">
      <c r="B299" s="1"/>
      <c r="K299" s="2"/>
      <c r="P299" s="2"/>
    </row>
    <row r="300" ht="12.0" customHeight="1">
      <c r="B300" s="1"/>
      <c r="K300" s="2"/>
      <c r="P300" s="2"/>
    </row>
    <row r="301" ht="12.0" customHeight="1">
      <c r="B301" s="1"/>
      <c r="K301" s="2"/>
      <c r="P301" s="2"/>
    </row>
    <row r="302" ht="12.0" customHeight="1">
      <c r="B302" s="1"/>
      <c r="K302" s="2"/>
      <c r="P302" s="2"/>
    </row>
    <row r="303" ht="12.0" customHeight="1">
      <c r="B303" s="1"/>
      <c r="K303" s="2"/>
      <c r="P303" s="2"/>
    </row>
    <row r="304" ht="12.0" customHeight="1">
      <c r="B304" s="1"/>
      <c r="K304" s="2"/>
      <c r="P304" s="2"/>
    </row>
    <row r="305" ht="12.0" customHeight="1">
      <c r="B305" s="1"/>
      <c r="K305" s="2"/>
      <c r="P305" s="2"/>
    </row>
    <row r="306" ht="12.0" customHeight="1">
      <c r="B306" s="1"/>
      <c r="K306" s="2"/>
      <c r="P306" s="2"/>
    </row>
    <row r="307" ht="12.0" customHeight="1">
      <c r="B307" s="1"/>
      <c r="K307" s="2"/>
      <c r="P307" s="2"/>
    </row>
    <row r="308" ht="12.0" customHeight="1">
      <c r="B308" s="1"/>
      <c r="K308" s="2"/>
      <c r="P308" s="2"/>
    </row>
    <row r="309" ht="12.0" customHeight="1">
      <c r="B309" s="1"/>
      <c r="K309" s="2"/>
      <c r="P309" s="2"/>
    </row>
    <row r="310" ht="12.0" customHeight="1">
      <c r="B310" s="1"/>
      <c r="K310" s="2"/>
      <c r="P310" s="2"/>
    </row>
    <row r="311" ht="12.0" customHeight="1">
      <c r="B311" s="1"/>
      <c r="K311" s="2"/>
      <c r="P311" s="2"/>
    </row>
    <row r="312" ht="12.0" customHeight="1">
      <c r="B312" s="1"/>
      <c r="K312" s="2"/>
      <c r="P312" s="2"/>
    </row>
    <row r="313" ht="12.0" customHeight="1">
      <c r="B313" s="1"/>
      <c r="K313" s="2"/>
      <c r="P313" s="2"/>
    </row>
    <row r="314" ht="12.0" customHeight="1">
      <c r="B314" s="1"/>
      <c r="K314" s="2"/>
      <c r="P314" s="2"/>
    </row>
    <row r="315" ht="12.0" customHeight="1">
      <c r="B315" s="1"/>
      <c r="K315" s="2"/>
      <c r="P315" s="2"/>
    </row>
    <row r="316" ht="12.0" customHeight="1">
      <c r="B316" s="1"/>
      <c r="K316" s="2"/>
      <c r="P316" s="2"/>
    </row>
    <row r="317" ht="12.0" customHeight="1">
      <c r="B317" s="1"/>
      <c r="K317" s="2"/>
      <c r="P317" s="2"/>
    </row>
    <row r="318" ht="12.0" customHeight="1">
      <c r="B318" s="1"/>
      <c r="K318" s="2"/>
      <c r="P318" s="2"/>
    </row>
    <row r="319" ht="12.0" customHeight="1">
      <c r="B319" s="1"/>
      <c r="K319" s="2"/>
      <c r="P319" s="2"/>
    </row>
    <row r="320" ht="12.0" customHeight="1">
      <c r="B320" s="1"/>
      <c r="K320" s="2"/>
      <c r="P320" s="2"/>
    </row>
    <row r="321" ht="12.0" customHeight="1">
      <c r="B321" s="1"/>
      <c r="K321" s="2"/>
      <c r="P321" s="2"/>
    </row>
    <row r="322" ht="12.0" customHeight="1">
      <c r="B322" s="1"/>
      <c r="K322" s="2"/>
      <c r="P322" s="2"/>
    </row>
    <row r="323" ht="12.0" customHeight="1">
      <c r="B323" s="1"/>
      <c r="K323" s="2"/>
      <c r="P323" s="2"/>
    </row>
    <row r="324" ht="12.0" customHeight="1">
      <c r="B324" s="1"/>
      <c r="K324" s="2"/>
      <c r="P324" s="2"/>
    </row>
    <row r="325" ht="12.0" customHeight="1">
      <c r="B325" s="1"/>
      <c r="K325" s="2"/>
      <c r="P325" s="2"/>
    </row>
    <row r="326" ht="12.0" customHeight="1">
      <c r="B326" s="1"/>
      <c r="K326" s="2"/>
      <c r="P326" s="2"/>
    </row>
    <row r="327" ht="12.0" customHeight="1">
      <c r="B327" s="1"/>
      <c r="K327" s="2"/>
      <c r="P327" s="2"/>
    </row>
    <row r="328" ht="12.0" customHeight="1">
      <c r="B328" s="1"/>
      <c r="K328" s="2"/>
      <c r="P328" s="2"/>
    </row>
    <row r="329" ht="12.0" customHeight="1">
      <c r="B329" s="1"/>
      <c r="K329" s="2"/>
      <c r="P329" s="2"/>
    </row>
    <row r="330" ht="12.0" customHeight="1">
      <c r="B330" s="1"/>
      <c r="K330" s="2"/>
      <c r="P330" s="2"/>
    </row>
    <row r="331" ht="12.0" customHeight="1">
      <c r="B331" s="1"/>
      <c r="K331" s="2"/>
      <c r="P331" s="2"/>
    </row>
    <row r="332" ht="12.0" customHeight="1">
      <c r="B332" s="1"/>
      <c r="K332" s="2"/>
      <c r="P332" s="2"/>
    </row>
    <row r="333" ht="12.0" customHeight="1">
      <c r="B333" s="1"/>
      <c r="K333" s="2"/>
      <c r="P333" s="2"/>
    </row>
    <row r="334" ht="12.0" customHeight="1">
      <c r="B334" s="1"/>
      <c r="K334" s="2"/>
      <c r="P334" s="2"/>
    </row>
    <row r="335" ht="12.0" customHeight="1">
      <c r="B335" s="1"/>
      <c r="K335" s="2"/>
      <c r="P335" s="2"/>
    </row>
    <row r="336" ht="12.0" customHeight="1">
      <c r="B336" s="1"/>
      <c r="K336" s="2"/>
      <c r="P336" s="2"/>
    </row>
    <row r="337" ht="12.0" customHeight="1">
      <c r="B337" s="1"/>
      <c r="K337" s="2"/>
      <c r="P337" s="2"/>
    </row>
    <row r="338" ht="12.0" customHeight="1">
      <c r="B338" s="1"/>
      <c r="K338" s="2"/>
      <c r="P338" s="2"/>
    </row>
    <row r="339" ht="12.0" customHeight="1">
      <c r="B339" s="1"/>
      <c r="K339" s="2"/>
      <c r="P339" s="2"/>
    </row>
    <row r="340" ht="12.0" customHeight="1">
      <c r="B340" s="1"/>
      <c r="K340" s="2"/>
      <c r="P340" s="2"/>
    </row>
    <row r="341" ht="12.0" customHeight="1">
      <c r="B341" s="1"/>
      <c r="K341" s="2"/>
      <c r="P341" s="2"/>
    </row>
    <row r="342" ht="12.0" customHeight="1">
      <c r="B342" s="1"/>
      <c r="K342" s="2"/>
      <c r="P342" s="2"/>
    </row>
    <row r="343" ht="12.0" customHeight="1">
      <c r="B343" s="1"/>
      <c r="K343" s="2"/>
      <c r="P343" s="2"/>
    </row>
    <row r="344" ht="12.0" customHeight="1">
      <c r="B344" s="1"/>
      <c r="K344" s="2"/>
      <c r="P344" s="2"/>
    </row>
    <row r="345" ht="12.0" customHeight="1">
      <c r="B345" s="1"/>
      <c r="K345" s="2"/>
      <c r="P345" s="2"/>
    </row>
    <row r="346" ht="12.0" customHeight="1">
      <c r="B346" s="1"/>
      <c r="K346" s="2"/>
      <c r="P346" s="2"/>
    </row>
    <row r="347" ht="12.0" customHeight="1">
      <c r="B347" s="1"/>
      <c r="K347" s="2"/>
      <c r="P347" s="2"/>
    </row>
    <row r="348" ht="12.0" customHeight="1">
      <c r="B348" s="1"/>
      <c r="K348" s="2"/>
      <c r="P348" s="2"/>
    </row>
    <row r="349" ht="12.0" customHeight="1">
      <c r="B349" s="1"/>
      <c r="K349" s="2"/>
      <c r="P349" s="2"/>
    </row>
    <row r="350" ht="12.0" customHeight="1">
      <c r="B350" s="1"/>
      <c r="K350" s="2"/>
      <c r="P350" s="2"/>
    </row>
    <row r="351" ht="12.0" customHeight="1">
      <c r="B351" s="1"/>
      <c r="K351" s="2"/>
      <c r="P351" s="2"/>
    </row>
    <row r="352" ht="12.0" customHeight="1">
      <c r="B352" s="1"/>
      <c r="K352" s="2"/>
      <c r="P352" s="2"/>
    </row>
    <row r="353" ht="12.0" customHeight="1">
      <c r="B353" s="1"/>
      <c r="K353" s="2"/>
      <c r="P353" s="2"/>
    </row>
    <row r="354" ht="12.0" customHeight="1">
      <c r="B354" s="1"/>
      <c r="K354" s="2"/>
      <c r="P354" s="2"/>
    </row>
    <row r="355" ht="12.0" customHeight="1">
      <c r="B355" s="1"/>
      <c r="K355" s="2"/>
      <c r="P355" s="2"/>
    </row>
    <row r="356" ht="12.0" customHeight="1">
      <c r="B356" s="1"/>
      <c r="K356" s="2"/>
      <c r="P356" s="2"/>
    </row>
    <row r="357" ht="12.0" customHeight="1">
      <c r="B357" s="1"/>
      <c r="K357" s="2"/>
      <c r="P357" s="2"/>
    </row>
    <row r="358" ht="12.0" customHeight="1">
      <c r="B358" s="1"/>
      <c r="K358" s="2"/>
      <c r="P358" s="2"/>
    </row>
    <row r="359" ht="12.0" customHeight="1">
      <c r="B359" s="1"/>
      <c r="K359" s="2"/>
      <c r="P359" s="2"/>
    </row>
    <row r="360" ht="12.0" customHeight="1">
      <c r="B360" s="1"/>
      <c r="K360" s="2"/>
      <c r="P360" s="2"/>
    </row>
    <row r="361" ht="12.0" customHeight="1">
      <c r="B361" s="1"/>
      <c r="K361" s="2"/>
      <c r="P361" s="2"/>
    </row>
    <row r="362" ht="12.0" customHeight="1">
      <c r="B362" s="1"/>
      <c r="K362" s="2"/>
      <c r="P362" s="2"/>
    </row>
    <row r="363" ht="12.0" customHeight="1">
      <c r="B363" s="1"/>
      <c r="K363" s="2"/>
      <c r="P363" s="2"/>
    </row>
    <row r="364" ht="12.0" customHeight="1">
      <c r="B364" s="1"/>
      <c r="K364" s="2"/>
      <c r="P364" s="2"/>
    </row>
    <row r="365" ht="12.0" customHeight="1">
      <c r="B365" s="1"/>
      <c r="K365" s="2"/>
      <c r="P365" s="2"/>
    </row>
    <row r="366" ht="12.0" customHeight="1">
      <c r="B366" s="1"/>
      <c r="K366" s="2"/>
      <c r="P366" s="2"/>
    </row>
    <row r="367" ht="12.0" customHeight="1">
      <c r="B367" s="1"/>
      <c r="K367" s="2"/>
      <c r="P367" s="2"/>
    </row>
    <row r="368" ht="12.0" customHeight="1">
      <c r="B368" s="1"/>
      <c r="K368" s="2"/>
      <c r="P368" s="2"/>
    </row>
    <row r="369" ht="12.0" customHeight="1">
      <c r="B369" s="1"/>
      <c r="K369" s="2"/>
      <c r="P369" s="2"/>
    </row>
    <row r="370" ht="12.0" customHeight="1">
      <c r="B370" s="1"/>
      <c r="K370" s="2"/>
      <c r="P370" s="2"/>
    </row>
    <row r="371" ht="12.0" customHeight="1">
      <c r="B371" s="1"/>
      <c r="K371" s="2"/>
      <c r="P371" s="2"/>
    </row>
    <row r="372" ht="12.0" customHeight="1">
      <c r="B372" s="1"/>
      <c r="K372" s="2"/>
      <c r="P372" s="2"/>
    </row>
    <row r="373" ht="12.0" customHeight="1">
      <c r="B373" s="1"/>
      <c r="K373" s="2"/>
      <c r="P373" s="2"/>
    </row>
    <row r="374" ht="12.0" customHeight="1">
      <c r="B374" s="1"/>
      <c r="K374" s="2"/>
      <c r="P374" s="2"/>
    </row>
    <row r="375" ht="12.0" customHeight="1">
      <c r="B375" s="1"/>
      <c r="K375" s="2"/>
      <c r="P375" s="2"/>
    </row>
    <row r="376" ht="12.0" customHeight="1">
      <c r="B376" s="1"/>
      <c r="K376" s="2"/>
      <c r="P376" s="2"/>
    </row>
    <row r="377" ht="12.0" customHeight="1">
      <c r="B377" s="1"/>
      <c r="K377" s="2"/>
      <c r="P377" s="2"/>
    </row>
    <row r="378" ht="12.0" customHeight="1">
      <c r="B378" s="1"/>
      <c r="K378" s="2"/>
      <c r="P378" s="2"/>
    </row>
    <row r="379" ht="12.0" customHeight="1">
      <c r="B379" s="1"/>
      <c r="K379" s="2"/>
      <c r="P379" s="2"/>
    </row>
    <row r="380" ht="12.0" customHeight="1">
      <c r="B380" s="1"/>
      <c r="K380" s="2"/>
      <c r="P380" s="2"/>
    </row>
    <row r="381" ht="12.0" customHeight="1">
      <c r="B381" s="1"/>
      <c r="K381" s="2"/>
      <c r="P381" s="2"/>
    </row>
    <row r="382" ht="12.0" customHeight="1">
      <c r="B382" s="1"/>
      <c r="K382" s="2"/>
      <c r="P382" s="2"/>
    </row>
    <row r="383" ht="12.0" customHeight="1">
      <c r="B383" s="1"/>
      <c r="K383" s="2"/>
      <c r="P383" s="2"/>
    </row>
    <row r="384" ht="12.0" customHeight="1">
      <c r="B384" s="1"/>
      <c r="K384" s="2"/>
      <c r="P384" s="2"/>
    </row>
    <row r="385" ht="12.0" customHeight="1">
      <c r="B385" s="1"/>
      <c r="K385" s="2"/>
      <c r="P385" s="2"/>
    </row>
    <row r="386" ht="12.0" customHeight="1">
      <c r="B386" s="1"/>
      <c r="K386" s="2"/>
      <c r="P386" s="2"/>
    </row>
    <row r="387" ht="12.0" customHeight="1">
      <c r="B387" s="1"/>
      <c r="K387" s="2"/>
      <c r="P387" s="2"/>
    </row>
    <row r="388" ht="12.0" customHeight="1">
      <c r="B388" s="1"/>
      <c r="K388" s="2"/>
      <c r="P388" s="2"/>
    </row>
    <row r="389" ht="12.0" customHeight="1">
      <c r="B389" s="1"/>
      <c r="K389" s="2"/>
      <c r="P389" s="2"/>
    </row>
    <row r="390" ht="12.0" customHeight="1">
      <c r="B390" s="1"/>
      <c r="K390" s="2"/>
      <c r="P390" s="2"/>
    </row>
    <row r="391" ht="12.0" customHeight="1">
      <c r="B391" s="1"/>
      <c r="K391" s="2"/>
      <c r="P391" s="2"/>
    </row>
    <row r="392" ht="12.0" customHeight="1">
      <c r="B392" s="1"/>
      <c r="K392" s="2"/>
      <c r="P392" s="2"/>
    </row>
    <row r="393" ht="12.0" customHeight="1">
      <c r="B393" s="1"/>
      <c r="K393" s="2"/>
      <c r="P393" s="2"/>
    </row>
    <row r="394" ht="12.0" customHeight="1">
      <c r="B394" s="1"/>
      <c r="K394" s="2"/>
      <c r="P394" s="2"/>
    </row>
    <row r="395" ht="12.0" customHeight="1">
      <c r="B395" s="1"/>
      <c r="K395" s="2"/>
      <c r="P395" s="2"/>
    </row>
    <row r="396" ht="12.0" customHeight="1">
      <c r="B396" s="1"/>
      <c r="K396" s="2"/>
      <c r="P396" s="2"/>
    </row>
    <row r="397" ht="12.0" customHeight="1">
      <c r="B397" s="1"/>
      <c r="K397" s="2"/>
      <c r="P397" s="2"/>
    </row>
    <row r="398" ht="12.0" customHeight="1">
      <c r="B398" s="1"/>
      <c r="K398" s="2"/>
      <c r="P398" s="2"/>
    </row>
    <row r="399" ht="12.0" customHeight="1">
      <c r="B399" s="1"/>
      <c r="K399" s="2"/>
      <c r="P399" s="2"/>
    </row>
    <row r="400" ht="12.0" customHeight="1">
      <c r="B400" s="1"/>
      <c r="K400" s="2"/>
      <c r="P400" s="2"/>
    </row>
    <row r="401" ht="12.0" customHeight="1">
      <c r="B401" s="1"/>
      <c r="K401" s="2"/>
      <c r="P401" s="2"/>
    </row>
    <row r="402" ht="12.0" customHeight="1">
      <c r="B402" s="1"/>
      <c r="K402" s="2"/>
      <c r="P402" s="2"/>
    </row>
    <row r="403" ht="12.0" customHeight="1">
      <c r="B403" s="1"/>
      <c r="K403" s="2"/>
      <c r="P403" s="2"/>
    </row>
    <row r="404" ht="12.0" customHeight="1">
      <c r="B404" s="1"/>
      <c r="K404" s="2"/>
      <c r="P404" s="2"/>
    </row>
    <row r="405" ht="12.0" customHeight="1">
      <c r="B405" s="1"/>
      <c r="K405" s="2"/>
      <c r="P405" s="2"/>
    </row>
    <row r="406" ht="12.0" customHeight="1">
      <c r="B406" s="1"/>
      <c r="K406" s="2"/>
      <c r="P406" s="2"/>
    </row>
    <row r="407" ht="12.0" customHeight="1">
      <c r="B407" s="1"/>
      <c r="K407" s="2"/>
      <c r="P407" s="2"/>
    </row>
    <row r="408" ht="12.0" customHeight="1">
      <c r="B408" s="1"/>
      <c r="K408" s="2"/>
      <c r="P408" s="2"/>
    </row>
    <row r="409" ht="12.0" customHeight="1">
      <c r="B409" s="1"/>
      <c r="K409" s="2"/>
      <c r="P409" s="2"/>
    </row>
    <row r="410" ht="12.0" customHeight="1">
      <c r="B410" s="1"/>
      <c r="K410" s="2"/>
      <c r="P410" s="2"/>
    </row>
    <row r="411" ht="12.0" customHeight="1">
      <c r="B411" s="1"/>
      <c r="K411" s="2"/>
      <c r="P411" s="2"/>
    </row>
    <row r="412" ht="12.0" customHeight="1">
      <c r="B412" s="1"/>
      <c r="K412" s="2"/>
      <c r="P412" s="2"/>
    </row>
    <row r="413" ht="12.0" customHeight="1">
      <c r="B413" s="1"/>
      <c r="K413" s="2"/>
      <c r="P413" s="2"/>
    </row>
    <row r="414" ht="12.0" customHeight="1">
      <c r="B414" s="1"/>
      <c r="K414" s="2"/>
      <c r="P414" s="2"/>
    </row>
    <row r="415" ht="12.0" customHeight="1">
      <c r="B415" s="1"/>
      <c r="K415" s="2"/>
      <c r="P415" s="2"/>
    </row>
    <row r="416" ht="12.0" customHeight="1">
      <c r="B416" s="1"/>
      <c r="K416" s="2"/>
      <c r="P416" s="2"/>
    </row>
    <row r="417" ht="12.0" customHeight="1">
      <c r="B417" s="1"/>
      <c r="K417" s="2"/>
      <c r="P417" s="2"/>
    </row>
    <row r="418" ht="12.0" customHeight="1">
      <c r="B418" s="1"/>
      <c r="K418" s="2"/>
      <c r="P418" s="2"/>
    </row>
    <row r="419" ht="12.0" customHeight="1">
      <c r="B419" s="1"/>
      <c r="K419" s="2"/>
      <c r="P419" s="2"/>
    </row>
    <row r="420" ht="12.0" customHeight="1">
      <c r="B420" s="1"/>
      <c r="K420" s="2"/>
      <c r="P420" s="2"/>
    </row>
    <row r="421" ht="12.0" customHeight="1">
      <c r="B421" s="1"/>
      <c r="K421" s="2"/>
      <c r="P421" s="2"/>
    </row>
    <row r="422" ht="12.0" customHeight="1">
      <c r="B422" s="1"/>
      <c r="K422" s="2"/>
      <c r="P422" s="2"/>
    </row>
    <row r="423" ht="12.0" customHeight="1">
      <c r="B423" s="1"/>
      <c r="K423" s="2"/>
      <c r="P423" s="2"/>
    </row>
    <row r="424" ht="12.0" customHeight="1">
      <c r="B424" s="1"/>
      <c r="K424" s="2"/>
      <c r="P424" s="2"/>
    </row>
    <row r="425" ht="12.0" customHeight="1">
      <c r="B425" s="1"/>
      <c r="K425" s="2"/>
      <c r="P425" s="2"/>
    </row>
    <row r="426" ht="12.0" customHeight="1">
      <c r="B426" s="1"/>
      <c r="K426" s="2"/>
      <c r="P426" s="2"/>
    </row>
    <row r="427" ht="12.0" customHeight="1">
      <c r="B427" s="1"/>
      <c r="K427" s="2"/>
      <c r="P427" s="2"/>
    </row>
    <row r="428" ht="12.0" customHeight="1">
      <c r="B428" s="1"/>
      <c r="K428" s="2"/>
      <c r="P428" s="2"/>
    </row>
    <row r="429" ht="12.0" customHeight="1">
      <c r="B429" s="1"/>
      <c r="K429" s="2"/>
      <c r="P429" s="2"/>
    </row>
    <row r="430" ht="12.0" customHeight="1">
      <c r="B430" s="1"/>
      <c r="K430" s="2"/>
      <c r="P430" s="2"/>
    </row>
    <row r="431" ht="12.0" customHeight="1">
      <c r="B431" s="1"/>
      <c r="K431" s="2"/>
      <c r="P431" s="2"/>
    </row>
    <row r="432" ht="12.0" customHeight="1">
      <c r="B432" s="1"/>
      <c r="K432" s="2"/>
      <c r="P432" s="2"/>
    </row>
    <row r="433" ht="12.0" customHeight="1">
      <c r="B433" s="1"/>
      <c r="K433" s="2"/>
      <c r="P433" s="2"/>
    </row>
    <row r="434" ht="12.0" customHeight="1">
      <c r="B434" s="1"/>
      <c r="K434" s="2"/>
      <c r="P434" s="2"/>
    </row>
    <row r="435" ht="12.0" customHeight="1">
      <c r="B435" s="1"/>
      <c r="K435" s="2"/>
      <c r="P435" s="2"/>
    </row>
    <row r="436" ht="12.0" customHeight="1">
      <c r="B436" s="1"/>
      <c r="K436" s="2"/>
      <c r="P436" s="2"/>
    </row>
    <row r="437" ht="12.0" customHeight="1">
      <c r="B437" s="1"/>
      <c r="K437" s="2"/>
      <c r="P437" s="2"/>
    </row>
    <row r="438" ht="12.0" customHeight="1">
      <c r="B438" s="1"/>
      <c r="K438" s="2"/>
      <c r="P438" s="2"/>
    </row>
    <row r="439" ht="12.0" customHeight="1">
      <c r="B439" s="1"/>
      <c r="K439" s="2"/>
      <c r="P439" s="2"/>
    </row>
    <row r="440" ht="12.0" customHeight="1">
      <c r="B440" s="1"/>
      <c r="K440" s="2"/>
      <c r="P440" s="2"/>
    </row>
    <row r="441" ht="12.0" customHeight="1">
      <c r="B441" s="1"/>
      <c r="K441" s="2"/>
      <c r="P441" s="2"/>
    </row>
    <row r="442" ht="12.0" customHeight="1">
      <c r="B442" s="1"/>
      <c r="K442" s="2"/>
      <c r="P442" s="2"/>
    </row>
    <row r="443" ht="12.0" customHeight="1">
      <c r="B443" s="1"/>
      <c r="K443" s="2"/>
      <c r="P443" s="2"/>
    </row>
    <row r="444" ht="12.0" customHeight="1">
      <c r="B444" s="1"/>
      <c r="K444" s="2"/>
      <c r="P444" s="2"/>
    </row>
    <row r="445" ht="12.0" customHeight="1">
      <c r="B445" s="1"/>
      <c r="K445" s="2"/>
      <c r="P445" s="2"/>
    </row>
    <row r="446" ht="12.0" customHeight="1">
      <c r="B446" s="1"/>
      <c r="K446" s="2"/>
      <c r="P446" s="2"/>
    </row>
    <row r="447" ht="12.0" customHeight="1">
      <c r="B447" s="1"/>
      <c r="K447" s="2"/>
      <c r="P447" s="2"/>
    </row>
    <row r="448" ht="12.0" customHeight="1">
      <c r="B448" s="1"/>
      <c r="K448" s="2"/>
      <c r="P448" s="2"/>
    </row>
    <row r="449" ht="12.0" customHeight="1">
      <c r="B449" s="1"/>
      <c r="K449" s="2"/>
      <c r="P449" s="2"/>
    </row>
    <row r="450" ht="12.0" customHeight="1">
      <c r="B450" s="1"/>
      <c r="K450" s="2"/>
      <c r="P450" s="2"/>
    </row>
    <row r="451" ht="12.0" customHeight="1">
      <c r="B451" s="1"/>
      <c r="K451" s="2"/>
      <c r="P451" s="2"/>
    </row>
    <row r="452" ht="12.0" customHeight="1">
      <c r="B452" s="1"/>
      <c r="K452" s="2"/>
      <c r="P452" s="2"/>
    </row>
    <row r="453" ht="12.0" customHeight="1">
      <c r="B453" s="1"/>
      <c r="K453" s="2"/>
      <c r="P453" s="2"/>
    </row>
    <row r="454" ht="12.0" customHeight="1">
      <c r="B454" s="1"/>
      <c r="K454" s="2"/>
      <c r="P454" s="2"/>
    </row>
    <row r="455" ht="12.0" customHeight="1">
      <c r="B455" s="1"/>
      <c r="K455" s="2"/>
      <c r="P455" s="2"/>
    </row>
    <row r="456" ht="12.0" customHeight="1">
      <c r="B456" s="1"/>
      <c r="K456" s="2"/>
      <c r="P456" s="2"/>
    </row>
    <row r="457" ht="12.0" customHeight="1">
      <c r="B457" s="1"/>
      <c r="K457" s="2"/>
      <c r="P457" s="2"/>
    </row>
    <row r="458" ht="12.0" customHeight="1">
      <c r="B458" s="1"/>
      <c r="K458" s="2"/>
      <c r="P458" s="2"/>
    </row>
    <row r="459" ht="12.0" customHeight="1">
      <c r="B459" s="1"/>
      <c r="K459" s="2"/>
      <c r="P459" s="2"/>
    </row>
    <row r="460" ht="12.0" customHeight="1">
      <c r="B460" s="1"/>
      <c r="K460" s="2"/>
      <c r="P460" s="2"/>
    </row>
    <row r="461" ht="12.0" customHeight="1">
      <c r="B461" s="1"/>
      <c r="K461" s="2"/>
      <c r="P461" s="2"/>
    </row>
    <row r="462" ht="12.0" customHeight="1">
      <c r="B462" s="1"/>
      <c r="K462" s="2"/>
      <c r="P462" s="2"/>
    </row>
    <row r="463" ht="12.0" customHeight="1">
      <c r="B463" s="1"/>
      <c r="K463" s="2"/>
      <c r="P463" s="2"/>
    </row>
    <row r="464" ht="12.0" customHeight="1">
      <c r="B464" s="1"/>
      <c r="K464" s="2"/>
      <c r="P464" s="2"/>
    </row>
    <row r="465" ht="12.0" customHeight="1">
      <c r="B465" s="1"/>
      <c r="K465" s="2"/>
      <c r="P465" s="2"/>
    </row>
    <row r="466" ht="12.0" customHeight="1">
      <c r="B466" s="1"/>
      <c r="K466" s="2"/>
      <c r="P466" s="2"/>
    </row>
    <row r="467" ht="12.0" customHeight="1">
      <c r="B467" s="1"/>
      <c r="K467" s="2"/>
      <c r="P467" s="2"/>
    </row>
    <row r="468" ht="12.0" customHeight="1">
      <c r="B468" s="1"/>
      <c r="K468" s="2"/>
      <c r="P468" s="2"/>
    </row>
    <row r="469" ht="12.0" customHeight="1">
      <c r="B469" s="1"/>
      <c r="K469" s="2"/>
      <c r="P469" s="2"/>
    </row>
    <row r="470" ht="12.0" customHeight="1">
      <c r="B470" s="1"/>
      <c r="K470" s="2"/>
      <c r="P470" s="2"/>
    </row>
    <row r="471" ht="12.0" customHeight="1">
      <c r="B471" s="1"/>
      <c r="K471" s="2"/>
      <c r="P471" s="2"/>
    </row>
    <row r="472" ht="12.0" customHeight="1">
      <c r="B472" s="1"/>
      <c r="K472" s="2"/>
      <c r="P472" s="2"/>
    </row>
    <row r="473" ht="12.0" customHeight="1">
      <c r="B473" s="1"/>
      <c r="K473" s="2"/>
      <c r="P473" s="2"/>
    </row>
    <row r="474" ht="12.0" customHeight="1">
      <c r="B474" s="1"/>
      <c r="K474" s="2"/>
      <c r="P474" s="2"/>
    </row>
    <row r="475" ht="12.0" customHeight="1">
      <c r="B475" s="1"/>
      <c r="K475" s="2"/>
      <c r="P475" s="2"/>
    </row>
    <row r="476" ht="12.0" customHeight="1">
      <c r="B476" s="1"/>
      <c r="K476" s="2"/>
      <c r="P476" s="2"/>
    </row>
    <row r="477" ht="12.0" customHeight="1">
      <c r="B477" s="1"/>
      <c r="K477" s="2"/>
      <c r="P477" s="2"/>
    </row>
    <row r="478" ht="12.0" customHeight="1">
      <c r="B478" s="1"/>
      <c r="K478" s="2"/>
      <c r="P478" s="2"/>
    </row>
    <row r="479" ht="12.0" customHeight="1">
      <c r="B479" s="1"/>
      <c r="K479" s="2"/>
      <c r="P479" s="2"/>
    </row>
    <row r="480" ht="12.0" customHeight="1">
      <c r="B480" s="1"/>
      <c r="K480" s="2"/>
      <c r="P480" s="2"/>
    </row>
    <row r="481" ht="12.0" customHeight="1">
      <c r="B481" s="1"/>
      <c r="K481" s="2"/>
      <c r="P481" s="2"/>
    </row>
    <row r="482" ht="12.0" customHeight="1">
      <c r="B482" s="1"/>
      <c r="K482" s="2"/>
      <c r="P482" s="2"/>
    </row>
    <row r="483" ht="12.0" customHeight="1">
      <c r="B483" s="1"/>
      <c r="K483" s="2"/>
      <c r="P483" s="2"/>
    </row>
    <row r="484" ht="12.0" customHeight="1">
      <c r="B484" s="1"/>
      <c r="K484" s="2"/>
      <c r="P484" s="2"/>
    </row>
    <row r="485" ht="12.0" customHeight="1">
      <c r="B485" s="1"/>
      <c r="K485" s="2"/>
      <c r="P485" s="2"/>
    </row>
    <row r="486" ht="12.0" customHeight="1">
      <c r="B486" s="1"/>
      <c r="K486" s="2"/>
      <c r="P486" s="2"/>
    </row>
    <row r="487" ht="12.0" customHeight="1">
      <c r="B487" s="1"/>
      <c r="K487" s="2"/>
      <c r="P487" s="2"/>
    </row>
    <row r="488" ht="12.0" customHeight="1">
      <c r="B488" s="1"/>
      <c r="K488" s="2"/>
      <c r="P488" s="2"/>
    </row>
    <row r="489" ht="12.0" customHeight="1">
      <c r="B489" s="1"/>
      <c r="K489" s="2"/>
      <c r="P489" s="2"/>
    </row>
    <row r="490" ht="12.0" customHeight="1">
      <c r="B490" s="1"/>
      <c r="K490" s="2"/>
      <c r="P490" s="2"/>
    </row>
    <row r="491" ht="12.0" customHeight="1">
      <c r="B491" s="1"/>
      <c r="K491" s="2"/>
      <c r="P491" s="2"/>
    </row>
    <row r="492" ht="12.0" customHeight="1">
      <c r="B492" s="1"/>
      <c r="K492" s="2"/>
      <c r="P492" s="2"/>
    </row>
    <row r="493" ht="12.0" customHeight="1">
      <c r="B493" s="1"/>
      <c r="K493" s="2"/>
      <c r="P493" s="2"/>
    </row>
    <row r="494" ht="12.0" customHeight="1">
      <c r="B494" s="1"/>
      <c r="K494" s="2"/>
      <c r="P494" s="2"/>
    </row>
    <row r="495" ht="12.0" customHeight="1">
      <c r="B495" s="1"/>
      <c r="K495" s="2"/>
      <c r="P495" s="2"/>
    </row>
    <row r="496" ht="12.0" customHeight="1">
      <c r="B496" s="1"/>
      <c r="K496" s="2"/>
      <c r="P496" s="2"/>
    </row>
    <row r="497" ht="12.0" customHeight="1">
      <c r="B497" s="1"/>
      <c r="K497" s="2"/>
      <c r="P497" s="2"/>
    </row>
    <row r="498" ht="12.0" customHeight="1">
      <c r="B498" s="1"/>
      <c r="K498" s="2"/>
      <c r="P498" s="2"/>
    </row>
    <row r="499" ht="12.0" customHeight="1">
      <c r="B499" s="1"/>
      <c r="K499" s="2"/>
      <c r="P499" s="2"/>
    </row>
    <row r="500" ht="12.0" customHeight="1">
      <c r="B500" s="1"/>
      <c r="K500" s="2"/>
      <c r="P500" s="2"/>
    </row>
    <row r="501" ht="12.0" customHeight="1">
      <c r="B501" s="1"/>
      <c r="K501" s="2"/>
      <c r="P501" s="2"/>
    </row>
    <row r="502" ht="12.0" customHeight="1">
      <c r="B502" s="1"/>
      <c r="K502" s="2"/>
      <c r="P502" s="2"/>
    </row>
    <row r="503" ht="12.0" customHeight="1">
      <c r="B503" s="1"/>
      <c r="K503" s="2"/>
      <c r="P503" s="2"/>
    </row>
    <row r="504" ht="12.0" customHeight="1">
      <c r="B504" s="1"/>
      <c r="K504" s="2"/>
      <c r="P504" s="2"/>
    </row>
    <row r="505" ht="12.0" customHeight="1">
      <c r="B505" s="1"/>
      <c r="K505" s="2"/>
      <c r="P505" s="2"/>
    </row>
    <row r="506" ht="12.0" customHeight="1">
      <c r="B506" s="1"/>
      <c r="K506" s="2"/>
      <c r="P506" s="2"/>
    </row>
    <row r="507" ht="12.0" customHeight="1">
      <c r="B507" s="1"/>
      <c r="K507" s="2"/>
      <c r="P507" s="2"/>
    </row>
    <row r="508" ht="12.0" customHeight="1">
      <c r="B508" s="1"/>
      <c r="K508" s="2"/>
      <c r="P508" s="2"/>
    </row>
    <row r="509" ht="12.0" customHeight="1">
      <c r="B509" s="1"/>
      <c r="K509" s="2"/>
      <c r="P509" s="2"/>
    </row>
    <row r="510" ht="12.0" customHeight="1">
      <c r="B510" s="1"/>
      <c r="K510" s="2"/>
      <c r="P510" s="2"/>
    </row>
    <row r="511" ht="12.0" customHeight="1">
      <c r="B511" s="1"/>
      <c r="K511" s="2"/>
      <c r="P511" s="2"/>
    </row>
    <row r="512" ht="12.0" customHeight="1">
      <c r="B512" s="1"/>
      <c r="K512" s="2"/>
      <c r="P512" s="2"/>
    </row>
    <row r="513" ht="12.0" customHeight="1">
      <c r="B513" s="1"/>
      <c r="K513" s="2"/>
      <c r="P513" s="2"/>
    </row>
    <row r="514" ht="12.0" customHeight="1">
      <c r="B514" s="1"/>
      <c r="K514" s="2"/>
      <c r="P514" s="2"/>
    </row>
    <row r="515" ht="12.0" customHeight="1">
      <c r="B515" s="1"/>
      <c r="K515" s="2"/>
      <c r="P515" s="2"/>
    </row>
    <row r="516" ht="12.0" customHeight="1">
      <c r="B516" s="1"/>
      <c r="K516" s="2"/>
      <c r="P516" s="2"/>
    </row>
    <row r="517" ht="12.0" customHeight="1">
      <c r="B517" s="1"/>
      <c r="K517" s="2"/>
      <c r="P517" s="2"/>
    </row>
    <row r="518" ht="12.0" customHeight="1">
      <c r="B518" s="1"/>
      <c r="K518" s="2"/>
      <c r="P518" s="2"/>
    </row>
    <row r="519" ht="12.0" customHeight="1">
      <c r="B519" s="1"/>
      <c r="K519" s="2"/>
      <c r="P519" s="2"/>
    </row>
    <row r="520" ht="12.0" customHeight="1">
      <c r="B520" s="1"/>
      <c r="K520" s="2"/>
      <c r="P520" s="2"/>
    </row>
    <row r="521" ht="12.0" customHeight="1">
      <c r="B521" s="1"/>
      <c r="K521" s="2"/>
      <c r="P521" s="2"/>
    </row>
    <row r="522" ht="12.0" customHeight="1">
      <c r="B522" s="1"/>
      <c r="K522" s="2"/>
      <c r="P522" s="2"/>
    </row>
    <row r="523" ht="12.0" customHeight="1">
      <c r="B523" s="1"/>
      <c r="K523" s="2"/>
      <c r="P523" s="2"/>
    </row>
    <row r="524" ht="12.0" customHeight="1">
      <c r="B524" s="1"/>
      <c r="K524" s="2"/>
      <c r="P524" s="2"/>
    </row>
    <row r="525" ht="12.0" customHeight="1">
      <c r="B525" s="1"/>
      <c r="K525" s="2"/>
      <c r="P525" s="2"/>
    </row>
    <row r="526" ht="12.0" customHeight="1">
      <c r="B526" s="1"/>
      <c r="K526" s="2"/>
      <c r="P526" s="2"/>
    </row>
    <row r="527" ht="12.0" customHeight="1">
      <c r="B527" s="1"/>
      <c r="K527" s="2"/>
      <c r="P527" s="2"/>
    </row>
    <row r="528" ht="12.0" customHeight="1">
      <c r="B528" s="1"/>
      <c r="K528" s="2"/>
      <c r="P528" s="2"/>
    </row>
    <row r="529" ht="12.0" customHeight="1">
      <c r="B529" s="1"/>
      <c r="K529" s="2"/>
      <c r="P529" s="2"/>
    </row>
    <row r="530" ht="12.0" customHeight="1">
      <c r="B530" s="1"/>
      <c r="K530" s="2"/>
      <c r="P530" s="2"/>
    </row>
    <row r="531" ht="12.0" customHeight="1">
      <c r="B531" s="1"/>
      <c r="K531" s="2"/>
      <c r="P531" s="2"/>
    </row>
    <row r="532" ht="12.0" customHeight="1">
      <c r="B532" s="1"/>
      <c r="K532" s="2"/>
      <c r="P532" s="2"/>
    </row>
    <row r="533" ht="12.0" customHeight="1">
      <c r="B533" s="1"/>
      <c r="K533" s="2"/>
      <c r="P533" s="2"/>
    </row>
    <row r="534" ht="12.0" customHeight="1">
      <c r="B534" s="1"/>
      <c r="K534" s="2"/>
      <c r="P534" s="2"/>
    </row>
    <row r="535" ht="12.0" customHeight="1">
      <c r="B535" s="1"/>
      <c r="K535" s="2"/>
      <c r="P535" s="2"/>
    </row>
    <row r="536" ht="12.0" customHeight="1">
      <c r="B536" s="1"/>
      <c r="K536" s="2"/>
      <c r="P536" s="2"/>
    </row>
    <row r="537" ht="12.0" customHeight="1">
      <c r="B537" s="1"/>
      <c r="K537" s="2"/>
      <c r="P537" s="2"/>
    </row>
    <row r="538" ht="12.0" customHeight="1">
      <c r="B538" s="1"/>
      <c r="K538" s="2"/>
      <c r="P538" s="2"/>
    </row>
    <row r="539" ht="12.0" customHeight="1">
      <c r="B539" s="1"/>
      <c r="K539" s="2"/>
      <c r="P539" s="2"/>
    </row>
    <row r="540" ht="12.0" customHeight="1">
      <c r="B540" s="1"/>
      <c r="K540" s="2"/>
      <c r="P540" s="2"/>
    </row>
    <row r="541" ht="12.0" customHeight="1">
      <c r="B541" s="1"/>
      <c r="K541" s="2"/>
      <c r="P541" s="2"/>
    </row>
    <row r="542" ht="12.0" customHeight="1">
      <c r="B542" s="1"/>
      <c r="K542" s="2"/>
      <c r="P542" s="2"/>
    </row>
    <row r="543" ht="12.0" customHeight="1">
      <c r="B543" s="1"/>
      <c r="K543" s="2"/>
      <c r="P543" s="2"/>
    </row>
    <row r="544" ht="12.0" customHeight="1">
      <c r="B544" s="1"/>
      <c r="K544" s="2"/>
      <c r="P544" s="2"/>
    </row>
    <row r="545" ht="12.0" customHeight="1">
      <c r="B545" s="1"/>
      <c r="K545" s="2"/>
      <c r="P545" s="2"/>
    </row>
    <row r="546" ht="12.0" customHeight="1">
      <c r="B546" s="1"/>
      <c r="K546" s="2"/>
      <c r="P546" s="2"/>
    </row>
    <row r="547" ht="12.0" customHeight="1">
      <c r="B547" s="1"/>
      <c r="K547" s="2"/>
      <c r="P547" s="2"/>
    </row>
    <row r="548" ht="12.0" customHeight="1">
      <c r="B548" s="1"/>
      <c r="K548" s="2"/>
      <c r="P548" s="2"/>
    </row>
    <row r="549" ht="12.0" customHeight="1">
      <c r="B549" s="1"/>
      <c r="K549" s="2"/>
      <c r="P549" s="2"/>
    </row>
    <row r="550" ht="12.0" customHeight="1">
      <c r="B550" s="1"/>
      <c r="K550" s="2"/>
      <c r="P550" s="2"/>
    </row>
    <row r="551" ht="12.0" customHeight="1">
      <c r="B551" s="1"/>
      <c r="K551" s="2"/>
      <c r="P551" s="2"/>
    </row>
    <row r="552" ht="12.0" customHeight="1">
      <c r="B552" s="1"/>
      <c r="K552" s="2"/>
      <c r="P552" s="2"/>
    </row>
    <row r="553" ht="12.0" customHeight="1">
      <c r="B553" s="1"/>
      <c r="K553" s="2"/>
      <c r="P553" s="2"/>
    </row>
    <row r="554" ht="12.0" customHeight="1">
      <c r="B554" s="1"/>
      <c r="K554" s="2"/>
      <c r="P554" s="2"/>
    </row>
    <row r="555" ht="12.0" customHeight="1">
      <c r="B555" s="1"/>
      <c r="K555" s="2"/>
      <c r="P555" s="2"/>
    </row>
    <row r="556" ht="12.0" customHeight="1">
      <c r="B556" s="1"/>
      <c r="K556" s="2"/>
      <c r="P556" s="2"/>
    </row>
    <row r="557" ht="12.0" customHeight="1">
      <c r="B557" s="1"/>
      <c r="K557" s="2"/>
      <c r="P557" s="2"/>
    </row>
    <row r="558" ht="12.0" customHeight="1">
      <c r="B558" s="1"/>
      <c r="K558" s="2"/>
      <c r="P558" s="2"/>
    </row>
    <row r="559" ht="12.0" customHeight="1">
      <c r="B559" s="1"/>
      <c r="K559" s="2"/>
      <c r="P559" s="2"/>
    </row>
    <row r="560" ht="12.0" customHeight="1">
      <c r="B560" s="1"/>
      <c r="K560" s="2"/>
      <c r="P560" s="2"/>
    </row>
    <row r="561" ht="12.0" customHeight="1">
      <c r="B561" s="1"/>
      <c r="K561" s="2"/>
      <c r="P561" s="2"/>
    </row>
    <row r="562" ht="12.0" customHeight="1">
      <c r="B562" s="1"/>
      <c r="K562" s="2"/>
      <c r="P562" s="2"/>
    </row>
    <row r="563" ht="12.0" customHeight="1">
      <c r="B563" s="1"/>
      <c r="K563" s="2"/>
      <c r="P563" s="2"/>
    </row>
    <row r="564" ht="12.0" customHeight="1">
      <c r="B564" s="1"/>
      <c r="K564" s="2"/>
      <c r="P564" s="2"/>
    </row>
    <row r="565" ht="12.0" customHeight="1">
      <c r="B565" s="1"/>
      <c r="K565" s="2"/>
      <c r="P565" s="2"/>
    </row>
    <row r="566" ht="12.0" customHeight="1">
      <c r="B566" s="1"/>
      <c r="K566" s="2"/>
      <c r="P566" s="2"/>
    </row>
    <row r="567" ht="12.0" customHeight="1">
      <c r="B567" s="1"/>
      <c r="K567" s="2"/>
      <c r="P567" s="2"/>
    </row>
    <row r="568" ht="12.0" customHeight="1">
      <c r="B568" s="1"/>
      <c r="K568" s="2"/>
      <c r="P568" s="2"/>
    </row>
    <row r="569" ht="12.0" customHeight="1">
      <c r="B569" s="1"/>
      <c r="K569" s="2"/>
      <c r="P569" s="2"/>
    </row>
    <row r="570" ht="12.0" customHeight="1">
      <c r="B570" s="1"/>
      <c r="K570" s="2"/>
      <c r="P570" s="2"/>
    </row>
    <row r="571" ht="12.0" customHeight="1">
      <c r="B571" s="1"/>
      <c r="K571" s="2"/>
      <c r="P571" s="2"/>
    </row>
    <row r="572" ht="12.0" customHeight="1">
      <c r="B572" s="1"/>
      <c r="K572" s="2"/>
      <c r="P572" s="2"/>
    </row>
    <row r="573" ht="12.0" customHeight="1">
      <c r="B573" s="1"/>
      <c r="K573" s="2"/>
      <c r="P573" s="2"/>
    </row>
    <row r="574" ht="12.0" customHeight="1">
      <c r="B574" s="1"/>
      <c r="K574" s="2"/>
      <c r="P574" s="2"/>
    </row>
    <row r="575" ht="12.0" customHeight="1">
      <c r="B575" s="1"/>
      <c r="K575" s="2"/>
      <c r="P575" s="2"/>
    </row>
    <row r="576" ht="12.0" customHeight="1">
      <c r="B576" s="1"/>
      <c r="K576" s="2"/>
      <c r="P576" s="2"/>
    </row>
    <row r="577" ht="12.0" customHeight="1">
      <c r="B577" s="1"/>
      <c r="K577" s="2"/>
      <c r="P577" s="2"/>
    </row>
    <row r="578" ht="12.0" customHeight="1">
      <c r="B578" s="1"/>
      <c r="K578" s="2"/>
      <c r="P578" s="2"/>
    </row>
    <row r="579" ht="12.0" customHeight="1">
      <c r="B579" s="1"/>
      <c r="K579" s="2"/>
      <c r="P579" s="2"/>
    </row>
    <row r="580" ht="12.0" customHeight="1">
      <c r="B580" s="1"/>
      <c r="K580" s="2"/>
      <c r="P580" s="2"/>
    </row>
    <row r="581" ht="12.0" customHeight="1">
      <c r="B581" s="1"/>
      <c r="K581" s="2"/>
      <c r="P581" s="2"/>
    </row>
    <row r="582" ht="12.0" customHeight="1">
      <c r="B582" s="1"/>
      <c r="K582" s="2"/>
      <c r="P582" s="2"/>
    </row>
    <row r="583" ht="12.0" customHeight="1">
      <c r="B583" s="1"/>
      <c r="K583" s="2"/>
      <c r="P583" s="2"/>
    </row>
    <row r="584" ht="12.0" customHeight="1">
      <c r="B584" s="1"/>
      <c r="K584" s="2"/>
      <c r="P584" s="2"/>
    </row>
    <row r="585" ht="12.0" customHeight="1">
      <c r="B585" s="1"/>
      <c r="K585" s="2"/>
      <c r="P585" s="2"/>
    </row>
    <row r="586" ht="12.0" customHeight="1">
      <c r="B586" s="1"/>
      <c r="K586" s="2"/>
      <c r="P586" s="2"/>
    </row>
    <row r="587" ht="12.0" customHeight="1">
      <c r="B587" s="1"/>
      <c r="K587" s="2"/>
      <c r="P587" s="2"/>
    </row>
    <row r="588" ht="12.0" customHeight="1">
      <c r="B588" s="1"/>
      <c r="K588" s="2"/>
      <c r="P588" s="2"/>
    </row>
    <row r="589" ht="12.0" customHeight="1">
      <c r="B589" s="1"/>
      <c r="K589" s="2"/>
      <c r="P589" s="2"/>
    </row>
    <row r="590" ht="12.0" customHeight="1">
      <c r="B590" s="1"/>
      <c r="K590" s="2"/>
      <c r="P590" s="2"/>
    </row>
    <row r="591" ht="12.0" customHeight="1">
      <c r="B591" s="1"/>
      <c r="K591" s="2"/>
      <c r="P591" s="2"/>
    </row>
    <row r="592" ht="12.0" customHeight="1">
      <c r="B592" s="1"/>
      <c r="K592" s="2"/>
      <c r="P592" s="2"/>
    </row>
    <row r="593" ht="12.0" customHeight="1">
      <c r="B593" s="1"/>
      <c r="K593" s="2"/>
      <c r="P593" s="2"/>
    </row>
    <row r="594" ht="12.0" customHeight="1">
      <c r="B594" s="1"/>
      <c r="K594" s="2"/>
      <c r="P594" s="2"/>
    </row>
    <row r="595" ht="12.0" customHeight="1">
      <c r="B595" s="1"/>
      <c r="K595" s="2"/>
      <c r="P595" s="2"/>
    </row>
    <row r="596" ht="12.0" customHeight="1">
      <c r="B596" s="1"/>
      <c r="K596" s="2"/>
      <c r="P596" s="2"/>
    </row>
    <row r="597" ht="12.0" customHeight="1">
      <c r="B597" s="1"/>
      <c r="K597" s="2"/>
      <c r="P597" s="2"/>
    </row>
    <row r="598" ht="12.0" customHeight="1">
      <c r="B598" s="1"/>
      <c r="K598" s="2"/>
      <c r="P598" s="2"/>
    </row>
    <row r="599" ht="12.0" customHeight="1">
      <c r="B599" s="1"/>
      <c r="K599" s="2"/>
      <c r="P599" s="2"/>
    </row>
    <row r="600" ht="12.0" customHeight="1">
      <c r="B600" s="1"/>
      <c r="K600" s="2"/>
      <c r="P600" s="2"/>
    </row>
    <row r="601" ht="12.0" customHeight="1">
      <c r="B601" s="1"/>
      <c r="K601" s="2"/>
      <c r="P601" s="2"/>
    </row>
    <row r="602" ht="12.0" customHeight="1">
      <c r="B602" s="1"/>
      <c r="K602" s="2"/>
      <c r="P602" s="2"/>
    </row>
    <row r="603" ht="12.0" customHeight="1">
      <c r="B603" s="1"/>
      <c r="K603" s="2"/>
      <c r="P603" s="2"/>
    </row>
    <row r="604" ht="12.0" customHeight="1">
      <c r="B604" s="1"/>
      <c r="K604" s="2"/>
      <c r="P604" s="2"/>
    </row>
    <row r="605" ht="12.0" customHeight="1">
      <c r="B605" s="1"/>
      <c r="K605" s="2"/>
      <c r="P605" s="2"/>
    </row>
    <row r="606" ht="12.0" customHeight="1">
      <c r="B606" s="1"/>
      <c r="K606" s="2"/>
      <c r="P606" s="2"/>
    </row>
    <row r="607" ht="12.0" customHeight="1">
      <c r="B607" s="1"/>
      <c r="K607" s="2"/>
      <c r="P607" s="2"/>
    </row>
    <row r="608" ht="12.0" customHeight="1">
      <c r="B608" s="1"/>
      <c r="K608" s="2"/>
      <c r="P608" s="2"/>
    </row>
    <row r="609" ht="12.0" customHeight="1">
      <c r="B609" s="1"/>
      <c r="K609" s="2"/>
      <c r="P609" s="2"/>
    </row>
    <row r="610" ht="12.0" customHeight="1">
      <c r="B610" s="1"/>
      <c r="K610" s="2"/>
      <c r="P610" s="2"/>
    </row>
    <row r="611" ht="12.0" customHeight="1">
      <c r="B611" s="1"/>
      <c r="K611" s="2"/>
      <c r="P611" s="2"/>
    </row>
    <row r="612" ht="12.0" customHeight="1">
      <c r="B612" s="1"/>
      <c r="K612" s="2"/>
      <c r="P612" s="2"/>
    </row>
    <row r="613" ht="12.0" customHeight="1">
      <c r="B613" s="1"/>
      <c r="K613" s="2"/>
      <c r="P613" s="2"/>
    </row>
    <row r="614" ht="12.0" customHeight="1">
      <c r="B614" s="1"/>
      <c r="K614" s="2"/>
      <c r="P614" s="2"/>
    </row>
    <row r="615" ht="12.0" customHeight="1">
      <c r="B615" s="1"/>
      <c r="K615" s="2"/>
      <c r="P615" s="2"/>
    </row>
    <row r="616" ht="12.0" customHeight="1">
      <c r="B616" s="1"/>
      <c r="K616" s="2"/>
      <c r="P616" s="2"/>
    </row>
    <row r="617" ht="12.0" customHeight="1">
      <c r="B617" s="1"/>
      <c r="K617" s="2"/>
      <c r="P617" s="2"/>
    </row>
    <row r="618" ht="12.0" customHeight="1">
      <c r="B618" s="1"/>
      <c r="K618" s="2"/>
      <c r="P618" s="2"/>
    </row>
    <row r="619" ht="12.0" customHeight="1">
      <c r="B619" s="1"/>
      <c r="K619" s="2"/>
      <c r="P619" s="2"/>
    </row>
    <row r="620" ht="12.0" customHeight="1">
      <c r="B620" s="1"/>
      <c r="K620" s="2"/>
      <c r="P620" s="2"/>
    </row>
    <row r="621" ht="12.0" customHeight="1">
      <c r="B621" s="1"/>
      <c r="K621" s="2"/>
      <c r="P621" s="2"/>
    </row>
    <row r="622" ht="12.0" customHeight="1">
      <c r="B622" s="1"/>
      <c r="K622" s="2"/>
      <c r="P622" s="2"/>
    </row>
    <row r="623" ht="12.0" customHeight="1">
      <c r="B623" s="1"/>
      <c r="K623" s="2"/>
      <c r="P623" s="2"/>
    </row>
    <row r="624" ht="12.0" customHeight="1">
      <c r="B624" s="1"/>
      <c r="K624" s="2"/>
      <c r="P624" s="2"/>
    </row>
    <row r="625" ht="12.0" customHeight="1">
      <c r="B625" s="1"/>
      <c r="K625" s="2"/>
      <c r="P625" s="2"/>
    </row>
    <row r="626" ht="12.0" customHeight="1">
      <c r="B626" s="1"/>
      <c r="K626" s="2"/>
      <c r="P626" s="2"/>
    </row>
    <row r="627" ht="12.0" customHeight="1">
      <c r="B627" s="1"/>
      <c r="K627" s="2"/>
      <c r="P627" s="2"/>
    </row>
    <row r="628" ht="12.0" customHeight="1">
      <c r="B628" s="1"/>
      <c r="K628" s="2"/>
      <c r="P628" s="2"/>
    </row>
    <row r="629" ht="12.0" customHeight="1">
      <c r="B629" s="1"/>
      <c r="K629" s="2"/>
      <c r="P629" s="2"/>
    </row>
    <row r="630" ht="12.0" customHeight="1">
      <c r="B630" s="1"/>
      <c r="K630" s="2"/>
      <c r="P630" s="2"/>
    </row>
    <row r="631" ht="12.0" customHeight="1">
      <c r="B631" s="1"/>
      <c r="K631" s="2"/>
      <c r="P631" s="2"/>
    </row>
    <row r="632" ht="12.0" customHeight="1">
      <c r="B632" s="1"/>
      <c r="K632" s="2"/>
      <c r="P632" s="2"/>
    </row>
    <row r="633" ht="12.0" customHeight="1">
      <c r="B633" s="1"/>
      <c r="K633" s="2"/>
      <c r="P633" s="2"/>
    </row>
    <row r="634" ht="12.0" customHeight="1">
      <c r="B634" s="1"/>
      <c r="K634" s="2"/>
      <c r="P634" s="2"/>
    </row>
    <row r="635" ht="12.0" customHeight="1">
      <c r="B635" s="1"/>
      <c r="K635" s="2"/>
      <c r="P635" s="2"/>
    </row>
    <row r="636" ht="12.0" customHeight="1">
      <c r="B636" s="1"/>
      <c r="K636" s="2"/>
      <c r="P636" s="2"/>
    </row>
    <row r="637" ht="12.0" customHeight="1">
      <c r="B637" s="1"/>
      <c r="K637" s="2"/>
      <c r="P637" s="2"/>
    </row>
    <row r="638" ht="12.0" customHeight="1">
      <c r="B638" s="1"/>
      <c r="K638" s="2"/>
      <c r="P638" s="2"/>
    </row>
    <row r="639" ht="12.0" customHeight="1">
      <c r="B639" s="1"/>
      <c r="K639" s="2"/>
      <c r="P639" s="2"/>
    </row>
    <row r="640" ht="12.0" customHeight="1">
      <c r="B640" s="1"/>
      <c r="K640" s="2"/>
      <c r="P640" s="2"/>
    </row>
    <row r="641" ht="12.0" customHeight="1">
      <c r="B641" s="1"/>
      <c r="K641" s="2"/>
      <c r="P641" s="2"/>
    </row>
    <row r="642" ht="12.0" customHeight="1">
      <c r="B642" s="1"/>
      <c r="K642" s="2"/>
      <c r="P642" s="2"/>
    </row>
    <row r="643" ht="12.0" customHeight="1">
      <c r="B643" s="1"/>
      <c r="K643" s="2"/>
      <c r="P643" s="2"/>
    </row>
    <row r="644" ht="12.0" customHeight="1">
      <c r="B644" s="1"/>
      <c r="K644" s="2"/>
      <c r="P644" s="2"/>
    </row>
    <row r="645" ht="12.0" customHeight="1">
      <c r="B645" s="1"/>
      <c r="K645" s="2"/>
      <c r="P645" s="2"/>
    </row>
    <row r="646" ht="12.0" customHeight="1">
      <c r="B646" s="1"/>
      <c r="K646" s="2"/>
      <c r="P646" s="2"/>
    </row>
    <row r="647" ht="12.0" customHeight="1">
      <c r="B647" s="1"/>
      <c r="K647" s="2"/>
      <c r="P647" s="2"/>
    </row>
    <row r="648" ht="12.0" customHeight="1">
      <c r="B648" s="1"/>
      <c r="K648" s="2"/>
      <c r="P648" s="2"/>
    </row>
    <row r="649" ht="12.0" customHeight="1">
      <c r="B649" s="1"/>
      <c r="K649" s="2"/>
      <c r="P649" s="2"/>
    </row>
    <row r="650" ht="12.0" customHeight="1">
      <c r="B650" s="1"/>
      <c r="K650" s="2"/>
      <c r="P650" s="2"/>
    </row>
    <row r="651" ht="12.0" customHeight="1">
      <c r="B651" s="1"/>
      <c r="K651" s="2"/>
      <c r="P651" s="2"/>
    </row>
    <row r="652" ht="12.0" customHeight="1">
      <c r="B652" s="1"/>
      <c r="K652" s="2"/>
      <c r="P652" s="2"/>
    </row>
    <row r="653" ht="12.0" customHeight="1">
      <c r="B653" s="1"/>
      <c r="K653" s="2"/>
      <c r="P653" s="2"/>
    </row>
    <row r="654" ht="12.0" customHeight="1">
      <c r="B654" s="1"/>
      <c r="K654" s="2"/>
      <c r="P654" s="2"/>
    </row>
    <row r="655" ht="12.0" customHeight="1">
      <c r="B655" s="1"/>
      <c r="K655" s="2"/>
      <c r="P655" s="2"/>
    </row>
    <row r="656" ht="12.0" customHeight="1">
      <c r="B656" s="1"/>
      <c r="K656" s="2"/>
      <c r="P656" s="2"/>
    </row>
    <row r="657" ht="12.0" customHeight="1">
      <c r="B657" s="1"/>
      <c r="K657" s="2"/>
      <c r="P657" s="2"/>
    </row>
    <row r="658" ht="12.0" customHeight="1">
      <c r="B658" s="1"/>
      <c r="K658" s="2"/>
      <c r="P658" s="2"/>
    </row>
    <row r="659" ht="12.0" customHeight="1">
      <c r="B659" s="1"/>
      <c r="K659" s="2"/>
      <c r="P659" s="2"/>
    </row>
    <row r="660" ht="12.0" customHeight="1">
      <c r="B660" s="1"/>
      <c r="K660" s="2"/>
      <c r="P660" s="2"/>
    </row>
    <row r="661" ht="12.0" customHeight="1">
      <c r="B661" s="1"/>
      <c r="K661" s="2"/>
      <c r="P661" s="2"/>
    </row>
    <row r="662" ht="12.0" customHeight="1">
      <c r="B662" s="1"/>
      <c r="K662" s="2"/>
      <c r="P662" s="2"/>
    </row>
    <row r="663" ht="12.0" customHeight="1">
      <c r="B663" s="1"/>
      <c r="K663" s="2"/>
      <c r="P663" s="2"/>
    </row>
    <row r="664" ht="12.0" customHeight="1">
      <c r="B664" s="1"/>
      <c r="K664" s="2"/>
      <c r="P664" s="2"/>
    </row>
    <row r="665" ht="12.0" customHeight="1">
      <c r="B665" s="1"/>
      <c r="K665" s="2"/>
      <c r="P665" s="2"/>
    </row>
    <row r="666" ht="12.0" customHeight="1">
      <c r="B666" s="1"/>
      <c r="K666" s="2"/>
      <c r="P666" s="2"/>
    </row>
    <row r="667" ht="12.0" customHeight="1">
      <c r="B667" s="1"/>
      <c r="K667" s="2"/>
      <c r="P667" s="2"/>
    </row>
    <row r="668" ht="12.0" customHeight="1">
      <c r="B668" s="1"/>
      <c r="K668" s="2"/>
      <c r="P668" s="2"/>
    </row>
    <row r="669" ht="12.0" customHeight="1">
      <c r="B669" s="1"/>
      <c r="K669" s="2"/>
      <c r="P669" s="2"/>
    </row>
    <row r="670" ht="12.0" customHeight="1">
      <c r="B670" s="1"/>
      <c r="K670" s="2"/>
      <c r="P670" s="2"/>
    </row>
    <row r="671" ht="12.0" customHeight="1">
      <c r="B671" s="1"/>
      <c r="K671" s="2"/>
      <c r="P671" s="2"/>
    </row>
    <row r="672" ht="12.0" customHeight="1">
      <c r="B672" s="1"/>
      <c r="K672" s="2"/>
      <c r="P672" s="2"/>
    </row>
    <row r="673" ht="12.0" customHeight="1">
      <c r="B673" s="1"/>
      <c r="K673" s="2"/>
      <c r="P673" s="2"/>
    </row>
    <row r="674" ht="12.0" customHeight="1">
      <c r="B674" s="1"/>
      <c r="K674" s="2"/>
      <c r="P674" s="2"/>
    </row>
    <row r="675" ht="12.0" customHeight="1">
      <c r="B675" s="1"/>
      <c r="K675" s="2"/>
      <c r="P675" s="2"/>
    </row>
    <row r="676" ht="12.0" customHeight="1">
      <c r="B676" s="1"/>
      <c r="K676" s="2"/>
      <c r="P676" s="2"/>
    </row>
    <row r="677" ht="12.0" customHeight="1">
      <c r="B677" s="1"/>
      <c r="K677" s="2"/>
      <c r="P677" s="2"/>
    </row>
    <row r="678" ht="12.0" customHeight="1">
      <c r="B678" s="1"/>
      <c r="K678" s="2"/>
      <c r="P678" s="2"/>
    </row>
    <row r="679" ht="12.0" customHeight="1">
      <c r="B679" s="1"/>
      <c r="K679" s="2"/>
      <c r="P679" s="2"/>
    </row>
    <row r="680" ht="12.0" customHeight="1">
      <c r="B680" s="1"/>
      <c r="K680" s="2"/>
      <c r="P680" s="2"/>
    </row>
    <row r="681" ht="12.0" customHeight="1">
      <c r="B681" s="1"/>
      <c r="K681" s="2"/>
      <c r="P681" s="2"/>
    </row>
    <row r="682" ht="12.0" customHeight="1">
      <c r="B682" s="1"/>
      <c r="K682" s="2"/>
      <c r="P682" s="2"/>
    </row>
    <row r="683" ht="12.0" customHeight="1">
      <c r="B683" s="1"/>
      <c r="K683" s="2"/>
      <c r="P683" s="2"/>
    </row>
    <row r="684" ht="12.0" customHeight="1">
      <c r="B684" s="1"/>
      <c r="K684" s="2"/>
      <c r="P684" s="2"/>
    </row>
    <row r="685" ht="12.0" customHeight="1">
      <c r="B685" s="1"/>
      <c r="K685" s="2"/>
      <c r="P685" s="2"/>
    </row>
    <row r="686" ht="12.0" customHeight="1">
      <c r="B686" s="1"/>
      <c r="K686" s="2"/>
      <c r="P686" s="2"/>
    </row>
    <row r="687" ht="12.0" customHeight="1">
      <c r="B687" s="1"/>
      <c r="K687" s="2"/>
      <c r="P687" s="2"/>
    </row>
    <row r="688" ht="12.0" customHeight="1">
      <c r="B688" s="1"/>
      <c r="K688" s="2"/>
      <c r="P688" s="2"/>
    </row>
    <row r="689" ht="12.0" customHeight="1">
      <c r="B689" s="1"/>
      <c r="K689" s="2"/>
      <c r="P689" s="2"/>
    </row>
    <row r="690" ht="12.0" customHeight="1">
      <c r="B690" s="1"/>
      <c r="K690" s="2"/>
      <c r="P690" s="2"/>
    </row>
    <row r="691" ht="12.0" customHeight="1">
      <c r="B691" s="1"/>
      <c r="K691" s="2"/>
      <c r="P691" s="2"/>
    </row>
    <row r="692" ht="12.0" customHeight="1">
      <c r="B692" s="1"/>
      <c r="K692" s="2"/>
      <c r="P692" s="2"/>
    </row>
    <row r="693" ht="12.0" customHeight="1">
      <c r="B693" s="1"/>
      <c r="K693" s="2"/>
      <c r="P693" s="2"/>
    </row>
    <row r="694" ht="12.0" customHeight="1">
      <c r="B694" s="1"/>
      <c r="K694" s="2"/>
      <c r="P694" s="2"/>
    </row>
    <row r="695" ht="12.0" customHeight="1">
      <c r="B695" s="1"/>
      <c r="K695" s="2"/>
      <c r="P695" s="2"/>
    </row>
    <row r="696" ht="12.0" customHeight="1">
      <c r="B696" s="1"/>
      <c r="K696" s="2"/>
      <c r="P696" s="2"/>
    </row>
    <row r="697" ht="12.0" customHeight="1">
      <c r="B697" s="1"/>
      <c r="K697" s="2"/>
      <c r="P697" s="2"/>
    </row>
    <row r="698" ht="12.0" customHeight="1">
      <c r="B698" s="1"/>
      <c r="K698" s="2"/>
      <c r="P698" s="2"/>
    </row>
    <row r="699" ht="12.0" customHeight="1">
      <c r="B699" s="1"/>
      <c r="K699" s="2"/>
      <c r="P699" s="2"/>
    </row>
    <row r="700" ht="12.0" customHeight="1">
      <c r="B700" s="1"/>
      <c r="K700" s="2"/>
      <c r="P700" s="2"/>
    </row>
    <row r="701" ht="12.0" customHeight="1">
      <c r="B701" s="1"/>
      <c r="K701" s="2"/>
      <c r="P701" s="2"/>
    </row>
    <row r="702" ht="12.0" customHeight="1">
      <c r="B702" s="1"/>
      <c r="K702" s="2"/>
      <c r="P702" s="2"/>
    </row>
    <row r="703" ht="12.0" customHeight="1">
      <c r="B703" s="1"/>
      <c r="K703" s="2"/>
      <c r="P703" s="2"/>
    </row>
    <row r="704" ht="12.0" customHeight="1">
      <c r="B704" s="1"/>
      <c r="K704" s="2"/>
      <c r="P704" s="2"/>
    </row>
    <row r="705" ht="12.0" customHeight="1">
      <c r="B705" s="1"/>
      <c r="K705" s="2"/>
      <c r="P705" s="2"/>
    </row>
    <row r="706" ht="12.0" customHeight="1">
      <c r="B706" s="1"/>
      <c r="K706" s="2"/>
      <c r="P706" s="2"/>
    </row>
    <row r="707" ht="12.0" customHeight="1">
      <c r="B707" s="1"/>
      <c r="K707" s="2"/>
      <c r="P707" s="2"/>
    </row>
    <row r="708" ht="12.0" customHeight="1">
      <c r="B708" s="1"/>
      <c r="K708" s="2"/>
      <c r="P708" s="2"/>
    </row>
    <row r="709" ht="12.0" customHeight="1">
      <c r="B709" s="1"/>
      <c r="K709" s="2"/>
      <c r="P709" s="2"/>
    </row>
    <row r="710" ht="12.0" customHeight="1">
      <c r="B710" s="1"/>
      <c r="K710" s="2"/>
      <c r="P710" s="2"/>
    </row>
    <row r="711" ht="12.0" customHeight="1">
      <c r="B711" s="1"/>
      <c r="K711" s="2"/>
      <c r="P711" s="2"/>
    </row>
    <row r="712" ht="12.0" customHeight="1">
      <c r="B712" s="1"/>
      <c r="K712" s="2"/>
      <c r="P712" s="2"/>
    </row>
    <row r="713" ht="12.0" customHeight="1">
      <c r="B713" s="1"/>
      <c r="K713" s="2"/>
      <c r="P713" s="2"/>
    </row>
    <row r="714" ht="12.0" customHeight="1">
      <c r="B714" s="1"/>
      <c r="K714" s="2"/>
      <c r="P714" s="2"/>
    </row>
    <row r="715" ht="12.0" customHeight="1">
      <c r="B715" s="1"/>
      <c r="K715" s="2"/>
      <c r="P715" s="2"/>
    </row>
    <row r="716" ht="12.0" customHeight="1">
      <c r="B716" s="1"/>
      <c r="K716" s="2"/>
      <c r="P716" s="2"/>
    </row>
    <row r="717" ht="12.0" customHeight="1">
      <c r="B717" s="1"/>
      <c r="K717" s="2"/>
      <c r="P717" s="2"/>
    </row>
    <row r="718" ht="12.0" customHeight="1">
      <c r="B718" s="1"/>
      <c r="K718" s="2"/>
      <c r="P718" s="2"/>
    </row>
    <row r="719" ht="12.0" customHeight="1">
      <c r="B719" s="1"/>
      <c r="K719" s="2"/>
      <c r="P719" s="2"/>
    </row>
    <row r="720" ht="12.0" customHeight="1">
      <c r="B720" s="1"/>
      <c r="K720" s="2"/>
      <c r="P720" s="2"/>
    </row>
    <row r="721" ht="12.0" customHeight="1">
      <c r="B721" s="1"/>
      <c r="K721" s="2"/>
      <c r="P721" s="2"/>
    </row>
    <row r="722" ht="12.0" customHeight="1">
      <c r="B722" s="1"/>
      <c r="K722" s="2"/>
      <c r="P722" s="2"/>
    </row>
    <row r="723" ht="12.0" customHeight="1">
      <c r="B723" s="1"/>
      <c r="K723" s="2"/>
      <c r="P723" s="2"/>
    </row>
    <row r="724" ht="12.0" customHeight="1">
      <c r="B724" s="1"/>
      <c r="K724" s="2"/>
      <c r="P724" s="2"/>
    </row>
    <row r="725" ht="12.0" customHeight="1">
      <c r="B725" s="1"/>
      <c r="K725" s="2"/>
      <c r="P725" s="2"/>
    </row>
    <row r="726" ht="12.0" customHeight="1">
      <c r="B726" s="1"/>
      <c r="K726" s="2"/>
      <c r="P726" s="2"/>
    </row>
    <row r="727" ht="12.0" customHeight="1">
      <c r="B727" s="1"/>
      <c r="K727" s="2"/>
      <c r="P727" s="2"/>
    </row>
    <row r="728" ht="12.0" customHeight="1">
      <c r="B728" s="1"/>
      <c r="K728" s="2"/>
      <c r="P728" s="2"/>
    </row>
    <row r="729" ht="12.0" customHeight="1">
      <c r="B729" s="1"/>
      <c r="K729" s="2"/>
      <c r="P729" s="2"/>
    </row>
    <row r="730" ht="12.0" customHeight="1">
      <c r="B730" s="1"/>
      <c r="K730" s="2"/>
      <c r="P730" s="2"/>
    </row>
    <row r="731" ht="12.0" customHeight="1">
      <c r="B731" s="1"/>
      <c r="K731" s="2"/>
      <c r="P731" s="2"/>
    </row>
    <row r="732" ht="12.0" customHeight="1">
      <c r="B732" s="1"/>
      <c r="K732" s="2"/>
      <c r="P732" s="2"/>
    </row>
    <row r="733" ht="12.0" customHeight="1">
      <c r="B733" s="1"/>
      <c r="K733" s="2"/>
      <c r="P733" s="2"/>
    </row>
    <row r="734" ht="12.0" customHeight="1">
      <c r="B734" s="1"/>
      <c r="K734" s="2"/>
      <c r="P734" s="2"/>
    </row>
    <row r="735" ht="12.0" customHeight="1">
      <c r="B735" s="1"/>
      <c r="K735" s="2"/>
      <c r="P735" s="2"/>
    </row>
    <row r="736" ht="12.0" customHeight="1">
      <c r="B736" s="1"/>
      <c r="K736" s="2"/>
      <c r="P736" s="2"/>
    </row>
    <row r="737" ht="12.0" customHeight="1">
      <c r="B737" s="1"/>
      <c r="K737" s="2"/>
      <c r="P737" s="2"/>
    </row>
    <row r="738" ht="12.0" customHeight="1">
      <c r="B738" s="1"/>
      <c r="K738" s="2"/>
      <c r="P738" s="2"/>
    </row>
    <row r="739" ht="12.0" customHeight="1">
      <c r="B739" s="1"/>
      <c r="K739" s="2"/>
      <c r="P739" s="2"/>
    </row>
    <row r="740" ht="12.0" customHeight="1">
      <c r="B740" s="1"/>
      <c r="K740" s="2"/>
      <c r="P740" s="2"/>
    </row>
    <row r="741" ht="12.0" customHeight="1">
      <c r="B741" s="1"/>
      <c r="K741" s="2"/>
      <c r="P741" s="2"/>
    </row>
    <row r="742" ht="12.0" customHeight="1">
      <c r="B742" s="1"/>
      <c r="K742" s="2"/>
      <c r="P742" s="2"/>
    </row>
    <row r="743" ht="12.0" customHeight="1">
      <c r="B743" s="1"/>
      <c r="K743" s="2"/>
      <c r="P743" s="2"/>
    </row>
    <row r="744" ht="12.0" customHeight="1">
      <c r="B744" s="1"/>
      <c r="K744" s="2"/>
      <c r="P744" s="2"/>
    </row>
    <row r="745" ht="12.0" customHeight="1">
      <c r="B745" s="1"/>
      <c r="K745" s="2"/>
      <c r="P745" s="2"/>
    </row>
    <row r="746" ht="12.0" customHeight="1">
      <c r="B746" s="1"/>
      <c r="K746" s="2"/>
      <c r="P746" s="2"/>
    </row>
    <row r="747" ht="12.0" customHeight="1">
      <c r="B747" s="1"/>
      <c r="K747" s="2"/>
      <c r="P747" s="2"/>
    </row>
    <row r="748" ht="12.0" customHeight="1">
      <c r="B748" s="1"/>
      <c r="K748" s="2"/>
      <c r="P748" s="2"/>
    </row>
    <row r="749" ht="12.0" customHeight="1">
      <c r="B749" s="1"/>
      <c r="K749" s="2"/>
      <c r="P749" s="2"/>
    </row>
    <row r="750" ht="12.0" customHeight="1">
      <c r="B750" s="1"/>
      <c r="K750" s="2"/>
      <c r="P750" s="2"/>
    </row>
    <row r="751" ht="12.0" customHeight="1">
      <c r="B751" s="1"/>
      <c r="K751" s="2"/>
      <c r="P751" s="2"/>
    </row>
    <row r="752" ht="12.0" customHeight="1">
      <c r="B752" s="1"/>
      <c r="K752" s="2"/>
      <c r="P752" s="2"/>
    </row>
    <row r="753" ht="12.0" customHeight="1">
      <c r="B753" s="1"/>
      <c r="K753" s="2"/>
      <c r="P753" s="2"/>
    </row>
    <row r="754" ht="12.0" customHeight="1">
      <c r="B754" s="1"/>
      <c r="K754" s="2"/>
      <c r="P754" s="2"/>
    </row>
    <row r="755" ht="12.0" customHeight="1">
      <c r="B755" s="1"/>
      <c r="K755" s="2"/>
      <c r="P755" s="2"/>
    </row>
    <row r="756" ht="12.0" customHeight="1">
      <c r="B756" s="1"/>
      <c r="K756" s="2"/>
      <c r="P756" s="2"/>
    </row>
    <row r="757" ht="12.0" customHeight="1">
      <c r="B757" s="1"/>
      <c r="K757" s="2"/>
      <c r="P757" s="2"/>
    </row>
    <row r="758" ht="12.0" customHeight="1">
      <c r="B758" s="1"/>
      <c r="K758" s="2"/>
      <c r="P758" s="2"/>
    </row>
    <row r="759" ht="12.0" customHeight="1">
      <c r="B759" s="1"/>
      <c r="K759" s="2"/>
      <c r="P759" s="2"/>
    </row>
    <row r="760" ht="12.0" customHeight="1">
      <c r="B760" s="1"/>
      <c r="K760" s="2"/>
      <c r="P760" s="2"/>
    </row>
    <row r="761" ht="12.0" customHeight="1">
      <c r="B761" s="1"/>
      <c r="K761" s="2"/>
      <c r="P761" s="2"/>
    </row>
    <row r="762" ht="12.0" customHeight="1">
      <c r="B762" s="1"/>
      <c r="K762" s="2"/>
      <c r="P762" s="2"/>
    </row>
    <row r="763" ht="12.0" customHeight="1">
      <c r="B763" s="1"/>
      <c r="K763" s="2"/>
      <c r="P763" s="2"/>
    </row>
    <row r="764" ht="12.0" customHeight="1">
      <c r="B764" s="1"/>
      <c r="K764" s="2"/>
      <c r="P764" s="2"/>
    </row>
    <row r="765" ht="12.0" customHeight="1">
      <c r="B765" s="1"/>
      <c r="K765" s="2"/>
      <c r="P765" s="2"/>
    </row>
    <row r="766" ht="12.0" customHeight="1">
      <c r="B766" s="1"/>
      <c r="K766" s="2"/>
      <c r="P766" s="2"/>
    </row>
    <row r="767" ht="12.0" customHeight="1">
      <c r="B767" s="1"/>
      <c r="K767" s="2"/>
      <c r="P767" s="2"/>
    </row>
    <row r="768" ht="12.0" customHeight="1">
      <c r="B768" s="1"/>
      <c r="K768" s="2"/>
      <c r="P768" s="2"/>
    </row>
    <row r="769" ht="12.0" customHeight="1">
      <c r="B769" s="1"/>
      <c r="K769" s="2"/>
      <c r="P769" s="2"/>
    </row>
    <row r="770" ht="12.0" customHeight="1">
      <c r="B770" s="1"/>
      <c r="K770" s="2"/>
      <c r="P770" s="2"/>
    </row>
    <row r="771" ht="12.0" customHeight="1">
      <c r="B771" s="1"/>
      <c r="K771" s="2"/>
      <c r="P771" s="2"/>
    </row>
    <row r="772" ht="12.0" customHeight="1">
      <c r="B772" s="1"/>
      <c r="K772" s="2"/>
      <c r="P772" s="2"/>
    </row>
    <row r="773" ht="12.0" customHeight="1">
      <c r="B773" s="1"/>
      <c r="K773" s="2"/>
      <c r="P773" s="2"/>
    </row>
    <row r="774" ht="12.0" customHeight="1">
      <c r="B774" s="1"/>
      <c r="K774" s="2"/>
      <c r="P774" s="2"/>
    </row>
    <row r="775" ht="12.0" customHeight="1">
      <c r="B775" s="1"/>
      <c r="K775" s="2"/>
      <c r="P775" s="2"/>
    </row>
    <row r="776" ht="12.0" customHeight="1">
      <c r="B776" s="1"/>
      <c r="K776" s="2"/>
      <c r="P776" s="2"/>
    </row>
    <row r="777" ht="12.0" customHeight="1">
      <c r="B777" s="1"/>
      <c r="K777" s="2"/>
      <c r="P777" s="2"/>
    </row>
    <row r="778" ht="12.0" customHeight="1">
      <c r="B778" s="1"/>
      <c r="K778" s="2"/>
      <c r="P778" s="2"/>
    </row>
    <row r="779" ht="12.0" customHeight="1">
      <c r="B779" s="1"/>
      <c r="K779" s="2"/>
      <c r="P779" s="2"/>
    </row>
    <row r="780" ht="12.0" customHeight="1">
      <c r="B780" s="1"/>
      <c r="K780" s="2"/>
      <c r="P780" s="2"/>
    </row>
    <row r="781" ht="12.0" customHeight="1">
      <c r="B781" s="1"/>
      <c r="K781" s="2"/>
      <c r="P781" s="2"/>
    </row>
    <row r="782" ht="12.0" customHeight="1">
      <c r="B782" s="1"/>
      <c r="K782" s="2"/>
      <c r="P782" s="2"/>
    </row>
    <row r="783" ht="12.0" customHeight="1">
      <c r="B783" s="1"/>
      <c r="K783" s="2"/>
      <c r="P783" s="2"/>
    </row>
    <row r="784" ht="12.0" customHeight="1">
      <c r="B784" s="1"/>
      <c r="K784" s="2"/>
      <c r="P784" s="2"/>
    </row>
    <row r="785" ht="12.0" customHeight="1">
      <c r="B785" s="1"/>
      <c r="K785" s="2"/>
      <c r="P785" s="2"/>
    </row>
    <row r="786" ht="12.0" customHeight="1">
      <c r="B786" s="1"/>
      <c r="K786" s="2"/>
      <c r="P786" s="2"/>
    </row>
    <row r="787" ht="12.0" customHeight="1">
      <c r="B787" s="1"/>
      <c r="K787" s="2"/>
      <c r="P787" s="2"/>
    </row>
    <row r="788" ht="12.0" customHeight="1">
      <c r="B788" s="1"/>
      <c r="K788" s="2"/>
      <c r="P788" s="2"/>
    </row>
    <row r="789" ht="12.0" customHeight="1">
      <c r="B789" s="1"/>
      <c r="K789" s="2"/>
      <c r="P789" s="2"/>
    </row>
    <row r="790" ht="12.0" customHeight="1">
      <c r="B790" s="1"/>
      <c r="K790" s="2"/>
      <c r="P790" s="2"/>
    </row>
    <row r="791" ht="12.0" customHeight="1">
      <c r="B791" s="1"/>
      <c r="K791" s="2"/>
      <c r="P791" s="2"/>
    </row>
    <row r="792" ht="12.0" customHeight="1">
      <c r="B792" s="1"/>
      <c r="K792" s="2"/>
      <c r="P792" s="2"/>
    </row>
    <row r="793" ht="12.0" customHeight="1">
      <c r="B793" s="1"/>
      <c r="K793" s="2"/>
      <c r="P793" s="2"/>
    </row>
    <row r="794" ht="12.0" customHeight="1">
      <c r="B794" s="1"/>
      <c r="K794" s="2"/>
      <c r="P794" s="2"/>
    </row>
    <row r="795" ht="12.0" customHeight="1">
      <c r="B795" s="1"/>
      <c r="K795" s="2"/>
      <c r="P795" s="2"/>
    </row>
    <row r="796" ht="12.0" customHeight="1">
      <c r="B796" s="1"/>
      <c r="K796" s="2"/>
      <c r="P796" s="2"/>
    </row>
    <row r="797" ht="12.0" customHeight="1">
      <c r="B797" s="1"/>
      <c r="K797" s="2"/>
      <c r="P797" s="2"/>
    </row>
    <row r="798" ht="12.0" customHeight="1">
      <c r="B798" s="1"/>
      <c r="K798" s="2"/>
      <c r="P798" s="2"/>
    </row>
    <row r="799" ht="12.0" customHeight="1">
      <c r="B799" s="1"/>
      <c r="K799" s="2"/>
      <c r="P799" s="2"/>
    </row>
    <row r="800" ht="12.0" customHeight="1">
      <c r="B800" s="1"/>
      <c r="K800" s="2"/>
      <c r="P800" s="2"/>
    </row>
    <row r="801" ht="12.0" customHeight="1">
      <c r="B801" s="1"/>
      <c r="K801" s="2"/>
      <c r="P801" s="2"/>
    </row>
    <row r="802" ht="12.0" customHeight="1">
      <c r="B802" s="1"/>
      <c r="K802" s="2"/>
      <c r="P802" s="2"/>
    </row>
    <row r="803" ht="12.0" customHeight="1">
      <c r="B803" s="1"/>
      <c r="K803" s="2"/>
      <c r="P803" s="2"/>
    </row>
    <row r="804" ht="12.0" customHeight="1">
      <c r="B804" s="1"/>
      <c r="K804" s="2"/>
      <c r="P804" s="2"/>
    </row>
    <row r="805" ht="12.0" customHeight="1">
      <c r="B805" s="1"/>
      <c r="K805" s="2"/>
      <c r="P805" s="2"/>
    </row>
    <row r="806" ht="12.0" customHeight="1">
      <c r="B806" s="1"/>
      <c r="K806" s="2"/>
      <c r="P806" s="2"/>
    </row>
    <row r="807" ht="12.0" customHeight="1">
      <c r="B807" s="1"/>
      <c r="K807" s="2"/>
      <c r="P807" s="2"/>
    </row>
    <row r="808" ht="12.0" customHeight="1">
      <c r="B808" s="1"/>
      <c r="K808" s="2"/>
      <c r="P808" s="2"/>
    </row>
    <row r="809" ht="12.0" customHeight="1">
      <c r="B809" s="1"/>
      <c r="K809" s="2"/>
      <c r="P809" s="2"/>
    </row>
    <row r="810" ht="12.0" customHeight="1">
      <c r="B810" s="1"/>
      <c r="K810" s="2"/>
      <c r="P810" s="2"/>
    </row>
    <row r="811" ht="12.0" customHeight="1">
      <c r="B811" s="1"/>
      <c r="K811" s="2"/>
      <c r="P811" s="2"/>
    </row>
    <row r="812" ht="12.0" customHeight="1">
      <c r="B812" s="1"/>
      <c r="K812" s="2"/>
      <c r="P812" s="2"/>
    </row>
    <row r="813" ht="12.0" customHeight="1">
      <c r="B813" s="1"/>
      <c r="K813" s="2"/>
      <c r="P813" s="2"/>
    </row>
    <row r="814" ht="12.0" customHeight="1">
      <c r="B814" s="1"/>
      <c r="K814" s="2"/>
      <c r="P814" s="2"/>
    </row>
    <row r="815" ht="12.0" customHeight="1">
      <c r="B815" s="1"/>
      <c r="K815" s="2"/>
      <c r="P815" s="2"/>
    </row>
    <row r="816" ht="12.0" customHeight="1">
      <c r="B816" s="1"/>
      <c r="K816" s="2"/>
      <c r="P816" s="2"/>
    </row>
    <row r="817" ht="12.0" customHeight="1">
      <c r="B817" s="1"/>
      <c r="K817" s="2"/>
      <c r="P817" s="2"/>
    </row>
    <row r="818" ht="12.0" customHeight="1">
      <c r="B818" s="1"/>
      <c r="K818" s="2"/>
      <c r="P818" s="2"/>
    </row>
    <row r="819" ht="12.0" customHeight="1">
      <c r="B819" s="1"/>
      <c r="K819" s="2"/>
      <c r="P819" s="2"/>
    </row>
    <row r="820" ht="12.0" customHeight="1">
      <c r="B820" s="1"/>
      <c r="K820" s="2"/>
      <c r="P820" s="2"/>
    </row>
    <row r="821" ht="12.0" customHeight="1">
      <c r="B821" s="1"/>
      <c r="K821" s="2"/>
      <c r="P821" s="2"/>
    </row>
    <row r="822" ht="12.0" customHeight="1">
      <c r="B822" s="1"/>
      <c r="K822" s="2"/>
      <c r="P822" s="2"/>
    </row>
    <row r="823" ht="12.0" customHeight="1">
      <c r="B823" s="1"/>
      <c r="K823" s="2"/>
      <c r="P823" s="2"/>
    </row>
    <row r="824" ht="12.0" customHeight="1">
      <c r="B824" s="1"/>
      <c r="K824" s="2"/>
      <c r="P824" s="2"/>
    </row>
    <row r="825" ht="12.0" customHeight="1">
      <c r="B825" s="1"/>
      <c r="K825" s="2"/>
      <c r="P825" s="2"/>
    </row>
    <row r="826" ht="12.0" customHeight="1">
      <c r="B826" s="1"/>
      <c r="K826" s="2"/>
      <c r="P826" s="2"/>
    </row>
    <row r="827" ht="12.0" customHeight="1">
      <c r="B827" s="1"/>
      <c r="K827" s="2"/>
      <c r="P827" s="2"/>
    </row>
    <row r="828" ht="12.0" customHeight="1">
      <c r="B828" s="1"/>
      <c r="K828" s="2"/>
      <c r="P828" s="2"/>
    </row>
    <row r="829" ht="12.0" customHeight="1">
      <c r="B829" s="1"/>
      <c r="K829" s="2"/>
      <c r="P829" s="2"/>
    </row>
    <row r="830" ht="12.0" customHeight="1">
      <c r="B830" s="1"/>
      <c r="K830" s="2"/>
      <c r="P830" s="2"/>
    </row>
    <row r="831" ht="12.0" customHeight="1">
      <c r="B831" s="1"/>
      <c r="K831" s="2"/>
      <c r="P831" s="2"/>
    </row>
    <row r="832" ht="12.0" customHeight="1">
      <c r="B832" s="1"/>
      <c r="K832" s="2"/>
      <c r="P832" s="2"/>
    </row>
    <row r="833" ht="12.0" customHeight="1">
      <c r="B833" s="1"/>
      <c r="K833" s="2"/>
      <c r="P833" s="2"/>
    </row>
    <row r="834" ht="12.0" customHeight="1">
      <c r="B834" s="1"/>
      <c r="K834" s="2"/>
      <c r="P834" s="2"/>
    </row>
    <row r="835" ht="12.0" customHeight="1">
      <c r="B835" s="1"/>
      <c r="K835" s="2"/>
      <c r="P835" s="2"/>
    </row>
    <row r="836" ht="12.0" customHeight="1">
      <c r="B836" s="1"/>
      <c r="K836" s="2"/>
      <c r="P836" s="2"/>
    </row>
    <row r="837" ht="12.0" customHeight="1">
      <c r="B837" s="1"/>
      <c r="K837" s="2"/>
      <c r="P837" s="2"/>
    </row>
    <row r="838" ht="12.0" customHeight="1">
      <c r="B838" s="1"/>
      <c r="K838" s="2"/>
      <c r="P838" s="2"/>
    </row>
    <row r="839" ht="12.0" customHeight="1">
      <c r="B839" s="1"/>
      <c r="K839" s="2"/>
      <c r="P839" s="2"/>
    </row>
    <row r="840" ht="12.0" customHeight="1">
      <c r="B840" s="1"/>
      <c r="K840" s="2"/>
      <c r="P840" s="2"/>
    </row>
    <row r="841" ht="12.0" customHeight="1">
      <c r="B841" s="1"/>
      <c r="K841" s="2"/>
      <c r="P841" s="2"/>
    </row>
    <row r="842" ht="12.0" customHeight="1">
      <c r="B842" s="1"/>
      <c r="K842" s="2"/>
      <c r="P842" s="2"/>
    </row>
    <row r="843" ht="12.0" customHeight="1">
      <c r="B843" s="1"/>
      <c r="K843" s="2"/>
      <c r="P843" s="2"/>
    </row>
    <row r="844" ht="12.0" customHeight="1">
      <c r="B844" s="1"/>
      <c r="K844" s="2"/>
      <c r="P844" s="2"/>
    </row>
    <row r="845" ht="12.0" customHeight="1">
      <c r="B845" s="1"/>
      <c r="K845" s="2"/>
      <c r="P845" s="2"/>
    </row>
    <row r="846" ht="12.0" customHeight="1">
      <c r="B846" s="1"/>
      <c r="K846" s="2"/>
      <c r="P846" s="2"/>
    </row>
    <row r="847" ht="12.0" customHeight="1">
      <c r="B847" s="1"/>
      <c r="K847" s="2"/>
      <c r="P847" s="2"/>
    </row>
    <row r="848" ht="12.0" customHeight="1">
      <c r="B848" s="1"/>
      <c r="K848" s="2"/>
      <c r="P848" s="2"/>
    </row>
    <row r="849" ht="12.0" customHeight="1">
      <c r="B849" s="1"/>
      <c r="K849" s="2"/>
      <c r="P849" s="2"/>
    </row>
    <row r="850" ht="12.0" customHeight="1">
      <c r="B850" s="1"/>
      <c r="K850" s="2"/>
      <c r="P850" s="2"/>
    </row>
    <row r="851" ht="12.0" customHeight="1">
      <c r="B851" s="1"/>
      <c r="K851" s="2"/>
      <c r="P851" s="2"/>
    </row>
    <row r="852" ht="12.0" customHeight="1">
      <c r="B852" s="1"/>
      <c r="K852" s="2"/>
      <c r="P852" s="2"/>
    </row>
    <row r="853" ht="12.0" customHeight="1">
      <c r="B853" s="1"/>
      <c r="K853" s="2"/>
      <c r="P853" s="2"/>
    </row>
    <row r="854" ht="12.0" customHeight="1">
      <c r="B854" s="1"/>
      <c r="K854" s="2"/>
      <c r="P854" s="2"/>
    </row>
    <row r="855" ht="12.0" customHeight="1">
      <c r="B855" s="1"/>
      <c r="K855" s="2"/>
      <c r="P855" s="2"/>
    </row>
    <row r="856" ht="12.0" customHeight="1">
      <c r="B856" s="1"/>
      <c r="K856" s="2"/>
      <c r="P856" s="2"/>
    </row>
    <row r="857" ht="12.0" customHeight="1">
      <c r="B857" s="1"/>
      <c r="K857" s="2"/>
      <c r="P857" s="2"/>
    </row>
    <row r="858" ht="12.0" customHeight="1">
      <c r="B858" s="1"/>
      <c r="K858" s="2"/>
      <c r="P858" s="2"/>
    </row>
    <row r="859" ht="12.0" customHeight="1">
      <c r="B859" s="1"/>
      <c r="K859" s="2"/>
      <c r="P859" s="2"/>
    </row>
    <row r="860" ht="12.0" customHeight="1">
      <c r="B860" s="1"/>
      <c r="K860" s="2"/>
      <c r="P860" s="2"/>
    </row>
    <row r="861" ht="12.0" customHeight="1">
      <c r="B861" s="1"/>
      <c r="K861" s="2"/>
      <c r="P861" s="2"/>
    </row>
    <row r="862" ht="12.0" customHeight="1">
      <c r="B862" s="1"/>
      <c r="K862" s="2"/>
      <c r="P862" s="2"/>
    </row>
    <row r="863" ht="12.0" customHeight="1">
      <c r="B863" s="1"/>
      <c r="K863" s="2"/>
      <c r="P863" s="2"/>
    </row>
    <row r="864" ht="12.0" customHeight="1">
      <c r="B864" s="1"/>
      <c r="K864" s="2"/>
      <c r="P864" s="2"/>
    </row>
    <row r="865" ht="12.0" customHeight="1">
      <c r="B865" s="1"/>
      <c r="K865" s="2"/>
      <c r="P865" s="2"/>
    </row>
    <row r="866" ht="12.0" customHeight="1">
      <c r="B866" s="1"/>
      <c r="K866" s="2"/>
      <c r="P866" s="2"/>
    </row>
    <row r="867" ht="12.0" customHeight="1">
      <c r="B867" s="1"/>
      <c r="K867" s="2"/>
      <c r="P867" s="2"/>
    </row>
    <row r="868" ht="12.0" customHeight="1">
      <c r="B868" s="1"/>
      <c r="K868" s="2"/>
      <c r="P868" s="2"/>
    </row>
    <row r="869" ht="12.0" customHeight="1">
      <c r="B869" s="1"/>
      <c r="K869" s="2"/>
      <c r="P869" s="2"/>
    </row>
    <row r="870" ht="12.0" customHeight="1">
      <c r="B870" s="1"/>
      <c r="K870" s="2"/>
      <c r="P870" s="2"/>
    </row>
    <row r="871" ht="12.0" customHeight="1">
      <c r="B871" s="1"/>
      <c r="K871" s="2"/>
      <c r="P871" s="2"/>
    </row>
    <row r="872" ht="12.0" customHeight="1">
      <c r="B872" s="1"/>
      <c r="K872" s="2"/>
      <c r="P872" s="2"/>
    </row>
    <row r="873" ht="12.0" customHeight="1">
      <c r="B873" s="1"/>
      <c r="K873" s="2"/>
      <c r="P873" s="2"/>
    </row>
    <row r="874" ht="12.0" customHeight="1">
      <c r="B874" s="1"/>
      <c r="K874" s="2"/>
      <c r="P874" s="2"/>
    </row>
    <row r="875" ht="12.0" customHeight="1">
      <c r="B875" s="1"/>
      <c r="K875" s="2"/>
      <c r="P875" s="2"/>
    </row>
    <row r="876" ht="12.0" customHeight="1">
      <c r="B876" s="1"/>
      <c r="K876" s="2"/>
      <c r="P876" s="2"/>
    </row>
    <row r="877" ht="12.0" customHeight="1">
      <c r="B877" s="1"/>
      <c r="K877" s="2"/>
      <c r="P877" s="2"/>
    </row>
    <row r="878" ht="12.0" customHeight="1">
      <c r="B878" s="1"/>
      <c r="K878" s="2"/>
      <c r="P878" s="2"/>
    </row>
    <row r="879" ht="12.0" customHeight="1">
      <c r="B879" s="1"/>
      <c r="K879" s="2"/>
      <c r="P879" s="2"/>
    </row>
    <row r="880" ht="12.0" customHeight="1">
      <c r="B880" s="1"/>
      <c r="K880" s="2"/>
      <c r="P880" s="2"/>
    </row>
    <row r="881" ht="12.0" customHeight="1">
      <c r="B881" s="1"/>
      <c r="K881" s="2"/>
      <c r="P881" s="2"/>
    </row>
    <row r="882" ht="12.0" customHeight="1">
      <c r="B882" s="1"/>
      <c r="K882" s="2"/>
      <c r="P882" s="2"/>
    </row>
    <row r="883" ht="12.0" customHeight="1">
      <c r="B883" s="1"/>
      <c r="K883" s="2"/>
      <c r="P883" s="2"/>
    </row>
    <row r="884" ht="12.0" customHeight="1">
      <c r="B884" s="1"/>
      <c r="K884" s="2"/>
      <c r="P884" s="2"/>
    </row>
    <row r="885" ht="12.0" customHeight="1">
      <c r="B885" s="1"/>
      <c r="K885" s="2"/>
      <c r="P885" s="2"/>
    </row>
    <row r="886" ht="12.0" customHeight="1">
      <c r="B886" s="1"/>
      <c r="K886" s="2"/>
      <c r="P886" s="2"/>
    </row>
    <row r="887" ht="12.0" customHeight="1">
      <c r="B887" s="1"/>
      <c r="K887" s="2"/>
      <c r="P887" s="2"/>
    </row>
    <row r="888" ht="12.0" customHeight="1">
      <c r="B888" s="1"/>
      <c r="K888" s="2"/>
      <c r="P888" s="2"/>
    </row>
    <row r="889" ht="12.0" customHeight="1">
      <c r="B889" s="1"/>
      <c r="K889" s="2"/>
      <c r="P889" s="2"/>
    </row>
    <row r="890" ht="12.0" customHeight="1">
      <c r="B890" s="1"/>
      <c r="K890" s="2"/>
      <c r="P890" s="2"/>
    </row>
    <row r="891" ht="12.0" customHeight="1">
      <c r="B891" s="1"/>
      <c r="K891" s="2"/>
      <c r="P891" s="2"/>
    </row>
    <row r="892" ht="12.0" customHeight="1">
      <c r="B892" s="1"/>
      <c r="K892" s="2"/>
      <c r="P892" s="2"/>
    </row>
    <row r="893" ht="12.0" customHeight="1">
      <c r="B893" s="1"/>
      <c r="K893" s="2"/>
      <c r="P893" s="2"/>
    </row>
    <row r="894" ht="12.0" customHeight="1">
      <c r="B894" s="1"/>
      <c r="K894" s="2"/>
      <c r="P894" s="2"/>
    </row>
    <row r="895" ht="12.0" customHeight="1">
      <c r="B895" s="1"/>
      <c r="K895" s="2"/>
      <c r="P895" s="2"/>
    </row>
    <row r="896" ht="12.0" customHeight="1">
      <c r="B896" s="1"/>
      <c r="K896" s="2"/>
      <c r="P896" s="2"/>
    </row>
    <row r="897" ht="12.0" customHeight="1">
      <c r="B897" s="1"/>
      <c r="K897" s="2"/>
      <c r="P897" s="2"/>
    </row>
    <row r="898" ht="12.0" customHeight="1">
      <c r="B898" s="1"/>
      <c r="K898" s="2"/>
      <c r="P898" s="2"/>
    </row>
    <row r="899" ht="12.0" customHeight="1">
      <c r="B899" s="1"/>
      <c r="K899" s="2"/>
      <c r="P899" s="2"/>
    </row>
    <row r="900" ht="12.0" customHeight="1">
      <c r="B900" s="1"/>
      <c r="K900" s="2"/>
      <c r="P900" s="2"/>
    </row>
    <row r="901" ht="12.0" customHeight="1">
      <c r="B901" s="1"/>
      <c r="K901" s="2"/>
      <c r="P901" s="2"/>
    </row>
    <row r="902" ht="12.0" customHeight="1">
      <c r="B902" s="1"/>
      <c r="K902" s="2"/>
      <c r="P902" s="2"/>
    </row>
    <row r="903" ht="12.0" customHeight="1">
      <c r="B903" s="1"/>
      <c r="K903" s="2"/>
      <c r="P903" s="2"/>
    </row>
    <row r="904" ht="12.0" customHeight="1">
      <c r="B904" s="1"/>
      <c r="K904" s="2"/>
      <c r="P904" s="2"/>
    </row>
    <row r="905" ht="12.0" customHeight="1">
      <c r="B905" s="1"/>
      <c r="K905" s="2"/>
      <c r="P905" s="2"/>
    </row>
    <row r="906" ht="12.0" customHeight="1">
      <c r="B906" s="1"/>
      <c r="K906" s="2"/>
      <c r="P906" s="2"/>
    </row>
    <row r="907" ht="12.0" customHeight="1">
      <c r="B907" s="1"/>
      <c r="K907" s="2"/>
      <c r="P907" s="2"/>
    </row>
    <row r="908" ht="12.0" customHeight="1">
      <c r="B908" s="1"/>
      <c r="K908" s="2"/>
      <c r="P908" s="2"/>
    </row>
    <row r="909" ht="12.0" customHeight="1">
      <c r="B909" s="1"/>
      <c r="K909" s="2"/>
      <c r="P909" s="2"/>
    </row>
    <row r="910" ht="12.0" customHeight="1">
      <c r="B910" s="1"/>
      <c r="K910" s="2"/>
      <c r="P910" s="2"/>
    </row>
    <row r="911" ht="12.0" customHeight="1">
      <c r="B911" s="1"/>
      <c r="K911" s="2"/>
      <c r="P911" s="2"/>
    </row>
    <row r="912" ht="12.0" customHeight="1">
      <c r="B912" s="1"/>
      <c r="K912" s="2"/>
      <c r="P912" s="2"/>
    </row>
    <row r="913" ht="12.0" customHeight="1">
      <c r="B913" s="1"/>
      <c r="K913" s="2"/>
      <c r="P913" s="2"/>
    </row>
    <row r="914" ht="12.0" customHeight="1">
      <c r="B914" s="1"/>
      <c r="K914" s="2"/>
      <c r="P914" s="2"/>
    </row>
    <row r="915" ht="12.0" customHeight="1">
      <c r="B915" s="1"/>
      <c r="K915" s="2"/>
      <c r="P915" s="2"/>
    </row>
    <row r="916" ht="12.0" customHeight="1">
      <c r="B916" s="1"/>
      <c r="K916" s="2"/>
      <c r="P916" s="2"/>
    </row>
    <row r="917" ht="12.0" customHeight="1">
      <c r="B917" s="1"/>
      <c r="K917" s="2"/>
      <c r="P917" s="2"/>
    </row>
    <row r="918" ht="12.0" customHeight="1">
      <c r="B918" s="1"/>
      <c r="K918" s="2"/>
      <c r="P918" s="2"/>
    </row>
    <row r="919" ht="12.0" customHeight="1">
      <c r="B919" s="1"/>
      <c r="K919" s="2"/>
      <c r="P919" s="2"/>
    </row>
    <row r="920" ht="12.0" customHeight="1">
      <c r="B920" s="1"/>
      <c r="K920" s="2"/>
      <c r="P920" s="2"/>
    </row>
    <row r="921" ht="12.0" customHeight="1">
      <c r="B921" s="1"/>
      <c r="K921" s="2"/>
      <c r="P921" s="2"/>
    </row>
    <row r="922" ht="12.0" customHeight="1">
      <c r="B922" s="1"/>
      <c r="K922" s="2"/>
      <c r="P922" s="2"/>
    </row>
    <row r="923" ht="12.0" customHeight="1">
      <c r="B923" s="1"/>
      <c r="K923" s="2"/>
      <c r="P923" s="2"/>
    </row>
    <row r="924" ht="12.0" customHeight="1">
      <c r="B924" s="1"/>
      <c r="K924" s="2"/>
      <c r="P924" s="2"/>
    </row>
    <row r="925" ht="12.0" customHeight="1">
      <c r="B925" s="1"/>
      <c r="K925" s="2"/>
      <c r="P925" s="2"/>
    </row>
    <row r="926" ht="12.0" customHeight="1">
      <c r="B926" s="1"/>
      <c r="K926" s="2"/>
      <c r="P926" s="2"/>
    </row>
    <row r="927" ht="12.0" customHeight="1">
      <c r="B927" s="1"/>
      <c r="K927" s="2"/>
      <c r="P927" s="2"/>
    </row>
    <row r="928" ht="12.0" customHeight="1">
      <c r="B928" s="1"/>
      <c r="K928" s="2"/>
      <c r="P928" s="2"/>
    </row>
    <row r="929" ht="12.0" customHeight="1">
      <c r="B929" s="1"/>
      <c r="K929" s="2"/>
      <c r="P929" s="2"/>
    </row>
    <row r="930" ht="12.0" customHeight="1">
      <c r="B930" s="1"/>
      <c r="K930" s="2"/>
      <c r="P930" s="2"/>
    </row>
    <row r="931" ht="12.0" customHeight="1">
      <c r="B931" s="1"/>
      <c r="K931" s="2"/>
      <c r="P931" s="2"/>
    </row>
    <row r="932" ht="12.0" customHeight="1">
      <c r="B932" s="1"/>
      <c r="K932" s="2"/>
      <c r="P932" s="2"/>
    </row>
    <row r="933" ht="12.0" customHeight="1">
      <c r="B933" s="1"/>
      <c r="K933" s="2"/>
      <c r="P933" s="2"/>
    </row>
    <row r="934" ht="12.0" customHeight="1">
      <c r="B934" s="1"/>
      <c r="K934" s="2"/>
      <c r="P934" s="2"/>
    </row>
    <row r="935" ht="12.0" customHeight="1">
      <c r="B935" s="1"/>
      <c r="K935" s="2"/>
      <c r="P935" s="2"/>
    </row>
    <row r="936" ht="12.0" customHeight="1">
      <c r="B936" s="1"/>
      <c r="K936" s="2"/>
      <c r="P936" s="2"/>
    </row>
    <row r="937" ht="12.0" customHeight="1">
      <c r="B937" s="1"/>
      <c r="K937" s="2"/>
      <c r="P937" s="2"/>
    </row>
    <row r="938" ht="12.0" customHeight="1">
      <c r="B938" s="1"/>
      <c r="K938" s="2"/>
      <c r="P938" s="2"/>
    </row>
    <row r="939" ht="12.0" customHeight="1">
      <c r="B939" s="1"/>
      <c r="K939" s="2"/>
      <c r="P939" s="2"/>
    </row>
    <row r="940" ht="12.0" customHeight="1">
      <c r="B940" s="1"/>
      <c r="K940" s="2"/>
      <c r="P940" s="2"/>
    </row>
    <row r="941" ht="12.0" customHeight="1">
      <c r="B941" s="1"/>
      <c r="K941" s="2"/>
      <c r="P941" s="2"/>
    </row>
    <row r="942" ht="12.0" customHeight="1">
      <c r="B942" s="1"/>
      <c r="K942" s="2"/>
      <c r="P942" s="2"/>
    </row>
    <row r="943" ht="12.0" customHeight="1">
      <c r="B943" s="1"/>
      <c r="K943" s="2"/>
      <c r="P943" s="2"/>
    </row>
    <row r="944" ht="12.0" customHeight="1">
      <c r="B944" s="1"/>
      <c r="K944" s="2"/>
      <c r="P944" s="2"/>
    </row>
    <row r="945" ht="12.0" customHeight="1">
      <c r="B945" s="1"/>
      <c r="K945" s="2"/>
      <c r="P945" s="2"/>
    </row>
    <row r="946" ht="12.0" customHeight="1">
      <c r="B946" s="1"/>
      <c r="K946" s="2"/>
      <c r="P946" s="2"/>
    </row>
    <row r="947" ht="12.0" customHeight="1">
      <c r="B947" s="1"/>
      <c r="K947" s="2"/>
      <c r="P947" s="2"/>
    </row>
    <row r="948" ht="12.0" customHeight="1">
      <c r="B948" s="1"/>
      <c r="K948" s="2"/>
      <c r="P948" s="2"/>
    </row>
    <row r="949" ht="12.0" customHeight="1">
      <c r="B949" s="1"/>
      <c r="K949" s="2"/>
      <c r="P949" s="2"/>
    </row>
    <row r="950" ht="12.0" customHeight="1">
      <c r="B950" s="1"/>
      <c r="K950" s="2"/>
      <c r="P950" s="2"/>
    </row>
    <row r="951" ht="12.0" customHeight="1">
      <c r="B951" s="1"/>
      <c r="K951" s="2"/>
      <c r="P951" s="2"/>
    </row>
    <row r="952" ht="12.0" customHeight="1">
      <c r="B952" s="1"/>
      <c r="K952" s="2"/>
      <c r="P952" s="2"/>
    </row>
    <row r="953" ht="12.0" customHeight="1">
      <c r="B953" s="1"/>
      <c r="K953" s="2"/>
      <c r="P953" s="2"/>
    </row>
    <row r="954" ht="12.0" customHeight="1">
      <c r="B954" s="1"/>
      <c r="K954" s="2"/>
      <c r="P954" s="2"/>
    </row>
    <row r="955" ht="12.0" customHeight="1">
      <c r="B955" s="1"/>
      <c r="K955" s="2"/>
      <c r="P955" s="2"/>
    </row>
    <row r="956" ht="12.0" customHeight="1">
      <c r="B956" s="1"/>
      <c r="K956" s="2"/>
      <c r="P956" s="2"/>
    </row>
    <row r="957" ht="12.0" customHeight="1">
      <c r="B957" s="1"/>
      <c r="K957" s="2"/>
      <c r="P957" s="2"/>
    </row>
    <row r="958" ht="12.0" customHeight="1">
      <c r="B958" s="1"/>
      <c r="K958" s="2"/>
      <c r="P958" s="2"/>
    </row>
    <row r="959" ht="12.0" customHeight="1">
      <c r="B959" s="1"/>
      <c r="K959" s="2"/>
      <c r="P959" s="2"/>
    </row>
    <row r="960" ht="12.0" customHeight="1">
      <c r="B960" s="1"/>
      <c r="K960" s="2"/>
      <c r="P960" s="2"/>
    </row>
    <row r="961" ht="12.0" customHeight="1">
      <c r="B961" s="1"/>
      <c r="K961" s="2"/>
      <c r="P961" s="2"/>
    </row>
    <row r="962" ht="12.0" customHeight="1">
      <c r="B962" s="1"/>
      <c r="K962" s="2"/>
      <c r="P962" s="2"/>
    </row>
    <row r="963" ht="12.0" customHeight="1">
      <c r="B963" s="1"/>
      <c r="K963" s="2"/>
      <c r="P963" s="2"/>
    </row>
    <row r="964" ht="12.0" customHeight="1">
      <c r="B964" s="1"/>
      <c r="K964" s="2"/>
      <c r="P964" s="2"/>
    </row>
    <row r="965" ht="12.0" customHeight="1">
      <c r="B965" s="1"/>
      <c r="K965" s="2"/>
      <c r="P965" s="2"/>
    </row>
    <row r="966" ht="12.0" customHeight="1">
      <c r="B966" s="1"/>
      <c r="K966" s="2"/>
      <c r="P966" s="2"/>
    </row>
    <row r="967" ht="12.0" customHeight="1">
      <c r="B967" s="1"/>
      <c r="K967" s="2"/>
      <c r="P967" s="2"/>
    </row>
    <row r="968" ht="12.0" customHeight="1">
      <c r="B968" s="1"/>
      <c r="K968" s="2"/>
      <c r="P968" s="2"/>
    </row>
    <row r="969" ht="12.0" customHeight="1">
      <c r="B969" s="1"/>
      <c r="K969" s="2"/>
      <c r="P969" s="2"/>
    </row>
    <row r="970" ht="12.0" customHeight="1">
      <c r="B970" s="1"/>
      <c r="K970" s="2"/>
      <c r="P970" s="2"/>
    </row>
    <row r="971" ht="12.0" customHeight="1">
      <c r="B971" s="1"/>
      <c r="K971" s="2"/>
      <c r="P971" s="2"/>
    </row>
    <row r="972" ht="12.0" customHeight="1">
      <c r="B972" s="1"/>
      <c r="K972" s="2"/>
      <c r="P972" s="2"/>
    </row>
    <row r="973" ht="12.0" customHeight="1">
      <c r="B973" s="1"/>
      <c r="K973" s="2"/>
      <c r="P973" s="2"/>
    </row>
    <row r="974" ht="12.0" customHeight="1">
      <c r="B974" s="1"/>
      <c r="K974" s="2"/>
      <c r="P974" s="2"/>
    </row>
    <row r="975" ht="12.0" customHeight="1">
      <c r="B975" s="1"/>
      <c r="K975" s="2"/>
      <c r="P975" s="2"/>
    </row>
    <row r="976" ht="12.0" customHeight="1">
      <c r="B976" s="1"/>
      <c r="K976" s="2"/>
      <c r="P976" s="2"/>
    </row>
    <row r="977" ht="12.0" customHeight="1">
      <c r="B977" s="1"/>
      <c r="K977" s="2"/>
      <c r="P977" s="2"/>
    </row>
    <row r="978" ht="12.0" customHeight="1">
      <c r="B978" s="1"/>
      <c r="K978" s="2"/>
      <c r="P978" s="2"/>
    </row>
    <row r="979" ht="12.0" customHeight="1">
      <c r="B979" s="1"/>
      <c r="K979" s="2"/>
      <c r="P979" s="2"/>
    </row>
    <row r="980" ht="12.0" customHeight="1">
      <c r="B980" s="1"/>
      <c r="K980" s="2"/>
      <c r="P980" s="2"/>
    </row>
    <row r="981" ht="12.0" customHeight="1">
      <c r="B981" s="1"/>
      <c r="K981" s="2"/>
      <c r="P981" s="2"/>
    </row>
    <row r="982" ht="12.0" customHeight="1">
      <c r="B982" s="1"/>
      <c r="K982" s="2"/>
      <c r="P982" s="2"/>
    </row>
    <row r="983" ht="12.0" customHeight="1">
      <c r="B983" s="1"/>
      <c r="K983" s="2"/>
      <c r="P983" s="2"/>
    </row>
    <row r="984" ht="12.0" customHeight="1">
      <c r="B984" s="1"/>
      <c r="K984" s="2"/>
      <c r="P984" s="2"/>
    </row>
    <row r="985" ht="12.0" customHeight="1">
      <c r="B985" s="1"/>
      <c r="K985" s="2"/>
      <c r="P985" s="2"/>
    </row>
    <row r="986" ht="12.0" customHeight="1">
      <c r="B986" s="1"/>
      <c r="K986" s="2"/>
      <c r="P986" s="2"/>
    </row>
    <row r="987" ht="12.0" customHeight="1">
      <c r="B987" s="1"/>
      <c r="K987" s="2"/>
      <c r="P987" s="2"/>
    </row>
    <row r="988" ht="12.0" customHeight="1">
      <c r="B988" s="1"/>
      <c r="K988" s="2"/>
      <c r="P988" s="2"/>
    </row>
    <row r="989" ht="12.0" customHeight="1">
      <c r="B989" s="1"/>
      <c r="K989" s="2"/>
      <c r="P989" s="2"/>
    </row>
    <row r="990" ht="12.0" customHeight="1">
      <c r="B990" s="1"/>
      <c r="K990" s="2"/>
      <c r="P990" s="2"/>
    </row>
    <row r="991" ht="12.0" customHeight="1">
      <c r="B991" s="1"/>
      <c r="K991" s="2"/>
      <c r="P991" s="2"/>
    </row>
    <row r="992" ht="12.0" customHeight="1">
      <c r="B992" s="1"/>
      <c r="K992" s="2"/>
      <c r="P992" s="2"/>
    </row>
    <row r="993" ht="12.0" customHeight="1">
      <c r="B993" s="1"/>
      <c r="K993" s="2"/>
      <c r="P993" s="2"/>
    </row>
    <row r="994" ht="12.0" customHeight="1">
      <c r="B994" s="1"/>
      <c r="K994" s="2"/>
      <c r="P994" s="2"/>
    </row>
    <row r="995" ht="12.0" customHeight="1">
      <c r="B995" s="1"/>
      <c r="K995" s="2"/>
      <c r="P995" s="2"/>
    </row>
    <row r="996" ht="12.0" customHeight="1">
      <c r="B996" s="1"/>
      <c r="K996" s="2"/>
      <c r="P996" s="2"/>
    </row>
    <row r="997" ht="12.0" customHeight="1">
      <c r="B997" s="1"/>
      <c r="K997" s="2"/>
      <c r="P997" s="2"/>
    </row>
    <row r="998" ht="12.0" customHeight="1">
      <c r="B998" s="1"/>
      <c r="K998" s="2"/>
      <c r="P998" s="2"/>
    </row>
  </sheetData>
  <mergeCells count="20">
    <mergeCell ref="J7:K7"/>
    <mergeCell ref="L7:M7"/>
    <mergeCell ref="O7:P7"/>
    <mergeCell ref="F8:H8"/>
    <mergeCell ref="I8:K8"/>
    <mergeCell ref="L8:N8"/>
    <mergeCell ref="B18:B20"/>
    <mergeCell ref="B54:B57"/>
    <mergeCell ref="B58:B60"/>
    <mergeCell ref="B61:B63"/>
    <mergeCell ref="B65:B67"/>
    <mergeCell ref="B68:B70"/>
    <mergeCell ref="B71:B73"/>
    <mergeCell ref="B21:B25"/>
    <mergeCell ref="B26:B30"/>
    <mergeCell ref="B35:B37"/>
    <mergeCell ref="B38:B40"/>
    <mergeCell ref="B42:B44"/>
    <mergeCell ref="B45:B47"/>
    <mergeCell ref="B48:B53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2 J45 J58 J61 J65 J68 J71 J75 J80">
      <formula1>"YES,NO"</formula1>
    </dataValidation>
    <dataValidation type="list" allowBlank="1" showErrorMessage="1" sqref="O17:O18 O21 O26 O31 O35 O38 O42 O45 O48 O54 O58 O61 O65 O68 O71 O75 O80">
      <formula1>"DELAPIDATED,POOR,FAIR,GOOD,VERY GOOD,EXCELLENT,NOT APPLICABLE"</formula1>
    </dataValidation>
    <dataValidation type="list" allowBlank="1" showErrorMessage="1" sqref="J54">
      <formula1>"STEEL WINDOW FRAMES,ALUMINIUM WINDOW FRAMES,NO WINDOWS FITTED"</formula1>
    </dataValidation>
    <dataValidation type="list" allowBlank="1" showErrorMessage="1" sqref="J15">
      <formula1>"2010-2013,2014-2021,2021-2023"</formula1>
    </dataValidation>
    <dataValidation type="list" allowBlank="1" showErrorMessage="1" sqref="J48">
      <formula1>"VINYL FLOORING,TILING FLOORING,TIMBER FLOORING,CARPETS FLOORING,NO FLOORING"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orientation="portrait"/>
  <headerFooter>
    <oddFooter>&amp;C....Making Buildings Work Tel: 310 1353                         Cell: 74712201                    Email: temocs@gmail.com</oddFooter>
  </headerFooter>
  <colBreaks count="1" manualBreakCount="1">
    <brk id="16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4.5"/>
    <col customWidth="1" min="3" max="3" width="20.5"/>
    <col customWidth="1" hidden="1" min="4" max="5" width="26.38"/>
    <col customWidth="1" hidden="1" min="6" max="8" width="22.63"/>
    <col customWidth="1" hidden="1" min="9" max="9" width="15.75"/>
    <col customWidth="1" min="10" max="10" width="23.75"/>
    <col customWidth="1" min="11" max="11" width="21.25"/>
    <col customWidth="1" hidden="1" min="12" max="12" width="28.0"/>
    <col customWidth="1" hidden="1" min="13" max="13" width="1.0"/>
    <col customWidth="1" hidden="1" min="14" max="14" width="26.25"/>
    <col customWidth="1" min="15" max="15" width="19.13"/>
    <col customWidth="1" min="16" max="16" width="30.75"/>
    <col customWidth="1" min="17" max="26" width="9.13"/>
  </cols>
  <sheetData>
    <row r="1" ht="12.0" customHeight="1">
      <c r="B1" s="1"/>
      <c r="K1" s="151"/>
      <c r="P1" s="151"/>
    </row>
    <row r="2" ht="12.0" customHeight="1">
      <c r="B2" s="1"/>
      <c r="K2" s="151"/>
      <c r="P2" s="151"/>
    </row>
    <row r="3" ht="12.0" customHeight="1">
      <c r="B3" s="1"/>
      <c r="C3" s="4" t="s">
        <v>133</v>
      </c>
      <c r="K3" s="151"/>
      <c r="P3" s="151"/>
    </row>
    <row r="4" ht="12.0" customHeight="1">
      <c r="B4" s="1"/>
      <c r="C4" s="5" t="s">
        <v>140</v>
      </c>
      <c r="K4" s="151"/>
      <c r="P4" s="151"/>
    </row>
    <row r="5" ht="34.5" customHeight="1">
      <c r="B5" s="1"/>
      <c r="C5" s="5"/>
      <c r="K5" s="151"/>
      <c r="P5" s="151"/>
    </row>
    <row r="6" ht="34.5" customHeight="1">
      <c r="B6" s="1"/>
      <c r="C6" s="5"/>
      <c r="K6" s="151"/>
      <c r="P6" s="151"/>
    </row>
    <row r="7" ht="29.25" customHeight="1">
      <c r="B7" s="1"/>
      <c r="C7" s="5"/>
      <c r="J7" s="6" t="s">
        <v>2</v>
      </c>
      <c r="K7" s="7"/>
      <c r="L7" s="8" t="s">
        <v>3</v>
      </c>
      <c r="M7" s="7"/>
      <c r="O7" s="8" t="s">
        <v>3</v>
      </c>
      <c r="P7" s="7"/>
    </row>
    <row r="8" ht="49.5" hidden="1" customHeight="1">
      <c r="B8" s="61"/>
      <c r="C8" s="255"/>
      <c r="D8" s="104"/>
      <c r="E8" s="104"/>
      <c r="F8" s="695" t="s">
        <v>79</v>
      </c>
      <c r="G8" s="274"/>
      <c r="H8" s="7"/>
      <c r="I8" s="696" t="s">
        <v>80</v>
      </c>
      <c r="J8" s="274"/>
      <c r="K8" s="7"/>
      <c r="L8" s="697" t="s">
        <v>91</v>
      </c>
      <c r="M8" s="274"/>
      <c r="N8" s="7"/>
      <c r="O8" s="16"/>
      <c r="P8" s="433"/>
    </row>
    <row r="9" ht="49.5" hidden="1" customHeight="1">
      <c r="B9" s="61"/>
      <c r="C9" s="255" t="s">
        <v>141</v>
      </c>
      <c r="D9" s="104"/>
      <c r="E9" s="104"/>
      <c r="F9" s="698"/>
      <c r="G9" s="698"/>
      <c r="H9" s="698"/>
      <c r="I9" s="698"/>
      <c r="J9" s="698"/>
      <c r="K9" s="699"/>
      <c r="L9" s="700"/>
      <c r="M9" s="14"/>
      <c r="N9" s="15"/>
      <c r="O9" s="16"/>
      <c r="P9" s="433"/>
    </row>
    <row r="10" ht="63.0" customHeight="1">
      <c r="A10" s="20"/>
      <c r="B10" s="649" t="s">
        <v>6</v>
      </c>
      <c r="C10" s="649" t="s">
        <v>7</v>
      </c>
      <c r="D10" s="359"/>
      <c r="E10" s="361" t="s">
        <v>8</v>
      </c>
      <c r="F10" s="362" t="s">
        <v>9</v>
      </c>
      <c r="G10" s="362" t="s">
        <v>10</v>
      </c>
      <c r="H10" s="362" t="s">
        <v>11</v>
      </c>
      <c r="I10" s="363" t="s">
        <v>12</v>
      </c>
      <c r="J10" s="26" t="s">
        <v>13</v>
      </c>
      <c r="K10" s="24" t="s">
        <v>14</v>
      </c>
      <c r="L10" s="641" t="s">
        <v>15</v>
      </c>
      <c r="M10" s="642" t="s">
        <v>16</v>
      </c>
      <c r="N10" s="643" t="s">
        <v>17</v>
      </c>
      <c r="O10" s="31" t="s">
        <v>18</v>
      </c>
      <c r="P10" s="24" t="s">
        <v>14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30.0" hidden="1" customHeight="1">
      <c r="A11" s="17"/>
      <c r="B11" s="61"/>
      <c r="C11" s="672" t="s">
        <v>136</v>
      </c>
      <c r="D11" s="673"/>
      <c r="E11" s="37"/>
      <c r="F11" s="176">
        <v>3.0</v>
      </c>
      <c r="G11" s="176">
        <v>2.0</v>
      </c>
      <c r="H11" s="176">
        <v>1.0</v>
      </c>
      <c r="I11" s="673"/>
      <c r="J11" s="673"/>
      <c r="K11" s="674"/>
      <c r="L11" s="17"/>
      <c r="M11" s="701"/>
      <c r="N11" s="701"/>
      <c r="O11" s="20"/>
      <c r="P11" s="136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hidden="1" customHeight="1">
      <c r="A12" s="17"/>
      <c r="B12" s="61"/>
      <c r="C12" s="672"/>
      <c r="D12" s="673"/>
      <c r="E12" s="48"/>
      <c r="F12" s="673">
        <v>3.0</v>
      </c>
      <c r="G12" s="673">
        <v>2.0</v>
      </c>
      <c r="H12" s="673">
        <v>1.0</v>
      </c>
      <c r="I12" s="673"/>
      <c r="J12" s="677"/>
      <c r="K12" s="678"/>
      <c r="L12" s="17"/>
      <c r="M12" s="701"/>
      <c r="N12" s="701"/>
      <c r="O12" s="17"/>
      <c r="P12" s="324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customHeight="1">
      <c r="A13" s="17"/>
      <c r="B13" s="52"/>
      <c r="C13" s="184" t="s">
        <v>19</v>
      </c>
      <c r="D13" s="185"/>
      <c r="E13" s="54"/>
      <c r="F13" s="186"/>
      <c r="G13" s="186"/>
      <c r="H13" s="186"/>
      <c r="I13" s="283"/>
      <c r="J13" s="702">
        <v>500.0</v>
      </c>
      <c r="K13" s="189"/>
      <c r="L13" s="190" t="str">
        <f>AVERAGE(#REF!)</f>
        <v>#REF!</v>
      </c>
      <c r="M13" s="190">
        <v>635.833333333333</v>
      </c>
      <c r="N13" s="193"/>
      <c r="O13" s="193"/>
      <c r="P13" s="191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customHeight="1">
      <c r="A14" s="17"/>
      <c r="B14" s="52"/>
      <c r="C14" s="194" t="s">
        <v>20</v>
      </c>
      <c r="D14" s="185" t="s">
        <v>81</v>
      </c>
      <c r="E14" s="54"/>
      <c r="F14" s="186"/>
      <c r="G14" s="186"/>
      <c r="H14" s="186"/>
      <c r="I14" s="56"/>
      <c r="J14" s="703" t="s">
        <v>9</v>
      </c>
      <c r="K14" s="197"/>
      <c r="L14" s="190"/>
      <c r="M14" s="190"/>
      <c r="N14" s="193"/>
      <c r="O14" s="193"/>
      <c r="P14" s="191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customHeight="1">
      <c r="A15" s="17"/>
      <c r="B15" s="52"/>
      <c r="C15" s="198"/>
      <c r="D15" s="185" t="s">
        <v>11</v>
      </c>
      <c r="E15" s="54"/>
      <c r="F15" s="186"/>
      <c r="G15" s="186"/>
      <c r="H15" s="186"/>
      <c r="I15" s="56"/>
      <c r="J15" s="56"/>
      <c r="K15" s="285"/>
      <c r="L15" s="199"/>
      <c r="M15" s="704"/>
      <c r="N15" s="701"/>
      <c r="O15" s="17"/>
      <c r="P15" s="201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customHeight="1">
      <c r="A16" s="17"/>
      <c r="B16" s="52"/>
      <c r="C16" s="198"/>
      <c r="D16" s="185" t="s">
        <v>21</v>
      </c>
      <c r="E16" s="63">
        <v>1.24</v>
      </c>
      <c r="F16" s="185"/>
      <c r="G16" s="203">
        <v>1.25</v>
      </c>
      <c r="H16" s="203">
        <v>1.32</v>
      </c>
      <c r="I16" s="56"/>
      <c r="J16" s="56"/>
      <c r="K16" s="58"/>
      <c r="L16" s="199"/>
      <c r="M16" s="704"/>
      <c r="N16" s="701"/>
      <c r="O16" s="17"/>
      <c r="P16" s="705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67">
        <f>767.182175622543*E16</f>
        <v>951.3058978</v>
      </c>
      <c r="G17" s="67">
        <f>F17/$G$16</f>
        <v>761.0447182</v>
      </c>
      <c r="H17" s="67">
        <f>F17/$H$16</f>
        <v>720.6862862</v>
      </c>
      <c r="I17" s="68"/>
      <c r="J17" s="204"/>
      <c r="K17" s="70">
        <f>IF(J14="2010-2013",J13*H17,IF(J14="2014-2021",J13*G17,IF(J14="2021-2023",J13*F17,-2)))</f>
        <v>475652.9489</v>
      </c>
      <c r="L17" s="199" t="str">
        <f t="shared" ref="L17:L18" si="1">AVERAGE(#REF!)</f>
        <v>#REF!</v>
      </c>
      <c r="M17" s="704">
        <v>487800.0</v>
      </c>
      <c r="N17" s="206">
        <f t="shared" ref="N17:N18" si="2">M17/$M$13</f>
        <v>767.1821756</v>
      </c>
      <c r="O17" s="207" t="s">
        <v>23</v>
      </c>
      <c r="P17" s="73">
        <f t="shared" ref="P17:P18" si="3">IF(O17="Delapidated",K17*0.6,IF(O17="Poor",K17*0.7,IF(O17="Fair",K17*0.8,IF(O17="Good",K17*0.85,IF(O17="Very Good",K17*0.9,IF(O17="Excellent",K17*1,IF(O17="Not Applicable",K17*1,0)))))))</f>
        <v>475652.9489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66"/>
      <c r="F18" s="209"/>
      <c r="G18" s="67"/>
      <c r="H18" s="67"/>
      <c r="I18" s="68"/>
      <c r="J18" s="72" t="s">
        <v>25</v>
      </c>
      <c r="K18" s="70">
        <f>IF(J18="YES",IF(J14="2010-2013",H19*$J$13,IF(J14="2014-2021",G19*$J$13,IF(J14="2021-2023",F19*$J$13,0))),0)</f>
        <v>81176.93316</v>
      </c>
      <c r="L18" s="199" t="str">
        <f t="shared" si="1"/>
        <v>#REF!</v>
      </c>
      <c r="M18" s="704">
        <v>83250.0</v>
      </c>
      <c r="N18" s="206">
        <f t="shared" si="2"/>
        <v>130.9305374</v>
      </c>
      <c r="O18" s="207" t="s">
        <v>23</v>
      </c>
      <c r="P18" s="73">
        <f t="shared" si="3"/>
        <v>81176.93316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hidden="1" customHeight="1">
      <c r="A19" s="34"/>
      <c r="B19" s="84"/>
      <c r="C19" s="79" t="s">
        <v>25</v>
      </c>
      <c r="D19" s="66"/>
      <c r="E19" s="66"/>
      <c r="F19" s="67">
        <f>130.930537352556*E16</f>
        <v>162.3538663</v>
      </c>
      <c r="G19" s="67">
        <f t="shared" ref="G19:G20" si="4">F19/$G$16</f>
        <v>129.8830931</v>
      </c>
      <c r="H19" s="67">
        <f t="shared" ref="H19:H20" si="5">F19/$H$16</f>
        <v>122.9953533</v>
      </c>
      <c r="I19" s="77">
        <v>1.0</v>
      </c>
      <c r="J19" s="68"/>
      <c r="K19" s="70"/>
      <c r="L19" s="199"/>
      <c r="M19" s="704"/>
      <c r="N19" s="206"/>
      <c r="O19" s="34"/>
      <c r="P19" s="402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hidden="1" customHeight="1">
      <c r="A20" s="34"/>
      <c r="B20" s="85"/>
      <c r="C20" s="79" t="s">
        <v>26</v>
      </c>
      <c r="D20" s="66"/>
      <c r="E20" s="66"/>
      <c r="F20" s="67">
        <v>0.0</v>
      </c>
      <c r="G20" s="67">
        <f t="shared" si="4"/>
        <v>0</v>
      </c>
      <c r="H20" s="67">
        <f t="shared" si="5"/>
        <v>0</v>
      </c>
      <c r="I20" s="77">
        <v>2.0</v>
      </c>
      <c r="J20" s="68"/>
      <c r="K20" s="70"/>
      <c r="L20" s="199"/>
      <c r="M20" s="704"/>
      <c r="N20" s="206"/>
      <c r="O20" s="34"/>
      <c r="P20" s="402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208" t="s">
        <v>27</v>
      </c>
      <c r="D21" s="66"/>
      <c r="E21" s="66"/>
      <c r="F21" s="67"/>
      <c r="G21" s="67"/>
      <c r="H21" s="67"/>
      <c r="I21" s="68"/>
      <c r="J21" s="72" t="s">
        <v>28</v>
      </c>
      <c r="K21" s="70">
        <f>IF(J21="STOCK BRICKS",IF(J14="2010-2013",H22*$J$14,IF(J14="2014-2021",G22*$J$13,IF(J14="2021-2023",F22*$J$13,0))),IF(J21="BLOCKS",IF(J14="2010-2013",H23*$J$13,IF(J14="2014-2021",G23*$J$13,IF(J14="2021-2023",F23*$J$13,0))),IF(J21="FACE BRICKS",IF(J14="2010-2013",H24*$J$13,IF(J14="2014-2021",G24*$J$13,IF(J14="2021-2023",F24*$J$13,0))),0)))</f>
        <v>377541.8087</v>
      </c>
      <c r="L21" s="199" t="str">
        <f>AVERAGE(#REF!)</f>
        <v>#REF!</v>
      </c>
      <c r="M21" s="704">
        <f>375133.333333333+12050</f>
        <v>387183.3333</v>
      </c>
      <c r="N21" s="206">
        <f>M21/$M$13</f>
        <v>608.938401</v>
      </c>
      <c r="O21" s="207" t="s">
        <v>23</v>
      </c>
      <c r="P21" s="73">
        <f>IF(O21="Delapidated",K21*0.6,IF(O21="Poor",K21*0.7,IF(O21="Fair",K21*0.8,IF(O21="Good",K21*0.85,IF(O21="Very Good",K21*0.9,IF(O21="Excellent",K21*1,IF(O21="Not Applicable",K21*1,0)))))))</f>
        <v>377541.8087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hidden="1" customHeight="1">
      <c r="A22" s="34"/>
      <c r="B22" s="84"/>
      <c r="C22" s="79" t="s">
        <v>28</v>
      </c>
      <c r="D22" s="66"/>
      <c r="E22" s="66"/>
      <c r="F22" s="67">
        <f>608.938401048492*E16</f>
        <v>755.0836173</v>
      </c>
      <c r="G22" s="67">
        <f t="shared" ref="G22:G25" si="6">F22/$G$16</f>
        <v>604.0668938</v>
      </c>
      <c r="H22" s="67">
        <f t="shared" ref="H22:H25" si="7">F22/$H$16</f>
        <v>572.0330434</v>
      </c>
      <c r="I22" s="77">
        <v>1.0</v>
      </c>
      <c r="J22" s="68"/>
      <c r="K22" s="70"/>
      <c r="L22" s="199"/>
      <c r="M22" s="704"/>
      <c r="N22" s="206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hidden="1" customHeight="1">
      <c r="A23" s="34"/>
      <c r="B23" s="84"/>
      <c r="C23" s="79" t="s">
        <v>29</v>
      </c>
      <c r="D23" s="66"/>
      <c r="E23" s="66"/>
      <c r="F23" s="67">
        <f>F22*0.8</f>
        <v>604.0668938</v>
      </c>
      <c r="G23" s="67">
        <f t="shared" si="6"/>
        <v>483.2535151</v>
      </c>
      <c r="H23" s="67">
        <f t="shared" si="7"/>
        <v>457.6264347</v>
      </c>
      <c r="I23" s="77">
        <v>2.0</v>
      </c>
      <c r="J23" s="68"/>
      <c r="K23" s="70"/>
      <c r="L23" s="199"/>
      <c r="M23" s="704"/>
      <c r="N23" s="206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hidden="1" customHeight="1">
      <c r="A24" s="34"/>
      <c r="B24" s="84"/>
      <c r="C24" s="79" t="s">
        <v>30</v>
      </c>
      <c r="D24" s="66"/>
      <c r="E24" s="66"/>
      <c r="F24" s="67">
        <f>F22*1.3</f>
        <v>981.6087025</v>
      </c>
      <c r="G24" s="67">
        <f t="shared" si="6"/>
        <v>785.286962</v>
      </c>
      <c r="H24" s="67">
        <f t="shared" si="7"/>
        <v>743.6429564</v>
      </c>
      <c r="I24" s="77">
        <v>3.0</v>
      </c>
      <c r="J24" s="68"/>
      <c r="K24" s="70"/>
      <c r="L24" s="199"/>
      <c r="M24" s="704"/>
      <c r="N24" s="206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hidden="1" customHeight="1">
      <c r="A25" s="34"/>
      <c r="B25" s="85"/>
      <c r="C25" s="79" t="s">
        <v>31</v>
      </c>
      <c r="D25" s="66"/>
      <c r="E25" s="66"/>
      <c r="F25" s="67">
        <v>0.0</v>
      </c>
      <c r="G25" s="67">
        <f t="shared" si="6"/>
        <v>0</v>
      </c>
      <c r="H25" s="67">
        <f t="shared" si="7"/>
        <v>0</v>
      </c>
      <c r="I25" s="77">
        <v>4.0</v>
      </c>
      <c r="J25" s="68"/>
      <c r="K25" s="70"/>
      <c r="L25" s="199"/>
      <c r="M25" s="704"/>
      <c r="N25" s="206"/>
      <c r="O25" s="34"/>
      <c r="P25" s="402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127</v>
      </c>
      <c r="D26" s="66"/>
      <c r="E26" s="66"/>
      <c r="F26" s="67"/>
      <c r="G26" s="67"/>
      <c r="H26" s="67"/>
      <c r="I26" s="68"/>
      <c r="J26" s="72" t="s">
        <v>35</v>
      </c>
      <c r="K26" s="70">
        <f>IF(J26="CONCRETE ROOF TILES",IF(J14="2010-2013",H27*$J$13,IF(J14="2014-2021",G27*$J$13,IF(J14="2021-2023",F27*$J$13,0))),IF(J26="IBR",IF(J14="2010-2013",H28*$J$13,IF(J14="2014-2021",G28*$J$13,IF(J14="2021-2023",F28*$J$13,0))),IF(J26="CORRUGATED ROOFING SHEETS",IF(J14="2010-2013",H29*$J$13,IF(J14="2014-2021",G29*$J$13,IF(J14="2021-2023",F29*$J$13,0))),0)))</f>
        <v>48360</v>
      </c>
      <c r="L26" s="199" t="str">
        <f>AVERAGE(#REF!)</f>
        <v>#REF!</v>
      </c>
      <c r="M26" s="704">
        <f>448383.333333333+7250</f>
        <v>455633.3333</v>
      </c>
      <c r="N26" s="206">
        <f>M26/$M$13</f>
        <v>716.5923984</v>
      </c>
      <c r="O26" s="207" t="s">
        <v>23</v>
      </c>
      <c r="P26" s="73">
        <f>IF(O26="Delapidated",K26*0.6,IF(O26="Poor",K26*0.7,IF(O26="Fair",K26*0.8,IF(O26="Good",K26*0.85,IF(O26="Very Good",K26*0.9,IF(O26="Excellent",K26*1,IF(O26="Not Applicable",K26*1,0)))))))</f>
        <v>48360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hidden="1" customHeight="1">
      <c r="A27" s="34"/>
      <c r="B27" s="84"/>
      <c r="C27" s="79" t="s">
        <v>33</v>
      </c>
      <c r="D27" s="66"/>
      <c r="E27" s="66"/>
      <c r="F27" s="67">
        <f>130*E16</f>
        <v>161.2</v>
      </c>
      <c r="G27" s="67">
        <f t="shared" ref="G27:G30" si="8">F27/$G$16</f>
        <v>128.96</v>
      </c>
      <c r="H27" s="67">
        <f t="shared" ref="H27:H30" si="9">F27/$H$16</f>
        <v>122.1212121</v>
      </c>
      <c r="I27" s="77">
        <v>1.0</v>
      </c>
      <c r="J27" s="68"/>
      <c r="K27" s="70"/>
      <c r="L27" s="199"/>
      <c r="M27" s="704"/>
      <c r="N27" s="206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hidden="1" customHeight="1">
      <c r="A28" s="34"/>
      <c r="B28" s="84"/>
      <c r="C28" s="79" t="s">
        <v>34</v>
      </c>
      <c r="D28" s="66"/>
      <c r="E28" s="66"/>
      <c r="F28" s="67">
        <f>F27*1.6</f>
        <v>257.92</v>
      </c>
      <c r="G28" s="67">
        <f t="shared" si="8"/>
        <v>206.336</v>
      </c>
      <c r="H28" s="67">
        <f t="shared" si="9"/>
        <v>195.3939394</v>
      </c>
      <c r="I28" s="77">
        <v>2.0</v>
      </c>
      <c r="J28" s="68"/>
      <c r="K28" s="70"/>
      <c r="L28" s="199"/>
      <c r="M28" s="704"/>
      <c r="N28" s="206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hidden="1" customHeight="1">
      <c r="A29" s="34"/>
      <c r="B29" s="84"/>
      <c r="C29" s="79" t="s">
        <v>35</v>
      </c>
      <c r="D29" s="66"/>
      <c r="E29" s="66"/>
      <c r="F29" s="67">
        <f>F27*0.6</f>
        <v>96.72</v>
      </c>
      <c r="G29" s="67">
        <f t="shared" si="8"/>
        <v>77.376</v>
      </c>
      <c r="H29" s="67">
        <f t="shared" si="9"/>
        <v>73.27272727</v>
      </c>
      <c r="I29" s="77">
        <v>3.0</v>
      </c>
      <c r="J29" s="68"/>
      <c r="K29" s="70"/>
      <c r="L29" s="199"/>
      <c r="M29" s="704"/>
      <c r="N29" s="206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hidden="1" customHeight="1">
      <c r="A30" s="34"/>
      <c r="B30" s="85"/>
      <c r="C30" s="79" t="s">
        <v>36</v>
      </c>
      <c r="D30" s="66"/>
      <c r="E30" s="66"/>
      <c r="F30" s="67">
        <v>0.0</v>
      </c>
      <c r="G30" s="67">
        <f t="shared" si="8"/>
        <v>0</v>
      </c>
      <c r="H30" s="67">
        <f t="shared" si="9"/>
        <v>0</v>
      </c>
      <c r="I30" s="77">
        <v>4.0</v>
      </c>
      <c r="J30" s="68"/>
      <c r="K30" s="70"/>
      <c r="L30" s="199"/>
      <c r="M30" s="704"/>
      <c r="N30" s="206"/>
      <c r="O30" s="34"/>
      <c r="P30" s="402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4">
        <f>B26+1</f>
        <v>5</v>
      </c>
      <c r="C31" s="74" t="s">
        <v>37</v>
      </c>
      <c r="D31" s="66"/>
      <c r="E31" s="66"/>
      <c r="F31" s="67"/>
      <c r="G31" s="67"/>
      <c r="H31" s="67"/>
      <c r="I31" s="77"/>
      <c r="J31" s="72" t="s">
        <v>38</v>
      </c>
      <c r="K31" s="70">
        <f>IF(J31="TIMBER ROOF TRUSSES",IF(J14="2010-2013",H32*$J$13,IF(J14="2014-2021",G32*$J$13,IF(J14="2021-2023",F32*$J$13,0))),IF(J31="STRUCTURAL STEEL TRUSSES",IF(J14="2010-2013",H33*$J$13,IF(J14="2014-2021",G33*$J$13,IF(J14="2021-2023",F33*$J$13,0))),0))</f>
        <v>217000</v>
      </c>
      <c r="L31" s="59">
        <f>AVERAGE(A31:C31)</f>
        <v>5</v>
      </c>
      <c r="M31" s="43">
        <f>51922.2222222222+844</f>
        <v>52766.22222</v>
      </c>
      <c r="N31" s="71" t="str">
        <f>M31/$P$12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130200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hidden="1" customHeight="1">
      <c r="A32" s="34"/>
      <c r="B32" s="44"/>
      <c r="C32" s="79" t="s">
        <v>38</v>
      </c>
      <c r="D32" s="66"/>
      <c r="E32" s="66"/>
      <c r="F32" s="67">
        <f>350*E16</f>
        <v>434</v>
      </c>
      <c r="G32" s="67">
        <f t="shared" ref="G32:G33" si="10">F32/$G$16</f>
        <v>347.2</v>
      </c>
      <c r="H32" s="67">
        <f t="shared" ref="H32:H33" si="11">F32/$H$16</f>
        <v>328.7878788</v>
      </c>
      <c r="I32" s="77"/>
      <c r="J32" s="68"/>
      <c r="K32" s="70"/>
      <c r="L32" s="199"/>
      <c r="M32" s="704"/>
      <c r="N32" s="206"/>
      <c r="O32" s="34"/>
      <c r="P32" s="402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hidden="1" customHeight="1">
      <c r="A33" s="34"/>
      <c r="B33" s="44"/>
      <c r="C33" s="79" t="s">
        <v>137</v>
      </c>
      <c r="D33" s="66"/>
      <c r="E33" s="66"/>
      <c r="F33" s="67">
        <f>1100*E16</f>
        <v>1364</v>
      </c>
      <c r="G33" s="67">
        <f t="shared" si="10"/>
        <v>1091.2</v>
      </c>
      <c r="H33" s="67">
        <f t="shared" si="11"/>
        <v>1033.333333</v>
      </c>
      <c r="I33" s="77"/>
      <c r="J33" s="68"/>
      <c r="K33" s="70"/>
      <c r="L33" s="199"/>
      <c r="M33" s="704"/>
      <c r="N33" s="206"/>
      <c r="O33" s="34"/>
      <c r="P33" s="402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hidden="1" customHeight="1">
      <c r="A34" s="34"/>
      <c r="B34" s="44"/>
      <c r="C34" s="79" t="s">
        <v>41</v>
      </c>
      <c r="D34" s="66"/>
      <c r="E34" s="66"/>
      <c r="F34" s="67">
        <v>0.0</v>
      </c>
      <c r="G34" s="67">
        <v>0.0</v>
      </c>
      <c r="H34" s="67" t="str">
        <f>F34/$L$17</f>
        <v>#REF!</v>
      </c>
      <c r="I34" s="77"/>
      <c r="J34" s="68"/>
      <c r="K34" s="70"/>
      <c r="L34" s="199"/>
      <c r="M34" s="704"/>
      <c r="N34" s="206"/>
      <c r="O34" s="34"/>
      <c r="P34" s="402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3">
        <v>6.0</v>
      </c>
      <c r="C35" s="208" t="s">
        <v>142</v>
      </c>
      <c r="D35" s="66"/>
      <c r="E35" s="66"/>
      <c r="F35" s="67"/>
      <c r="G35" s="67"/>
      <c r="H35" s="67"/>
      <c r="I35" s="68"/>
      <c r="J35" s="72" t="s">
        <v>25</v>
      </c>
      <c r="K35" s="70">
        <f>IF(J35="YES",IF(J14="2010-2013",H36*$J$13,IF(J14="2014-2021",G36*$J$13,IF(J14="2021-2023",F36*$J$13,0))),0)</f>
        <v>25281.91184</v>
      </c>
      <c r="L35" s="199" t="str">
        <f>AVERAGE(#REF!)</f>
        <v>#REF!</v>
      </c>
      <c r="M35" s="704">
        <f>270616.666666667+30167</f>
        <v>300783.6667</v>
      </c>
      <c r="N35" s="206">
        <f>M35/$M$13</f>
        <v>473.0542595</v>
      </c>
      <c r="O35" s="207" t="s">
        <v>23</v>
      </c>
      <c r="P35" s="73">
        <f>IF(O35="Delapidated",K35*0.6,IF(O35="Poor",K35*0.7,IF(O35="Fair",K35*0.8,IF(O35="Good",K35*0.85,IF(O35="Very Good",K35*0.9,IF(O35="Excellent",K35*1,IF(O35="Not Applicable",K35*1,0)))))))</f>
        <v>25281.91184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hidden="1" customHeight="1">
      <c r="A36" s="34"/>
      <c r="B36" s="84"/>
      <c r="C36" s="79" t="s">
        <v>25</v>
      </c>
      <c r="D36" s="66"/>
      <c r="E36" s="66"/>
      <c r="F36" s="67">
        <f>473.054259501966*8.62%*E16</f>
        <v>50.56382369</v>
      </c>
      <c r="G36" s="67">
        <f t="shared" ref="G36:G37" si="12">F36/$G$16</f>
        <v>40.45105895</v>
      </c>
      <c r="H36" s="67">
        <f t="shared" ref="H36:H37" si="13">F36/$H$16</f>
        <v>38.30592704</v>
      </c>
      <c r="I36" s="77">
        <v>1.0</v>
      </c>
      <c r="J36" s="68"/>
      <c r="K36" s="70"/>
      <c r="L36" s="199"/>
      <c r="M36" s="704"/>
      <c r="N36" s="206"/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hidden="1" customHeight="1">
      <c r="A37" s="34"/>
      <c r="B37" s="85"/>
      <c r="C37" s="79" t="s">
        <v>26</v>
      </c>
      <c r="D37" s="66"/>
      <c r="E37" s="66"/>
      <c r="F37" s="67">
        <v>0.0</v>
      </c>
      <c r="G37" s="67">
        <f t="shared" si="12"/>
        <v>0</v>
      </c>
      <c r="H37" s="67">
        <f t="shared" si="13"/>
        <v>0</v>
      </c>
      <c r="I37" s="77">
        <v>2.0</v>
      </c>
      <c r="J37" s="68"/>
      <c r="K37" s="70"/>
      <c r="L37" s="199"/>
      <c r="M37" s="704"/>
      <c r="N37" s="206"/>
      <c r="O37" s="34"/>
      <c r="P37" s="402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3">
        <f>B35+1</f>
        <v>7</v>
      </c>
      <c r="C38" s="208" t="s">
        <v>45</v>
      </c>
      <c r="D38" s="66"/>
      <c r="E38" s="66"/>
      <c r="F38" s="67"/>
      <c r="G38" s="67"/>
      <c r="H38" s="67"/>
      <c r="I38" s="68"/>
      <c r="J38" s="72" t="s">
        <v>25</v>
      </c>
      <c r="K38" s="70">
        <f>IF(J38="YES",IF(J14="2010-2013",H39*$J$13,IF(J14="2014-2021",G39*$J$13,IF(J14="2021-2023",F39*$J$13,0))),0)</f>
        <v>217447.9054</v>
      </c>
      <c r="L38" s="199"/>
      <c r="M38" s="704"/>
      <c r="N38" s="206">
        <f>M38/$M$13</f>
        <v>0</v>
      </c>
      <c r="O38" s="207" t="s">
        <v>23</v>
      </c>
      <c r="P38" s="73">
        <f>IF(O38="Delapidated",K38*0.6,IF(O38="Poor",K38*0.7,IF(O38="Fair",K38*0.8,IF(O38="Good",K38*0.85,IF(O38="Very Good",K38*0.9,IF(O38="Excellent",K38*1,IF(O38="Not Applicable",K38*1,0)))))))</f>
        <v>217447.9054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hidden="1" customHeight="1">
      <c r="A39" s="34"/>
      <c r="B39" s="84"/>
      <c r="C39" s="79" t="s">
        <v>25</v>
      </c>
      <c r="D39" s="66"/>
      <c r="E39" s="66"/>
      <c r="F39" s="67">
        <f>473.054259501966*74.14%*E16</f>
        <v>434.8958107</v>
      </c>
      <c r="G39" s="67">
        <f t="shared" ref="G39:G40" si="14">F39/$G$16</f>
        <v>347.9166486</v>
      </c>
      <c r="H39" s="67">
        <f t="shared" ref="H39:H40" si="15">F39/$H$16</f>
        <v>329.4665233</v>
      </c>
      <c r="I39" s="77">
        <v>1.0</v>
      </c>
      <c r="J39" s="68"/>
      <c r="K39" s="70"/>
      <c r="L39" s="199"/>
      <c r="M39" s="704"/>
      <c r="N39" s="206"/>
      <c r="O39" s="34"/>
      <c r="P39" s="402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hidden="1" customHeight="1">
      <c r="A40" s="34"/>
      <c r="B40" s="85"/>
      <c r="C40" s="79" t="s">
        <v>26</v>
      </c>
      <c r="D40" s="66"/>
      <c r="E40" s="66"/>
      <c r="F40" s="67">
        <v>0.0</v>
      </c>
      <c r="G40" s="67">
        <f t="shared" si="14"/>
        <v>0</v>
      </c>
      <c r="H40" s="67">
        <f t="shared" si="15"/>
        <v>0</v>
      </c>
      <c r="I40" s="77">
        <v>2.0</v>
      </c>
      <c r="J40" s="68"/>
      <c r="K40" s="70"/>
      <c r="L40" s="199"/>
      <c r="M40" s="704"/>
      <c r="N40" s="206"/>
      <c r="O40" s="34"/>
      <c r="P40" s="402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44"/>
      <c r="C41" s="214" t="s">
        <v>48</v>
      </c>
      <c r="D41" s="66"/>
      <c r="E41" s="66"/>
      <c r="F41" s="67"/>
      <c r="G41" s="67"/>
      <c r="H41" s="67"/>
      <c r="I41" s="77"/>
      <c r="J41" s="379">
        <v>1.0</v>
      </c>
      <c r="K41" s="34"/>
      <c r="L41" s="199"/>
      <c r="M41" s="199"/>
      <c r="N41" s="118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3">
        <f>B38+1</f>
        <v>8</v>
      </c>
      <c r="C42" s="208" t="s">
        <v>49</v>
      </c>
      <c r="D42" s="66"/>
      <c r="E42" s="66"/>
      <c r="F42" s="67"/>
      <c r="G42" s="67"/>
      <c r="H42" s="67"/>
      <c r="I42" s="68"/>
      <c r="J42" s="72" t="s">
        <v>25</v>
      </c>
      <c r="K42" s="70">
        <f>IF(J42="YES",IF($J$14="2010-2013",H43*J41,IF(J14="2014-2021",G43*J41,IF(J14="2021-2023",F43*J41,0))),0)</f>
        <v>4000</v>
      </c>
      <c r="L42" s="199"/>
      <c r="M42" s="704"/>
      <c r="N42" s="206">
        <f>M42/$M$13</f>
        <v>0</v>
      </c>
      <c r="O42" s="207" t="s">
        <v>23</v>
      </c>
      <c r="P42" s="73">
        <f>IF(O42="Delapidated",K42*0.6,IF(O42="Poor",K42*0.7,IF(O42="Fair",K42*0.8,IF(O42="Good",K42*0.85,IF(O42="Very Good",K42*0.9,IF(O42="Excellent",K42*1,IF(O42="Not Applicable",K42*1,0)))))))</f>
        <v>4000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hidden="1" customHeight="1">
      <c r="A43" s="34"/>
      <c r="B43" s="84"/>
      <c r="C43" s="79" t="s">
        <v>25</v>
      </c>
      <c r="D43" s="66"/>
      <c r="E43" s="66"/>
      <c r="F43" s="67">
        <v>4000.0</v>
      </c>
      <c r="G43" s="67">
        <f t="shared" ref="G43:G44" si="16">F43/$G$16</f>
        <v>3200</v>
      </c>
      <c r="H43" s="67">
        <f t="shared" ref="H43:H44" si="17">F43/$H$16</f>
        <v>3030.30303</v>
      </c>
      <c r="I43" s="77">
        <v>1.0</v>
      </c>
      <c r="J43" s="68"/>
      <c r="K43" s="70"/>
      <c r="L43" s="199"/>
      <c r="M43" s="704"/>
      <c r="N43" s="206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hidden="1" customHeight="1">
      <c r="A44" s="34"/>
      <c r="B44" s="85"/>
      <c r="C44" s="79" t="s">
        <v>26</v>
      </c>
      <c r="D44" s="66"/>
      <c r="E44" s="66"/>
      <c r="F44" s="67">
        <v>0.0</v>
      </c>
      <c r="G44" s="67">
        <f t="shared" si="16"/>
        <v>0</v>
      </c>
      <c r="H44" s="67">
        <f t="shared" si="17"/>
        <v>0</v>
      </c>
      <c r="I44" s="77">
        <v>2.0</v>
      </c>
      <c r="J44" s="68"/>
      <c r="K44" s="70"/>
      <c r="L44" s="199"/>
      <c r="M44" s="704"/>
      <c r="N44" s="206"/>
      <c r="O44" s="34"/>
      <c r="P44" s="402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83">
        <f>B42+1</f>
        <v>9</v>
      </c>
      <c r="C45" s="208" t="s">
        <v>50</v>
      </c>
      <c r="D45" s="66"/>
      <c r="E45" s="66"/>
      <c r="F45" s="67"/>
      <c r="G45" s="67"/>
      <c r="H45" s="67"/>
      <c r="I45" s="68"/>
      <c r="J45" s="72" t="s">
        <v>25</v>
      </c>
      <c r="K45" s="70">
        <f>IF(J45="YES",IF(J14="2010-2013",H46*$J$13,IF(J14="2014-2021",G46*$J$13,IF(J14="2021-2023",F46*$J$13,0))),0)</f>
        <v>95933.42071</v>
      </c>
      <c r="L45" s="199" t="str">
        <f>AVERAGE(#REF!)</f>
        <v>#REF!</v>
      </c>
      <c r="M45" s="704">
        <v>98383.3333333333</v>
      </c>
      <c r="N45" s="206">
        <f>M45/$M$13</f>
        <v>154.7313237</v>
      </c>
      <c r="O45" s="207" t="s">
        <v>23</v>
      </c>
      <c r="P45" s="73">
        <f>IF(O45="Delapidated",K45*0.6,IF(O45="Poor",K45*0.7,IF(O45="Fair",K45*0.8,IF(O45="Good",K45*0.85,IF(O45="Very Good",K45*0.9,IF(O45="Excellent",K45*1,IF(O45="Not Applicable",K45*1,0)))))))</f>
        <v>95933.42071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hidden="1" customHeight="1">
      <c r="A46" s="34"/>
      <c r="B46" s="84"/>
      <c r="C46" s="79" t="s">
        <v>25</v>
      </c>
      <c r="D46" s="66"/>
      <c r="E46" s="66"/>
      <c r="F46" s="67">
        <f>154.731323722149*E16</f>
        <v>191.8668414</v>
      </c>
      <c r="G46" s="67">
        <f t="shared" ref="G46:G47" si="18">F46/$G$16</f>
        <v>153.4934731</v>
      </c>
      <c r="H46" s="67">
        <f t="shared" ref="H46:H47" si="19">F46/$H$16</f>
        <v>145.3536677</v>
      </c>
      <c r="I46" s="77">
        <v>1.0</v>
      </c>
      <c r="J46" s="68"/>
      <c r="K46" s="70"/>
      <c r="L46" s="199"/>
      <c r="M46" s="704"/>
      <c r="N46" s="206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hidden="1" customHeight="1">
      <c r="A47" s="34"/>
      <c r="B47" s="85"/>
      <c r="C47" s="79" t="s">
        <v>26</v>
      </c>
      <c r="D47" s="66"/>
      <c r="E47" s="66"/>
      <c r="F47" s="67">
        <v>0.0</v>
      </c>
      <c r="G47" s="67">
        <f t="shared" si="18"/>
        <v>0</v>
      </c>
      <c r="H47" s="67">
        <f t="shared" si="19"/>
        <v>0</v>
      </c>
      <c r="I47" s="77">
        <v>2.0</v>
      </c>
      <c r="J47" s="68"/>
      <c r="K47" s="70"/>
      <c r="L47" s="199"/>
      <c r="M47" s="704"/>
      <c r="N47" s="206"/>
      <c r="O47" s="34"/>
      <c r="P47" s="402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83">
        <v>10.0</v>
      </c>
      <c r="C48" s="92" t="s">
        <v>51</v>
      </c>
      <c r="D48" s="66"/>
      <c r="E48" s="66"/>
      <c r="F48" s="67"/>
      <c r="G48" s="67"/>
      <c r="H48" s="67"/>
      <c r="I48" s="77"/>
      <c r="J48" s="72" t="s">
        <v>52</v>
      </c>
      <c r="K48" s="70">
        <f>IF(J48="VINYL FLOORING",IF(J14="2010-2013",H49*$J$13,IF(J14="2014-2021",G49*$J$13,IF(J14="2021-2023",F49*$J$13,0))),IF(J48="TILING FLOORING",IF(J14="2010-2013",H50*$J$13,IF(J14="2014-2021",G50*$J$13,IF(J14="2021-2023",F50*$J$13,0))),IF(J48="TIMBER FLOORING",IF(J14="2010-2013",H51*$J$13,IF(J14="2014-2021",G51*$J$13,IF(J14="2021-2023",F51*$J$13,0))),IF(J48="CARPETS FLOORING",IF(J14="2010-2013",H52*$J$13,IF(J14="2014-2021",G52*$J$13,IF(J14="2021-2023",F52*$J$13,0))),0))))</f>
        <v>152258.3486</v>
      </c>
      <c r="L48" s="199"/>
      <c r="M48" s="704"/>
      <c r="N48" s="206"/>
      <c r="O48" s="207" t="s">
        <v>23</v>
      </c>
      <c r="P48" s="73">
        <f>IF(O48="Delapidated",K48*0.6,IF(O48="Poor",K48*0.7,IF(O48="Fair",K48*0.8,IF(O48="Good",K48*0.85,IF(O48="Very Good",K48*0.9,IF(O48="Excellent",K48*1,IF(O48="Not Applicable",K48*1,0)))))))</f>
        <v>152258.3486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hidden="1" customHeight="1">
      <c r="A49" s="34"/>
      <c r="B49" s="84"/>
      <c r="C49" s="79" t="s">
        <v>53</v>
      </c>
      <c r="D49" s="66"/>
      <c r="E49" s="66"/>
      <c r="F49" s="67">
        <f>F50*0.7</f>
        <v>213.1616881</v>
      </c>
      <c r="G49" s="67">
        <f t="shared" ref="G49:G53" si="20">F49/$G$16</f>
        <v>170.5293505</v>
      </c>
      <c r="H49" s="67">
        <f t="shared" ref="H49:H53" si="21">F49/$H$16</f>
        <v>161.4861273</v>
      </c>
      <c r="I49" s="77">
        <v>1.0</v>
      </c>
      <c r="J49" s="68"/>
      <c r="K49" s="70"/>
      <c r="L49" s="199"/>
      <c r="M49" s="704"/>
      <c r="N49" s="206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hidden="1" customHeight="1">
      <c r="A50" s="34"/>
      <c r="B50" s="84"/>
      <c r="C50" s="79" t="s">
        <v>52</v>
      </c>
      <c r="D50" s="66"/>
      <c r="E50" s="66"/>
      <c r="F50" s="67">
        <f>306.97247706422*0.8*E16</f>
        <v>304.5166972</v>
      </c>
      <c r="G50" s="67">
        <f t="shared" si="20"/>
        <v>243.6133578</v>
      </c>
      <c r="H50" s="67">
        <f t="shared" si="21"/>
        <v>230.6944676</v>
      </c>
      <c r="I50" s="77">
        <v>2.0</v>
      </c>
      <c r="J50" s="68"/>
      <c r="K50" s="70"/>
      <c r="L50" s="199"/>
      <c r="M50" s="704"/>
      <c r="N50" s="206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hidden="1" customHeight="1">
      <c r="A51" s="34"/>
      <c r="B51" s="84"/>
      <c r="C51" s="79" t="s">
        <v>54</v>
      </c>
      <c r="D51" s="66"/>
      <c r="E51" s="66"/>
      <c r="F51" s="67">
        <f>F50*1.2</f>
        <v>365.4200367</v>
      </c>
      <c r="G51" s="67">
        <f t="shared" si="20"/>
        <v>292.3360294</v>
      </c>
      <c r="H51" s="67">
        <f t="shared" si="21"/>
        <v>276.8333611</v>
      </c>
      <c r="I51" s="77">
        <v>3.0</v>
      </c>
      <c r="J51" s="68"/>
      <c r="K51" s="70"/>
      <c r="L51" s="199"/>
      <c r="M51" s="704"/>
      <c r="N51" s="206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hidden="1" customHeight="1">
      <c r="A52" s="34"/>
      <c r="B52" s="84"/>
      <c r="C52" s="79" t="s">
        <v>55</v>
      </c>
      <c r="D52" s="66"/>
      <c r="E52" s="66"/>
      <c r="F52" s="67">
        <f>F50*1.3</f>
        <v>395.8717064</v>
      </c>
      <c r="G52" s="67">
        <f t="shared" si="20"/>
        <v>316.6973651</v>
      </c>
      <c r="H52" s="67">
        <f t="shared" si="21"/>
        <v>299.9028079</v>
      </c>
      <c r="I52" s="77">
        <v>4.0</v>
      </c>
      <c r="J52" s="68"/>
      <c r="K52" s="70"/>
      <c r="L52" s="199"/>
      <c r="M52" s="704"/>
      <c r="N52" s="206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hidden="1" customHeight="1">
      <c r="A53" s="34"/>
      <c r="B53" s="85"/>
      <c r="C53" s="79" t="s">
        <v>56</v>
      </c>
      <c r="D53" s="66"/>
      <c r="E53" s="66"/>
      <c r="F53" s="67">
        <v>0.0</v>
      </c>
      <c r="G53" s="67">
        <f t="shared" si="20"/>
        <v>0</v>
      </c>
      <c r="H53" s="67">
        <f t="shared" si="21"/>
        <v>0</v>
      </c>
      <c r="I53" s="77">
        <v>5.0</v>
      </c>
      <c r="J53" s="68"/>
      <c r="K53" s="70"/>
      <c r="L53" s="199"/>
      <c r="M53" s="704"/>
      <c r="N53" s="206"/>
      <c r="O53" s="34"/>
      <c r="P53" s="402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34"/>
      <c r="B54" s="83">
        <v>11.0</v>
      </c>
      <c r="C54" s="208" t="s">
        <v>57</v>
      </c>
      <c r="D54" s="66"/>
      <c r="E54" s="66"/>
      <c r="F54" s="67"/>
      <c r="G54" s="67"/>
      <c r="H54" s="67"/>
      <c r="I54" s="68"/>
      <c r="J54" s="72" t="s">
        <v>58</v>
      </c>
      <c r="K54" s="70">
        <f>IF(J54="STEEL WINDOW FRAMES",IF(J14="2010-2013",H55*$J$13,IF(J14="2014-2021",G55*$J$13,IF(J14="2021-2023",F55*$J$13,0))),IF(J54="ALUMINIUM WINDOW FRAMES",IF(J14="2010-2013",H56*$J$13,IF(J14="2014-2021",G56*$J$13,IF(J14="2021-2023",F56*$J$13,0))),0))</f>
        <v>131378.2438</v>
      </c>
      <c r="L54" s="199" t="str">
        <f>AVERAGE(#REF!)</f>
        <v>#REF!</v>
      </c>
      <c r="M54" s="704">
        <v>134733.333333333</v>
      </c>
      <c r="N54" s="206">
        <f>M54/$M$13</f>
        <v>211.9003932</v>
      </c>
      <c r="O54" s="207" t="s">
        <v>23</v>
      </c>
      <c r="P54" s="73">
        <f>IF(O54="Delapidated",K54*0.6,IF(O54="Poor",K54*0.7,IF(O54="Fair",K54*0.8,IF(O54="Good",K54*0.85,IF(O54="Very Good",K54*0.9,IF(O54="Excellent",K54*1,IF(O54="Not Applicable",K54*1,0)))))))</f>
        <v>131378.2438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hidden="1" customHeight="1">
      <c r="A55" s="34"/>
      <c r="B55" s="84"/>
      <c r="C55" s="79" t="s">
        <v>59</v>
      </c>
      <c r="D55" s="66"/>
      <c r="E55" s="66"/>
      <c r="F55" s="67">
        <f>F56*0.3</f>
        <v>78.82694626</v>
      </c>
      <c r="G55" s="67">
        <f t="shared" ref="G55:G57" si="22">F55/$G$16</f>
        <v>63.06155701</v>
      </c>
      <c r="H55" s="67">
        <f t="shared" ref="H55:H57" si="23">F55/$H$16</f>
        <v>59.71738353</v>
      </c>
      <c r="I55" s="77">
        <v>1.0</v>
      </c>
      <c r="J55" s="68"/>
      <c r="K55" s="70"/>
      <c r="L55" s="199"/>
      <c r="M55" s="704"/>
      <c r="N55" s="206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hidden="1" customHeight="1">
      <c r="A56" s="34"/>
      <c r="B56" s="84"/>
      <c r="C56" s="79" t="s">
        <v>58</v>
      </c>
      <c r="D56" s="66"/>
      <c r="E56" s="66"/>
      <c r="F56" s="67">
        <f>211.900393184797*E16</f>
        <v>262.7564875</v>
      </c>
      <c r="G56" s="67">
        <f t="shared" si="22"/>
        <v>210.20519</v>
      </c>
      <c r="H56" s="67">
        <f t="shared" si="23"/>
        <v>199.0579451</v>
      </c>
      <c r="I56" s="77">
        <v>2.0</v>
      </c>
      <c r="J56" s="68"/>
      <c r="K56" s="70"/>
      <c r="L56" s="199"/>
      <c r="M56" s="704"/>
      <c r="N56" s="206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hidden="1" customHeight="1">
      <c r="A57" s="34"/>
      <c r="B57" s="85"/>
      <c r="C57" s="79" t="s">
        <v>60</v>
      </c>
      <c r="D57" s="66"/>
      <c r="E57" s="66"/>
      <c r="F57" s="67">
        <v>0.0</v>
      </c>
      <c r="G57" s="67">
        <f t="shared" si="22"/>
        <v>0</v>
      </c>
      <c r="H57" s="67">
        <f t="shared" si="23"/>
        <v>0</v>
      </c>
      <c r="I57" s="77">
        <v>3.0</v>
      </c>
      <c r="J57" s="68"/>
      <c r="K57" s="70"/>
      <c r="L57" s="199"/>
      <c r="M57" s="704"/>
      <c r="N57" s="206"/>
      <c r="O57" s="34"/>
      <c r="P57" s="402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customHeight="1">
      <c r="A58" s="34"/>
      <c r="B58" s="83">
        <f>B54+1</f>
        <v>12</v>
      </c>
      <c r="C58" s="208" t="s">
        <v>61</v>
      </c>
      <c r="D58" s="66"/>
      <c r="E58" s="66"/>
      <c r="F58" s="67"/>
      <c r="G58" s="67"/>
      <c r="H58" s="67"/>
      <c r="I58" s="68"/>
      <c r="J58" s="72" t="s">
        <v>25</v>
      </c>
      <c r="K58" s="70">
        <f>IF(J58="YES",IF(J14="2010-2013",H59*$J$13,IF(J14="2014-2021",G59*$J$13,IF(J14="2021-2023",F59*$J$13,0))),0)</f>
        <v>168318.2176</v>
      </c>
      <c r="L58" s="199" t="str">
        <f>AVERAGE(#REF!)</f>
        <v>#REF!</v>
      </c>
      <c r="M58" s="704">
        <v>172616.666666667</v>
      </c>
      <c r="N58" s="206">
        <f>M58/$M$13</f>
        <v>271.4809961</v>
      </c>
      <c r="O58" s="207" t="s">
        <v>23</v>
      </c>
      <c r="P58" s="73">
        <f>IF(O58="Delapidated",K58*0.6,IF(O58="Poor",K58*0.7,IF(O58="Fair",K58*0.8,IF(O58="Good",K58*0.85,IF(O58="Very Good",K58*0.9,IF(O58="Excellent",K58*1,IF(O58="Not Applicable",K58*1,0)))))))</f>
        <v>168318.2176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hidden="1" customHeight="1">
      <c r="A59" s="34"/>
      <c r="B59" s="84"/>
      <c r="C59" s="79" t="s">
        <v>25</v>
      </c>
      <c r="D59" s="66"/>
      <c r="E59" s="66"/>
      <c r="F59" s="67">
        <f>271.480996068152*E16</f>
        <v>336.6364351</v>
      </c>
      <c r="G59" s="67">
        <f t="shared" ref="G59:G60" si="24">F59/$G$16</f>
        <v>269.3091481</v>
      </c>
      <c r="H59" s="67">
        <f t="shared" ref="H59:H60" si="25">F59/$H$16</f>
        <v>255.0276024</v>
      </c>
      <c r="I59" s="77">
        <v>1.0</v>
      </c>
      <c r="J59" s="68"/>
      <c r="K59" s="70"/>
      <c r="L59" s="199"/>
      <c r="M59" s="704"/>
      <c r="N59" s="206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hidden="1" customHeight="1">
      <c r="A60" s="34"/>
      <c r="B60" s="85"/>
      <c r="C60" s="79" t="s">
        <v>26</v>
      </c>
      <c r="D60" s="66"/>
      <c r="E60" s="66"/>
      <c r="F60" s="67">
        <v>0.0</v>
      </c>
      <c r="G60" s="67">
        <f t="shared" si="24"/>
        <v>0</v>
      </c>
      <c r="H60" s="67">
        <f t="shared" si="25"/>
        <v>0</v>
      </c>
      <c r="I60" s="77">
        <v>2.0</v>
      </c>
      <c r="J60" s="68"/>
      <c r="K60" s="70"/>
      <c r="L60" s="199"/>
      <c r="M60" s="704"/>
      <c r="N60" s="206"/>
      <c r="O60" s="34"/>
      <c r="P60" s="402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83">
        <f>B58+1</f>
        <v>13</v>
      </c>
      <c r="C61" s="208" t="s">
        <v>62</v>
      </c>
      <c r="D61" s="66"/>
      <c r="E61" s="66"/>
      <c r="F61" s="67"/>
      <c r="G61" s="67"/>
      <c r="H61" s="67"/>
      <c r="I61" s="68"/>
      <c r="J61" s="72" t="s">
        <v>25</v>
      </c>
      <c r="K61" s="70">
        <f>IF(J61="YES",IF(J14="2010-2013",H62*$J$13,IF(J14="2014-2021",G62*$J$13,IF(J14="2021-2023",F62*$J$13,0))),0)</f>
        <v>38064.58716</v>
      </c>
      <c r="L61" s="199" t="str">
        <f>AVERAGE(#REF!)</f>
        <v>#REF!</v>
      </c>
      <c r="M61" s="704">
        <v>195183.333333333</v>
      </c>
      <c r="N61" s="206">
        <f>M61/$M$13</f>
        <v>306.9724771</v>
      </c>
      <c r="O61" s="207" t="s">
        <v>23</v>
      </c>
      <c r="P61" s="73">
        <f>IF(O61="Delapidated",K61*0.6,IF(O61="Poor",K61*0.7,IF(O61="Fair",K61*0.8,IF(O61="Good",K61*0.85,IF(O61="Very Good",K61*0.9,IF(O61="Excellent",K61*1,IF(O61="Not Applicable",K61*1,0)))))))</f>
        <v>38064.58716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hidden="1" customHeight="1">
      <c r="A62" s="34"/>
      <c r="B62" s="84"/>
      <c r="C62" s="79" t="s">
        <v>25</v>
      </c>
      <c r="D62" s="66"/>
      <c r="E62" s="66"/>
      <c r="F62" s="67">
        <f>306.97247706422*0.2*E16</f>
        <v>76.12917431</v>
      </c>
      <c r="G62" s="67">
        <f t="shared" ref="G62:G63" si="26">F62/$G$16</f>
        <v>60.90333945</v>
      </c>
      <c r="H62" s="67">
        <f t="shared" ref="H62:H63" si="27">F62/$H$16</f>
        <v>57.6736169</v>
      </c>
      <c r="I62" s="77">
        <v>1.0</v>
      </c>
      <c r="J62" s="68"/>
      <c r="K62" s="70"/>
      <c r="L62" s="199"/>
      <c r="M62" s="704"/>
      <c r="N62" s="206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hidden="1" customHeight="1">
      <c r="A63" s="34"/>
      <c r="B63" s="85"/>
      <c r="C63" s="79" t="s">
        <v>26</v>
      </c>
      <c r="D63" s="66"/>
      <c r="E63" s="66"/>
      <c r="F63" s="67">
        <v>0.0</v>
      </c>
      <c r="G63" s="67">
        <f t="shared" si="26"/>
        <v>0</v>
      </c>
      <c r="H63" s="67">
        <f t="shared" si="27"/>
        <v>0</v>
      </c>
      <c r="I63" s="77">
        <v>2.0</v>
      </c>
      <c r="J63" s="68"/>
      <c r="K63" s="70"/>
      <c r="L63" s="199"/>
      <c r="M63" s="704"/>
      <c r="N63" s="206"/>
      <c r="O63" s="34"/>
      <c r="P63" s="402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44"/>
      <c r="C64" s="214" t="s">
        <v>63</v>
      </c>
      <c r="D64" s="66"/>
      <c r="E64" s="66"/>
      <c r="F64" s="67"/>
      <c r="G64" s="67"/>
      <c r="H64" s="67"/>
      <c r="I64" s="77"/>
      <c r="J64" s="379">
        <v>1.0</v>
      </c>
      <c r="K64" s="34"/>
      <c r="L64" s="199"/>
      <c r="M64" s="704"/>
      <c r="N64" s="206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83">
        <f>B61+1</f>
        <v>14</v>
      </c>
      <c r="C65" s="208" t="s">
        <v>64</v>
      </c>
      <c r="D65" s="66"/>
      <c r="E65" s="66"/>
      <c r="F65" s="67"/>
      <c r="G65" s="67"/>
      <c r="H65" s="67"/>
      <c r="I65" s="68"/>
      <c r="J65" s="72" t="s">
        <v>25</v>
      </c>
      <c r="K65" s="70">
        <f>IF(J65="YES",IF(J14="2010-2013",H66*J64,IF(J14="2014-2021",G66*J64,IF(J14="2021-2023",F66*J64,0))),0)</f>
        <v>2300</v>
      </c>
      <c r="L65" s="199" t="str">
        <f>AVERAGE(#REF!)</f>
        <v>#REF!</v>
      </c>
      <c r="M65" s="704">
        <f>272783.333333333+6533</f>
        <v>279316.3333</v>
      </c>
      <c r="N65" s="206">
        <f>M65/$M$13</f>
        <v>439.2917431</v>
      </c>
      <c r="O65" s="207" t="s">
        <v>23</v>
      </c>
      <c r="P65" s="73">
        <f>IF(O65="Delapidated",K65*0.6,IF(O65="Poor",K65*0.7,IF(O65="Fair",K65*0.8,IF(O65="Good",K65*0.85,IF(O65="Very Good",K65*0.9,IF(O65="Excellent",K65*1,IF(O65="Not Applicable",K65*1,0)))))))</f>
        <v>2300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hidden="1" customHeight="1">
      <c r="A66" s="34"/>
      <c r="B66" s="84"/>
      <c r="C66" s="79" t="s">
        <v>25</v>
      </c>
      <c r="D66" s="66"/>
      <c r="E66" s="66"/>
      <c r="F66" s="67">
        <v>2300.0</v>
      </c>
      <c r="G66" s="67">
        <f t="shared" ref="G66:G67" si="28">F66/$G$16</f>
        <v>1840</v>
      </c>
      <c r="H66" s="67">
        <f t="shared" ref="H66:H67" si="29">F66/$H$16</f>
        <v>1742.424242</v>
      </c>
      <c r="I66" s="77">
        <v>1.0</v>
      </c>
      <c r="J66" s="68"/>
      <c r="K66" s="70"/>
      <c r="L66" s="199"/>
      <c r="M66" s="704"/>
      <c r="N66" s="206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hidden="1" customHeight="1">
      <c r="A67" s="34"/>
      <c r="B67" s="85"/>
      <c r="C67" s="79" t="s">
        <v>26</v>
      </c>
      <c r="D67" s="66"/>
      <c r="E67" s="66"/>
      <c r="F67" s="67">
        <v>0.0</v>
      </c>
      <c r="G67" s="67">
        <f t="shared" si="28"/>
        <v>0</v>
      </c>
      <c r="H67" s="67">
        <f t="shared" si="29"/>
        <v>0</v>
      </c>
      <c r="I67" s="77">
        <v>2.0</v>
      </c>
      <c r="J67" s="68"/>
      <c r="K67" s="70"/>
      <c r="L67" s="199"/>
      <c r="M67" s="704"/>
      <c r="N67" s="206"/>
      <c r="O67" s="34"/>
      <c r="P67" s="402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83">
        <f>B65+1</f>
        <v>15</v>
      </c>
      <c r="C68" s="208" t="s">
        <v>65</v>
      </c>
      <c r="D68" s="66"/>
      <c r="E68" s="66"/>
      <c r="F68" s="67"/>
      <c r="G68" s="67"/>
      <c r="H68" s="67"/>
      <c r="I68" s="68"/>
      <c r="J68" s="72" t="s">
        <v>25</v>
      </c>
      <c r="K68" s="70">
        <f>IF(J68="YES",IF(J14="2010-2013",H69*$J$13,IF(J14="2014-2021",G69*$J$13,IF(J14="2021-2023",F69*$J$13,0))),0)</f>
        <v>99898.82045</v>
      </c>
      <c r="L68" s="199" t="str">
        <f>AVERAGE(#REF!)</f>
        <v>#REF!</v>
      </c>
      <c r="M68" s="704">
        <v>102450.0</v>
      </c>
      <c r="N68" s="206">
        <f>M68/$M$13</f>
        <v>161.1271298</v>
      </c>
      <c r="O68" s="207" t="s">
        <v>23</v>
      </c>
      <c r="P68" s="73">
        <f>IF(O68="Delapidated",K68*0.6,IF(O68="Poor",K68*0.7,IF(O68="Fair",K68*0.8,IF(O68="Good",K68*0.85,IF(O68="Very Good",K68*0.9,IF(O68="Excellent",K68*1,IF(O68="Not Applicable",K68*1,0)))))))</f>
        <v>99898.82045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26.25" hidden="1" customHeight="1">
      <c r="A69" s="34"/>
      <c r="B69" s="84"/>
      <c r="C69" s="79" t="s">
        <v>25</v>
      </c>
      <c r="D69" s="66"/>
      <c r="E69" s="66"/>
      <c r="F69" s="67">
        <f>161.127129750983*E16</f>
        <v>199.7976409</v>
      </c>
      <c r="G69" s="67">
        <f t="shared" ref="G69:G70" si="30">F69/$G$16</f>
        <v>159.8381127</v>
      </c>
      <c r="H69" s="67">
        <f t="shared" ref="H69:H70" si="31">F69/$H$16</f>
        <v>151.3618492</v>
      </c>
      <c r="I69" s="77">
        <v>1.0</v>
      </c>
      <c r="J69" s="68"/>
      <c r="K69" s="70"/>
      <c r="L69" s="199"/>
      <c r="M69" s="704"/>
      <c r="N69" s="206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hidden="1" customHeight="1">
      <c r="A70" s="34"/>
      <c r="B70" s="85"/>
      <c r="C70" s="79" t="s">
        <v>26</v>
      </c>
      <c r="D70" s="66"/>
      <c r="E70" s="66"/>
      <c r="F70" s="67">
        <v>0.0</v>
      </c>
      <c r="G70" s="67">
        <f t="shared" si="30"/>
        <v>0</v>
      </c>
      <c r="H70" s="67">
        <f t="shared" si="31"/>
        <v>0</v>
      </c>
      <c r="I70" s="77">
        <v>2.0</v>
      </c>
      <c r="J70" s="68"/>
      <c r="K70" s="70"/>
      <c r="L70" s="199"/>
      <c r="M70" s="704"/>
      <c r="N70" s="206"/>
      <c r="O70" s="34"/>
      <c r="P70" s="402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83">
        <f>B68+1</f>
        <v>16</v>
      </c>
      <c r="C71" s="208" t="s">
        <v>123</v>
      </c>
      <c r="D71" s="66"/>
      <c r="E71" s="66"/>
      <c r="F71" s="67"/>
      <c r="G71" s="67"/>
      <c r="H71" s="67"/>
      <c r="I71" s="68"/>
      <c r="J71" s="72" t="s">
        <v>25</v>
      </c>
      <c r="K71" s="70">
        <f>IF(J71="YES",IF(J14="2010-2013",H72*$J$13,IF(J14="2014-2021",G72*$J$13,IF(J14="2021-2023",F72*$J$13,0))),0)</f>
        <v>213546.5269</v>
      </c>
      <c r="L71" s="199" t="str">
        <f>AVERAGE(#REF!)</f>
        <v>#REF!</v>
      </c>
      <c r="M71" s="704">
        <v>219000.0</v>
      </c>
      <c r="N71" s="206">
        <f>M71/$M$13</f>
        <v>344.429882</v>
      </c>
      <c r="O71" s="207" t="s">
        <v>23</v>
      </c>
      <c r="P71" s="73">
        <f>IF(O71="Delapidated",K71*0.6,IF(O71="Poor",K71*0.7,IF(O71="Fair",K71*0.8,IF(O71="Good",K71*0.85,IF(O71="Very Good",K71*0.9,IF(O71="Excellent",K71*1,IF(O71="Not Applicable",K71*1,0)))))))</f>
        <v>213546.5269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hidden="1" customHeight="1">
      <c r="A72" s="34"/>
      <c r="B72" s="84"/>
      <c r="C72" s="79" t="s">
        <v>25</v>
      </c>
      <c r="D72" s="66"/>
      <c r="E72" s="66"/>
      <c r="F72" s="67">
        <f>344.429882044561*E16</f>
        <v>427.0930537</v>
      </c>
      <c r="G72" s="67">
        <f t="shared" ref="G72:G73" si="32">F72/$G$16</f>
        <v>341.674443</v>
      </c>
      <c r="H72" s="67">
        <f t="shared" ref="H72:H73" si="33">F72/$H$16</f>
        <v>323.5553437</v>
      </c>
      <c r="I72" s="77">
        <v>1.0</v>
      </c>
      <c r="J72" s="68"/>
      <c r="K72" s="70"/>
      <c r="L72" s="199"/>
      <c r="M72" s="704"/>
      <c r="N72" s="206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hidden="1" customHeight="1">
      <c r="A73" s="34"/>
      <c r="B73" s="85"/>
      <c r="C73" s="79" t="s">
        <v>26</v>
      </c>
      <c r="D73" s="66"/>
      <c r="E73" s="66"/>
      <c r="F73" s="67">
        <v>0.0</v>
      </c>
      <c r="G73" s="67">
        <f t="shared" si="32"/>
        <v>0</v>
      </c>
      <c r="H73" s="67">
        <f t="shared" si="33"/>
        <v>0</v>
      </c>
      <c r="I73" s="77">
        <v>2.0</v>
      </c>
      <c r="J73" s="68"/>
      <c r="K73" s="70"/>
      <c r="L73" s="199"/>
      <c r="M73" s="704"/>
      <c r="N73" s="206"/>
      <c r="O73" s="34"/>
      <c r="P73" s="402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customHeight="1">
      <c r="A74" s="34"/>
      <c r="B74" s="44"/>
      <c r="C74" s="214" t="s">
        <v>89</v>
      </c>
      <c r="D74" s="66"/>
      <c r="E74" s="66"/>
      <c r="F74" s="67"/>
      <c r="G74" s="67"/>
      <c r="H74" s="67"/>
      <c r="I74" s="77"/>
      <c r="J74" s="379">
        <v>1.0</v>
      </c>
      <c r="K74" s="34"/>
      <c r="L74" s="199"/>
      <c r="M74" s="704"/>
      <c r="N74" s="206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34"/>
      <c r="B75" s="83">
        <f>B71+1</f>
        <v>17</v>
      </c>
      <c r="C75" s="208" t="s">
        <v>68</v>
      </c>
      <c r="D75" s="66"/>
      <c r="E75" s="66"/>
      <c r="F75" s="67"/>
      <c r="G75" s="67"/>
      <c r="H75" s="67"/>
      <c r="I75" s="68"/>
      <c r="J75" s="72" t="s">
        <v>25</v>
      </c>
      <c r="K75" s="58">
        <f>IF(J75="YES",IF(J14="2010-2013",H76*J74,IF(J14="2014-2021",G76*J74,IF(J14="2021-2023",F76*J74,0))),0)</f>
        <v>7000</v>
      </c>
      <c r="L75" s="199"/>
      <c r="M75" s="704"/>
      <c r="N75" s="206"/>
      <c r="O75" s="207" t="s">
        <v>23</v>
      </c>
      <c r="P75" s="73">
        <f>IF(O75="Delapidated",K75*0.6,IF(O75="Poor",K75*0.7,IF(O75="Fair",K75*0.8,IF(O75="Good",K75*0.85,IF(O75="Very Good",K75*0.9,IF(O75="Excellent",K75*1,IF(O75="Not Applicable",K75*1,0)))))))</f>
        <v>7000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1.5" hidden="1" customHeight="1">
      <c r="A76" s="34"/>
      <c r="B76" s="84"/>
      <c r="C76" s="79" t="s">
        <v>25</v>
      </c>
      <c r="D76" s="66"/>
      <c r="E76" s="66"/>
      <c r="F76" s="67">
        <v>7000.0</v>
      </c>
      <c r="G76" s="67">
        <f t="shared" ref="G76:G77" si="34">F76/$G$16</f>
        <v>5600</v>
      </c>
      <c r="H76" s="67">
        <f t="shared" ref="H76:H77" si="35">F76/$H$16</f>
        <v>5303.030303</v>
      </c>
      <c r="I76" s="77">
        <v>1.0</v>
      </c>
      <c r="J76" s="322"/>
      <c r="K76" s="58"/>
      <c r="L76" s="199"/>
      <c r="M76" s="704"/>
      <c r="N76" s="206"/>
      <c r="O76" s="17"/>
      <c r="P76" s="99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hidden="1" customHeight="1">
      <c r="A77" s="17"/>
      <c r="B77" s="85"/>
      <c r="C77" s="79" t="s">
        <v>26</v>
      </c>
      <c r="D77" s="97"/>
      <c r="E77" s="97"/>
      <c r="F77" s="98">
        <v>0.0</v>
      </c>
      <c r="G77" s="67">
        <f t="shared" si="34"/>
        <v>0</v>
      </c>
      <c r="H77" s="67">
        <f t="shared" si="35"/>
        <v>0</v>
      </c>
      <c r="I77" s="77">
        <v>2.0</v>
      </c>
      <c r="J77" s="322"/>
      <c r="K77" s="123"/>
      <c r="L77" s="199"/>
      <c r="M77" s="704"/>
      <c r="N77" s="206">
        <f>M77/$M$13</f>
        <v>0</v>
      </c>
      <c r="O77" s="250"/>
      <c r="P77" s="125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0.0" customHeight="1">
      <c r="A78" s="17"/>
      <c r="B78" s="219"/>
      <c r="C78" s="105"/>
      <c r="D78" s="97"/>
      <c r="E78" s="97"/>
      <c r="F78" s="98"/>
      <c r="G78" s="67"/>
      <c r="H78" s="67"/>
      <c r="I78" s="77"/>
      <c r="J78" s="480"/>
      <c r="K78" s="197"/>
      <c r="L78" s="190"/>
      <c r="M78" s="190"/>
      <c r="N78" s="225"/>
      <c r="O78" s="193"/>
      <c r="P78" s="19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30.0" customHeight="1">
      <c r="A79" s="17"/>
      <c r="B79" s="219"/>
      <c r="C79" s="214" t="s">
        <v>69</v>
      </c>
      <c r="D79" s="97"/>
      <c r="E79" s="97"/>
      <c r="F79" s="98"/>
      <c r="G79" s="67"/>
      <c r="H79" s="67"/>
      <c r="I79" s="90"/>
      <c r="J79" s="379">
        <v>45.0</v>
      </c>
      <c r="K79" s="189"/>
      <c r="L79" s="190"/>
      <c r="M79" s="190"/>
      <c r="N79" s="225"/>
      <c r="O79" s="193"/>
      <c r="P79" s="610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0.0" customHeight="1">
      <c r="A80" s="17"/>
      <c r="B80" s="44">
        <v>18.0</v>
      </c>
      <c r="C80" s="74" t="s">
        <v>70</v>
      </c>
      <c r="D80" s="97"/>
      <c r="E80" s="97"/>
      <c r="F80" s="98"/>
      <c r="G80" s="67"/>
      <c r="H80" s="67"/>
      <c r="I80" s="77"/>
      <c r="J80" s="229" t="s">
        <v>25</v>
      </c>
      <c r="K80" s="285">
        <f>IF(J80="YES",IF(J14="2010-2013",H81*J79,IF(J14="2014-2021",G81*J79,IF(J14="2021-2023",F81*J79,0))),0)</f>
        <v>161820</v>
      </c>
      <c r="L80" s="199"/>
      <c r="M80" s="704"/>
      <c r="N80" s="206"/>
      <c r="O80" s="231" t="s">
        <v>23</v>
      </c>
      <c r="P80" s="120">
        <f>IF(O80="Delapidated",K80*0.6,IF(O80="Poor",K80*0.7,IF(O80="Fair",K80*0.8,IF(O80="Good",K80*0.85,IF(O80="Very Good",K80*0.9,IF(O80="Excellent",K80*1,IF(O80="Not Applicable",K80*1,0)))))))</f>
        <v>161820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0.0" hidden="1" customHeight="1">
      <c r="A81" s="17"/>
      <c r="B81" s="219"/>
      <c r="C81" s="79" t="s">
        <v>25</v>
      </c>
      <c r="D81" s="97"/>
      <c r="E81" s="97"/>
      <c r="F81" s="98">
        <f>2900*E16</f>
        <v>3596</v>
      </c>
      <c r="G81" s="67">
        <f>F81/$G$16</f>
        <v>2876.8</v>
      </c>
      <c r="H81" s="67">
        <f>F81/$H$16</f>
        <v>2724.242424</v>
      </c>
      <c r="I81" s="77"/>
      <c r="J81" s="322"/>
      <c r="K81" s="58"/>
      <c r="L81" s="199"/>
      <c r="M81" s="704"/>
      <c r="N81" s="206"/>
      <c r="O81" s="17"/>
      <c r="P81" s="202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hidden="1" customHeight="1">
      <c r="A82" s="17"/>
      <c r="B82" s="235"/>
      <c r="C82" s="236" t="s">
        <v>26</v>
      </c>
      <c r="D82" s="103"/>
      <c r="E82" s="103"/>
      <c r="F82" s="706"/>
      <c r="G82" s="706"/>
      <c r="H82" s="706"/>
      <c r="I82" s="651"/>
      <c r="J82" s="122"/>
      <c r="K82" s="123"/>
      <c r="L82" s="199"/>
      <c r="M82" s="704"/>
      <c r="N82" s="206"/>
      <c r="O82" s="17"/>
      <c r="P82" s="70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250"/>
      <c r="B83" s="564"/>
      <c r="C83" s="241"/>
      <c r="D83" s="245"/>
      <c r="E83" s="245"/>
      <c r="F83" s="245"/>
      <c r="G83" s="245"/>
      <c r="H83" s="245"/>
      <c r="I83" s="708"/>
      <c r="J83" s="245"/>
      <c r="K83" s="130"/>
      <c r="L83" s="247"/>
      <c r="M83" s="247"/>
      <c r="N83" s="249"/>
      <c r="O83" s="34"/>
      <c r="P83" s="248"/>
      <c r="Q83" s="250"/>
      <c r="R83" s="250"/>
      <c r="S83" s="250"/>
      <c r="T83" s="250"/>
      <c r="U83" s="250"/>
      <c r="V83" s="250"/>
      <c r="W83" s="250"/>
      <c r="X83" s="250"/>
      <c r="Y83" s="250"/>
      <c r="Z83" s="250"/>
    </row>
    <row r="84" ht="30.0" customHeight="1">
      <c r="A84" s="88"/>
      <c r="B84" s="709"/>
      <c r="C84" s="710" t="s">
        <v>71</v>
      </c>
      <c r="D84" s="711"/>
      <c r="E84" s="711"/>
      <c r="F84" s="711">
        <v>4587.63171690695</v>
      </c>
      <c r="G84" s="711"/>
      <c r="H84" s="711"/>
      <c r="I84" s="113"/>
      <c r="J84" s="114"/>
      <c r="K84" s="285"/>
      <c r="L84" s="199" t="str">
        <f>AVERAGE(#REF!)</f>
        <v>#REF!</v>
      </c>
      <c r="M84" s="704">
        <f>SUM(M13:M83)</f>
        <v>2969735.389</v>
      </c>
      <c r="N84" s="206">
        <f t="shared" ref="N84:N89" si="36">M84/$M$13</f>
        <v>4670.619222</v>
      </c>
      <c r="O84" s="17"/>
      <c r="P84" s="712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30.0" customHeight="1">
      <c r="A85" s="17"/>
      <c r="B85" s="44"/>
      <c r="C85" s="254" t="s">
        <v>72</v>
      </c>
      <c r="D85" s="71"/>
      <c r="E85" s="71"/>
      <c r="F85" s="71">
        <v>0.0</v>
      </c>
      <c r="G85" s="71"/>
      <c r="H85" s="71"/>
      <c r="I85" s="562"/>
      <c r="J85" s="562"/>
      <c r="K85" s="563"/>
      <c r="L85" s="199"/>
      <c r="M85" s="704"/>
      <c r="N85" s="206">
        <f t="shared" si="36"/>
        <v>0</v>
      </c>
      <c r="O85" s="17"/>
      <c r="P85" s="234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17"/>
      <c r="B86" s="61"/>
      <c r="C86" s="255"/>
      <c r="D86" s="97"/>
      <c r="E86" s="97"/>
      <c r="F86" s="97">
        <v>0.0</v>
      </c>
      <c r="G86" s="97"/>
      <c r="H86" s="97"/>
      <c r="I86" s="97"/>
      <c r="J86" s="97"/>
      <c r="K86" s="102"/>
      <c r="L86" s="199"/>
      <c r="M86" s="704"/>
      <c r="N86" s="206">
        <f t="shared" si="36"/>
        <v>0</v>
      </c>
      <c r="O86" s="17"/>
      <c r="P86" s="234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customHeight="1">
      <c r="A87" s="17"/>
      <c r="B87" s="656"/>
      <c r="C87" s="657" t="s">
        <v>71</v>
      </c>
      <c r="D87" s="562"/>
      <c r="E87" s="562"/>
      <c r="F87" s="562">
        <v>4587.63171690695</v>
      </c>
      <c r="G87" s="562"/>
      <c r="H87" s="562"/>
      <c r="I87" s="562"/>
      <c r="J87" s="562"/>
      <c r="K87" s="563"/>
      <c r="L87" s="199" t="str">
        <f>AVERAGE(#REF!)</f>
        <v>#REF!</v>
      </c>
      <c r="M87" s="704">
        <f>SUM(M84:M86)</f>
        <v>2969735.389</v>
      </c>
      <c r="N87" s="206">
        <f t="shared" si="36"/>
        <v>4670.619222</v>
      </c>
      <c r="O87" s="17"/>
      <c r="P87" s="234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customHeight="1">
      <c r="A88" s="17"/>
      <c r="B88" s="659"/>
      <c r="C88" s="713" t="s">
        <v>73</v>
      </c>
      <c r="D88" s="338"/>
      <c r="E88" s="338"/>
      <c r="F88" s="338">
        <v>0.0</v>
      </c>
      <c r="G88" s="338"/>
      <c r="H88" s="338"/>
      <c r="I88" s="338"/>
      <c r="J88" s="568"/>
      <c r="K88" s="569"/>
      <c r="L88" s="199"/>
      <c r="M88" s="704"/>
      <c r="N88" s="206">
        <f t="shared" si="36"/>
        <v>0</v>
      </c>
      <c r="O88" s="17"/>
      <c r="P88" s="324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0.0" customHeight="1">
      <c r="A89" s="17"/>
      <c r="B89" s="340"/>
      <c r="C89" s="17"/>
      <c r="D89" s="341"/>
      <c r="E89" s="341"/>
      <c r="F89" s="341">
        <v>4587.63171690695</v>
      </c>
      <c r="G89" s="341"/>
      <c r="H89" s="341"/>
      <c r="I89" s="664"/>
      <c r="J89" s="340" t="s">
        <v>143</v>
      </c>
      <c r="K89" s="265">
        <f>SUM(K17:K80)</f>
        <v>2516979.673</v>
      </c>
      <c r="L89" s="199" t="str">
        <f>AVERAGE(#REF!)</f>
        <v>#REF!</v>
      </c>
      <c r="M89" s="704">
        <f>SUM(M87:M88)</f>
        <v>2969735.389</v>
      </c>
      <c r="N89" s="206">
        <f t="shared" si="36"/>
        <v>4670.619222</v>
      </c>
      <c r="O89" s="17"/>
      <c r="P89" s="266">
        <f>SUM(P17:P82)</f>
        <v>2430179.673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0.0" customHeight="1">
      <c r="A90" s="17"/>
      <c r="B90" s="340"/>
      <c r="C90" s="17"/>
      <c r="D90" s="341"/>
      <c r="E90" s="341"/>
      <c r="F90" s="341"/>
      <c r="G90" s="341"/>
      <c r="H90" s="341"/>
      <c r="I90" s="664"/>
      <c r="J90" s="340"/>
      <c r="K90" s="714"/>
      <c r="L90" s="199"/>
      <c r="M90" s="704"/>
      <c r="N90" s="206"/>
      <c r="O90" s="17"/>
      <c r="P90" s="115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0.0" customHeight="1">
      <c r="A91" s="147"/>
      <c r="B91" s="119"/>
      <c r="C91" s="17"/>
      <c r="D91" s="344"/>
      <c r="E91" s="344"/>
      <c r="F91" s="344"/>
      <c r="G91" s="344"/>
      <c r="H91" s="344"/>
      <c r="I91" s="345"/>
      <c r="J91" s="138" t="s">
        <v>131</v>
      </c>
      <c r="K91" s="265">
        <f>K89/J13</f>
        <v>5033.959346</v>
      </c>
      <c r="L91" s="199" t="str">
        <f>AVERAGE(#REF!)</f>
        <v>#REF!</v>
      </c>
      <c r="M91" s="704">
        <f>M89/M13</f>
        <v>4670.619222</v>
      </c>
      <c r="N91" s="206">
        <f>M91/$M$13</f>
        <v>7.345665881</v>
      </c>
      <c r="O91" s="17"/>
      <c r="P91" s="266">
        <f>P89/J13</f>
        <v>4860.359346</v>
      </c>
      <c r="Q91" s="147"/>
      <c r="R91" s="147"/>
      <c r="S91" s="147"/>
      <c r="T91" s="147"/>
      <c r="U91" s="147"/>
      <c r="V91" s="147"/>
      <c r="W91" s="147"/>
      <c r="X91" s="147"/>
      <c r="Y91" s="147"/>
      <c r="Z91" s="147"/>
    </row>
    <row r="92" ht="12.0" customHeight="1">
      <c r="B92" s="1"/>
      <c r="K92" s="151"/>
      <c r="P92" s="151"/>
    </row>
    <row r="93" ht="45.75" customHeight="1">
      <c r="B93" s="1"/>
      <c r="C93" s="574"/>
      <c r="K93" s="151"/>
      <c r="P93" s="715"/>
    </row>
    <row r="94" ht="12.0" customHeight="1">
      <c r="B94" s="1"/>
      <c r="K94" s="151"/>
      <c r="P94" s="151"/>
    </row>
    <row r="95" ht="12.0" customHeight="1">
      <c r="B95" s="1"/>
      <c r="K95" s="151"/>
      <c r="P95" s="151"/>
    </row>
    <row r="96" ht="12.0" customHeight="1">
      <c r="B96" s="1"/>
      <c r="K96" s="151"/>
      <c r="P96" s="151"/>
    </row>
    <row r="97" ht="12.0" customHeight="1">
      <c r="B97" s="1"/>
      <c r="K97" s="151"/>
      <c r="P97" s="151"/>
    </row>
    <row r="98" ht="12.0" customHeight="1">
      <c r="B98" s="1"/>
      <c r="K98" s="151"/>
      <c r="P98" s="151"/>
    </row>
    <row r="99" ht="12.0" customHeight="1">
      <c r="B99" s="1"/>
      <c r="K99" s="151"/>
      <c r="P99" s="151"/>
    </row>
    <row r="100" ht="12.0" customHeight="1">
      <c r="B100" s="1"/>
      <c r="K100" s="151"/>
      <c r="P100" s="151"/>
    </row>
    <row r="101" ht="12.0" customHeight="1">
      <c r="B101" s="1"/>
      <c r="K101" s="151"/>
      <c r="P101" s="151"/>
    </row>
    <row r="102" ht="12.0" customHeight="1">
      <c r="B102" s="1"/>
      <c r="K102" s="151"/>
      <c r="P102" s="151"/>
    </row>
    <row r="103" ht="12.0" customHeight="1">
      <c r="B103" s="1"/>
      <c r="K103" s="151"/>
      <c r="P103" s="151"/>
    </row>
    <row r="104" ht="12.0" customHeight="1">
      <c r="B104" s="1"/>
      <c r="K104" s="151"/>
      <c r="P104" s="151"/>
    </row>
    <row r="105" ht="12.0" customHeight="1">
      <c r="B105" s="1"/>
      <c r="K105" s="151"/>
      <c r="P105" s="151"/>
    </row>
    <row r="106" ht="12.0" customHeight="1">
      <c r="B106" s="1"/>
      <c r="K106" s="151"/>
      <c r="P106" s="151"/>
    </row>
    <row r="107" ht="12.0" customHeight="1">
      <c r="B107" s="1"/>
      <c r="K107" s="151"/>
      <c r="P107" s="151"/>
    </row>
    <row r="108" ht="12.0" customHeight="1">
      <c r="B108" s="1"/>
      <c r="K108" s="151"/>
      <c r="P108" s="151"/>
    </row>
    <row r="109" ht="12.0" customHeight="1">
      <c r="B109" s="1"/>
      <c r="K109" s="151"/>
      <c r="P109" s="151"/>
    </row>
    <row r="110" ht="12.0" customHeight="1">
      <c r="B110" s="1"/>
      <c r="K110" s="151"/>
      <c r="P110" s="151"/>
    </row>
    <row r="111" ht="12.0" customHeight="1">
      <c r="B111" s="1"/>
      <c r="K111" s="151"/>
      <c r="P111" s="151"/>
    </row>
    <row r="112" ht="12.0" customHeight="1">
      <c r="B112" s="1"/>
      <c r="K112" s="151"/>
      <c r="P112" s="151"/>
    </row>
    <row r="113" ht="12.0" customHeight="1">
      <c r="B113" s="1"/>
      <c r="K113" s="151"/>
      <c r="P113" s="151"/>
    </row>
    <row r="114" ht="12.0" customHeight="1">
      <c r="B114" s="1"/>
      <c r="K114" s="151"/>
      <c r="P114" s="151"/>
    </row>
    <row r="115" ht="12.0" customHeight="1">
      <c r="B115" s="1"/>
      <c r="K115" s="151"/>
      <c r="P115" s="151"/>
    </row>
    <row r="116" ht="12.0" customHeight="1">
      <c r="B116" s="1"/>
      <c r="K116" s="151"/>
      <c r="P116" s="151"/>
    </row>
    <row r="117" ht="12.0" customHeight="1">
      <c r="B117" s="1"/>
      <c r="K117" s="151"/>
      <c r="P117" s="151"/>
    </row>
    <row r="118" ht="12.0" customHeight="1">
      <c r="B118" s="1"/>
      <c r="K118" s="151"/>
      <c r="P118" s="151"/>
    </row>
    <row r="119" ht="12.0" customHeight="1">
      <c r="B119" s="1"/>
      <c r="K119" s="151"/>
      <c r="P119" s="151"/>
    </row>
    <row r="120" ht="12.0" customHeight="1">
      <c r="B120" s="1"/>
      <c r="K120" s="151"/>
      <c r="P120" s="151"/>
    </row>
    <row r="121" ht="12.0" customHeight="1">
      <c r="B121" s="1"/>
      <c r="K121" s="151"/>
      <c r="P121" s="151"/>
    </row>
    <row r="122" ht="12.0" customHeight="1">
      <c r="B122" s="1"/>
      <c r="K122" s="151"/>
      <c r="P122" s="151"/>
    </row>
    <row r="123" ht="12.0" customHeight="1">
      <c r="B123" s="1"/>
      <c r="K123" s="151"/>
      <c r="P123" s="151"/>
    </row>
    <row r="124" ht="12.0" customHeight="1">
      <c r="B124" s="1"/>
      <c r="K124" s="151"/>
      <c r="P124" s="151"/>
    </row>
    <row r="125" ht="12.0" customHeight="1">
      <c r="B125" s="1"/>
      <c r="K125" s="151"/>
      <c r="P125" s="151"/>
    </row>
    <row r="126" ht="12.0" customHeight="1">
      <c r="B126" s="1"/>
      <c r="K126" s="151"/>
      <c r="P126" s="151"/>
    </row>
    <row r="127" ht="12.0" customHeight="1">
      <c r="B127" s="1"/>
      <c r="K127" s="151"/>
      <c r="P127" s="151"/>
    </row>
    <row r="128" ht="12.0" customHeight="1">
      <c r="B128" s="1"/>
      <c r="K128" s="151"/>
      <c r="P128" s="151"/>
    </row>
    <row r="129" ht="12.0" customHeight="1">
      <c r="B129" s="1"/>
      <c r="K129" s="151"/>
      <c r="P129" s="151"/>
    </row>
    <row r="130" ht="12.0" customHeight="1">
      <c r="B130" s="1"/>
      <c r="K130" s="151"/>
      <c r="P130" s="151"/>
    </row>
    <row r="131" ht="12.0" customHeight="1">
      <c r="B131" s="1"/>
      <c r="K131" s="151"/>
      <c r="P131" s="151"/>
    </row>
    <row r="132" ht="12.0" customHeight="1">
      <c r="B132" s="1"/>
      <c r="K132" s="151"/>
      <c r="P132" s="151"/>
    </row>
    <row r="133" ht="12.0" customHeight="1">
      <c r="B133" s="1"/>
      <c r="K133" s="151"/>
      <c r="P133" s="151"/>
    </row>
    <row r="134" ht="12.0" customHeight="1">
      <c r="B134" s="1"/>
      <c r="K134" s="151"/>
      <c r="P134" s="151"/>
    </row>
    <row r="135" ht="12.0" customHeight="1">
      <c r="B135" s="1"/>
      <c r="K135" s="151"/>
      <c r="P135" s="151"/>
    </row>
    <row r="136" ht="12.0" customHeight="1">
      <c r="B136" s="1"/>
      <c r="K136" s="151"/>
      <c r="P136" s="151"/>
    </row>
    <row r="137" ht="12.0" customHeight="1">
      <c r="B137" s="1"/>
      <c r="K137" s="151"/>
      <c r="P137" s="151"/>
    </row>
    <row r="138" ht="12.0" customHeight="1">
      <c r="B138" s="1"/>
      <c r="K138" s="151"/>
      <c r="P138" s="151"/>
    </row>
    <row r="139" ht="12.0" customHeight="1">
      <c r="B139" s="1"/>
      <c r="K139" s="151"/>
      <c r="P139" s="151"/>
    </row>
    <row r="140" ht="12.0" customHeight="1">
      <c r="B140" s="1"/>
      <c r="K140" s="151"/>
      <c r="P140" s="151"/>
    </row>
    <row r="141" ht="12.0" customHeight="1">
      <c r="B141" s="1"/>
      <c r="K141" s="151"/>
      <c r="P141" s="151"/>
    </row>
    <row r="142" ht="12.0" customHeight="1">
      <c r="B142" s="1"/>
      <c r="K142" s="151"/>
      <c r="P142" s="151"/>
    </row>
    <row r="143" ht="12.0" customHeight="1">
      <c r="B143" s="1"/>
      <c r="K143" s="151"/>
      <c r="P143" s="151"/>
    </row>
    <row r="144" ht="12.0" customHeight="1">
      <c r="B144" s="1"/>
      <c r="K144" s="151"/>
      <c r="P144" s="151"/>
    </row>
    <row r="145" ht="12.0" customHeight="1">
      <c r="B145" s="1"/>
      <c r="K145" s="151"/>
      <c r="P145" s="151"/>
    </row>
    <row r="146" ht="12.0" customHeight="1">
      <c r="B146" s="1"/>
      <c r="K146" s="151"/>
      <c r="P146" s="151"/>
    </row>
    <row r="147" ht="12.0" customHeight="1">
      <c r="B147" s="1"/>
      <c r="K147" s="151"/>
      <c r="P147" s="151"/>
    </row>
    <row r="148" ht="12.0" customHeight="1">
      <c r="B148" s="1"/>
      <c r="K148" s="151"/>
      <c r="P148" s="151"/>
    </row>
    <row r="149" ht="12.0" customHeight="1">
      <c r="B149" s="1"/>
      <c r="K149" s="151"/>
      <c r="P149" s="151"/>
    </row>
    <row r="150" ht="12.0" customHeight="1">
      <c r="B150" s="1"/>
      <c r="K150" s="151"/>
      <c r="P150" s="151"/>
    </row>
    <row r="151" ht="12.0" customHeight="1">
      <c r="B151" s="1"/>
      <c r="K151" s="151"/>
      <c r="P151" s="151"/>
    </row>
    <row r="152" ht="12.0" customHeight="1">
      <c r="B152" s="1"/>
      <c r="K152" s="151"/>
      <c r="P152" s="151"/>
    </row>
    <row r="153" ht="12.0" customHeight="1">
      <c r="B153" s="1"/>
      <c r="K153" s="151"/>
      <c r="P153" s="151"/>
    </row>
    <row r="154" ht="12.0" customHeight="1">
      <c r="B154" s="1"/>
      <c r="K154" s="151"/>
      <c r="P154" s="151"/>
    </row>
    <row r="155" ht="12.0" customHeight="1">
      <c r="B155" s="1"/>
      <c r="K155" s="151"/>
      <c r="P155" s="151"/>
    </row>
    <row r="156" ht="12.0" customHeight="1">
      <c r="B156" s="1"/>
      <c r="K156" s="151"/>
      <c r="P156" s="151"/>
    </row>
    <row r="157" ht="12.0" customHeight="1">
      <c r="B157" s="1"/>
      <c r="K157" s="151"/>
      <c r="P157" s="151"/>
    </row>
    <row r="158" ht="12.0" customHeight="1">
      <c r="B158" s="1"/>
      <c r="K158" s="151"/>
      <c r="P158" s="151"/>
    </row>
    <row r="159" ht="12.0" customHeight="1">
      <c r="B159" s="1"/>
      <c r="K159" s="151"/>
      <c r="P159" s="151"/>
    </row>
    <row r="160" ht="12.0" customHeight="1">
      <c r="B160" s="1"/>
      <c r="K160" s="151"/>
      <c r="P160" s="151"/>
    </row>
    <row r="161" ht="12.0" customHeight="1">
      <c r="B161" s="1"/>
      <c r="K161" s="151"/>
      <c r="P161" s="151"/>
    </row>
    <row r="162" ht="12.0" customHeight="1">
      <c r="B162" s="1"/>
      <c r="K162" s="151"/>
      <c r="P162" s="151"/>
    </row>
    <row r="163" ht="12.0" customHeight="1">
      <c r="B163" s="1"/>
      <c r="K163" s="151"/>
      <c r="P163" s="151"/>
    </row>
    <row r="164" ht="12.0" customHeight="1">
      <c r="B164" s="1"/>
      <c r="K164" s="151"/>
      <c r="P164" s="151"/>
    </row>
    <row r="165" ht="12.0" customHeight="1">
      <c r="B165" s="1"/>
      <c r="K165" s="151"/>
      <c r="P165" s="151"/>
    </row>
    <row r="166" ht="12.0" customHeight="1">
      <c r="B166" s="1"/>
      <c r="K166" s="151"/>
      <c r="P166" s="151"/>
    </row>
    <row r="167" ht="12.0" customHeight="1">
      <c r="B167" s="1"/>
      <c r="K167" s="151"/>
      <c r="P167" s="151"/>
    </row>
    <row r="168" ht="12.0" customHeight="1">
      <c r="B168" s="1"/>
      <c r="K168" s="151"/>
      <c r="P168" s="151"/>
    </row>
    <row r="169" ht="12.0" customHeight="1">
      <c r="B169" s="1"/>
      <c r="K169" s="151"/>
      <c r="P169" s="151"/>
    </row>
    <row r="170" ht="12.0" customHeight="1">
      <c r="B170" s="1"/>
      <c r="K170" s="151"/>
      <c r="P170" s="151"/>
    </row>
    <row r="171" ht="12.0" customHeight="1">
      <c r="B171" s="1"/>
      <c r="K171" s="151"/>
      <c r="P171" s="151"/>
    </row>
    <row r="172" ht="12.0" customHeight="1">
      <c r="B172" s="1"/>
      <c r="K172" s="151"/>
      <c r="P172" s="151"/>
    </row>
    <row r="173" ht="12.0" customHeight="1">
      <c r="B173" s="1"/>
      <c r="K173" s="151"/>
      <c r="P173" s="151"/>
    </row>
    <row r="174" ht="12.0" customHeight="1">
      <c r="B174" s="1"/>
      <c r="K174" s="151"/>
      <c r="P174" s="151"/>
    </row>
    <row r="175" ht="12.0" customHeight="1">
      <c r="B175" s="1"/>
      <c r="K175" s="151"/>
      <c r="P175" s="151"/>
    </row>
    <row r="176" ht="12.0" customHeight="1">
      <c r="B176" s="1"/>
      <c r="K176" s="151"/>
      <c r="P176" s="151"/>
    </row>
    <row r="177" ht="12.0" customHeight="1">
      <c r="B177" s="1"/>
      <c r="K177" s="151"/>
      <c r="P177" s="151"/>
    </row>
    <row r="178" ht="12.0" customHeight="1">
      <c r="B178" s="1"/>
      <c r="K178" s="151"/>
      <c r="P178" s="151"/>
    </row>
    <row r="179" ht="12.0" customHeight="1">
      <c r="B179" s="1"/>
      <c r="K179" s="151"/>
      <c r="P179" s="151"/>
    </row>
    <row r="180" ht="12.0" customHeight="1">
      <c r="B180" s="1"/>
      <c r="K180" s="151"/>
      <c r="P180" s="151"/>
    </row>
    <row r="181" ht="12.0" customHeight="1">
      <c r="B181" s="1"/>
      <c r="K181" s="151"/>
      <c r="P181" s="151"/>
    </row>
    <row r="182" ht="12.0" customHeight="1">
      <c r="B182" s="1"/>
      <c r="K182" s="151"/>
      <c r="P182" s="151"/>
    </row>
    <row r="183" ht="12.0" customHeight="1">
      <c r="B183" s="1"/>
      <c r="K183" s="151"/>
      <c r="P183" s="151"/>
    </row>
    <row r="184" ht="12.0" customHeight="1">
      <c r="B184" s="1"/>
      <c r="K184" s="151"/>
      <c r="P184" s="151"/>
    </row>
    <row r="185" ht="12.0" customHeight="1">
      <c r="B185" s="1"/>
      <c r="K185" s="151"/>
      <c r="P185" s="151"/>
    </row>
    <row r="186" ht="12.0" customHeight="1">
      <c r="B186" s="1"/>
      <c r="K186" s="151"/>
      <c r="P186" s="151"/>
    </row>
    <row r="187" ht="12.0" customHeight="1">
      <c r="B187" s="1"/>
      <c r="K187" s="151"/>
      <c r="P187" s="151"/>
    </row>
    <row r="188" ht="12.0" customHeight="1">
      <c r="B188" s="1"/>
      <c r="K188" s="151"/>
      <c r="P188" s="151"/>
    </row>
    <row r="189" ht="12.0" customHeight="1">
      <c r="B189" s="1"/>
      <c r="K189" s="151"/>
      <c r="P189" s="151"/>
    </row>
    <row r="190" ht="12.0" customHeight="1">
      <c r="B190" s="1"/>
      <c r="K190" s="151"/>
      <c r="P190" s="151"/>
    </row>
    <row r="191" ht="12.0" customHeight="1">
      <c r="B191" s="1"/>
      <c r="K191" s="151"/>
      <c r="P191" s="151"/>
    </row>
    <row r="192" ht="12.0" customHeight="1">
      <c r="B192" s="1"/>
      <c r="K192" s="151"/>
      <c r="P192" s="151"/>
    </row>
    <row r="193" ht="12.0" customHeight="1">
      <c r="B193" s="1"/>
      <c r="K193" s="151"/>
      <c r="P193" s="151"/>
    </row>
    <row r="194" ht="12.0" customHeight="1">
      <c r="B194" s="1"/>
      <c r="K194" s="151"/>
      <c r="P194" s="151"/>
    </row>
    <row r="195" ht="12.0" customHeight="1">
      <c r="B195" s="1"/>
      <c r="K195" s="151"/>
      <c r="P195" s="151"/>
    </row>
    <row r="196" ht="12.0" customHeight="1">
      <c r="B196" s="1"/>
      <c r="K196" s="151"/>
      <c r="P196" s="151"/>
    </row>
    <row r="197" ht="12.0" customHeight="1">
      <c r="B197" s="1"/>
      <c r="K197" s="151"/>
      <c r="P197" s="151"/>
    </row>
    <row r="198" ht="12.0" customHeight="1">
      <c r="B198" s="1"/>
      <c r="K198" s="151"/>
      <c r="P198" s="151"/>
    </row>
    <row r="199" ht="12.0" customHeight="1">
      <c r="B199" s="1"/>
      <c r="K199" s="151"/>
      <c r="P199" s="151"/>
    </row>
    <row r="200" ht="12.0" customHeight="1">
      <c r="B200" s="1"/>
      <c r="K200" s="151"/>
      <c r="P200" s="151"/>
    </row>
    <row r="201" ht="12.0" customHeight="1">
      <c r="B201" s="1"/>
      <c r="K201" s="151"/>
      <c r="P201" s="151"/>
    </row>
    <row r="202" ht="12.0" customHeight="1">
      <c r="B202" s="1"/>
      <c r="K202" s="151"/>
      <c r="P202" s="151"/>
    </row>
    <row r="203" ht="12.0" customHeight="1">
      <c r="B203" s="1"/>
      <c r="K203" s="151"/>
      <c r="P203" s="151"/>
    </row>
    <row r="204" ht="12.0" customHeight="1">
      <c r="B204" s="1"/>
      <c r="K204" s="151"/>
      <c r="P204" s="151"/>
    </row>
    <row r="205" ht="12.0" customHeight="1">
      <c r="B205" s="1"/>
      <c r="K205" s="151"/>
      <c r="P205" s="151"/>
    </row>
    <row r="206" ht="12.0" customHeight="1">
      <c r="B206" s="1"/>
      <c r="K206" s="151"/>
      <c r="P206" s="151"/>
    </row>
    <row r="207" ht="12.0" customHeight="1">
      <c r="B207" s="1"/>
      <c r="K207" s="151"/>
      <c r="P207" s="151"/>
    </row>
    <row r="208" ht="12.0" customHeight="1">
      <c r="B208" s="1"/>
      <c r="K208" s="151"/>
      <c r="P208" s="151"/>
    </row>
    <row r="209" ht="12.0" customHeight="1">
      <c r="B209" s="1"/>
      <c r="K209" s="151"/>
      <c r="P209" s="151"/>
    </row>
    <row r="210" ht="12.0" customHeight="1">
      <c r="B210" s="1"/>
      <c r="K210" s="151"/>
      <c r="P210" s="151"/>
    </row>
    <row r="211" ht="12.0" customHeight="1">
      <c r="B211" s="1"/>
      <c r="K211" s="151"/>
      <c r="P211" s="151"/>
    </row>
    <row r="212" ht="12.0" customHeight="1">
      <c r="B212" s="1"/>
      <c r="K212" s="151"/>
      <c r="P212" s="151"/>
    </row>
    <row r="213" ht="12.0" customHeight="1">
      <c r="B213" s="1"/>
      <c r="K213" s="151"/>
      <c r="P213" s="151"/>
    </row>
    <row r="214" ht="12.0" customHeight="1">
      <c r="B214" s="1"/>
      <c r="K214" s="151"/>
      <c r="P214" s="151"/>
    </row>
    <row r="215" ht="12.0" customHeight="1">
      <c r="B215" s="1"/>
      <c r="K215" s="151"/>
      <c r="P215" s="151"/>
    </row>
    <row r="216" ht="12.0" customHeight="1">
      <c r="B216" s="1"/>
      <c r="K216" s="151"/>
      <c r="P216" s="151"/>
    </row>
    <row r="217" ht="12.0" customHeight="1">
      <c r="B217" s="1"/>
      <c r="K217" s="151"/>
      <c r="P217" s="151"/>
    </row>
    <row r="218" ht="12.0" customHeight="1">
      <c r="B218" s="1"/>
      <c r="K218" s="151"/>
      <c r="P218" s="151"/>
    </row>
    <row r="219" ht="12.0" customHeight="1">
      <c r="B219" s="1"/>
      <c r="K219" s="151"/>
      <c r="P219" s="151"/>
    </row>
    <row r="220" ht="12.0" customHeight="1">
      <c r="B220" s="1"/>
      <c r="K220" s="151"/>
      <c r="P220" s="151"/>
    </row>
    <row r="221" ht="12.0" customHeight="1">
      <c r="B221" s="1"/>
      <c r="K221" s="151"/>
      <c r="P221" s="151"/>
    </row>
    <row r="222" ht="12.0" customHeight="1">
      <c r="B222" s="1"/>
      <c r="K222" s="151"/>
      <c r="P222" s="151"/>
    </row>
    <row r="223" ht="12.0" customHeight="1">
      <c r="B223" s="1"/>
      <c r="K223" s="151"/>
      <c r="P223" s="151"/>
    </row>
    <row r="224" ht="12.0" customHeight="1">
      <c r="B224" s="1"/>
      <c r="K224" s="151"/>
      <c r="P224" s="151"/>
    </row>
    <row r="225" ht="12.0" customHeight="1">
      <c r="B225" s="1"/>
      <c r="K225" s="151"/>
      <c r="P225" s="151"/>
    </row>
    <row r="226" ht="12.0" customHeight="1">
      <c r="B226" s="1"/>
      <c r="K226" s="151"/>
      <c r="P226" s="151"/>
    </row>
    <row r="227" ht="12.0" customHeight="1">
      <c r="B227" s="1"/>
      <c r="K227" s="151"/>
      <c r="P227" s="151"/>
    </row>
    <row r="228" ht="12.0" customHeight="1">
      <c r="B228" s="1"/>
      <c r="K228" s="151"/>
      <c r="P228" s="151"/>
    </row>
    <row r="229" ht="12.0" customHeight="1">
      <c r="B229" s="1"/>
      <c r="K229" s="151"/>
      <c r="P229" s="151"/>
    </row>
    <row r="230" ht="12.0" customHeight="1">
      <c r="B230" s="1"/>
      <c r="K230" s="151"/>
      <c r="P230" s="151"/>
    </row>
    <row r="231" ht="12.0" customHeight="1">
      <c r="B231" s="1"/>
      <c r="K231" s="151"/>
      <c r="P231" s="151"/>
    </row>
    <row r="232" ht="12.0" customHeight="1">
      <c r="B232" s="1"/>
      <c r="K232" s="151"/>
      <c r="P232" s="151"/>
    </row>
    <row r="233" ht="12.0" customHeight="1">
      <c r="B233" s="1"/>
      <c r="K233" s="151"/>
      <c r="P233" s="151"/>
    </row>
    <row r="234" ht="12.0" customHeight="1">
      <c r="B234" s="1"/>
      <c r="K234" s="151"/>
      <c r="P234" s="151"/>
    </row>
    <row r="235" ht="12.0" customHeight="1">
      <c r="B235" s="1"/>
      <c r="K235" s="151"/>
      <c r="P235" s="151"/>
    </row>
    <row r="236" ht="12.0" customHeight="1">
      <c r="B236" s="1"/>
      <c r="K236" s="151"/>
      <c r="P236" s="151"/>
    </row>
    <row r="237" ht="12.0" customHeight="1">
      <c r="B237" s="1"/>
      <c r="K237" s="151"/>
      <c r="P237" s="151"/>
    </row>
    <row r="238" ht="12.0" customHeight="1">
      <c r="B238" s="1"/>
      <c r="K238" s="151"/>
      <c r="P238" s="151"/>
    </row>
    <row r="239" ht="12.0" customHeight="1">
      <c r="B239" s="1"/>
      <c r="K239" s="151"/>
      <c r="P239" s="151"/>
    </row>
    <row r="240" ht="12.0" customHeight="1">
      <c r="B240" s="1"/>
      <c r="K240" s="151"/>
      <c r="P240" s="151"/>
    </row>
    <row r="241" ht="12.0" customHeight="1">
      <c r="B241" s="1"/>
      <c r="K241" s="151"/>
      <c r="P241" s="151"/>
    </row>
    <row r="242" ht="12.0" customHeight="1">
      <c r="B242" s="1"/>
      <c r="K242" s="151"/>
      <c r="P242" s="151"/>
    </row>
    <row r="243" ht="12.0" customHeight="1">
      <c r="B243" s="1"/>
      <c r="K243" s="151"/>
      <c r="P243" s="151"/>
    </row>
    <row r="244" ht="12.0" customHeight="1">
      <c r="B244" s="1"/>
      <c r="K244" s="151"/>
      <c r="P244" s="151"/>
    </row>
    <row r="245" ht="12.0" customHeight="1">
      <c r="B245" s="1"/>
      <c r="K245" s="151"/>
      <c r="P245" s="151"/>
    </row>
    <row r="246" ht="12.0" customHeight="1">
      <c r="B246" s="1"/>
      <c r="K246" s="151"/>
      <c r="P246" s="151"/>
    </row>
    <row r="247" ht="12.0" customHeight="1">
      <c r="B247" s="1"/>
      <c r="K247" s="151"/>
      <c r="P247" s="151"/>
    </row>
    <row r="248" ht="12.0" customHeight="1">
      <c r="B248" s="1"/>
      <c r="K248" s="151"/>
      <c r="P248" s="151"/>
    </row>
    <row r="249" ht="12.0" customHeight="1">
      <c r="B249" s="1"/>
      <c r="K249" s="151"/>
      <c r="P249" s="151"/>
    </row>
    <row r="250" ht="12.0" customHeight="1">
      <c r="B250" s="1"/>
      <c r="K250" s="151"/>
      <c r="P250" s="151"/>
    </row>
    <row r="251" ht="12.0" customHeight="1">
      <c r="B251" s="1"/>
      <c r="K251" s="151"/>
      <c r="P251" s="151"/>
    </row>
    <row r="252" ht="12.0" customHeight="1">
      <c r="B252" s="1"/>
      <c r="K252" s="151"/>
      <c r="P252" s="151"/>
    </row>
    <row r="253" ht="12.0" customHeight="1">
      <c r="B253" s="1"/>
      <c r="K253" s="151"/>
      <c r="P253" s="151"/>
    </row>
    <row r="254" ht="12.0" customHeight="1">
      <c r="B254" s="1"/>
      <c r="K254" s="151"/>
      <c r="P254" s="151"/>
    </row>
    <row r="255" ht="12.0" customHeight="1">
      <c r="B255" s="1"/>
      <c r="K255" s="151"/>
      <c r="P255" s="151"/>
    </row>
    <row r="256" ht="12.0" customHeight="1">
      <c r="B256" s="1"/>
      <c r="K256" s="151"/>
      <c r="P256" s="151"/>
    </row>
    <row r="257" ht="12.0" customHeight="1">
      <c r="B257" s="1"/>
      <c r="K257" s="151"/>
      <c r="P257" s="151"/>
    </row>
    <row r="258" ht="12.0" customHeight="1">
      <c r="B258" s="1"/>
      <c r="K258" s="151"/>
      <c r="P258" s="151"/>
    </row>
    <row r="259" ht="12.0" customHeight="1">
      <c r="B259" s="1"/>
      <c r="K259" s="151"/>
      <c r="P259" s="151"/>
    </row>
    <row r="260" ht="12.0" customHeight="1">
      <c r="B260" s="1"/>
      <c r="K260" s="151"/>
      <c r="P260" s="151"/>
    </row>
    <row r="261" ht="12.0" customHeight="1">
      <c r="B261" s="1"/>
      <c r="K261" s="151"/>
      <c r="P261" s="151"/>
    </row>
    <row r="262" ht="12.0" customHeight="1">
      <c r="B262" s="1"/>
      <c r="K262" s="151"/>
      <c r="P262" s="151"/>
    </row>
    <row r="263" ht="12.0" customHeight="1">
      <c r="B263" s="1"/>
      <c r="K263" s="151"/>
      <c r="P263" s="151"/>
    </row>
    <row r="264" ht="12.0" customHeight="1">
      <c r="B264" s="1"/>
      <c r="K264" s="151"/>
      <c r="P264" s="151"/>
    </row>
    <row r="265" ht="12.0" customHeight="1">
      <c r="B265" s="1"/>
      <c r="K265" s="151"/>
      <c r="P265" s="151"/>
    </row>
    <row r="266" ht="12.0" customHeight="1">
      <c r="B266" s="1"/>
      <c r="K266" s="151"/>
      <c r="P266" s="151"/>
    </row>
    <row r="267" ht="12.0" customHeight="1">
      <c r="B267" s="1"/>
      <c r="K267" s="151"/>
      <c r="P267" s="151"/>
    </row>
    <row r="268" ht="12.0" customHeight="1">
      <c r="B268" s="1"/>
      <c r="K268" s="151"/>
      <c r="P268" s="151"/>
    </row>
    <row r="269" ht="12.0" customHeight="1">
      <c r="B269" s="1"/>
      <c r="K269" s="151"/>
      <c r="P269" s="151"/>
    </row>
    <row r="270" ht="12.0" customHeight="1">
      <c r="B270" s="1"/>
      <c r="K270" s="151"/>
      <c r="P270" s="151"/>
    </row>
    <row r="271" ht="12.0" customHeight="1">
      <c r="B271" s="1"/>
      <c r="K271" s="151"/>
      <c r="P271" s="151"/>
    </row>
    <row r="272" ht="12.0" customHeight="1">
      <c r="B272" s="1"/>
      <c r="K272" s="151"/>
      <c r="P272" s="151"/>
    </row>
    <row r="273" ht="12.0" customHeight="1">
      <c r="B273" s="1"/>
      <c r="K273" s="151"/>
      <c r="P273" s="151"/>
    </row>
    <row r="274" ht="12.0" customHeight="1">
      <c r="B274" s="1"/>
      <c r="K274" s="151"/>
      <c r="P274" s="151"/>
    </row>
    <row r="275" ht="12.0" customHeight="1">
      <c r="B275" s="1"/>
      <c r="K275" s="151"/>
      <c r="P275" s="151"/>
    </row>
    <row r="276" ht="12.0" customHeight="1">
      <c r="B276" s="1"/>
      <c r="K276" s="151"/>
      <c r="P276" s="151"/>
    </row>
    <row r="277" ht="12.0" customHeight="1">
      <c r="B277" s="1"/>
      <c r="K277" s="151"/>
      <c r="P277" s="151"/>
    </row>
    <row r="278" ht="12.0" customHeight="1">
      <c r="B278" s="1"/>
      <c r="K278" s="151"/>
      <c r="P278" s="151"/>
    </row>
    <row r="279" ht="12.0" customHeight="1">
      <c r="B279" s="1"/>
      <c r="K279" s="151"/>
      <c r="P279" s="151"/>
    </row>
    <row r="280" ht="12.0" customHeight="1">
      <c r="B280" s="1"/>
      <c r="K280" s="151"/>
      <c r="P280" s="151"/>
    </row>
    <row r="281" ht="12.0" customHeight="1">
      <c r="B281" s="1"/>
      <c r="K281" s="151"/>
      <c r="P281" s="151"/>
    </row>
    <row r="282" ht="12.0" customHeight="1">
      <c r="B282" s="1"/>
      <c r="K282" s="151"/>
      <c r="P282" s="151"/>
    </row>
    <row r="283" ht="12.0" customHeight="1">
      <c r="B283" s="1"/>
      <c r="K283" s="151"/>
      <c r="P283" s="151"/>
    </row>
    <row r="284" ht="12.0" customHeight="1">
      <c r="B284" s="1"/>
      <c r="K284" s="151"/>
      <c r="P284" s="151"/>
    </row>
    <row r="285" ht="12.0" customHeight="1">
      <c r="B285" s="1"/>
      <c r="K285" s="151"/>
      <c r="P285" s="151"/>
    </row>
    <row r="286" ht="12.0" customHeight="1">
      <c r="B286" s="1"/>
      <c r="K286" s="151"/>
      <c r="P286" s="151"/>
    </row>
    <row r="287" ht="12.0" customHeight="1">
      <c r="B287" s="1"/>
      <c r="K287" s="151"/>
      <c r="P287" s="151"/>
    </row>
    <row r="288" ht="12.0" customHeight="1">
      <c r="B288" s="1"/>
      <c r="K288" s="151"/>
      <c r="P288" s="151"/>
    </row>
    <row r="289" ht="12.0" customHeight="1">
      <c r="B289" s="1"/>
      <c r="K289" s="151"/>
      <c r="P289" s="151"/>
    </row>
    <row r="290" ht="12.0" customHeight="1">
      <c r="B290" s="1"/>
      <c r="K290" s="151"/>
      <c r="P290" s="151"/>
    </row>
    <row r="291" ht="12.0" customHeight="1">
      <c r="B291" s="1"/>
      <c r="K291" s="151"/>
      <c r="P291" s="151"/>
    </row>
    <row r="292" ht="12.0" customHeight="1">
      <c r="B292" s="1"/>
      <c r="K292" s="151"/>
      <c r="P292" s="151"/>
    </row>
    <row r="293" ht="12.0" customHeight="1">
      <c r="B293" s="1"/>
      <c r="K293" s="151"/>
      <c r="P293" s="151"/>
    </row>
    <row r="294" ht="12.0" customHeight="1">
      <c r="B294" s="1"/>
      <c r="K294" s="151"/>
      <c r="P294" s="151"/>
    </row>
    <row r="295" ht="12.0" customHeight="1">
      <c r="B295" s="1"/>
      <c r="K295" s="151"/>
      <c r="P295" s="151"/>
    </row>
    <row r="296" ht="12.0" customHeight="1">
      <c r="B296" s="1"/>
      <c r="K296" s="151"/>
      <c r="P296" s="151"/>
    </row>
    <row r="297" ht="12.0" customHeight="1">
      <c r="B297" s="1"/>
      <c r="K297" s="151"/>
      <c r="P297" s="151"/>
    </row>
    <row r="298" ht="12.0" customHeight="1">
      <c r="B298" s="1"/>
      <c r="K298" s="151"/>
      <c r="P298" s="151"/>
    </row>
    <row r="299" ht="12.0" customHeight="1">
      <c r="B299" s="1"/>
      <c r="K299" s="151"/>
      <c r="P299" s="151"/>
    </row>
    <row r="300" ht="12.0" customHeight="1">
      <c r="B300" s="1"/>
      <c r="K300" s="151"/>
      <c r="P300" s="151"/>
    </row>
    <row r="301" ht="12.0" customHeight="1">
      <c r="B301" s="1"/>
      <c r="K301" s="151"/>
      <c r="P301" s="151"/>
    </row>
    <row r="302" ht="12.0" customHeight="1">
      <c r="B302" s="1"/>
      <c r="K302" s="151"/>
      <c r="P302" s="151"/>
    </row>
    <row r="303" ht="12.0" customHeight="1">
      <c r="B303" s="1"/>
      <c r="K303" s="151"/>
      <c r="P303" s="151"/>
    </row>
    <row r="304" ht="12.0" customHeight="1">
      <c r="B304" s="1"/>
      <c r="K304" s="151"/>
      <c r="P304" s="151"/>
    </row>
    <row r="305" ht="12.0" customHeight="1">
      <c r="B305" s="1"/>
      <c r="K305" s="151"/>
      <c r="P305" s="151"/>
    </row>
    <row r="306" ht="12.0" customHeight="1">
      <c r="B306" s="1"/>
      <c r="K306" s="151"/>
      <c r="P306" s="151"/>
    </row>
    <row r="307" ht="12.0" customHeight="1">
      <c r="B307" s="1"/>
      <c r="K307" s="151"/>
      <c r="P307" s="151"/>
    </row>
    <row r="308" ht="12.0" customHeight="1">
      <c r="B308" s="1"/>
      <c r="K308" s="151"/>
      <c r="P308" s="151"/>
    </row>
    <row r="309" ht="12.0" customHeight="1">
      <c r="B309" s="1"/>
      <c r="K309" s="151"/>
      <c r="P309" s="151"/>
    </row>
    <row r="310" ht="12.0" customHeight="1">
      <c r="B310" s="1"/>
      <c r="K310" s="151"/>
      <c r="P310" s="151"/>
    </row>
    <row r="311" ht="12.0" customHeight="1">
      <c r="B311" s="1"/>
      <c r="K311" s="151"/>
      <c r="P311" s="151"/>
    </row>
    <row r="312" ht="12.0" customHeight="1">
      <c r="B312" s="1"/>
      <c r="K312" s="151"/>
      <c r="P312" s="151"/>
    </row>
    <row r="313" ht="12.0" customHeight="1">
      <c r="B313" s="1"/>
      <c r="K313" s="151"/>
      <c r="P313" s="151"/>
    </row>
    <row r="314" ht="12.0" customHeight="1">
      <c r="B314" s="1"/>
      <c r="K314" s="151"/>
      <c r="P314" s="151"/>
    </row>
    <row r="315" ht="12.0" customHeight="1">
      <c r="B315" s="1"/>
      <c r="K315" s="151"/>
      <c r="P315" s="151"/>
    </row>
    <row r="316" ht="12.0" customHeight="1">
      <c r="B316" s="1"/>
      <c r="K316" s="151"/>
      <c r="P316" s="151"/>
    </row>
    <row r="317" ht="12.0" customHeight="1">
      <c r="B317" s="1"/>
      <c r="K317" s="151"/>
      <c r="P317" s="151"/>
    </row>
    <row r="318" ht="12.0" customHeight="1">
      <c r="B318" s="1"/>
      <c r="K318" s="151"/>
      <c r="P318" s="151"/>
    </row>
    <row r="319" ht="12.0" customHeight="1">
      <c r="B319" s="1"/>
      <c r="K319" s="151"/>
      <c r="P319" s="151"/>
    </row>
    <row r="320" ht="12.0" customHeight="1">
      <c r="B320" s="1"/>
      <c r="K320" s="151"/>
      <c r="P320" s="151"/>
    </row>
    <row r="321" ht="12.0" customHeight="1">
      <c r="B321" s="1"/>
      <c r="K321" s="151"/>
      <c r="P321" s="151"/>
    </row>
    <row r="322" ht="12.0" customHeight="1">
      <c r="B322" s="1"/>
      <c r="K322" s="151"/>
      <c r="P322" s="151"/>
    </row>
    <row r="323" ht="12.0" customHeight="1">
      <c r="B323" s="1"/>
      <c r="K323" s="151"/>
      <c r="P323" s="151"/>
    </row>
    <row r="324" ht="12.0" customHeight="1">
      <c r="B324" s="1"/>
      <c r="K324" s="151"/>
      <c r="P324" s="151"/>
    </row>
    <row r="325" ht="12.0" customHeight="1">
      <c r="B325" s="1"/>
      <c r="K325" s="151"/>
      <c r="P325" s="151"/>
    </row>
    <row r="326" ht="12.0" customHeight="1">
      <c r="B326" s="1"/>
      <c r="K326" s="151"/>
      <c r="P326" s="151"/>
    </row>
    <row r="327" ht="12.0" customHeight="1">
      <c r="B327" s="1"/>
      <c r="K327" s="151"/>
      <c r="P327" s="151"/>
    </row>
    <row r="328" ht="12.0" customHeight="1">
      <c r="B328" s="1"/>
      <c r="K328" s="151"/>
      <c r="P328" s="151"/>
    </row>
    <row r="329" ht="12.0" customHeight="1">
      <c r="B329" s="1"/>
      <c r="K329" s="151"/>
      <c r="P329" s="151"/>
    </row>
    <row r="330" ht="12.0" customHeight="1">
      <c r="B330" s="1"/>
      <c r="K330" s="151"/>
      <c r="P330" s="151"/>
    </row>
    <row r="331" ht="12.0" customHeight="1">
      <c r="B331" s="1"/>
      <c r="K331" s="151"/>
      <c r="P331" s="151"/>
    </row>
    <row r="332" ht="12.0" customHeight="1">
      <c r="B332" s="1"/>
      <c r="K332" s="151"/>
      <c r="P332" s="151"/>
    </row>
    <row r="333" ht="12.0" customHeight="1">
      <c r="B333" s="1"/>
      <c r="K333" s="151"/>
      <c r="P333" s="151"/>
    </row>
    <row r="334" ht="12.0" customHeight="1">
      <c r="B334" s="1"/>
      <c r="K334" s="151"/>
      <c r="P334" s="151"/>
    </row>
    <row r="335" ht="12.0" customHeight="1">
      <c r="B335" s="1"/>
      <c r="K335" s="151"/>
      <c r="P335" s="151"/>
    </row>
    <row r="336" ht="12.0" customHeight="1">
      <c r="B336" s="1"/>
      <c r="K336" s="151"/>
      <c r="P336" s="151"/>
    </row>
    <row r="337" ht="12.0" customHeight="1">
      <c r="B337" s="1"/>
      <c r="K337" s="151"/>
      <c r="P337" s="151"/>
    </row>
    <row r="338" ht="12.0" customHeight="1">
      <c r="B338" s="1"/>
      <c r="K338" s="151"/>
      <c r="P338" s="151"/>
    </row>
    <row r="339" ht="12.0" customHeight="1">
      <c r="B339" s="1"/>
      <c r="K339" s="151"/>
      <c r="P339" s="151"/>
    </row>
    <row r="340" ht="12.0" customHeight="1">
      <c r="B340" s="1"/>
      <c r="K340" s="151"/>
      <c r="P340" s="151"/>
    </row>
    <row r="341" ht="12.0" customHeight="1">
      <c r="B341" s="1"/>
      <c r="K341" s="151"/>
      <c r="P341" s="151"/>
    </row>
    <row r="342" ht="12.0" customHeight="1">
      <c r="B342" s="1"/>
      <c r="K342" s="151"/>
      <c r="P342" s="151"/>
    </row>
    <row r="343" ht="12.0" customHeight="1">
      <c r="B343" s="1"/>
      <c r="K343" s="151"/>
      <c r="P343" s="151"/>
    </row>
    <row r="344" ht="12.0" customHeight="1">
      <c r="B344" s="1"/>
      <c r="K344" s="151"/>
      <c r="P344" s="151"/>
    </row>
    <row r="345" ht="12.0" customHeight="1">
      <c r="B345" s="1"/>
      <c r="K345" s="151"/>
      <c r="P345" s="151"/>
    </row>
    <row r="346" ht="12.0" customHeight="1">
      <c r="B346" s="1"/>
      <c r="K346" s="151"/>
      <c r="P346" s="151"/>
    </row>
    <row r="347" ht="12.0" customHeight="1">
      <c r="B347" s="1"/>
      <c r="K347" s="151"/>
      <c r="P347" s="151"/>
    </row>
    <row r="348" ht="12.0" customHeight="1">
      <c r="B348" s="1"/>
      <c r="K348" s="151"/>
      <c r="P348" s="151"/>
    </row>
    <row r="349" ht="12.0" customHeight="1">
      <c r="B349" s="1"/>
      <c r="K349" s="151"/>
      <c r="P349" s="151"/>
    </row>
    <row r="350" ht="12.0" customHeight="1">
      <c r="B350" s="1"/>
      <c r="K350" s="151"/>
      <c r="P350" s="151"/>
    </row>
    <row r="351" ht="12.0" customHeight="1">
      <c r="B351" s="1"/>
      <c r="K351" s="151"/>
      <c r="P351" s="151"/>
    </row>
    <row r="352" ht="12.0" customHeight="1">
      <c r="B352" s="1"/>
      <c r="K352" s="151"/>
      <c r="P352" s="151"/>
    </row>
    <row r="353" ht="12.0" customHeight="1">
      <c r="B353" s="1"/>
      <c r="K353" s="151"/>
      <c r="P353" s="151"/>
    </row>
    <row r="354" ht="12.0" customHeight="1">
      <c r="B354" s="1"/>
      <c r="K354" s="151"/>
      <c r="P354" s="151"/>
    </row>
    <row r="355" ht="12.0" customHeight="1">
      <c r="B355" s="1"/>
      <c r="K355" s="151"/>
      <c r="P355" s="151"/>
    </row>
    <row r="356" ht="12.0" customHeight="1">
      <c r="B356" s="1"/>
      <c r="K356" s="151"/>
      <c r="P356" s="151"/>
    </row>
    <row r="357" ht="12.0" customHeight="1">
      <c r="B357" s="1"/>
      <c r="K357" s="151"/>
      <c r="P357" s="151"/>
    </row>
    <row r="358" ht="12.0" customHeight="1">
      <c r="B358" s="1"/>
      <c r="K358" s="151"/>
      <c r="P358" s="151"/>
    </row>
    <row r="359" ht="12.0" customHeight="1">
      <c r="B359" s="1"/>
      <c r="K359" s="151"/>
      <c r="P359" s="151"/>
    </row>
    <row r="360" ht="12.0" customHeight="1">
      <c r="B360" s="1"/>
      <c r="K360" s="151"/>
      <c r="P360" s="151"/>
    </row>
    <row r="361" ht="12.0" customHeight="1">
      <c r="B361" s="1"/>
      <c r="K361" s="151"/>
      <c r="P361" s="151"/>
    </row>
    <row r="362" ht="12.0" customHeight="1">
      <c r="B362" s="1"/>
      <c r="K362" s="151"/>
      <c r="P362" s="151"/>
    </row>
    <row r="363" ht="12.0" customHeight="1">
      <c r="B363" s="1"/>
      <c r="K363" s="151"/>
      <c r="P363" s="151"/>
    </row>
    <row r="364" ht="12.0" customHeight="1">
      <c r="B364" s="1"/>
      <c r="K364" s="151"/>
      <c r="P364" s="151"/>
    </row>
    <row r="365" ht="12.0" customHeight="1">
      <c r="B365" s="1"/>
      <c r="K365" s="151"/>
      <c r="P365" s="151"/>
    </row>
    <row r="366" ht="12.0" customHeight="1">
      <c r="B366" s="1"/>
      <c r="K366" s="151"/>
      <c r="P366" s="151"/>
    </row>
    <row r="367" ht="12.0" customHeight="1">
      <c r="B367" s="1"/>
      <c r="K367" s="151"/>
      <c r="P367" s="151"/>
    </row>
    <row r="368" ht="12.0" customHeight="1">
      <c r="B368" s="1"/>
      <c r="K368" s="151"/>
      <c r="P368" s="151"/>
    </row>
    <row r="369" ht="12.0" customHeight="1">
      <c r="B369" s="1"/>
      <c r="K369" s="151"/>
      <c r="P369" s="151"/>
    </row>
    <row r="370" ht="12.0" customHeight="1">
      <c r="B370" s="1"/>
      <c r="K370" s="151"/>
      <c r="P370" s="151"/>
    </row>
    <row r="371" ht="12.0" customHeight="1">
      <c r="B371" s="1"/>
      <c r="K371" s="151"/>
      <c r="P371" s="151"/>
    </row>
    <row r="372" ht="12.0" customHeight="1">
      <c r="B372" s="1"/>
      <c r="K372" s="151"/>
      <c r="P372" s="151"/>
    </row>
    <row r="373" ht="12.0" customHeight="1">
      <c r="B373" s="1"/>
      <c r="K373" s="151"/>
      <c r="P373" s="151"/>
    </row>
    <row r="374" ht="12.0" customHeight="1">
      <c r="B374" s="1"/>
      <c r="K374" s="151"/>
      <c r="P374" s="151"/>
    </row>
    <row r="375" ht="12.0" customHeight="1">
      <c r="B375" s="1"/>
      <c r="K375" s="151"/>
      <c r="P375" s="151"/>
    </row>
    <row r="376" ht="12.0" customHeight="1">
      <c r="B376" s="1"/>
      <c r="K376" s="151"/>
      <c r="P376" s="151"/>
    </row>
    <row r="377" ht="12.0" customHeight="1">
      <c r="B377" s="1"/>
      <c r="K377" s="151"/>
      <c r="P377" s="151"/>
    </row>
    <row r="378" ht="12.0" customHeight="1">
      <c r="B378" s="1"/>
      <c r="K378" s="151"/>
      <c r="P378" s="151"/>
    </row>
    <row r="379" ht="12.0" customHeight="1">
      <c r="B379" s="1"/>
      <c r="K379" s="151"/>
      <c r="P379" s="151"/>
    </row>
    <row r="380" ht="12.0" customHeight="1">
      <c r="B380" s="1"/>
      <c r="K380" s="151"/>
      <c r="P380" s="151"/>
    </row>
    <row r="381" ht="12.0" customHeight="1">
      <c r="B381" s="1"/>
      <c r="K381" s="151"/>
      <c r="P381" s="151"/>
    </row>
    <row r="382" ht="12.0" customHeight="1">
      <c r="B382" s="1"/>
      <c r="K382" s="151"/>
      <c r="P382" s="151"/>
    </row>
    <row r="383" ht="12.0" customHeight="1">
      <c r="B383" s="1"/>
      <c r="K383" s="151"/>
      <c r="P383" s="151"/>
    </row>
    <row r="384" ht="12.0" customHeight="1">
      <c r="B384" s="1"/>
      <c r="K384" s="151"/>
      <c r="P384" s="151"/>
    </row>
    <row r="385" ht="12.0" customHeight="1">
      <c r="B385" s="1"/>
      <c r="K385" s="151"/>
      <c r="P385" s="151"/>
    </row>
    <row r="386" ht="12.0" customHeight="1">
      <c r="B386" s="1"/>
      <c r="K386" s="151"/>
      <c r="P386" s="151"/>
    </row>
    <row r="387" ht="12.0" customHeight="1">
      <c r="B387" s="1"/>
      <c r="K387" s="151"/>
      <c r="P387" s="151"/>
    </row>
    <row r="388" ht="12.0" customHeight="1">
      <c r="B388" s="1"/>
      <c r="K388" s="151"/>
      <c r="P388" s="151"/>
    </row>
    <row r="389" ht="12.0" customHeight="1">
      <c r="B389" s="1"/>
      <c r="K389" s="151"/>
      <c r="P389" s="151"/>
    </row>
    <row r="390" ht="12.0" customHeight="1">
      <c r="B390" s="1"/>
      <c r="K390" s="151"/>
      <c r="P390" s="151"/>
    </row>
    <row r="391" ht="12.0" customHeight="1">
      <c r="B391" s="1"/>
      <c r="K391" s="151"/>
      <c r="P391" s="151"/>
    </row>
    <row r="392" ht="12.0" customHeight="1">
      <c r="B392" s="1"/>
      <c r="K392" s="151"/>
      <c r="P392" s="151"/>
    </row>
    <row r="393" ht="12.0" customHeight="1">
      <c r="B393" s="1"/>
      <c r="K393" s="151"/>
      <c r="P393" s="151"/>
    </row>
    <row r="394" ht="12.0" customHeight="1">
      <c r="B394" s="1"/>
      <c r="K394" s="151"/>
      <c r="P394" s="151"/>
    </row>
    <row r="395" ht="12.0" customHeight="1">
      <c r="B395" s="1"/>
      <c r="K395" s="151"/>
      <c r="P395" s="151"/>
    </row>
    <row r="396" ht="12.0" customHeight="1">
      <c r="B396" s="1"/>
      <c r="K396" s="151"/>
      <c r="P396" s="151"/>
    </row>
    <row r="397" ht="12.0" customHeight="1">
      <c r="B397" s="1"/>
      <c r="K397" s="151"/>
      <c r="P397" s="151"/>
    </row>
    <row r="398" ht="12.0" customHeight="1">
      <c r="B398" s="1"/>
      <c r="K398" s="151"/>
      <c r="P398" s="151"/>
    </row>
    <row r="399" ht="12.0" customHeight="1">
      <c r="B399" s="1"/>
      <c r="K399" s="151"/>
      <c r="P399" s="151"/>
    </row>
    <row r="400" ht="12.0" customHeight="1">
      <c r="B400" s="1"/>
      <c r="K400" s="151"/>
      <c r="P400" s="151"/>
    </row>
    <row r="401" ht="12.0" customHeight="1">
      <c r="B401" s="1"/>
      <c r="K401" s="151"/>
      <c r="P401" s="151"/>
    </row>
    <row r="402" ht="12.0" customHeight="1">
      <c r="B402" s="1"/>
      <c r="K402" s="151"/>
      <c r="P402" s="151"/>
    </row>
    <row r="403" ht="12.0" customHeight="1">
      <c r="B403" s="1"/>
      <c r="K403" s="151"/>
      <c r="P403" s="151"/>
    </row>
    <row r="404" ht="12.0" customHeight="1">
      <c r="B404" s="1"/>
      <c r="K404" s="151"/>
      <c r="P404" s="151"/>
    </row>
    <row r="405" ht="12.0" customHeight="1">
      <c r="B405" s="1"/>
      <c r="K405" s="151"/>
      <c r="P405" s="151"/>
    </row>
    <row r="406" ht="12.0" customHeight="1">
      <c r="B406" s="1"/>
      <c r="K406" s="151"/>
      <c r="P406" s="151"/>
    </row>
    <row r="407" ht="12.0" customHeight="1">
      <c r="B407" s="1"/>
      <c r="K407" s="151"/>
      <c r="P407" s="151"/>
    </row>
    <row r="408" ht="12.0" customHeight="1">
      <c r="B408" s="1"/>
      <c r="K408" s="151"/>
      <c r="P408" s="151"/>
    </row>
    <row r="409" ht="12.0" customHeight="1">
      <c r="B409" s="1"/>
      <c r="K409" s="151"/>
      <c r="P409" s="151"/>
    </row>
    <row r="410" ht="12.0" customHeight="1">
      <c r="B410" s="1"/>
      <c r="K410" s="151"/>
      <c r="P410" s="151"/>
    </row>
    <row r="411" ht="12.0" customHeight="1">
      <c r="B411" s="1"/>
      <c r="K411" s="151"/>
      <c r="P411" s="151"/>
    </row>
    <row r="412" ht="12.0" customHeight="1">
      <c r="B412" s="1"/>
      <c r="K412" s="151"/>
      <c r="P412" s="151"/>
    </row>
    <row r="413" ht="12.0" customHeight="1">
      <c r="B413" s="1"/>
      <c r="K413" s="151"/>
      <c r="P413" s="151"/>
    </row>
    <row r="414" ht="12.0" customHeight="1">
      <c r="B414" s="1"/>
      <c r="K414" s="151"/>
      <c r="P414" s="151"/>
    </row>
    <row r="415" ht="12.0" customHeight="1">
      <c r="B415" s="1"/>
      <c r="K415" s="151"/>
      <c r="P415" s="151"/>
    </row>
    <row r="416" ht="12.0" customHeight="1">
      <c r="B416" s="1"/>
      <c r="K416" s="151"/>
      <c r="P416" s="151"/>
    </row>
    <row r="417" ht="12.0" customHeight="1">
      <c r="B417" s="1"/>
      <c r="K417" s="151"/>
      <c r="P417" s="151"/>
    </row>
    <row r="418" ht="12.0" customHeight="1">
      <c r="B418" s="1"/>
      <c r="K418" s="151"/>
      <c r="P418" s="151"/>
    </row>
    <row r="419" ht="12.0" customHeight="1">
      <c r="B419" s="1"/>
      <c r="K419" s="151"/>
      <c r="P419" s="151"/>
    </row>
    <row r="420" ht="12.0" customHeight="1">
      <c r="B420" s="1"/>
      <c r="K420" s="151"/>
      <c r="P420" s="151"/>
    </row>
    <row r="421" ht="12.0" customHeight="1">
      <c r="B421" s="1"/>
      <c r="K421" s="151"/>
      <c r="P421" s="151"/>
    </row>
    <row r="422" ht="12.0" customHeight="1">
      <c r="B422" s="1"/>
      <c r="K422" s="151"/>
      <c r="P422" s="151"/>
    </row>
    <row r="423" ht="12.0" customHeight="1">
      <c r="B423" s="1"/>
      <c r="K423" s="151"/>
      <c r="P423" s="151"/>
    </row>
    <row r="424" ht="12.0" customHeight="1">
      <c r="B424" s="1"/>
      <c r="K424" s="151"/>
      <c r="P424" s="151"/>
    </row>
    <row r="425" ht="12.0" customHeight="1">
      <c r="B425" s="1"/>
      <c r="K425" s="151"/>
      <c r="P425" s="151"/>
    </row>
    <row r="426" ht="12.0" customHeight="1">
      <c r="B426" s="1"/>
      <c r="K426" s="151"/>
      <c r="P426" s="151"/>
    </row>
    <row r="427" ht="12.0" customHeight="1">
      <c r="B427" s="1"/>
      <c r="K427" s="151"/>
      <c r="P427" s="151"/>
    </row>
    <row r="428" ht="12.0" customHeight="1">
      <c r="B428" s="1"/>
      <c r="K428" s="151"/>
      <c r="P428" s="151"/>
    </row>
    <row r="429" ht="12.0" customHeight="1">
      <c r="B429" s="1"/>
      <c r="K429" s="151"/>
      <c r="P429" s="151"/>
    </row>
    <row r="430" ht="12.0" customHeight="1">
      <c r="B430" s="1"/>
      <c r="K430" s="151"/>
      <c r="P430" s="151"/>
    </row>
    <row r="431" ht="12.0" customHeight="1">
      <c r="B431" s="1"/>
      <c r="K431" s="151"/>
      <c r="P431" s="151"/>
    </row>
    <row r="432" ht="12.0" customHeight="1">
      <c r="B432" s="1"/>
      <c r="K432" s="151"/>
      <c r="P432" s="151"/>
    </row>
    <row r="433" ht="12.0" customHeight="1">
      <c r="B433" s="1"/>
      <c r="K433" s="151"/>
      <c r="P433" s="151"/>
    </row>
    <row r="434" ht="12.0" customHeight="1">
      <c r="B434" s="1"/>
      <c r="K434" s="151"/>
      <c r="P434" s="151"/>
    </row>
    <row r="435" ht="12.0" customHeight="1">
      <c r="B435" s="1"/>
      <c r="K435" s="151"/>
      <c r="P435" s="151"/>
    </row>
    <row r="436" ht="12.0" customHeight="1">
      <c r="B436" s="1"/>
      <c r="K436" s="151"/>
      <c r="P436" s="151"/>
    </row>
    <row r="437" ht="12.0" customHeight="1">
      <c r="B437" s="1"/>
      <c r="K437" s="151"/>
      <c r="P437" s="151"/>
    </row>
    <row r="438" ht="12.0" customHeight="1">
      <c r="B438" s="1"/>
      <c r="K438" s="151"/>
      <c r="P438" s="151"/>
    </row>
    <row r="439" ht="12.0" customHeight="1">
      <c r="B439" s="1"/>
      <c r="K439" s="151"/>
      <c r="P439" s="151"/>
    </row>
    <row r="440" ht="12.0" customHeight="1">
      <c r="B440" s="1"/>
      <c r="K440" s="151"/>
      <c r="P440" s="151"/>
    </row>
    <row r="441" ht="12.0" customHeight="1">
      <c r="B441" s="1"/>
      <c r="K441" s="151"/>
      <c r="P441" s="151"/>
    </row>
    <row r="442" ht="12.0" customHeight="1">
      <c r="B442" s="1"/>
      <c r="K442" s="151"/>
      <c r="P442" s="151"/>
    </row>
    <row r="443" ht="12.0" customHeight="1">
      <c r="B443" s="1"/>
      <c r="K443" s="151"/>
      <c r="P443" s="151"/>
    </row>
    <row r="444" ht="12.0" customHeight="1">
      <c r="B444" s="1"/>
      <c r="K444" s="151"/>
      <c r="P444" s="151"/>
    </row>
    <row r="445" ht="12.0" customHeight="1">
      <c r="B445" s="1"/>
      <c r="K445" s="151"/>
      <c r="P445" s="151"/>
    </row>
    <row r="446" ht="12.0" customHeight="1">
      <c r="B446" s="1"/>
      <c r="K446" s="151"/>
      <c r="P446" s="151"/>
    </row>
    <row r="447" ht="12.0" customHeight="1">
      <c r="B447" s="1"/>
      <c r="K447" s="151"/>
      <c r="P447" s="151"/>
    </row>
    <row r="448" ht="12.0" customHeight="1">
      <c r="B448" s="1"/>
      <c r="K448" s="151"/>
      <c r="P448" s="151"/>
    </row>
    <row r="449" ht="12.0" customHeight="1">
      <c r="B449" s="1"/>
      <c r="K449" s="151"/>
      <c r="P449" s="151"/>
    </row>
    <row r="450" ht="12.0" customHeight="1">
      <c r="B450" s="1"/>
      <c r="K450" s="151"/>
      <c r="P450" s="151"/>
    </row>
    <row r="451" ht="12.0" customHeight="1">
      <c r="B451" s="1"/>
      <c r="K451" s="151"/>
      <c r="P451" s="151"/>
    </row>
    <row r="452" ht="12.0" customHeight="1">
      <c r="B452" s="1"/>
      <c r="K452" s="151"/>
      <c r="P452" s="151"/>
    </row>
    <row r="453" ht="12.0" customHeight="1">
      <c r="B453" s="1"/>
      <c r="K453" s="151"/>
      <c r="P453" s="151"/>
    </row>
    <row r="454" ht="12.0" customHeight="1">
      <c r="B454" s="1"/>
      <c r="K454" s="151"/>
      <c r="P454" s="151"/>
    </row>
    <row r="455" ht="12.0" customHeight="1">
      <c r="B455" s="1"/>
      <c r="K455" s="151"/>
      <c r="P455" s="151"/>
    </row>
    <row r="456" ht="12.0" customHeight="1">
      <c r="B456" s="1"/>
      <c r="K456" s="151"/>
      <c r="P456" s="151"/>
    </row>
    <row r="457" ht="12.0" customHeight="1">
      <c r="B457" s="1"/>
      <c r="K457" s="151"/>
      <c r="P457" s="151"/>
    </row>
    <row r="458" ht="12.0" customHeight="1">
      <c r="B458" s="1"/>
      <c r="K458" s="151"/>
      <c r="P458" s="151"/>
    </row>
    <row r="459" ht="12.0" customHeight="1">
      <c r="B459" s="1"/>
      <c r="K459" s="151"/>
      <c r="P459" s="151"/>
    </row>
    <row r="460" ht="12.0" customHeight="1">
      <c r="B460" s="1"/>
      <c r="K460" s="151"/>
      <c r="P460" s="151"/>
    </row>
    <row r="461" ht="12.0" customHeight="1">
      <c r="B461" s="1"/>
      <c r="K461" s="151"/>
      <c r="P461" s="151"/>
    </row>
    <row r="462" ht="12.0" customHeight="1">
      <c r="B462" s="1"/>
      <c r="K462" s="151"/>
      <c r="P462" s="151"/>
    </row>
    <row r="463" ht="12.0" customHeight="1">
      <c r="B463" s="1"/>
      <c r="K463" s="151"/>
      <c r="P463" s="151"/>
    </row>
    <row r="464" ht="12.0" customHeight="1">
      <c r="B464" s="1"/>
      <c r="K464" s="151"/>
      <c r="P464" s="151"/>
    </row>
    <row r="465" ht="12.0" customHeight="1">
      <c r="B465" s="1"/>
      <c r="K465" s="151"/>
      <c r="P465" s="151"/>
    </row>
    <row r="466" ht="12.0" customHeight="1">
      <c r="B466" s="1"/>
      <c r="K466" s="151"/>
      <c r="P466" s="151"/>
    </row>
    <row r="467" ht="12.0" customHeight="1">
      <c r="B467" s="1"/>
      <c r="K467" s="151"/>
      <c r="P467" s="151"/>
    </row>
    <row r="468" ht="12.0" customHeight="1">
      <c r="B468" s="1"/>
      <c r="K468" s="151"/>
      <c r="P468" s="151"/>
    </row>
    <row r="469" ht="12.0" customHeight="1">
      <c r="B469" s="1"/>
      <c r="K469" s="151"/>
      <c r="P469" s="151"/>
    </row>
    <row r="470" ht="12.0" customHeight="1">
      <c r="B470" s="1"/>
      <c r="K470" s="151"/>
      <c r="P470" s="151"/>
    </row>
    <row r="471" ht="12.0" customHeight="1">
      <c r="B471" s="1"/>
      <c r="K471" s="151"/>
      <c r="P471" s="151"/>
    </row>
    <row r="472" ht="12.0" customHeight="1">
      <c r="B472" s="1"/>
      <c r="K472" s="151"/>
      <c r="P472" s="151"/>
    </row>
    <row r="473" ht="12.0" customHeight="1">
      <c r="B473" s="1"/>
      <c r="K473" s="151"/>
      <c r="P473" s="151"/>
    </row>
    <row r="474" ht="12.0" customHeight="1">
      <c r="B474" s="1"/>
      <c r="K474" s="151"/>
      <c r="P474" s="151"/>
    </row>
    <row r="475" ht="12.0" customHeight="1">
      <c r="B475" s="1"/>
      <c r="K475" s="151"/>
      <c r="P475" s="151"/>
    </row>
    <row r="476" ht="12.0" customHeight="1">
      <c r="B476" s="1"/>
      <c r="K476" s="151"/>
      <c r="P476" s="151"/>
    </row>
    <row r="477" ht="12.0" customHeight="1">
      <c r="B477" s="1"/>
      <c r="K477" s="151"/>
      <c r="P477" s="151"/>
    </row>
    <row r="478" ht="12.0" customHeight="1">
      <c r="B478" s="1"/>
      <c r="K478" s="151"/>
      <c r="P478" s="151"/>
    </row>
    <row r="479" ht="12.0" customHeight="1">
      <c r="B479" s="1"/>
      <c r="K479" s="151"/>
      <c r="P479" s="151"/>
    </row>
    <row r="480" ht="12.0" customHeight="1">
      <c r="B480" s="1"/>
      <c r="K480" s="151"/>
      <c r="P480" s="151"/>
    </row>
    <row r="481" ht="12.0" customHeight="1">
      <c r="B481" s="1"/>
      <c r="K481" s="151"/>
      <c r="P481" s="151"/>
    </row>
    <row r="482" ht="12.0" customHeight="1">
      <c r="B482" s="1"/>
      <c r="K482" s="151"/>
      <c r="P482" s="151"/>
    </row>
    <row r="483" ht="12.0" customHeight="1">
      <c r="B483" s="1"/>
      <c r="K483" s="151"/>
      <c r="P483" s="151"/>
    </row>
    <row r="484" ht="12.0" customHeight="1">
      <c r="B484" s="1"/>
      <c r="K484" s="151"/>
      <c r="P484" s="151"/>
    </row>
    <row r="485" ht="12.0" customHeight="1">
      <c r="B485" s="1"/>
      <c r="K485" s="151"/>
      <c r="P485" s="151"/>
    </row>
    <row r="486" ht="12.0" customHeight="1">
      <c r="B486" s="1"/>
      <c r="K486" s="151"/>
      <c r="P486" s="151"/>
    </row>
    <row r="487" ht="12.0" customHeight="1">
      <c r="B487" s="1"/>
      <c r="K487" s="151"/>
      <c r="P487" s="151"/>
    </row>
    <row r="488" ht="12.0" customHeight="1">
      <c r="B488" s="1"/>
      <c r="K488" s="151"/>
      <c r="P488" s="151"/>
    </row>
    <row r="489" ht="12.0" customHeight="1">
      <c r="B489" s="1"/>
      <c r="K489" s="151"/>
      <c r="P489" s="151"/>
    </row>
    <row r="490" ht="12.0" customHeight="1">
      <c r="B490" s="1"/>
      <c r="K490" s="151"/>
      <c r="P490" s="151"/>
    </row>
    <row r="491" ht="12.0" customHeight="1">
      <c r="B491" s="1"/>
      <c r="K491" s="151"/>
      <c r="P491" s="151"/>
    </row>
    <row r="492" ht="12.0" customHeight="1">
      <c r="B492" s="1"/>
      <c r="K492" s="151"/>
      <c r="P492" s="151"/>
    </row>
    <row r="493" ht="12.0" customHeight="1">
      <c r="B493" s="1"/>
      <c r="K493" s="151"/>
      <c r="P493" s="151"/>
    </row>
    <row r="494" ht="12.0" customHeight="1">
      <c r="B494" s="1"/>
      <c r="K494" s="151"/>
      <c r="P494" s="151"/>
    </row>
    <row r="495" ht="12.0" customHeight="1">
      <c r="B495" s="1"/>
      <c r="K495" s="151"/>
      <c r="P495" s="151"/>
    </row>
    <row r="496" ht="12.0" customHeight="1">
      <c r="B496" s="1"/>
      <c r="K496" s="151"/>
      <c r="P496" s="151"/>
    </row>
    <row r="497" ht="12.0" customHeight="1">
      <c r="B497" s="1"/>
      <c r="K497" s="151"/>
      <c r="P497" s="151"/>
    </row>
    <row r="498" ht="12.0" customHeight="1">
      <c r="B498" s="1"/>
      <c r="K498" s="151"/>
      <c r="P498" s="151"/>
    </row>
    <row r="499" ht="12.0" customHeight="1">
      <c r="B499" s="1"/>
      <c r="K499" s="151"/>
      <c r="P499" s="151"/>
    </row>
    <row r="500" ht="12.0" customHeight="1">
      <c r="B500" s="1"/>
      <c r="K500" s="151"/>
      <c r="P500" s="151"/>
    </row>
    <row r="501" ht="12.0" customHeight="1">
      <c r="B501" s="1"/>
      <c r="K501" s="151"/>
      <c r="P501" s="151"/>
    </row>
    <row r="502" ht="12.0" customHeight="1">
      <c r="B502" s="1"/>
      <c r="K502" s="151"/>
      <c r="P502" s="151"/>
    </row>
    <row r="503" ht="12.0" customHeight="1">
      <c r="B503" s="1"/>
      <c r="K503" s="151"/>
      <c r="P503" s="151"/>
    </row>
    <row r="504" ht="12.0" customHeight="1">
      <c r="B504" s="1"/>
      <c r="K504" s="151"/>
      <c r="P504" s="151"/>
    </row>
    <row r="505" ht="12.0" customHeight="1">
      <c r="B505" s="1"/>
      <c r="K505" s="151"/>
      <c r="P505" s="151"/>
    </row>
    <row r="506" ht="12.0" customHeight="1">
      <c r="B506" s="1"/>
      <c r="K506" s="151"/>
      <c r="P506" s="151"/>
    </row>
    <row r="507" ht="12.0" customHeight="1">
      <c r="B507" s="1"/>
      <c r="K507" s="151"/>
      <c r="P507" s="151"/>
    </row>
    <row r="508" ht="12.0" customHeight="1">
      <c r="B508" s="1"/>
      <c r="K508" s="151"/>
      <c r="P508" s="151"/>
    </row>
    <row r="509" ht="12.0" customHeight="1">
      <c r="B509" s="1"/>
      <c r="K509" s="151"/>
      <c r="P509" s="151"/>
    </row>
    <row r="510" ht="12.0" customHeight="1">
      <c r="B510" s="1"/>
      <c r="K510" s="151"/>
      <c r="P510" s="151"/>
    </row>
    <row r="511" ht="12.0" customHeight="1">
      <c r="B511" s="1"/>
      <c r="K511" s="151"/>
      <c r="P511" s="151"/>
    </row>
    <row r="512" ht="12.0" customHeight="1">
      <c r="B512" s="1"/>
      <c r="K512" s="151"/>
      <c r="P512" s="151"/>
    </row>
    <row r="513" ht="12.0" customHeight="1">
      <c r="B513" s="1"/>
      <c r="K513" s="151"/>
      <c r="P513" s="151"/>
    </row>
    <row r="514" ht="12.0" customHeight="1">
      <c r="B514" s="1"/>
      <c r="K514" s="151"/>
      <c r="P514" s="151"/>
    </row>
    <row r="515" ht="12.0" customHeight="1">
      <c r="B515" s="1"/>
      <c r="K515" s="151"/>
      <c r="P515" s="151"/>
    </row>
    <row r="516" ht="12.0" customHeight="1">
      <c r="B516" s="1"/>
      <c r="K516" s="151"/>
      <c r="P516" s="151"/>
    </row>
    <row r="517" ht="12.0" customHeight="1">
      <c r="B517" s="1"/>
      <c r="K517" s="151"/>
      <c r="P517" s="151"/>
    </row>
    <row r="518" ht="12.0" customHeight="1">
      <c r="B518" s="1"/>
      <c r="K518" s="151"/>
      <c r="P518" s="151"/>
    </row>
    <row r="519" ht="12.0" customHeight="1">
      <c r="B519" s="1"/>
      <c r="K519" s="151"/>
      <c r="P519" s="151"/>
    </row>
    <row r="520" ht="12.0" customHeight="1">
      <c r="B520" s="1"/>
      <c r="K520" s="151"/>
      <c r="P520" s="151"/>
    </row>
    <row r="521" ht="12.0" customHeight="1">
      <c r="B521" s="1"/>
      <c r="K521" s="151"/>
      <c r="P521" s="151"/>
    </row>
    <row r="522" ht="12.0" customHeight="1">
      <c r="B522" s="1"/>
      <c r="K522" s="151"/>
      <c r="P522" s="151"/>
    </row>
    <row r="523" ht="12.0" customHeight="1">
      <c r="B523" s="1"/>
      <c r="K523" s="151"/>
      <c r="P523" s="151"/>
    </row>
    <row r="524" ht="12.0" customHeight="1">
      <c r="B524" s="1"/>
      <c r="K524" s="151"/>
      <c r="P524" s="151"/>
    </row>
    <row r="525" ht="12.0" customHeight="1">
      <c r="B525" s="1"/>
      <c r="K525" s="151"/>
      <c r="P525" s="151"/>
    </row>
    <row r="526" ht="12.0" customHeight="1">
      <c r="B526" s="1"/>
      <c r="K526" s="151"/>
      <c r="P526" s="151"/>
    </row>
    <row r="527" ht="12.0" customHeight="1">
      <c r="B527" s="1"/>
      <c r="K527" s="151"/>
      <c r="P527" s="151"/>
    </row>
    <row r="528" ht="12.0" customHeight="1">
      <c r="B528" s="1"/>
      <c r="K528" s="151"/>
      <c r="P528" s="151"/>
    </row>
    <row r="529" ht="12.0" customHeight="1">
      <c r="B529" s="1"/>
      <c r="K529" s="151"/>
      <c r="P529" s="151"/>
    </row>
    <row r="530" ht="12.0" customHeight="1">
      <c r="B530" s="1"/>
      <c r="K530" s="151"/>
      <c r="P530" s="151"/>
    </row>
    <row r="531" ht="12.0" customHeight="1">
      <c r="B531" s="1"/>
      <c r="K531" s="151"/>
      <c r="P531" s="151"/>
    </row>
    <row r="532" ht="12.0" customHeight="1">
      <c r="B532" s="1"/>
      <c r="K532" s="151"/>
      <c r="P532" s="151"/>
    </row>
    <row r="533" ht="12.0" customHeight="1">
      <c r="B533" s="1"/>
      <c r="K533" s="151"/>
      <c r="P533" s="151"/>
    </row>
    <row r="534" ht="12.0" customHeight="1">
      <c r="B534" s="1"/>
      <c r="K534" s="151"/>
      <c r="P534" s="151"/>
    </row>
    <row r="535" ht="12.0" customHeight="1">
      <c r="B535" s="1"/>
      <c r="K535" s="151"/>
      <c r="P535" s="151"/>
    </row>
    <row r="536" ht="12.0" customHeight="1">
      <c r="B536" s="1"/>
      <c r="K536" s="151"/>
      <c r="P536" s="151"/>
    </row>
    <row r="537" ht="12.0" customHeight="1">
      <c r="B537" s="1"/>
      <c r="K537" s="151"/>
      <c r="P537" s="151"/>
    </row>
    <row r="538" ht="12.0" customHeight="1">
      <c r="B538" s="1"/>
      <c r="K538" s="151"/>
      <c r="P538" s="151"/>
    </row>
    <row r="539" ht="12.0" customHeight="1">
      <c r="B539" s="1"/>
      <c r="K539" s="151"/>
      <c r="P539" s="151"/>
    </row>
    <row r="540" ht="12.0" customHeight="1">
      <c r="B540" s="1"/>
      <c r="K540" s="151"/>
      <c r="P540" s="151"/>
    </row>
    <row r="541" ht="12.0" customHeight="1">
      <c r="B541" s="1"/>
      <c r="K541" s="151"/>
      <c r="P541" s="151"/>
    </row>
    <row r="542" ht="12.0" customHeight="1">
      <c r="B542" s="1"/>
      <c r="K542" s="151"/>
      <c r="P542" s="151"/>
    </row>
    <row r="543" ht="12.0" customHeight="1">
      <c r="B543" s="1"/>
      <c r="K543" s="151"/>
      <c r="P543" s="151"/>
    </row>
    <row r="544" ht="12.0" customHeight="1">
      <c r="B544" s="1"/>
      <c r="K544" s="151"/>
      <c r="P544" s="151"/>
    </row>
    <row r="545" ht="12.0" customHeight="1">
      <c r="B545" s="1"/>
      <c r="K545" s="151"/>
      <c r="P545" s="151"/>
    </row>
    <row r="546" ht="12.0" customHeight="1">
      <c r="B546" s="1"/>
      <c r="K546" s="151"/>
      <c r="P546" s="151"/>
    </row>
    <row r="547" ht="12.0" customHeight="1">
      <c r="B547" s="1"/>
      <c r="K547" s="151"/>
      <c r="P547" s="151"/>
    </row>
    <row r="548" ht="12.0" customHeight="1">
      <c r="B548" s="1"/>
      <c r="K548" s="151"/>
      <c r="P548" s="151"/>
    </row>
    <row r="549" ht="12.0" customHeight="1">
      <c r="B549" s="1"/>
      <c r="K549" s="151"/>
      <c r="P549" s="151"/>
    </row>
    <row r="550" ht="12.0" customHeight="1">
      <c r="B550" s="1"/>
      <c r="K550" s="151"/>
      <c r="P550" s="151"/>
    </row>
    <row r="551" ht="12.0" customHeight="1">
      <c r="B551" s="1"/>
      <c r="K551" s="151"/>
      <c r="P551" s="151"/>
    </row>
    <row r="552" ht="12.0" customHeight="1">
      <c r="B552" s="1"/>
      <c r="K552" s="151"/>
      <c r="P552" s="151"/>
    </row>
    <row r="553" ht="12.0" customHeight="1">
      <c r="B553" s="1"/>
      <c r="K553" s="151"/>
      <c r="P553" s="151"/>
    </row>
    <row r="554" ht="12.0" customHeight="1">
      <c r="B554" s="1"/>
      <c r="K554" s="151"/>
      <c r="P554" s="151"/>
    </row>
    <row r="555" ht="12.0" customHeight="1">
      <c r="B555" s="1"/>
      <c r="K555" s="151"/>
      <c r="P555" s="151"/>
    </row>
    <row r="556" ht="12.0" customHeight="1">
      <c r="B556" s="1"/>
      <c r="K556" s="151"/>
      <c r="P556" s="151"/>
    </row>
    <row r="557" ht="12.0" customHeight="1">
      <c r="B557" s="1"/>
      <c r="K557" s="151"/>
      <c r="P557" s="151"/>
    </row>
    <row r="558" ht="12.0" customHeight="1">
      <c r="B558" s="1"/>
      <c r="K558" s="151"/>
      <c r="P558" s="151"/>
    </row>
    <row r="559" ht="12.0" customHeight="1">
      <c r="B559" s="1"/>
      <c r="K559" s="151"/>
      <c r="P559" s="151"/>
    </row>
    <row r="560" ht="12.0" customHeight="1">
      <c r="B560" s="1"/>
      <c r="K560" s="151"/>
      <c r="P560" s="151"/>
    </row>
    <row r="561" ht="12.0" customHeight="1">
      <c r="B561" s="1"/>
      <c r="K561" s="151"/>
      <c r="P561" s="151"/>
    </row>
    <row r="562" ht="12.0" customHeight="1">
      <c r="B562" s="1"/>
      <c r="K562" s="151"/>
      <c r="P562" s="151"/>
    </row>
    <row r="563" ht="12.0" customHeight="1">
      <c r="B563" s="1"/>
      <c r="K563" s="151"/>
      <c r="P563" s="151"/>
    </row>
    <row r="564" ht="12.0" customHeight="1">
      <c r="B564" s="1"/>
      <c r="K564" s="151"/>
      <c r="P564" s="151"/>
    </row>
    <row r="565" ht="12.0" customHeight="1">
      <c r="B565" s="1"/>
      <c r="K565" s="151"/>
      <c r="P565" s="151"/>
    </row>
    <row r="566" ht="12.0" customHeight="1">
      <c r="B566" s="1"/>
      <c r="K566" s="151"/>
      <c r="P566" s="151"/>
    </row>
    <row r="567" ht="12.0" customHeight="1">
      <c r="B567" s="1"/>
      <c r="K567" s="151"/>
      <c r="P567" s="151"/>
    </row>
    <row r="568" ht="12.0" customHeight="1">
      <c r="B568" s="1"/>
      <c r="K568" s="151"/>
      <c r="P568" s="151"/>
    </row>
    <row r="569" ht="12.0" customHeight="1">
      <c r="B569" s="1"/>
      <c r="K569" s="151"/>
      <c r="P569" s="151"/>
    </row>
    <row r="570" ht="12.0" customHeight="1">
      <c r="B570" s="1"/>
      <c r="K570" s="151"/>
      <c r="P570" s="151"/>
    </row>
    <row r="571" ht="12.0" customHeight="1">
      <c r="B571" s="1"/>
      <c r="K571" s="151"/>
      <c r="P571" s="151"/>
    </row>
    <row r="572" ht="12.0" customHeight="1">
      <c r="B572" s="1"/>
      <c r="K572" s="151"/>
      <c r="P572" s="151"/>
    </row>
    <row r="573" ht="12.0" customHeight="1">
      <c r="B573" s="1"/>
      <c r="K573" s="151"/>
      <c r="P573" s="151"/>
    </row>
    <row r="574" ht="12.0" customHeight="1">
      <c r="B574" s="1"/>
      <c r="K574" s="151"/>
      <c r="P574" s="151"/>
    </row>
    <row r="575" ht="12.0" customHeight="1">
      <c r="B575" s="1"/>
      <c r="K575" s="151"/>
      <c r="P575" s="151"/>
    </row>
    <row r="576" ht="12.0" customHeight="1">
      <c r="B576" s="1"/>
      <c r="K576" s="151"/>
      <c r="P576" s="151"/>
    </row>
    <row r="577" ht="12.0" customHeight="1">
      <c r="B577" s="1"/>
      <c r="K577" s="151"/>
      <c r="P577" s="151"/>
    </row>
    <row r="578" ht="12.0" customHeight="1">
      <c r="B578" s="1"/>
      <c r="K578" s="151"/>
      <c r="P578" s="151"/>
    </row>
    <row r="579" ht="12.0" customHeight="1">
      <c r="B579" s="1"/>
      <c r="K579" s="151"/>
      <c r="P579" s="151"/>
    </row>
    <row r="580" ht="12.0" customHeight="1">
      <c r="B580" s="1"/>
      <c r="K580" s="151"/>
      <c r="P580" s="151"/>
    </row>
    <row r="581" ht="12.0" customHeight="1">
      <c r="B581" s="1"/>
      <c r="K581" s="151"/>
      <c r="P581" s="151"/>
    </row>
    <row r="582" ht="12.0" customHeight="1">
      <c r="B582" s="1"/>
      <c r="K582" s="151"/>
      <c r="P582" s="151"/>
    </row>
    <row r="583" ht="12.0" customHeight="1">
      <c r="B583" s="1"/>
      <c r="K583" s="151"/>
      <c r="P583" s="151"/>
    </row>
    <row r="584" ht="12.0" customHeight="1">
      <c r="B584" s="1"/>
      <c r="K584" s="151"/>
      <c r="P584" s="151"/>
    </row>
    <row r="585" ht="12.0" customHeight="1">
      <c r="B585" s="1"/>
      <c r="K585" s="151"/>
      <c r="P585" s="151"/>
    </row>
    <row r="586" ht="12.0" customHeight="1">
      <c r="B586" s="1"/>
      <c r="K586" s="151"/>
      <c r="P586" s="151"/>
    </row>
    <row r="587" ht="12.0" customHeight="1">
      <c r="B587" s="1"/>
      <c r="K587" s="151"/>
      <c r="P587" s="151"/>
    </row>
    <row r="588" ht="12.0" customHeight="1">
      <c r="B588" s="1"/>
      <c r="K588" s="151"/>
      <c r="P588" s="151"/>
    </row>
    <row r="589" ht="12.0" customHeight="1">
      <c r="B589" s="1"/>
      <c r="K589" s="151"/>
      <c r="P589" s="151"/>
    </row>
    <row r="590" ht="12.0" customHeight="1">
      <c r="B590" s="1"/>
      <c r="K590" s="151"/>
      <c r="P590" s="151"/>
    </row>
    <row r="591" ht="12.0" customHeight="1">
      <c r="B591" s="1"/>
      <c r="K591" s="151"/>
      <c r="P591" s="151"/>
    </row>
    <row r="592" ht="12.0" customHeight="1">
      <c r="B592" s="1"/>
      <c r="K592" s="151"/>
      <c r="P592" s="151"/>
    </row>
    <row r="593" ht="12.0" customHeight="1">
      <c r="B593" s="1"/>
      <c r="K593" s="151"/>
      <c r="P593" s="151"/>
    </row>
    <row r="594" ht="12.0" customHeight="1">
      <c r="B594" s="1"/>
      <c r="K594" s="151"/>
      <c r="P594" s="151"/>
    </row>
    <row r="595" ht="12.0" customHeight="1">
      <c r="B595" s="1"/>
      <c r="K595" s="151"/>
      <c r="P595" s="151"/>
    </row>
    <row r="596" ht="12.0" customHeight="1">
      <c r="B596" s="1"/>
      <c r="K596" s="151"/>
      <c r="P596" s="151"/>
    </row>
    <row r="597" ht="12.0" customHeight="1">
      <c r="B597" s="1"/>
      <c r="K597" s="151"/>
      <c r="P597" s="151"/>
    </row>
    <row r="598" ht="12.0" customHeight="1">
      <c r="B598" s="1"/>
      <c r="K598" s="151"/>
      <c r="P598" s="151"/>
    </row>
    <row r="599" ht="12.0" customHeight="1">
      <c r="B599" s="1"/>
      <c r="K599" s="151"/>
      <c r="P599" s="151"/>
    </row>
    <row r="600" ht="12.0" customHeight="1">
      <c r="B600" s="1"/>
      <c r="K600" s="151"/>
      <c r="P600" s="151"/>
    </row>
    <row r="601" ht="12.0" customHeight="1">
      <c r="B601" s="1"/>
      <c r="K601" s="151"/>
      <c r="P601" s="151"/>
    </row>
    <row r="602" ht="12.0" customHeight="1">
      <c r="B602" s="1"/>
      <c r="K602" s="151"/>
      <c r="P602" s="151"/>
    </row>
    <row r="603" ht="12.0" customHeight="1">
      <c r="B603" s="1"/>
      <c r="K603" s="151"/>
      <c r="P603" s="151"/>
    </row>
    <row r="604" ht="12.0" customHeight="1">
      <c r="B604" s="1"/>
      <c r="K604" s="151"/>
      <c r="P604" s="151"/>
    </row>
    <row r="605" ht="12.0" customHeight="1">
      <c r="B605" s="1"/>
      <c r="K605" s="151"/>
      <c r="P605" s="151"/>
    </row>
    <row r="606" ht="12.0" customHeight="1">
      <c r="B606" s="1"/>
      <c r="K606" s="151"/>
      <c r="P606" s="151"/>
    </row>
    <row r="607" ht="12.0" customHeight="1">
      <c r="B607" s="1"/>
      <c r="K607" s="151"/>
      <c r="P607" s="151"/>
    </row>
    <row r="608" ht="12.0" customHeight="1">
      <c r="B608" s="1"/>
      <c r="K608" s="151"/>
      <c r="P608" s="151"/>
    </row>
    <row r="609" ht="12.0" customHeight="1">
      <c r="B609" s="1"/>
      <c r="K609" s="151"/>
      <c r="P609" s="151"/>
    </row>
    <row r="610" ht="12.0" customHeight="1">
      <c r="B610" s="1"/>
      <c r="K610" s="151"/>
      <c r="P610" s="151"/>
    </row>
    <row r="611" ht="12.0" customHeight="1">
      <c r="B611" s="1"/>
      <c r="K611" s="151"/>
      <c r="P611" s="151"/>
    </row>
    <row r="612" ht="12.0" customHeight="1">
      <c r="B612" s="1"/>
      <c r="K612" s="151"/>
      <c r="P612" s="151"/>
    </row>
    <row r="613" ht="12.0" customHeight="1">
      <c r="B613" s="1"/>
      <c r="K613" s="151"/>
      <c r="P613" s="151"/>
    </row>
    <row r="614" ht="12.0" customHeight="1">
      <c r="B614" s="1"/>
      <c r="K614" s="151"/>
      <c r="P614" s="151"/>
    </row>
    <row r="615" ht="12.0" customHeight="1">
      <c r="B615" s="1"/>
      <c r="K615" s="151"/>
      <c r="P615" s="151"/>
    </row>
    <row r="616" ht="12.0" customHeight="1">
      <c r="B616" s="1"/>
      <c r="K616" s="151"/>
      <c r="P616" s="151"/>
    </row>
    <row r="617" ht="12.0" customHeight="1">
      <c r="B617" s="1"/>
      <c r="K617" s="151"/>
      <c r="P617" s="151"/>
    </row>
    <row r="618" ht="12.0" customHeight="1">
      <c r="B618" s="1"/>
      <c r="K618" s="151"/>
      <c r="P618" s="151"/>
    </row>
    <row r="619" ht="12.0" customHeight="1">
      <c r="B619" s="1"/>
      <c r="K619" s="151"/>
      <c r="P619" s="151"/>
    </row>
    <row r="620" ht="12.0" customHeight="1">
      <c r="B620" s="1"/>
      <c r="K620" s="151"/>
      <c r="P620" s="151"/>
    </row>
    <row r="621" ht="12.0" customHeight="1">
      <c r="B621" s="1"/>
      <c r="K621" s="151"/>
      <c r="P621" s="151"/>
    </row>
    <row r="622" ht="12.0" customHeight="1">
      <c r="B622" s="1"/>
      <c r="K622" s="151"/>
      <c r="P622" s="151"/>
    </row>
    <row r="623" ht="12.0" customHeight="1">
      <c r="B623" s="1"/>
      <c r="K623" s="151"/>
      <c r="P623" s="151"/>
    </row>
    <row r="624" ht="12.0" customHeight="1">
      <c r="B624" s="1"/>
      <c r="K624" s="151"/>
      <c r="P624" s="151"/>
    </row>
    <row r="625" ht="12.0" customHeight="1">
      <c r="B625" s="1"/>
      <c r="K625" s="151"/>
      <c r="P625" s="151"/>
    </row>
    <row r="626" ht="12.0" customHeight="1">
      <c r="B626" s="1"/>
      <c r="K626" s="151"/>
      <c r="P626" s="151"/>
    </row>
    <row r="627" ht="12.0" customHeight="1">
      <c r="B627" s="1"/>
      <c r="K627" s="151"/>
      <c r="P627" s="151"/>
    </row>
    <row r="628" ht="12.0" customHeight="1">
      <c r="B628" s="1"/>
      <c r="K628" s="151"/>
      <c r="P628" s="151"/>
    </row>
    <row r="629" ht="12.0" customHeight="1">
      <c r="B629" s="1"/>
      <c r="K629" s="151"/>
      <c r="P629" s="151"/>
    </row>
    <row r="630" ht="12.0" customHeight="1">
      <c r="B630" s="1"/>
      <c r="K630" s="151"/>
      <c r="P630" s="151"/>
    </row>
    <row r="631" ht="12.0" customHeight="1">
      <c r="B631" s="1"/>
      <c r="K631" s="151"/>
      <c r="P631" s="151"/>
    </row>
    <row r="632" ht="12.0" customHeight="1">
      <c r="B632" s="1"/>
      <c r="K632" s="151"/>
      <c r="P632" s="151"/>
    </row>
    <row r="633" ht="12.0" customHeight="1">
      <c r="B633" s="1"/>
      <c r="K633" s="151"/>
      <c r="P633" s="151"/>
    </row>
    <row r="634" ht="12.0" customHeight="1">
      <c r="B634" s="1"/>
      <c r="K634" s="151"/>
      <c r="P634" s="151"/>
    </row>
    <row r="635" ht="12.0" customHeight="1">
      <c r="B635" s="1"/>
      <c r="K635" s="151"/>
      <c r="P635" s="151"/>
    </row>
    <row r="636" ht="12.0" customHeight="1">
      <c r="B636" s="1"/>
      <c r="K636" s="151"/>
      <c r="P636" s="151"/>
    </row>
    <row r="637" ht="12.0" customHeight="1">
      <c r="B637" s="1"/>
      <c r="K637" s="151"/>
      <c r="P637" s="151"/>
    </row>
    <row r="638" ht="12.0" customHeight="1">
      <c r="B638" s="1"/>
      <c r="K638" s="151"/>
      <c r="P638" s="151"/>
    </row>
    <row r="639" ht="12.0" customHeight="1">
      <c r="B639" s="1"/>
      <c r="K639" s="151"/>
      <c r="P639" s="151"/>
    </row>
    <row r="640" ht="12.0" customHeight="1">
      <c r="B640" s="1"/>
      <c r="K640" s="151"/>
      <c r="P640" s="151"/>
    </row>
    <row r="641" ht="12.0" customHeight="1">
      <c r="B641" s="1"/>
      <c r="K641" s="151"/>
      <c r="P641" s="151"/>
    </row>
    <row r="642" ht="12.0" customHeight="1">
      <c r="B642" s="1"/>
      <c r="K642" s="151"/>
      <c r="P642" s="151"/>
    </row>
    <row r="643" ht="12.0" customHeight="1">
      <c r="B643" s="1"/>
      <c r="K643" s="151"/>
      <c r="P643" s="151"/>
    </row>
    <row r="644" ht="12.0" customHeight="1">
      <c r="B644" s="1"/>
      <c r="K644" s="151"/>
      <c r="P644" s="151"/>
    </row>
    <row r="645" ht="12.0" customHeight="1">
      <c r="B645" s="1"/>
      <c r="K645" s="151"/>
      <c r="P645" s="151"/>
    </row>
    <row r="646" ht="12.0" customHeight="1">
      <c r="B646" s="1"/>
      <c r="K646" s="151"/>
      <c r="P646" s="151"/>
    </row>
    <row r="647" ht="12.0" customHeight="1">
      <c r="B647" s="1"/>
      <c r="K647" s="151"/>
      <c r="P647" s="151"/>
    </row>
    <row r="648" ht="12.0" customHeight="1">
      <c r="B648" s="1"/>
      <c r="K648" s="151"/>
      <c r="P648" s="151"/>
    </row>
    <row r="649" ht="12.0" customHeight="1">
      <c r="B649" s="1"/>
      <c r="K649" s="151"/>
      <c r="P649" s="151"/>
    </row>
    <row r="650" ht="12.0" customHeight="1">
      <c r="B650" s="1"/>
      <c r="K650" s="151"/>
      <c r="P650" s="151"/>
    </row>
    <row r="651" ht="12.0" customHeight="1">
      <c r="B651" s="1"/>
      <c r="K651" s="151"/>
      <c r="P651" s="151"/>
    </row>
    <row r="652" ht="12.0" customHeight="1">
      <c r="B652" s="1"/>
      <c r="K652" s="151"/>
      <c r="P652" s="151"/>
    </row>
    <row r="653" ht="12.0" customHeight="1">
      <c r="B653" s="1"/>
      <c r="K653" s="151"/>
      <c r="P653" s="151"/>
    </row>
    <row r="654" ht="12.0" customHeight="1">
      <c r="B654" s="1"/>
      <c r="K654" s="151"/>
      <c r="P654" s="151"/>
    </row>
    <row r="655" ht="12.0" customHeight="1">
      <c r="B655" s="1"/>
      <c r="K655" s="151"/>
      <c r="P655" s="151"/>
    </row>
    <row r="656" ht="12.0" customHeight="1">
      <c r="B656" s="1"/>
      <c r="K656" s="151"/>
      <c r="P656" s="151"/>
    </row>
    <row r="657" ht="12.0" customHeight="1">
      <c r="B657" s="1"/>
      <c r="K657" s="151"/>
      <c r="P657" s="151"/>
    </row>
    <row r="658" ht="12.0" customHeight="1">
      <c r="B658" s="1"/>
      <c r="K658" s="151"/>
      <c r="P658" s="151"/>
    </row>
    <row r="659" ht="12.0" customHeight="1">
      <c r="B659" s="1"/>
      <c r="K659" s="151"/>
      <c r="P659" s="151"/>
    </row>
    <row r="660" ht="12.0" customHeight="1">
      <c r="B660" s="1"/>
      <c r="K660" s="151"/>
      <c r="P660" s="151"/>
    </row>
    <row r="661" ht="12.0" customHeight="1">
      <c r="B661" s="1"/>
      <c r="K661" s="151"/>
      <c r="P661" s="151"/>
    </row>
    <row r="662" ht="12.0" customHeight="1">
      <c r="B662" s="1"/>
      <c r="K662" s="151"/>
      <c r="P662" s="151"/>
    </row>
    <row r="663" ht="12.0" customHeight="1">
      <c r="B663" s="1"/>
      <c r="K663" s="151"/>
      <c r="P663" s="151"/>
    </row>
    <row r="664" ht="12.0" customHeight="1">
      <c r="B664" s="1"/>
      <c r="K664" s="151"/>
      <c r="P664" s="151"/>
    </row>
    <row r="665" ht="12.0" customHeight="1">
      <c r="B665" s="1"/>
      <c r="K665" s="151"/>
      <c r="P665" s="151"/>
    </row>
    <row r="666" ht="12.0" customHeight="1">
      <c r="B666" s="1"/>
      <c r="K666" s="151"/>
      <c r="P666" s="151"/>
    </row>
    <row r="667" ht="12.0" customHeight="1">
      <c r="B667" s="1"/>
      <c r="K667" s="151"/>
      <c r="P667" s="151"/>
    </row>
    <row r="668" ht="12.0" customHeight="1">
      <c r="B668" s="1"/>
      <c r="K668" s="151"/>
      <c r="P668" s="151"/>
    </row>
    <row r="669" ht="12.0" customHeight="1">
      <c r="B669" s="1"/>
      <c r="K669" s="151"/>
      <c r="P669" s="151"/>
    </row>
    <row r="670" ht="12.0" customHeight="1">
      <c r="B670" s="1"/>
      <c r="K670" s="151"/>
      <c r="P670" s="151"/>
    </row>
    <row r="671" ht="12.0" customHeight="1">
      <c r="B671" s="1"/>
      <c r="K671" s="151"/>
      <c r="P671" s="151"/>
    </row>
    <row r="672" ht="12.0" customHeight="1">
      <c r="B672" s="1"/>
      <c r="K672" s="151"/>
      <c r="P672" s="151"/>
    </row>
    <row r="673" ht="12.0" customHeight="1">
      <c r="B673" s="1"/>
      <c r="K673" s="151"/>
      <c r="P673" s="151"/>
    </row>
    <row r="674" ht="12.0" customHeight="1">
      <c r="B674" s="1"/>
      <c r="K674" s="151"/>
      <c r="P674" s="151"/>
    </row>
    <row r="675" ht="12.0" customHeight="1">
      <c r="B675" s="1"/>
      <c r="K675" s="151"/>
      <c r="P675" s="151"/>
    </row>
    <row r="676" ht="12.0" customHeight="1">
      <c r="B676" s="1"/>
      <c r="K676" s="151"/>
      <c r="P676" s="151"/>
    </row>
    <row r="677" ht="12.0" customHeight="1">
      <c r="B677" s="1"/>
      <c r="K677" s="151"/>
      <c r="P677" s="151"/>
    </row>
    <row r="678" ht="12.0" customHeight="1">
      <c r="B678" s="1"/>
      <c r="K678" s="151"/>
      <c r="P678" s="151"/>
    </row>
    <row r="679" ht="12.0" customHeight="1">
      <c r="B679" s="1"/>
      <c r="K679" s="151"/>
      <c r="P679" s="151"/>
    </row>
    <row r="680" ht="12.0" customHeight="1">
      <c r="B680" s="1"/>
      <c r="K680" s="151"/>
      <c r="P680" s="151"/>
    </row>
    <row r="681" ht="12.0" customHeight="1">
      <c r="B681" s="1"/>
      <c r="K681" s="151"/>
      <c r="P681" s="151"/>
    </row>
    <row r="682" ht="12.0" customHeight="1">
      <c r="B682" s="1"/>
      <c r="K682" s="151"/>
      <c r="P682" s="151"/>
    </row>
    <row r="683" ht="12.0" customHeight="1">
      <c r="B683" s="1"/>
      <c r="K683" s="151"/>
      <c r="P683" s="151"/>
    </row>
    <row r="684" ht="12.0" customHeight="1">
      <c r="B684" s="1"/>
      <c r="K684" s="151"/>
      <c r="P684" s="151"/>
    </row>
    <row r="685" ht="12.0" customHeight="1">
      <c r="B685" s="1"/>
      <c r="K685" s="151"/>
      <c r="P685" s="151"/>
    </row>
    <row r="686" ht="12.0" customHeight="1">
      <c r="B686" s="1"/>
      <c r="K686" s="151"/>
      <c r="P686" s="151"/>
    </row>
    <row r="687" ht="12.0" customHeight="1">
      <c r="B687" s="1"/>
      <c r="K687" s="151"/>
      <c r="P687" s="151"/>
    </row>
    <row r="688" ht="12.0" customHeight="1">
      <c r="B688" s="1"/>
      <c r="K688" s="151"/>
      <c r="P688" s="151"/>
    </row>
    <row r="689" ht="12.0" customHeight="1">
      <c r="B689" s="1"/>
      <c r="K689" s="151"/>
      <c r="P689" s="151"/>
    </row>
    <row r="690" ht="12.0" customHeight="1">
      <c r="B690" s="1"/>
      <c r="K690" s="151"/>
      <c r="P690" s="151"/>
    </row>
    <row r="691" ht="12.0" customHeight="1">
      <c r="B691" s="1"/>
      <c r="K691" s="151"/>
      <c r="P691" s="151"/>
    </row>
    <row r="692" ht="12.0" customHeight="1">
      <c r="B692" s="1"/>
      <c r="K692" s="151"/>
      <c r="P692" s="151"/>
    </row>
    <row r="693" ht="12.0" customHeight="1">
      <c r="B693" s="1"/>
      <c r="K693" s="151"/>
      <c r="P693" s="151"/>
    </row>
    <row r="694" ht="12.0" customHeight="1">
      <c r="B694" s="1"/>
      <c r="K694" s="151"/>
      <c r="P694" s="151"/>
    </row>
    <row r="695" ht="12.0" customHeight="1">
      <c r="B695" s="1"/>
      <c r="K695" s="151"/>
      <c r="P695" s="151"/>
    </row>
    <row r="696" ht="12.0" customHeight="1">
      <c r="B696" s="1"/>
      <c r="K696" s="151"/>
      <c r="P696" s="151"/>
    </row>
    <row r="697" ht="12.0" customHeight="1">
      <c r="B697" s="1"/>
      <c r="K697" s="151"/>
      <c r="P697" s="151"/>
    </row>
    <row r="698" ht="12.0" customHeight="1">
      <c r="B698" s="1"/>
      <c r="K698" s="151"/>
      <c r="P698" s="151"/>
    </row>
    <row r="699" ht="12.0" customHeight="1">
      <c r="B699" s="1"/>
      <c r="K699" s="151"/>
      <c r="P699" s="151"/>
    </row>
    <row r="700" ht="12.0" customHeight="1">
      <c r="B700" s="1"/>
      <c r="K700" s="151"/>
      <c r="P700" s="151"/>
    </row>
    <row r="701" ht="12.0" customHeight="1">
      <c r="B701" s="1"/>
      <c r="K701" s="151"/>
      <c r="P701" s="151"/>
    </row>
    <row r="702" ht="12.0" customHeight="1">
      <c r="B702" s="1"/>
      <c r="K702" s="151"/>
      <c r="P702" s="151"/>
    </row>
    <row r="703" ht="12.0" customHeight="1">
      <c r="B703" s="1"/>
      <c r="K703" s="151"/>
      <c r="P703" s="151"/>
    </row>
    <row r="704" ht="12.0" customHeight="1">
      <c r="B704" s="1"/>
      <c r="K704" s="151"/>
      <c r="P704" s="151"/>
    </row>
    <row r="705" ht="12.0" customHeight="1">
      <c r="B705" s="1"/>
      <c r="K705" s="151"/>
      <c r="P705" s="151"/>
    </row>
    <row r="706" ht="12.0" customHeight="1">
      <c r="B706" s="1"/>
      <c r="K706" s="151"/>
      <c r="P706" s="151"/>
    </row>
    <row r="707" ht="12.0" customHeight="1">
      <c r="B707" s="1"/>
      <c r="K707" s="151"/>
      <c r="P707" s="151"/>
    </row>
    <row r="708" ht="12.0" customHeight="1">
      <c r="B708" s="1"/>
      <c r="K708" s="151"/>
      <c r="P708" s="151"/>
    </row>
    <row r="709" ht="12.0" customHeight="1">
      <c r="B709" s="1"/>
      <c r="K709" s="151"/>
      <c r="P709" s="151"/>
    </row>
    <row r="710" ht="12.0" customHeight="1">
      <c r="B710" s="1"/>
      <c r="K710" s="151"/>
      <c r="P710" s="151"/>
    </row>
    <row r="711" ht="12.0" customHeight="1">
      <c r="B711" s="1"/>
      <c r="K711" s="151"/>
      <c r="P711" s="151"/>
    </row>
    <row r="712" ht="12.0" customHeight="1">
      <c r="B712" s="1"/>
      <c r="K712" s="151"/>
      <c r="P712" s="151"/>
    </row>
    <row r="713" ht="12.0" customHeight="1">
      <c r="B713" s="1"/>
      <c r="K713" s="151"/>
      <c r="P713" s="151"/>
    </row>
    <row r="714" ht="12.0" customHeight="1">
      <c r="B714" s="1"/>
      <c r="K714" s="151"/>
      <c r="P714" s="151"/>
    </row>
    <row r="715" ht="12.0" customHeight="1">
      <c r="B715" s="1"/>
      <c r="K715" s="151"/>
      <c r="P715" s="151"/>
    </row>
    <row r="716" ht="12.0" customHeight="1">
      <c r="B716" s="1"/>
      <c r="K716" s="151"/>
      <c r="P716" s="151"/>
    </row>
    <row r="717" ht="12.0" customHeight="1">
      <c r="B717" s="1"/>
      <c r="K717" s="151"/>
      <c r="P717" s="151"/>
    </row>
    <row r="718" ht="12.0" customHeight="1">
      <c r="B718" s="1"/>
      <c r="K718" s="151"/>
      <c r="P718" s="151"/>
    </row>
    <row r="719" ht="12.0" customHeight="1">
      <c r="B719" s="1"/>
      <c r="K719" s="151"/>
      <c r="P719" s="151"/>
    </row>
    <row r="720" ht="12.0" customHeight="1">
      <c r="B720" s="1"/>
      <c r="K720" s="151"/>
      <c r="P720" s="151"/>
    </row>
    <row r="721" ht="12.0" customHeight="1">
      <c r="B721" s="1"/>
      <c r="K721" s="151"/>
      <c r="P721" s="151"/>
    </row>
    <row r="722" ht="12.0" customHeight="1">
      <c r="B722" s="1"/>
      <c r="K722" s="151"/>
      <c r="P722" s="151"/>
    </row>
    <row r="723" ht="12.0" customHeight="1">
      <c r="B723" s="1"/>
      <c r="K723" s="151"/>
      <c r="P723" s="151"/>
    </row>
    <row r="724" ht="12.0" customHeight="1">
      <c r="B724" s="1"/>
      <c r="K724" s="151"/>
      <c r="P724" s="151"/>
    </row>
    <row r="725" ht="12.0" customHeight="1">
      <c r="B725" s="1"/>
      <c r="K725" s="151"/>
      <c r="P725" s="151"/>
    </row>
    <row r="726" ht="12.0" customHeight="1">
      <c r="B726" s="1"/>
      <c r="K726" s="151"/>
      <c r="P726" s="151"/>
    </row>
    <row r="727" ht="12.0" customHeight="1">
      <c r="B727" s="1"/>
      <c r="K727" s="151"/>
      <c r="P727" s="151"/>
    </row>
    <row r="728" ht="12.0" customHeight="1">
      <c r="B728" s="1"/>
      <c r="K728" s="151"/>
      <c r="P728" s="151"/>
    </row>
    <row r="729" ht="12.0" customHeight="1">
      <c r="B729" s="1"/>
      <c r="K729" s="151"/>
      <c r="P729" s="151"/>
    </row>
    <row r="730" ht="12.0" customHeight="1">
      <c r="B730" s="1"/>
      <c r="K730" s="151"/>
      <c r="P730" s="151"/>
    </row>
    <row r="731" ht="12.0" customHeight="1">
      <c r="B731" s="1"/>
      <c r="K731" s="151"/>
      <c r="P731" s="151"/>
    </row>
    <row r="732" ht="12.0" customHeight="1">
      <c r="B732" s="1"/>
      <c r="K732" s="151"/>
      <c r="P732" s="151"/>
    </row>
    <row r="733" ht="12.0" customHeight="1">
      <c r="B733" s="1"/>
      <c r="K733" s="151"/>
      <c r="P733" s="151"/>
    </row>
    <row r="734" ht="12.0" customHeight="1">
      <c r="B734" s="1"/>
      <c r="K734" s="151"/>
      <c r="P734" s="151"/>
    </row>
    <row r="735" ht="12.0" customHeight="1">
      <c r="B735" s="1"/>
      <c r="K735" s="151"/>
      <c r="P735" s="151"/>
    </row>
    <row r="736" ht="12.0" customHeight="1">
      <c r="B736" s="1"/>
      <c r="K736" s="151"/>
      <c r="P736" s="151"/>
    </row>
    <row r="737" ht="12.0" customHeight="1">
      <c r="B737" s="1"/>
      <c r="K737" s="151"/>
      <c r="P737" s="151"/>
    </row>
    <row r="738" ht="12.0" customHeight="1">
      <c r="B738" s="1"/>
      <c r="K738" s="151"/>
      <c r="P738" s="151"/>
    </row>
    <row r="739" ht="12.0" customHeight="1">
      <c r="B739" s="1"/>
      <c r="K739" s="151"/>
      <c r="P739" s="151"/>
    </row>
    <row r="740" ht="12.0" customHeight="1">
      <c r="B740" s="1"/>
      <c r="K740" s="151"/>
      <c r="P740" s="151"/>
    </row>
    <row r="741" ht="12.0" customHeight="1">
      <c r="B741" s="1"/>
      <c r="K741" s="151"/>
      <c r="P741" s="151"/>
    </row>
    <row r="742" ht="12.0" customHeight="1">
      <c r="B742" s="1"/>
      <c r="K742" s="151"/>
      <c r="P742" s="151"/>
    </row>
    <row r="743" ht="12.0" customHeight="1">
      <c r="B743" s="1"/>
      <c r="K743" s="151"/>
      <c r="P743" s="151"/>
    </row>
    <row r="744" ht="12.0" customHeight="1">
      <c r="B744" s="1"/>
      <c r="K744" s="151"/>
      <c r="P744" s="151"/>
    </row>
    <row r="745" ht="12.0" customHeight="1">
      <c r="B745" s="1"/>
      <c r="K745" s="151"/>
      <c r="P745" s="151"/>
    </row>
    <row r="746" ht="12.0" customHeight="1">
      <c r="B746" s="1"/>
      <c r="K746" s="151"/>
      <c r="P746" s="151"/>
    </row>
    <row r="747" ht="12.0" customHeight="1">
      <c r="B747" s="1"/>
      <c r="K747" s="151"/>
      <c r="P747" s="151"/>
    </row>
    <row r="748" ht="12.0" customHeight="1">
      <c r="B748" s="1"/>
      <c r="K748" s="151"/>
      <c r="P748" s="151"/>
    </row>
    <row r="749" ht="12.0" customHeight="1">
      <c r="B749" s="1"/>
      <c r="K749" s="151"/>
      <c r="P749" s="151"/>
    </row>
    <row r="750" ht="12.0" customHeight="1">
      <c r="B750" s="1"/>
      <c r="K750" s="151"/>
      <c r="P750" s="151"/>
    </row>
    <row r="751" ht="12.0" customHeight="1">
      <c r="B751" s="1"/>
      <c r="K751" s="151"/>
      <c r="P751" s="151"/>
    </row>
    <row r="752" ht="12.0" customHeight="1">
      <c r="B752" s="1"/>
      <c r="K752" s="151"/>
      <c r="P752" s="151"/>
    </row>
    <row r="753" ht="12.0" customHeight="1">
      <c r="B753" s="1"/>
      <c r="K753" s="151"/>
      <c r="P753" s="151"/>
    </row>
    <row r="754" ht="12.0" customHeight="1">
      <c r="B754" s="1"/>
      <c r="K754" s="151"/>
      <c r="P754" s="151"/>
    </row>
    <row r="755" ht="12.0" customHeight="1">
      <c r="B755" s="1"/>
      <c r="K755" s="151"/>
      <c r="P755" s="151"/>
    </row>
    <row r="756" ht="12.0" customHeight="1">
      <c r="B756" s="1"/>
      <c r="K756" s="151"/>
      <c r="P756" s="151"/>
    </row>
    <row r="757" ht="12.0" customHeight="1">
      <c r="B757" s="1"/>
      <c r="K757" s="151"/>
      <c r="P757" s="151"/>
    </row>
    <row r="758" ht="12.0" customHeight="1">
      <c r="B758" s="1"/>
      <c r="K758" s="151"/>
      <c r="P758" s="151"/>
    </row>
    <row r="759" ht="12.0" customHeight="1">
      <c r="B759" s="1"/>
      <c r="K759" s="151"/>
      <c r="P759" s="151"/>
    </row>
    <row r="760" ht="12.0" customHeight="1">
      <c r="B760" s="1"/>
      <c r="K760" s="151"/>
      <c r="P760" s="151"/>
    </row>
    <row r="761" ht="12.0" customHeight="1">
      <c r="B761" s="1"/>
      <c r="K761" s="151"/>
      <c r="P761" s="151"/>
    </row>
    <row r="762" ht="12.0" customHeight="1">
      <c r="B762" s="1"/>
      <c r="K762" s="151"/>
      <c r="P762" s="151"/>
    </row>
    <row r="763" ht="12.0" customHeight="1">
      <c r="B763" s="1"/>
      <c r="K763" s="151"/>
      <c r="P763" s="151"/>
    </row>
    <row r="764" ht="12.0" customHeight="1">
      <c r="B764" s="1"/>
      <c r="K764" s="151"/>
      <c r="P764" s="151"/>
    </row>
    <row r="765" ht="12.0" customHeight="1">
      <c r="B765" s="1"/>
      <c r="K765" s="151"/>
      <c r="P765" s="151"/>
    </row>
    <row r="766" ht="12.0" customHeight="1">
      <c r="B766" s="1"/>
      <c r="K766" s="151"/>
      <c r="P766" s="151"/>
    </row>
    <row r="767" ht="12.0" customHeight="1">
      <c r="B767" s="1"/>
      <c r="K767" s="151"/>
      <c r="P767" s="151"/>
    </row>
    <row r="768" ht="12.0" customHeight="1">
      <c r="B768" s="1"/>
      <c r="K768" s="151"/>
      <c r="P768" s="151"/>
    </row>
    <row r="769" ht="12.0" customHeight="1">
      <c r="B769" s="1"/>
      <c r="K769" s="151"/>
      <c r="P769" s="151"/>
    </row>
    <row r="770" ht="12.0" customHeight="1">
      <c r="B770" s="1"/>
      <c r="K770" s="151"/>
      <c r="P770" s="151"/>
    </row>
    <row r="771" ht="12.0" customHeight="1">
      <c r="B771" s="1"/>
      <c r="K771" s="151"/>
      <c r="P771" s="151"/>
    </row>
    <row r="772" ht="12.0" customHeight="1">
      <c r="B772" s="1"/>
      <c r="K772" s="151"/>
      <c r="P772" s="151"/>
    </row>
    <row r="773" ht="12.0" customHeight="1">
      <c r="B773" s="1"/>
      <c r="K773" s="151"/>
      <c r="P773" s="151"/>
    </row>
    <row r="774" ht="12.0" customHeight="1">
      <c r="B774" s="1"/>
      <c r="K774" s="151"/>
      <c r="P774" s="151"/>
    </row>
    <row r="775" ht="12.0" customHeight="1">
      <c r="B775" s="1"/>
      <c r="K775" s="151"/>
      <c r="P775" s="151"/>
    </row>
    <row r="776" ht="12.0" customHeight="1">
      <c r="B776" s="1"/>
      <c r="K776" s="151"/>
      <c r="P776" s="151"/>
    </row>
    <row r="777" ht="12.0" customHeight="1">
      <c r="B777" s="1"/>
      <c r="K777" s="151"/>
      <c r="P777" s="151"/>
    </row>
    <row r="778" ht="12.0" customHeight="1">
      <c r="B778" s="1"/>
      <c r="K778" s="151"/>
      <c r="P778" s="151"/>
    </row>
    <row r="779" ht="12.0" customHeight="1">
      <c r="B779" s="1"/>
      <c r="K779" s="151"/>
      <c r="P779" s="151"/>
    </row>
    <row r="780" ht="12.0" customHeight="1">
      <c r="B780" s="1"/>
      <c r="K780" s="151"/>
      <c r="P780" s="151"/>
    </row>
    <row r="781" ht="12.0" customHeight="1">
      <c r="B781" s="1"/>
      <c r="K781" s="151"/>
      <c r="P781" s="151"/>
    </row>
    <row r="782" ht="12.0" customHeight="1">
      <c r="B782" s="1"/>
      <c r="K782" s="151"/>
      <c r="P782" s="151"/>
    </row>
    <row r="783" ht="12.0" customHeight="1">
      <c r="B783" s="1"/>
      <c r="K783" s="151"/>
      <c r="P783" s="151"/>
    </row>
    <row r="784" ht="12.0" customHeight="1">
      <c r="B784" s="1"/>
      <c r="K784" s="151"/>
      <c r="P784" s="151"/>
    </row>
    <row r="785" ht="12.0" customHeight="1">
      <c r="B785" s="1"/>
      <c r="K785" s="151"/>
      <c r="P785" s="151"/>
    </row>
    <row r="786" ht="12.0" customHeight="1">
      <c r="B786" s="1"/>
      <c r="K786" s="151"/>
      <c r="P786" s="151"/>
    </row>
    <row r="787" ht="12.0" customHeight="1">
      <c r="B787" s="1"/>
      <c r="K787" s="151"/>
      <c r="P787" s="151"/>
    </row>
    <row r="788" ht="12.0" customHeight="1">
      <c r="B788" s="1"/>
      <c r="K788" s="151"/>
      <c r="P788" s="151"/>
    </row>
    <row r="789" ht="12.0" customHeight="1">
      <c r="B789" s="1"/>
      <c r="K789" s="151"/>
      <c r="P789" s="151"/>
    </row>
    <row r="790" ht="12.0" customHeight="1">
      <c r="B790" s="1"/>
      <c r="K790" s="151"/>
      <c r="P790" s="151"/>
    </row>
    <row r="791" ht="12.0" customHeight="1">
      <c r="B791" s="1"/>
      <c r="K791" s="151"/>
      <c r="P791" s="151"/>
    </row>
    <row r="792" ht="12.0" customHeight="1">
      <c r="B792" s="1"/>
      <c r="K792" s="151"/>
      <c r="P792" s="151"/>
    </row>
    <row r="793" ht="12.0" customHeight="1">
      <c r="B793" s="1"/>
      <c r="K793" s="151"/>
      <c r="P793" s="151"/>
    </row>
    <row r="794" ht="12.0" customHeight="1">
      <c r="B794" s="1"/>
      <c r="K794" s="151"/>
      <c r="P794" s="151"/>
    </row>
    <row r="795" ht="12.0" customHeight="1">
      <c r="B795" s="1"/>
      <c r="K795" s="151"/>
      <c r="P795" s="151"/>
    </row>
    <row r="796" ht="12.0" customHeight="1">
      <c r="B796" s="1"/>
      <c r="K796" s="151"/>
      <c r="P796" s="151"/>
    </row>
    <row r="797" ht="12.0" customHeight="1">
      <c r="B797" s="1"/>
      <c r="K797" s="151"/>
      <c r="P797" s="151"/>
    </row>
    <row r="798" ht="12.0" customHeight="1">
      <c r="B798" s="1"/>
      <c r="K798" s="151"/>
      <c r="P798" s="151"/>
    </row>
    <row r="799" ht="12.0" customHeight="1">
      <c r="B799" s="1"/>
      <c r="K799" s="151"/>
      <c r="P799" s="151"/>
    </row>
    <row r="800" ht="12.0" customHeight="1">
      <c r="B800" s="1"/>
      <c r="K800" s="151"/>
      <c r="P800" s="151"/>
    </row>
    <row r="801" ht="12.0" customHeight="1">
      <c r="B801" s="1"/>
      <c r="K801" s="151"/>
      <c r="P801" s="151"/>
    </row>
    <row r="802" ht="12.0" customHeight="1">
      <c r="B802" s="1"/>
      <c r="K802" s="151"/>
      <c r="P802" s="151"/>
    </row>
    <row r="803" ht="12.0" customHeight="1">
      <c r="B803" s="1"/>
      <c r="K803" s="151"/>
      <c r="P803" s="151"/>
    </row>
    <row r="804" ht="12.0" customHeight="1">
      <c r="B804" s="1"/>
      <c r="K804" s="151"/>
      <c r="P804" s="151"/>
    </row>
    <row r="805" ht="12.0" customHeight="1">
      <c r="B805" s="1"/>
      <c r="K805" s="151"/>
      <c r="P805" s="151"/>
    </row>
    <row r="806" ht="12.0" customHeight="1">
      <c r="B806" s="1"/>
      <c r="K806" s="151"/>
      <c r="P806" s="151"/>
    </row>
    <row r="807" ht="12.0" customHeight="1">
      <c r="B807" s="1"/>
      <c r="K807" s="151"/>
      <c r="P807" s="151"/>
    </row>
    <row r="808" ht="12.0" customHeight="1">
      <c r="B808" s="1"/>
      <c r="K808" s="151"/>
      <c r="P808" s="151"/>
    </row>
    <row r="809" ht="12.0" customHeight="1">
      <c r="B809" s="1"/>
      <c r="K809" s="151"/>
      <c r="P809" s="151"/>
    </row>
    <row r="810" ht="12.0" customHeight="1">
      <c r="B810" s="1"/>
      <c r="K810" s="151"/>
      <c r="P810" s="151"/>
    </row>
    <row r="811" ht="12.0" customHeight="1">
      <c r="B811" s="1"/>
      <c r="K811" s="151"/>
      <c r="P811" s="151"/>
    </row>
    <row r="812" ht="12.0" customHeight="1">
      <c r="B812" s="1"/>
      <c r="K812" s="151"/>
      <c r="P812" s="151"/>
    </row>
    <row r="813" ht="12.0" customHeight="1">
      <c r="B813" s="1"/>
      <c r="K813" s="151"/>
      <c r="P813" s="151"/>
    </row>
    <row r="814" ht="12.0" customHeight="1">
      <c r="B814" s="1"/>
      <c r="K814" s="151"/>
      <c r="P814" s="151"/>
    </row>
    <row r="815" ht="12.0" customHeight="1">
      <c r="B815" s="1"/>
      <c r="K815" s="151"/>
      <c r="P815" s="151"/>
    </row>
    <row r="816" ht="12.0" customHeight="1">
      <c r="B816" s="1"/>
      <c r="K816" s="151"/>
      <c r="P816" s="151"/>
    </row>
    <row r="817" ht="12.0" customHeight="1">
      <c r="B817" s="1"/>
      <c r="K817" s="151"/>
      <c r="P817" s="151"/>
    </row>
    <row r="818" ht="12.0" customHeight="1">
      <c r="B818" s="1"/>
      <c r="K818" s="151"/>
      <c r="P818" s="151"/>
    </row>
    <row r="819" ht="12.0" customHeight="1">
      <c r="B819" s="1"/>
      <c r="K819" s="151"/>
      <c r="P819" s="151"/>
    </row>
    <row r="820" ht="12.0" customHeight="1">
      <c r="B820" s="1"/>
      <c r="K820" s="151"/>
      <c r="P820" s="151"/>
    </row>
    <row r="821" ht="12.0" customHeight="1">
      <c r="B821" s="1"/>
      <c r="K821" s="151"/>
      <c r="P821" s="151"/>
    </row>
    <row r="822" ht="12.0" customHeight="1">
      <c r="B822" s="1"/>
      <c r="K822" s="151"/>
      <c r="P822" s="151"/>
    </row>
    <row r="823" ht="12.0" customHeight="1">
      <c r="B823" s="1"/>
      <c r="K823" s="151"/>
      <c r="P823" s="151"/>
    </row>
    <row r="824" ht="12.0" customHeight="1">
      <c r="B824" s="1"/>
      <c r="K824" s="151"/>
      <c r="P824" s="151"/>
    </row>
    <row r="825" ht="12.0" customHeight="1">
      <c r="B825" s="1"/>
      <c r="K825" s="151"/>
      <c r="P825" s="151"/>
    </row>
    <row r="826" ht="12.0" customHeight="1">
      <c r="B826" s="1"/>
      <c r="K826" s="151"/>
      <c r="P826" s="151"/>
    </row>
    <row r="827" ht="12.0" customHeight="1">
      <c r="B827" s="1"/>
      <c r="K827" s="151"/>
      <c r="P827" s="151"/>
    </row>
    <row r="828" ht="12.0" customHeight="1">
      <c r="B828" s="1"/>
      <c r="K828" s="151"/>
      <c r="P828" s="151"/>
    </row>
    <row r="829" ht="12.0" customHeight="1">
      <c r="B829" s="1"/>
      <c r="K829" s="151"/>
      <c r="P829" s="151"/>
    </row>
    <row r="830" ht="12.0" customHeight="1">
      <c r="B830" s="1"/>
      <c r="K830" s="151"/>
      <c r="P830" s="151"/>
    </row>
    <row r="831" ht="12.0" customHeight="1">
      <c r="B831" s="1"/>
      <c r="K831" s="151"/>
      <c r="P831" s="151"/>
    </row>
    <row r="832" ht="12.0" customHeight="1">
      <c r="B832" s="1"/>
      <c r="K832" s="151"/>
      <c r="P832" s="151"/>
    </row>
    <row r="833" ht="12.0" customHeight="1">
      <c r="B833" s="1"/>
      <c r="K833" s="151"/>
      <c r="P833" s="151"/>
    </row>
    <row r="834" ht="12.0" customHeight="1">
      <c r="B834" s="1"/>
      <c r="K834" s="151"/>
      <c r="P834" s="151"/>
    </row>
    <row r="835" ht="12.0" customHeight="1">
      <c r="B835" s="1"/>
      <c r="K835" s="151"/>
      <c r="P835" s="151"/>
    </row>
    <row r="836" ht="12.0" customHeight="1">
      <c r="B836" s="1"/>
      <c r="K836" s="151"/>
      <c r="P836" s="151"/>
    </row>
    <row r="837" ht="12.0" customHeight="1">
      <c r="B837" s="1"/>
      <c r="K837" s="151"/>
      <c r="P837" s="151"/>
    </row>
    <row r="838" ht="12.0" customHeight="1">
      <c r="B838" s="1"/>
      <c r="K838" s="151"/>
      <c r="P838" s="151"/>
    </row>
    <row r="839" ht="12.0" customHeight="1">
      <c r="B839" s="1"/>
      <c r="K839" s="151"/>
      <c r="P839" s="151"/>
    </row>
    <row r="840" ht="12.0" customHeight="1">
      <c r="B840" s="1"/>
      <c r="K840" s="151"/>
      <c r="P840" s="151"/>
    </row>
    <row r="841" ht="12.0" customHeight="1">
      <c r="B841" s="1"/>
      <c r="K841" s="151"/>
      <c r="P841" s="151"/>
    </row>
    <row r="842" ht="12.0" customHeight="1">
      <c r="B842" s="1"/>
      <c r="K842" s="151"/>
      <c r="P842" s="151"/>
    </row>
    <row r="843" ht="12.0" customHeight="1">
      <c r="B843" s="1"/>
      <c r="K843" s="151"/>
      <c r="P843" s="151"/>
    </row>
    <row r="844" ht="12.0" customHeight="1">
      <c r="B844" s="1"/>
      <c r="K844" s="151"/>
      <c r="P844" s="151"/>
    </row>
    <row r="845" ht="12.0" customHeight="1">
      <c r="B845" s="1"/>
      <c r="K845" s="151"/>
      <c r="P845" s="151"/>
    </row>
    <row r="846" ht="12.0" customHeight="1">
      <c r="B846" s="1"/>
      <c r="K846" s="151"/>
      <c r="P846" s="151"/>
    </row>
    <row r="847" ht="12.0" customHeight="1">
      <c r="B847" s="1"/>
      <c r="K847" s="151"/>
      <c r="P847" s="151"/>
    </row>
    <row r="848" ht="12.0" customHeight="1">
      <c r="B848" s="1"/>
      <c r="K848" s="151"/>
      <c r="P848" s="151"/>
    </row>
    <row r="849" ht="12.0" customHeight="1">
      <c r="B849" s="1"/>
      <c r="K849" s="151"/>
      <c r="P849" s="151"/>
    </row>
    <row r="850" ht="12.0" customHeight="1">
      <c r="B850" s="1"/>
      <c r="K850" s="151"/>
      <c r="P850" s="151"/>
    </row>
    <row r="851" ht="12.0" customHeight="1">
      <c r="B851" s="1"/>
      <c r="K851" s="151"/>
      <c r="P851" s="151"/>
    </row>
    <row r="852" ht="12.0" customHeight="1">
      <c r="B852" s="1"/>
      <c r="K852" s="151"/>
      <c r="P852" s="151"/>
    </row>
    <row r="853" ht="12.0" customHeight="1">
      <c r="B853" s="1"/>
      <c r="K853" s="151"/>
      <c r="P853" s="151"/>
    </row>
    <row r="854" ht="12.0" customHeight="1">
      <c r="B854" s="1"/>
      <c r="K854" s="151"/>
      <c r="P854" s="151"/>
    </row>
    <row r="855" ht="12.0" customHeight="1">
      <c r="B855" s="1"/>
      <c r="K855" s="151"/>
      <c r="P855" s="151"/>
    </row>
    <row r="856" ht="12.0" customHeight="1">
      <c r="B856" s="1"/>
      <c r="K856" s="151"/>
      <c r="P856" s="151"/>
    </row>
    <row r="857" ht="12.0" customHeight="1">
      <c r="B857" s="1"/>
      <c r="K857" s="151"/>
      <c r="P857" s="151"/>
    </row>
    <row r="858" ht="12.0" customHeight="1">
      <c r="B858" s="1"/>
      <c r="K858" s="151"/>
      <c r="P858" s="151"/>
    </row>
    <row r="859" ht="12.0" customHeight="1">
      <c r="B859" s="1"/>
      <c r="K859" s="151"/>
      <c r="P859" s="151"/>
    </row>
    <row r="860" ht="12.0" customHeight="1">
      <c r="B860" s="1"/>
      <c r="K860" s="151"/>
      <c r="P860" s="151"/>
    </row>
    <row r="861" ht="12.0" customHeight="1">
      <c r="B861" s="1"/>
      <c r="K861" s="151"/>
      <c r="P861" s="151"/>
    </row>
    <row r="862" ht="12.0" customHeight="1">
      <c r="B862" s="1"/>
      <c r="K862" s="151"/>
      <c r="P862" s="151"/>
    </row>
    <row r="863" ht="12.0" customHeight="1">
      <c r="B863" s="1"/>
      <c r="K863" s="151"/>
      <c r="P863" s="151"/>
    </row>
    <row r="864" ht="12.0" customHeight="1">
      <c r="B864" s="1"/>
      <c r="K864" s="151"/>
      <c r="P864" s="151"/>
    </row>
    <row r="865" ht="12.0" customHeight="1">
      <c r="B865" s="1"/>
      <c r="K865" s="151"/>
      <c r="P865" s="151"/>
    </row>
    <row r="866" ht="12.0" customHeight="1">
      <c r="B866" s="1"/>
      <c r="K866" s="151"/>
      <c r="P866" s="151"/>
    </row>
    <row r="867" ht="12.0" customHeight="1">
      <c r="B867" s="1"/>
      <c r="K867" s="151"/>
      <c r="P867" s="151"/>
    </row>
    <row r="868" ht="12.0" customHeight="1">
      <c r="B868" s="1"/>
      <c r="K868" s="151"/>
      <c r="P868" s="151"/>
    </row>
    <row r="869" ht="12.0" customHeight="1">
      <c r="B869" s="1"/>
      <c r="K869" s="151"/>
      <c r="P869" s="151"/>
    </row>
    <row r="870" ht="12.0" customHeight="1">
      <c r="B870" s="1"/>
      <c r="K870" s="151"/>
      <c r="P870" s="151"/>
    </row>
    <row r="871" ht="12.0" customHeight="1">
      <c r="B871" s="1"/>
      <c r="K871" s="151"/>
      <c r="P871" s="151"/>
    </row>
    <row r="872" ht="12.0" customHeight="1">
      <c r="B872" s="1"/>
      <c r="K872" s="151"/>
      <c r="P872" s="151"/>
    </row>
    <row r="873" ht="12.0" customHeight="1">
      <c r="B873" s="1"/>
      <c r="K873" s="151"/>
      <c r="P873" s="151"/>
    </row>
    <row r="874" ht="12.0" customHeight="1">
      <c r="B874" s="1"/>
      <c r="K874" s="151"/>
      <c r="P874" s="151"/>
    </row>
    <row r="875" ht="12.0" customHeight="1">
      <c r="B875" s="1"/>
      <c r="K875" s="151"/>
      <c r="P875" s="151"/>
    </row>
    <row r="876" ht="12.0" customHeight="1">
      <c r="B876" s="1"/>
      <c r="K876" s="151"/>
      <c r="P876" s="151"/>
    </row>
    <row r="877" ht="12.0" customHeight="1">
      <c r="B877" s="1"/>
      <c r="K877" s="151"/>
      <c r="P877" s="151"/>
    </row>
    <row r="878" ht="12.0" customHeight="1">
      <c r="B878" s="1"/>
      <c r="K878" s="151"/>
      <c r="P878" s="151"/>
    </row>
    <row r="879" ht="12.0" customHeight="1">
      <c r="B879" s="1"/>
      <c r="K879" s="151"/>
      <c r="P879" s="151"/>
    </row>
    <row r="880" ht="12.0" customHeight="1">
      <c r="B880" s="1"/>
      <c r="K880" s="151"/>
      <c r="P880" s="151"/>
    </row>
    <row r="881" ht="12.0" customHeight="1">
      <c r="B881" s="1"/>
      <c r="K881" s="151"/>
      <c r="P881" s="151"/>
    </row>
    <row r="882" ht="12.0" customHeight="1">
      <c r="B882" s="1"/>
      <c r="K882" s="151"/>
      <c r="P882" s="151"/>
    </row>
    <row r="883" ht="12.0" customHeight="1">
      <c r="B883" s="1"/>
      <c r="K883" s="151"/>
      <c r="P883" s="151"/>
    </row>
    <row r="884" ht="12.0" customHeight="1">
      <c r="B884" s="1"/>
      <c r="K884" s="151"/>
      <c r="P884" s="151"/>
    </row>
    <row r="885" ht="12.0" customHeight="1">
      <c r="B885" s="1"/>
      <c r="K885" s="151"/>
      <c r="P885" s="151"/>
    </row>
    <row r="886" ht="12.0" customHeight="1">
      <c r="B886" s="1"/>
      <c r="K886" s="151"/>
      <c r="P886" s="151"/>
    </row>
    <row r="887" ht="12.0" customHeight="1">
      <c r="B887" s="1"/>
      <c r="K887" s="151"/>
      <c r="P887" s="151"/>
    </row>
    <row r="888" ht="12.0" customHeight="1">
      <c r="B888" s="1"/>
      <c r="K888" s="151"/>
      <c r="P888" s="151"/>
    </row>
    <row r="889" ht="12.0" customHeight="1">
      <c r="B889" s="1"/>
      <c r="K889" s="151"/>
      <c r="P889" s="151"/>
    </row>
    <row r="890" ht="12.0" customHeight="1">
      <c r="B890" s="1"/>
      <c r="K890" s="151"/>
      <c r="P890" s="151"/>
    </row>
    <row r="891" ht="12.0" customHeight="1">
      <c r="B891" s="1"/>
      <c r="K891" s="151"/>
      <c r="P891" s="151"/>
    </row>
    <row r="892" ht="12.0" customHeight="1">
      <c r="B892" s="1"/>
      <c r="K892" s="151"/>
      <c r="P892" s="151"/>
    </row>
    <row r="893" ht="12.0" customHeight="1">
      <c r="B893" s="1"/>
      <c r="K893" s="151"/>
      <c r="P893" s="151"/>
    </row>
    <row r="894" ht="12.0" customHeight="1">
      <c r="B894" s="1"/>
      <c r="K894" s="151"/>
      <c r="P894" s="151"/>
    </row>
    <row r="895" ht="12.0" customHeight="1">
      <c r="B895" s="1"/>
      <c r="K895" s="151"/>
      <c r="P895" s="151"/>
    </row>
    <row r="896" ht="12.0" customHeight="1">
      <c r="B896" s="1"/>
      <c r="K896" s="151"/>
      <c r="P896" s="151"/>
    </row>
    <row r="897" ht="12.0" customHeight="1">
      <c r="B897" s="1"/>
      <c r="K897" s="151"/>
      <c r="P897" s="151"/>
    </row>
    <row r="898" ht="12.0" customHeight="1">
      <c r="B898" s="1"/>
      <c r="K898" s="151"/>
      <c r="P898" s="151"/>
    </row>
    <row r="899" ht="12.0" customHeight="1">
      <c r="B899" s="1"/>
      <c r="K899" s="151"/>
      <c r="P899" s="151"/>
    </row>
    <row r="900" ht="12.0" customHeight="1">
      <c r="B900" s="1"/>
      <c r="K900" s="151"/>
      <c r="P900" s="151"/>
    </row>
    <row r="901" ht="12.0" customHeight="1">
      <c r="B901" s="1"/>
      <c r="K901" s="151"/>
      <c r="P901" s="151"/>
    </row>
    <row r="902" ht="12.0" customHeight="1">
      <c r="B902" s="1"/>
      <c r="K902" s="151"/>
      <c r="P902" s="151"/>
    </row>
    <row r="903" ht="12.0" customHeight="1">
      <c r="B903" s="1"/>
      <c r="K903" s="151"/>
      <c r="P903" s="151"/>
    </row>
    <row r="904" ht="12.0" customHeight="1">
      <c r="B904" s="1"/>
      <c r="K904" s="151"/>
      <c r="P904" s="151"/>
    </row>
    <row r="905" ht="12.0" customHeight="1">
      <c r="B905" s="1"/>
      <c r="K905" s="151"/>
      <c r="P905" s="151"/>
    </row>
    <row r="906" ht="12.0" customHeight="1">
      <c r="B906" s="1"/>
      <c r="K906" s="151"/>
      <c r="P906" s="151"/>
    </row>
    <row r="907" ht="12.0" customHeight="1">
      <c r="B907" s="1"/>
      <c r="K907" s="151"/>
      <c r="P907" s="151"/>
    </row>
    <row r="908" ht="12.0" customHeight="1">
      <c r="B908" s="1"/>
      <c r="K908" s="151"/>
      <c r="P908" s="151"/>
    </row>
    <row r="909" ht="12.0" customHeight="1">
      <c r="B909" s="1"/>
      <c r="K909" s="151"/>
      <c r="P909" s="151"/>
    </row>
    <row r="910" ht="12.0" customHeight="1">
      <c r="B910" s="1"/>
      <c r="K910" s="151"/>
      <c r="P910" s="151"/>
    </row>
    <row r="911" ht="12.0" customHeight="1">
      <c r="B911" s="1"/>
      <c r="K911" s="151"/>
      <c r="P911" s="151"/>
    </row>
    <row r="912" ht="12.0" customHeight="1">
      <c r="B912" s="1"/>
      <c r="K912" s="151"/>
      <c r="P912" s="151"/>
    </row>
    <row r="913" ht="12.0" customHeight="1">
      <c r="B913" s="1"/>
      <c r="K913" s="151"/>
      <c r="P913" s="151"/>
    </row>
    <row r="914" ht="12.0" customHeight="1">
      <c r="B914" s="1"/>
      <c r="K914" s="151"/>
      <c r="P914" s="151"/>
    </row>
    <row r="915" ht="12.0" customHeight="1">
      <c r="B915" s="1"/>
      <c r="K915" s="151"/>
      <c r="P915" s="151"/>
    </row>
    <row r="916" ht="12.0" customHeight="1">
      <c r="B916" s="1"/>
      <c r="K916" s="151"/>
      <c r="P916" s="151"/>
    </row>
    <row r="917" ht="12.0" customHeight="1">
      <c r="B917" s="1"/>
      <c r="K917" s="151"/>
      <c r="P917" s="151"/>
    </row>
    <row r="918" ht="12.0" customHeight="1">
      <c r="B918" s="1"/>
      <c r="K918" s="151"/>
      <c r="P918" s="151"/>
    </row>
    <row r="919" ht="12.0" customHeight="1">
      <c r="B919" s="1"/>
      <c r="K919" s="151"/>
      <c r="P919" s="151"/>
    </row>
    <row r="920" ht="12.0" customHeight="1">
      <c r="B920" s="1"/>
      <c r="K920" s="151"/>
      <c r="P920" s="151"/>
    </row>
    <row r="921" ht="12.0" customHeight="1">
      <c r="B921" s="1"/>
      <c r="K921" s="151"/>
      <c r="P921" s="151"/>
    </row>
    <row r="922" ht="12.0" customHeight="1">
      <c r="B922" s="1"/>
      <c r="K922" s="151"/>
      <c r="P922" s="151"/>
    </row>
    <row r="923" ht="12.0" customHeight="1">
      <c r="B923" s="1"/>
      <c r="K923" s="151"/>
      <c r="P923" s="151"/>
    </row>
    <row r="924" ht="12.0" customHeight="1">
      <c r="B924" s="1"/>
      <c r="K924" s="151"/>
      <c r="P924" s="151"/>
    </row>
    <row r="925" ht="12.0" customHeight="1">
      <c r="B925" s="1"/>
      <c r="K925" s="151"/>
      <c r="P925" s="151"/>
    </row>
    <row r="926" ht="12.0" customHeight="1">
      <c r="B926" s="1"/>
      <c r="K926" s="151"/>
      <c r="P926" s="151"/>
    </row>
    <row r="927" ht="12.0" customHeight="1">
      <c r="B927" s="1"/>
      <c r="K927" s="151"/>
      <c r="P927" s="151"/>
    </row>
    <row r="928" ht="12.0" customHeight="1">
      <c r="B928" s="1"/>
      <c r="K928" s="151"/>
      <c r="P928" s="151"/>
    </row>
    <row r="929" ht="12.0" customHeight="1">
      <c r="B929" s="1"/>
      <c r="K929" s="151"/>
      <c r="P929" s="151"/>
    </row>
    <row r="930" ht="12.0" customHeight="1">
      <c r="B930" s="1"/>
      <c r="K930" s="151"/>
      <c r="P930" s="151"/>
    </row>
    <row r="931" ht="12.0" customHeight="1">
      <c r="B931" s="1"/>
      <c r="K931" s="151"/>
      <c r="P931" s="151"/>
    </row>
    <row r="932" ht="12.0" customHeight="1">
      <c r="B932" s="1"/>
      <c r="K932" s="151"/>
      <c r="P932" s="151"/>
    </row>
    <row r="933" ht="12.0" customHeight="1">
      <c r="B933" s="1"/>
      <c r="K933" s="151"/>
      <c r="P933" s="151"/>
    </row>
    <row r="934" ht="12.0" customHeight="1">
      <c r="B934" s="1"/>
      <c r="K934" s="151"/>
      <c r="P934" s="151"/>
    </row>
    <row r="935" ht="12.0" customHeight="1">
      <c r="B935" s="1"/>
      <c r="K935" s="151"/>
      <c r="P935" s="151"/>
    </row>
    <row r="936" ht="12.0" customHeight="1">
      <c r="B936" s="1"/>
      <c r="K936" s="151"/>
      <c r="P936" s="151"/>
    </row>
    <row r="937" ht="12.0" customHeight="1">
      <c r="B937" s="1"/>
      <c r="K937" s="151"/>
      <c r="P937" s="151"/>
    </row>
    <row r="938" ht="12.0" customHeight="1">
      <c r="B938" s="1"/>
      <c r="K938" s="151"/>
      <c r="P938" s="151"/>
    </row>
    <row r="939" ht="12.0" customHeight="1">
      <c r="B939" s="1"/>
      <c r="K939" s="151"/>
      <c r="P939" s="151"/>
    </row>
    <row r="940" ht="12.0" customHeight="1">
      <c r="B940" s="1"/>
      <c r="K940" s="151"/>
      <c r="P940" s="151"/>
    </row>
    <row r="941" ht="12.0" customHeight="1">
      <c r="B941" s="1"/>
      <c r="K941" s="151"/>
      <c r="P941" s="151"/>
    </row>
    <row r="942" ht="12.0" customHeight="1">
      <c r="B942" s="1"/>
      <c r="K942" s="151"/>
      <c r="P942" s="151"/>
    </row>
    <row r="943" ht="12.0" customHeight="1">
      <c r="B943" s="1"/>
      <c r="K943" s="151"/>
      <c r="P943" s="151"/>
    </row>
    <row r="944" ht="12.0" customHeight="1">
      <c r="B944" s="1"/>
      <c r="K944" s="151"/>
      <c r="P944" s="151"/>
    </row>
    <row r="945" ht="12.0" customHeight="1">
      <c r="B945" s="1"/>
      <c r="K945" s="151"/>
      <c r="P945" s="151"/>
    </row>
    <row r="946" ht="12.0" customHeight="1">
      <c r="B946" s="1"/>
      <c r="K946" s="151"/>
      <c r="P946" s="151"/>
    </row>
    <row r="947" ht="12.0" customHeight="1">
      <c r="B947" s="1"/>
      <c r="K947" s="151"/>
      <c r="P947" s="151"/>
    </row>
    <row r="948" ht="12.0" customHeight="1">
      <c r="B948" s="1"/>
      <c r="K948" s="151"/>
      <c r="P948" s="151"/>
    </row>
    <row r="949" ht="12.0" customHeight="1">
      <c r="B949" s="1"/>
      <c r="K949" s="151"/>
      <c r="P949" s="151"/>
    </row>
    <row r="950" ht="12.0" customHeight="1">
      <c r="B950" s="1"/>
      <c r="K950" s="151"/>
      <c r="P950" s="151"/>
    </row>
    <row r="951" ht="12.0" customHeight="1">
      <c r="B951" s="1"/>
      <c r="K951" s="151"/>
      <c r="P951" s="151"/>
    </row>
    <row r="952" ht="12.0" customHeight="1">
      <c r="B952" s="1"/>
      <c r="K952" s="151"/>
      <c r="P952" s="151"/>
    </row>
    <row r="953" ht="12.0" customHeight="1">
      <c r="B953" s="1"/>
      <c r="K953" s="151"/>
      <c r="P953" s="151"/>
    </row>
    <row r="954" ht="12.0" customHeight="1">
      <c r="B954" s="1"/>
      <c r="K954" s="151"/>
      <c r="P954" s="151"/>
    </row>
    <row r="955" ht="12.0" customHeight="1">
      <c r="B955" s="1"/>
      <c r="K955" s="151"/>
      <c r="P955" s="151"/>
    </row>
    <row r="956" ht="12.0" customHeight="1">
      <c r="B956" s="1"/>
      <c r="K956" s="151"/>
      <c r="P956" s="151"/>
    </row>
    <row r="957" ht="12.0" customHeight="1">
      <c r="B957" s="1"/>
      <c r="K957" s="151"/>
      <c r="P957" s="151"/>
    </row>
    <row r="958" ht="12.0" customHeight="1">
      <c r="B958" s="1"/>
      <c r="K958" s="151"/>
      <c r="P958" s="151"/>
    </row>
    <row r="959" ht="12.0" customHeight="1">
      <c r="B959" s="1"/>
      <c r="K959" s="151"/>
      <c r="P959" s="151"/>
    </row>
    <row r="960" ht="12.0" customHeight="1">
      <c r="B960" s="1"/>
      <c r="K960" s="151"/>
      <c r="P960" s="151"/>
    </row>
    <row r="961" ht="12.0" customHeight="1">
      <c r="B961" s="1"/>
      <c r="K961" s="151"/>
      <c r="P961" s="151"/>
    </row>
    <row r="962" ht="12.0" customHeight="1">
      <c r="B962" s="1"/>
      <c r="K962" s="151"/>
      <c r="P962" s="151"/>
    </row>
    <row r="963" ht="12.0" customHeight="1">
      <c r="B963" s="1"/>
      <c r="K963" s="151"/>
      <c r="P963" s="151"/>
    </row>
    <row r="964" ht="12.0" customHeight="1">
      <c r="B964" s="1"/>
      <c r="K964" s="151"/>
      <c r="P964" s="151"/>
    </row>
    <row r="965" ht="12.0" customHeight="1">
      <c r="B965" s="1"/>
      <c r="K965" s="151"/>
      <c r="P965" s="151"/>
    </row>
    <row r="966" ht="12.0" customHeight="1">
      <c r="B966" s="1"/>
      <c r="K966" s="151"/>
      <c r="P966" s="151"/>
    </row>
    <row r="967" ht="12.0" customHeight="1">
      <c r="B967" s="1"/>
      <c r="K967" s="151"/>
      <c r="P967" s="151"/>
    </row>
    <row r="968" ht="12.0" customHeight="1">
      <c r="B968" s="1"/>
      <c r="K968" s="151"/>
      <c r="P968" s="151"/>
    </row>
    <row r="969" ht="12.0" customHeight="1">
      <c r="B969" s="1"/>
      <c r="K969" s="151"/>
      <c r="P969" s="151"/>
    </row>
    <row r="970" ht="12.0" customHeight="1">
      <c r="B970" s="1"/>
      <c r="K970" s="151"/>
      <c r="P970" s="151"/>
    </row>
    <row r="971" ht="12.0" customHeight="1">
      <c r="B971" s="1"/>
      <c r="K971" s="151"/>
      <c r="P971" s="151"/>
    </row>
    <row r="972" ht="12.0" customHeight="1">
      <c r="B972" s="1"/>
      <c r="K972" s="151"/>
      <c r="P972" s="151"/>
    </row>
    <row r="973" ht="12.0" customHeight="1">
      <c r="B973" s="1"/>
      <c r="K973" s="151"/>
      <c r="P973" s="151"/>
    </row>
    <row r="974" ht="12.0" customHeight="1">
      <c r="B974" s="1"/>
      <c r="K974" s="151"/>
      <c r="P974" s="151"/>
    </row>
    <row r="975" ht="12.0" customHeight="1">
      <c r="B975" s="1"/>
      <c r="K975" s="151"/>
      <c r="P975" s="151"/>
    </row>
    <row r="976" ht="12.0" customHeight="1">
      <c r="B976" s="1"/>
      <c r="K976" s="151"/>
      <c r="P976" s="151"/>
    </row>
    <row r="977" ht="12.0" customHeight="1">
      <c r="B977" s="1"/>
      <c r="K977" s="151"/>
      <c r="P977" s="151"/>
    </row>
    <row r="978" ht="12.0" customHeight="1">
      <c r="B978" s="1"/>
      <c r="K978" s="151"/>
      <c r="P978" s="151"/>
    </row>
    <row r="979" ht="12.0" customHeight="1">
      <c r="B979" s="1"/>
      <c r="K979" s="151"/>
      <c r="P979" s="151"/>
    </row>
    <row r="980" ht="12.0" customHeight="1">
      <c r="B980" s="1"/>
      <c r="K980" s="151"/>
      <c r="P980" s="151"/>
    </row>
    <row r="981" ht="12.0" customHeight="1">
      <c r="B981" s="1"/>
      <c r="K981" s="151"/>
      <c r="P981" s="151"/>
    </row>
    <row r="982" ht="12.0" customHeight="1">
      <c r="B982" s="1"/>
      <c r="K982" s="151"/>
      <c r="P982" s="151"/>
    </row>
    <row r="983" ht="12.0" customHeight="1">
      <c r="B983" s="1"/>
      <c r="K983" s="151"/>
      <c r="P983" s="151"/>
    </row>
    <row r="984" ht="12.0" customHeight="1">
      <c r="B984" s="1"/>
      <c r="K984" s="151"/>
      <c r="P984" s="151"/>
    </row>
    <row r="985" ht="12.0" customHeight="1">
      <c r="B985" s="1"/>
      <c r="K985" s="151"/>
      <c r="P985" s="151"/>
    </row>
    <row r="986" ht="12.0" customHeight="1">
      <c r="B986" s="1"/>
      <c r="K986" s="151"/>
      <c r="P986" s="151"/>
    </row>
    <row r="987" ht="12.0" customHeight="1">
      <c r="B987" s="1"/>
      <c r="K987" s="151"/>
      <c r="P987" s="151"/>
    </row>
    <row r="988" ht="12.0" customHeight="1">
      <c r="B988" s="1"/>
      <c r="K988" s="151"/>
      <c r="P988" s="151"/>
    </row>
    <row r="989" ht="12.0" customHeight="1">
      <c r="B989" s="1"/>
      <c r="K989" s="151"/>
      <c r="P989" s="151"/>
    </row>
    <row r="990" ht="12.0" customHeight="1">
      <c r="B990" s="1"/>
      <c r="K990" s="151"/>
      <c r="P990" s="151"/>
    </row>
    <row r="991" ht="12.0" customHeight="1">
      <c r="B991" s="1"/>
      <c r="K991" s="151"/>
      <c r="P991" s="151"/>
    </row>
    <row r="992" ht="12.0" customHeight="1">
      <c r="B992" s="1"/>
      <c r="K992" s="151"/>
      <c r="P992" s="151"/>
    </row>
    <row r="993" ht="12.0" customHeight="1">
      <c r="B993" s="1"/>
      <c r="K993" s="151"/>
      <c r="P993" s="151"/>
    </row>
    <row r="994" ht="12.0" customHeight="1">
      <c r="B994" s="1"/>
      <c r="K994" s="151"/>
      <c r="P994" s="151"/>
    </row>
    <row r="995" ht="12.0" customHeight="1">
      <c r="B995" s="1"/>
      <c r="K995" s="151"/>
      <c r="P995" s="151"/>
    </row>
    <row r="996" ht="12.0" customHeight="1">
      <c r="B996" s="1"/>
      <c r="K996" s="151"/>
      <c r="P996" s="151"/>
    </row>
    <row r="997" ht="12.0" customHeight="1">
      <c r="B997" s="1"/>
      <c r="K997" s="151"/>
      <c r="P997" s="151"/>
    </row>
    <row r="998" ht="12.0" customHeight="1">
      <c r="B998" s="1"/>
      <c r="K998" s="151"/>
      <c r="P998" s="151"/>
    </row>
    <row r="999" ht="12.0" customHeight="1">
      <c r="B999" s="1"/>
      <c r="K999" s="151"/>
      <c r="P999" s="151"/>
    </row>
  </sheetData>
  <mergeCells count="21">
    <mergeCell ref="J7:K7"/>
    <mergeCell ref="L7:M7"/>
    <mergeCell ref="O7:P7"/>
    <mergeCell ref="F8:H8"/>
    <mergeCell ref="I8:K8"/>
    <mergeCell ref="L8:N8"/>
    <mergeCell ref="B18:B20"/>
    <mergeCell ref="B54:B57"/>
    <mergeCell ref="B58:B60"/>
    <mergeCell ref="B61:B63"/>
    <mergeCell ref="B65:B67"/>
    <mergeCell ref="B68:B70"/>
    <mergeCell ref="B71:B73"/>
    <mergeCell ref="B75:B77"/>
    <mergeCell ref="B21:B25"/>
    <mergeCell ref="B26:B30"/>
    <mergeCell ref="B35:B37"/>
    <mergeCell ref="B38:B40"/>
    <mergeCell ref="B42:B44"/>
    <mergeCell ref="B45:B47"/>
    <mergeCell ref="B48:B53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2 J45 J58 J61 J65 J68 J71 J75 J80">
      <formula1>"YES,NO"</formula1>
    </dataValidation>
    <dataValidation type="list" allowBlank="1" showErrorMessage="1" sqref="O17:O18 O21 O26 O31 O35 O38 O42 O45 O48 O54 O58 O61 O65 O68 O71 O75 O80 P93">
      <formula1>"DELAPIDATED,POOR,FAIR,GOOD,VERY GOOD,EXCELLENT,NOT APPLICABLE"</formula1>
    </dataValidation>
    <dataValidation type="list" allowBlank="1" showErrorMessage="1" sqref="J54">
      <formula1>"STEEL WINDOW FRAMES,ALUMINIUM WINDOW FRAMES,NO WINDOWS FITTED"</formula1>
    </dataValidation>
    <dataValidation type="list" allowBlank="1" showErrorMessage="1" sqref="J14">
      <formula1>"2010-2013,2014-2021,2021-2023"</formula1>
    </dataValidation>
    <dataValidation type="list" allowBlank="1" showErrorMessage="1" sqref="J48">
      <formula1>"VINYL FLOORING,TILING FLOORING,TIMBER FLOORING,CARPETS FLOORING,NO FLOORING"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38"/>
    <col customWidth="1" min="3" max="3" width="25.75"/>
    <col customWidth="1" hidden="1" min="4" max="9" width="25.38"/>
    <col customWidth="1" min="10" max="10" width="24.25"/>
    <col customWidth="1" min="11" max="11" width="19.38"/>
    <col customWidth="1" min="12" max="12" width="17.38"/>
    <col customWidth="1" min="13" max="13" width="16.88"/>
    <col customWidth="1" min="14" max="23" width="9.13"/>
  </cols>
  <sheetData>
    <row r="1" ht="12.0" customHeight="1">
      <c r="B1" s="1"/>
      <c r="K1" s="2"/>
      <c r="M1" s="2"/>
    </row>
    <row r="2" ht="12.0" customHeight="1">
      <c r="B2" s="1"/>
      <c r="K2" s="2"/>
      <c r="M2" s="2"/>
    </row>
    <row r="3" ht="12.0" customHeight="1">
      <c r="B3" s="1"/>
      <c r="C3" s="4" t="s">
        <v>144</v>
      </c>
      <c r="K3" s="2"/>
      <c r="M3" s="2"/>
    </row>
    <row r="4" ht="12.0" customHeight="1">
      <c r="B4" s="1"/>
      <c r="C4" s="716" t="s">
        <v>134</v>
      </c>
      <c r="K4" s="2"/>
      <c r="M4" s="2"/>
    </row>
    <row r="5" ht="29.25" customHeight="1">
      <c r="B5" s="1"/>
      <c r="C5" s="152"/>
      <c r="J5" s="6" t="s">
        <v>2</v>
      </c>
      <c r="K5" s="7"/>
      <c r="L5" s="8" t="s">
        <v>3</v>
      </c>
      <c r="M5" s="7"/>
    </row>
    <row r="6" ht="49.5" hidden="1" customHeight="1">
      <c r="B6" s="631"/>
      <c r="C6" s="632"/>
      <c r="D6" s="633"/>
      <c r="E6" s="633"/>
      <c r="F6" s="535" t="s">
        <v>79</v>
      </c>
      <c r="G6" s="274"/>
      <c r="H6" s="7"/>
      <c r="I6" s="536" t="s">
        <v>80</v>
      </c>
      <c r="J6" s="274"/>
      <c r="K6" s="7"/>
      <c r="L6" s="161"/>
      <c r="M6" s="2"/>
    </row>
    <row r="7" ht="49.5" hidden="1" customHeight="1">
      <c r="B7" s="631"/>
      <c r="C7" s="632" t="s">
        <v>121</v>
      </c>
      <c r="D7" s="636"/>
      <c r="E7" s="636"/>
      <c r="F7" s="636"/>
      <c r="G7" s="636"/>
      <c r="H7" s="636"/>
      <c r="I7" s="636"/>
      <c r="J7" s="636"/>
      <c r="K7" s="669"/>
      <c r="L7" s="161"/>
      <c r="M7" s="2"/>
    </row>
    <row r="8" ht="69.75" customHeight="1">
      <c r="A8" s="20"/>
      <c r="B8" s="649" t="s">
        <v>6</v>
      </c>
      <c r="C8" s="649" t="s">
        <v>7</v>
      </c>
      <c r="D8" s="359"/>
      <c r="E8" s="361" t="s">
        <v>8</v>
      </c>
      <c r="F8" s="362" t="s">
        <v>9</v>
      </c>
      <c r="G8" s="362" t="s">
        <v>10</v>
      </c>
      <c r="H8" s="362" t="s">
        <v>11</v>
      </c>
      <c r="I8" s="363" t="s">
        <v>12</v>
      </c>
      <c r="J8" s="26" t="s">
        <v>13</v>
      </c>
      <c r="K8" s="24" t="s">
        <v>14</v>
      </c>
      <c r="L8" s="31" t="s">
        <v>18</v>
      </c>
      <c r="M8" s="24" t="s">
        <v>14</v>
      </c>
      <c r="N8" s="20"/>
      <c r="O8" s="20"/>
      <c r="P8" s="20"/>
      <c r="Q8" s="20"/>
      <c r="R8" s="20"/>
      <c r="S8" s="20"/>
      <c r="T8" s="20"/>
      <c r="U8" s="20"/>
      <c r="V8" s="20"/>
      <c r="W8" s="20"/>
    </row>
    <row r="9" ht="30.0" hidden="1" customHeight="1">
      <c r="A9" s="17"/>
      <c r="B9" s="61"/>
      <c r="C9" s="672" t="s">
        <v>136</v>
      </c>
      <c r="D9" s="673"/>
      <c r="E9" s="37"/>
      <c r="F9" s="176">
        <v>3.0</v>
      </c>
      <c r="G9" s="176">
        <v>2.0</v>
      </c>
      <c r="H9" s="176">
        <v>1.0</v>
      </c>
      <c r="I9" s="673"/>
      <c r="J9" s="673"/>
      <c r="K9" s="674"/>
      <c r="L9" s="20"/>
      <c r="M9" s="13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30.0" hidden="1" customHeight="1">
      <c r="A10" s="17"/>
      <c r="B10" s="61"/>
      <c r="C10" s="672"/>
      <c r="D10" s="673"/>
      <c r="E10" s="48"/>
      <c r="F10" s="186">
        <v>3.0</v>
      </c>
      <c r="G10" s="186">
        <v>2.0</v>
      </c>
      <c r="H10" s="186">
        <v>1.0</v>
      </c>
      <c r="I10" s="673"/>
      <c r="J10" s="677"/>
      <c r="K10" s="678"/>
      <c r="L10" s="17"/>
      <c r="M10" s="115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30.0" customHeight="1">
      <c r="A11" s="17"/>
      <c r="B11" s="52"/>
      <c r="C11" s="184" t="s">
        <v>19</v>
      </c>
      <c r="D11" s="185"/>
      <c r="E11" s="54"/>
      <c r="F11" s="186"/>
      <c r="G11" s="186"/>
      <c r="H11" s="186"/>
      <c r="I11" s="283"/>
      <c r="J11" s="702">
        <v>500.0</v>
      </c>
      <c r="K11" s="189"/>
      <c r="L11" s="193"/>
      <c r="M11" s="19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30.0" customHeight="1">
      <c r="A12" s="17"/>
      <c r="B12" s="52"/>
      <c r="C12" s="194" t="s">
        <v>20</v>
      </c>
      <c r="D12" s="185" t="s">
        <v>81</v>
      </c>
      <c r="E12" s="54"/>
      <c r="F12" s="186"/>
      <c r="G12" s="186"/>
      <c r="H12" s="186"/>
      <c r="I12" s="56"/>
      <c r="J12" s="196" t="s">
        <v>9</v>
      </c>
      <c r="K12" s="197"/>
      <c r="L12" s="193"/>
      <c r="M12" s="19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30.0" customHeight="1">
      <c r="A13" s="17"/>
      <c r="B13" s="52"/>
      <c r="C13" s="198"/>
      <c r="D13" s="185" t="s">
        <v>11</v>
      </c>
      <c r="E13" s="54"/>
      <c r="F13" s="186"/>
      <c r="G13" s="186"/>
      <c r="H13" s="186"/>
      <c r="I13" s="56"/>
      <c r="J13" s="56"/>
      <c r="K13" s="285"/>
      <c r="L13" s="17"/>
      <c r="M13" s="120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ht="30.0" customHeight="1">
      <c r="A14" s="17"/>
      <c r="B14" s="52"/>
      <c r="C14" s="198"/>
      <c r="D14" s="185" t="s">
        <v>10</v>
      </c>
      <c r="E14" s="17"/>
      <c r="F14" s="186"/>
      <c r="G14" s="186"/>
      <c r="H14" s="186"/>
      <c r="I14" s="56"/>
      <c r="J14" s="56"/>
      <c r="K14" s="58"/>
      <c r="L14" s="17"/>
      <c r="M14" s="99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30.0" customHeight="1">
      <c r="A15" s="17"/>
      <c r="B15" s="52"/>
      <c r="C15" s="198"/>
      <c r="D15" s="185" t="s">
        <v>9</v>
      </c>
      <c r="E15" s="185"/>
      <c r="F15" s="186"/>
      <c r="G15" s="186"/>
      <c r="H15" s="186"/>
      <c r="I15" s="56"/>
      <c r="J15" s="56"/>
      <c r="K15" s="58"/>
      <c r="L15" s="17"/>
      <c r="M15" s="99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ht="30.0" customHeight="1">
      <c r="A16" s="17"/>
      <c r="B16" s="52"/>
      <c r="C16" s="198"/>
      <c r="D16" s="185" t="s">
        <v>21</v>
      </c>
      <c r="E16" s="63">
        <v>1.24</v>
      </c>
      <c r="F16" s="186"/>
      <c r="G16" s="203">
        <v>1.25</v>
      </c>
      <c r="H16" s="203">
        <v>1.32</v>
      </c>
      <c r="I16" s="56"/>
      <c r="J16" s="56"/>
      <c r="K16" s="58"/>
      <c r="L16" s="17"/>
      <c r="M16" s="602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67">
        <f>460.215053763441*E16</f>
        <v>570.6666667</v>
      </c>
      <c r="G17" s="67">
        <f>F17/$G$16</f>
        <v>456.5333333</v>
      </c>
      <c r="H17" s="67">
        <f>F17/$H$16</f>
        <v>432.3232323</v>
      </c>
      <c r="I17" s="68"/>
      <c r="J17" s="717"/>
      <c r="K17" s="70">
        <f>IF(J12="2010-2013",J11*H17,IF(J12="2014-2021",J11*G17,IF(J12="2021-2023",J11*F17,-2)))</f>
        <v>285333.3333</v>
      </c>
      <c r="L17" s="207" t="s">
        <v>23</v>
      </c>
      <c r="M17" s="73">
        <f t="shared" ref="M17:M18" si="1">IF(L17="Delapidated",K17*0.6,IF(L17="Poor",K17*0.7,IF(L17="Fair",K17*0.8,IF(L17="Good",K17*0.85,IF(L17="Very Good",K17*0.9,IF(L17="Excellent",K17*1,IF(L17="Not Applicable",K17*1,0)))))))</f>
        <v>285333.3333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ht="30.0" customHeight="1">
      <c r="A18" s="34"/>
      <c r="B18" s="83">
        <f>B17+1</f>
        <v>2</v>
      </c>
      <c r="C18" s="208" t="s">
        <v>24</v>
      </c>
      <c r="D18" s="66"/>
      <c r="E18" s="66"/>
      <c r="F18" s="209"/>
      <c r="G18" s="67"/>
      <c r="H18" s="67"/>
      <c r="I18" s="68"/>
      <c r="J18" s="72" t="s">
        <v>25</v>
      </c>
      <c r="K18" s="70">
        <f>IF(J18="YES",IF(J12="2010-2013",H19*$J$11,IF(J12="2014-2021",G19*$J$11,IF(J12="2021-2023",F19*$J$11,0))),0)</f>
        <v>464116.6667</v>
      </c>
      <c r="L18" s="207" t="s">
        <v>23</v>
      </c>
      <c r="M18" s="73">
        <f t="shared" si="1"/>
        <v>464116.6667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ht="30.0" hidden="1" customHeight="1">
      <c r="A19" s="34"/>
      <c r="B19" s="84"/>
      <c r="C19" s="79" t="s">
        <v>25</v>
      </c>
      <c r="D19" s="66"/>
      <c r="E19" s="66"/>
      <c r="F19" s="67">
        <f>748.575268817204*E16</f>
        <v>928.2333333</v>
      </c>
      <c r="G19" s="67">
        <f t="shared" ref="G19:G20" si="2">F19/$G$16</f>
        <v>742.5866667</v>
      </c>
      <c r="H19" s="67">
        <f t="shared" ref="H19:H20" si="3">F19/$H$16</f>
        <v>703.2070707</v>
      </c>
      <c r="I19" s="77">
        <v>1.0</v>
      </c>
      <c r="J19" s="68"/>
      <c r="K19" s="70"/>
      <c r="L19" s="34"/>
      <c r="M19" s="402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ht="30.0" hidden="1" customHeight="1">
      <c r="A20" s="34"/>
      <c r="B20" s="85"/>
      <c r="C20" s="79" t="s">
        <v>26</v>
      </c>
      <c r="D20" s="66"/>
      <c r="E20" s="66"/>
      <c r="F20" s="67">
        <v>0.0</v>
      </c>
      <c r="G20" s="67">
        <f t="shared" si="2"/>
        <v>0</v>
      </c>
      <c r="H20" s="67">
        <f t="shared" si="3"/>
        <v>0</v>
      </c>
      <c r="I20" s="77">
        <v>2.0</v>
      </c>
      <c r="J20" s="68"/>
      <c r="K20" s="70"/>
      <c r="L20" s="34"/>
      <c r="M20" s="402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ht="30.0" customHeight="1">
      <c r="A21" s="34"/>
      <c r="B21" s="83">
        <f>B18+1</f>
        <v>3</v>
      </c>
      <c r="C21" s="208" t="s">
        <v>83</v>
      </c>
      <c r="D21" s="66"/>
      <c r="E21" s="66"/>
      <c r="F21" s="67"/>
      <c r="G21" s="67"/>
      <c r="H21" s="67"/>
      <c r="I21" s="68"/>
      <c r="J21" s="72" t="s">
        <v>28</v>
      </c>
      <c r="K21" s="70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406716.8333</v>
      </c>
      <c r="L21" s="207" t="s">
        <v>23</v>
      </c>
      <c r="M21" s="73">
        <f>IF(L21="Delapidated",K21*0.6,IF(L21="Poor",K21*0.7,IF(L21="Fair",K21*0.8,IF(L21="Good",K21*0.85,IF(L21="Very Good",K21*0.9,IF(L21="Excellent",K21*1,IF(L21="Not Applicable",K21*1,0)))))))</f>
        <v>406716.8333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ht="30.0" hidden="1" customHeight="1">
      <c r="A22" s="34"/>
      <c r="B22" s="84"/>
      <c r="C22" s="79" t="s">
        <v>28</v>
      </c>
      <c r="D22" s="66"/>
      <c r="E22" s="66"/>
      <c r="F22" s="67">
        <f>655.994892473119*E16</f>
        <v>813.4336667</v>
      </c>
      <c r="G22" s="67">
        <f t="shared" ref="G22:G25" si="4">F22/$G$16</f>
        <v>650.7469333</v>
      </c>
      <c r="H22" s="67">
        <f t="shared" ref="H22:H25" si="5">F22/$H$16</f>
        <v>616.2376263</v>
      </c>
      <c r="I22" s="77">
        <v>1.0</v>
      </c>
      <c r="J22" s="68"/>
      <c r="K22" s="70"/>
      <c r="L22" s="34"/>
      <c r="M22" s="73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ht="30.0" hidden="1" customHeight="1">
      <c r="A23" s="34"/>
      <c r="B23" s="84"/>
      <c r="C23" s="79" t="s">
        <v>29</v>
      </c>
      <c r="D23" s="66"/>
      <c r="E23" s="66"/>
      <c r="F23" s="67">
        <f>F22*0.8</f>
        <v>650.7469333</v>
      </c>
      <c r="G23" s="67">
        <f t="shared" si="4"/>
        <v>520.5975467</v>
      </c>
      <c r="H23" s="67">
        <f t="shared" si="5"/>
        <v>492.990101</v>
      </c>
      <c r="I23" s="77">
        <v>2.0</v>
      </c>
      <c r="J23" s="68"/>
      <c r="K23" s="70"/>
      <c r="L23" s="34"/>
      <c r="M23" s="73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ht="30.0" hidden="1" customHeight="1">
      <c r="A24" s="34"/>
      <c r="B24" s="84"/>
      <c r="C24" s="79" t="s">
        <v>30</v>
      </c>
      <c r="D24" s="66"/>
      <c r="E24" s="66"/>
      <c r="F24" s="67">
        <f>F22*1.3</f>
        <v>1057.463767</v>
      </c>
      <c r="G24" s="67">
        <f t="shared" si="4"/>
        <v>845.9710133</v>
      </c>
      <c r="H24" s="67">
        <f t="shared" si="5"/>
        <v>801.1089141</v>
      </c>
      <c r="I24" s="77">
        <v>3.0</v>
      </c>
      <c r="J24" s="68"/>
      <c r="K24" s="70"/>
      <c r="L24" s="34"/>
      <c r="M24" s="73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ht="30.0" hidden="1" customHeight="1">
      <c r="A25" s="34"/>
      <c r="B25" s="85"/>
      <c r="C25" s="79" t="s">
        <v>31</v>
      </c>
      <c r="D25" s="66"/>
      <c r="E25" s="66"/>
      <c r="F25" s="67">
        <v>0.0</v>
      </c>
      <c r="G25" s="67">
        <f t="shared" si="4"/>
        <v>0</v>
      </c>
      <c r="H25" s="67">
        <f t="shared" si="5"/>
        <v>0</v>
      </c>
      <c r="I25" s="77">
        <v>4.0</v>
      </c>
      <c r="J25" s="68"/>
      <c r="K25" s="70"/>
      <c r="L25" s="34"/>
      <c r="M25" s="402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ht="30.0" customHeight="1">
      <c r="A26" s="34"/>
      <c r="B26" s="83">
        <f>B21+1</f>
        <v>4</v>
      </c>
      <c r="C26" s="208" t="s">
        <v>127</v>
      </c>
      <c r="D26" s="66"/>
      <c r="E26" s="66"/>
      <c r="F26" s="67"/>
      <c r="G26" s="67"/>
      <c r="H26" s="67"/>
      <c r="I26" s="68"/>
      <c r="J26" s="72" t="s">
        <v>33</v>
      </c>
      <c r="K26" s="70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80600</v>
      </c>
      <c r="L26" s="207" t="s">
        <v>23</v>
      </c>
      <c r="M26" s="73">
        <f>IF(L26="Delapidated",K26*0.6,IF(L26="Poor",K26*0.7,IF(L26="Fair",K26*0.8,IF(L26="Good",K26*0.85,IF(L26="Very Good",K26*0.9,IF(L26="Excellent",K26*1,IF(L26="Not Applicable",K26*1,0)))))))</f>
        <v>80600</v>
      </c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ht="30.0" customHeight="1">
      <c r="A27" s="34"/>
      <c r="B27" s="84"/>
      <c r="C27" s="79" t="s">
        <v>33</v>
      </c>
      <c r="D27" s="66"/>
      <c r="E27" s="66"/>
      <c r="F27" s="67">
        <f>130*E16</f>
        <v>161.2</v>
      </c>
      <c r="G27" s="67">
        <f t="shared" ref="G27:G30" si="6">F27/$G$16</f>
        <v>128.96</v>
      </c>
      <c r="H27" s="67">
        <f t="shared" ref="H27:H30" si="7">F27/$H$16</f>
        <v>122.1212121</v>
      </c>
      <c r="I27" s="77">
        <v>1.0</v>
      </c>
      <c r="J27" s="68"/>
      <c r="K27" s="70"/>
      <c r="L27" s="34"/>
      <c r="M27" s="73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ht="30.0" customHeight="1">
      <c r="A28" s="34"/>
      <c r="B28" s="84"/>
      <c r="C28" s="79" t="s">
        <v>34</v>
      </c>
      <c r="D28" s="66"/>
      <c r="E28" s="66"/>
      <c r="F28" s="67">
        <f>F27*1.6</f>
        <v>257.92</v>
      </c>
      <c r="G28" s="67">
        <f t="shared" si="6"/>
        <v>206.336</v>
      </c>
      <c r="H28" s="67">
        <f t="shared" si="7"/>
        <v>195.3939394</v>
      </c>
      <c r="I28" s="77">
        <v>2.0</v>
      </c>
      <c r="J28" s="68"/>
      <c r="K28" s="70"/>
      <c r="L28" s="34"/>
      <c r="M28" s="73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ht="30.0" customHeight="1">
      <c r="A29" s="34"/>
      <c r="B29" s="84"/>
      <c r="C29" s="79" t="s">
        <v>35</v>
      </c>
      <c r="D29" s="66"/>
      <c r="E29" s="66"/>
      <c r="F29" s="67">
        <f>F27*0.6</f>
        <v>96.72</v>
      </c>
      <c r="G29" s="67">
        <f t="shared" si="6"/>
        <v>77.376</v>
      </c>
      <c r="H29" s="67">
        <f t="shared" si="7"/>
        <v>73.27272727</v>
      </c>
      <c r="I29" s="77">
        <v>3.0</v>
      </c>
      <c r="J29" s="68"/>
      <c r="K29" s="70"/>
      <c r="L29" s="34"/>
      <c r="M29" s="73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ht="30.0" customHeight="1">
      <c r="A30" s="34"/>
      <c r="B30" s="85"/>
      <c r="C30" s="79" t="s">
        <v>36</v>
      </c>
      <c r="D30" s="66"/>
      <c r="E30" s="66"/>
      <c r="F30" s="67">
        <v>0.0</v>
      </c>
      <c r="G30" s="67">
        <f t="shared" si="6"/>
        <v>0</v>
      </c>
      <c r="H30" s="67">
        <f t="shared" si="7"/>
        <v>0</v>
      </c>
      <c r="I30" s="77">
        <v>4.0</v>
      </c>
      <c r="J30" s="68"/>
      <c r="K30" s="70"/>
      <c r="L30" s="34"/>
      <c r="M30" s="402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ht="30.0" customHeight="1">
      <c r="A31" s="34"/>
      <c r="B31" s="44">
        <f>B26+1</f>
        <v>5</v>
      </c>
      <c r="C31" s="74" t="s">
        <v>37</v>
      </c>
      <c r="D31" s="66"/>
      <c r="E31" s="66"/>
      <c r="F31" s="67"/>
      <c r="G31" s="67"/>
      <c r="H31" s="67"/>
      <c r="I31" s="77"/>
      <c r="J31" s="72" t="s">
        <v>38</v>
      </c>
      <c r="K31" s="70">
        <f>IF(J31="TIMBER ROOF TRUSSES",IF(J12="2010-2013",H32*$J$11,IF(J12="2014-2021",G32*$J$11,IF(J12="2021-2023",F32*$J$11,0))),IF(J31="STRUCTURAL STEEL TRUSSES",IF(J12="2010-2013",H33*$J$11,IF(J12="2014-2021",G33*$J$11,IF(J12="2021-2023",F33*$J$11,0))),0))</f>
        <v>217000</v>
      </c>
      <c r="L31" s="72" t="s">
        <v>87</v>
      </c>
      <c r="M31" s="211">
        <f>IF(L31="Delapidated",K31*0.6,IF(L31="Poor",K31*0.7,IF(L31="Fair",K31*0.8,IF(L31="Good",K31*0.85,IF(L31="Very Good",K31*0.9,IF(L31="Excellent",K31*1,IF(L31="Not Applicable",K31*1,0)))))))</f>
        <v>130200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ht="30.0" customHeight="1">
      <c r="A32" s="34"/>
      <c r="B32" s="44"/>
      <c r="C32" s="79" t="s">
        <v>38</v>
      </c>
      <c r="D32" s="66"/>
      <c r="E32" s="66"/>
      <c r="F32" s="67">
        <f>350*E16</f>
        <v>434</v>
      </c>
      <c r="G32" s="67">
        <f t="shared" ref="G32:G33" si="8">F32/$G$16</f>
        <v>347.2</v>
      </c>
      <c r="H32" s="67">
        <f t="shared" ref="H32:H34" si="9">F32/$E$16</f>
        <v>350</v>
      </c>
      <c r="I32" s="77"/>
      <c r="J32" s="68"/>
      <c r="K32" s="70"/>
      <c r="L32" s="34"/>
      <c r="M32" s="402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 ht="30.0" customHeight="1">
      <c r="A33" s="34"/>
      <c r="B33" s="44"/>
      <c r="C33" s="79" t="s">
        <v>137</v>
      </c>
      <c r="D33" s="66"/>
      <c r="E33" s="66"/>
      <c r="F33" s="67">
        <f>1100*E16</f>
        <v>1364</v>
      </c>
      <c r="G33" s="67">
        <f t="shared" si="8"/>
        <v>1091.2</v>
      </c>
      <c r="H33" s="67">
        <f t="shared" si="9"/>
        <v>1100</v>
      </c>
      <c r="I33" s="77"/>
      <c r="J33" s="68"/>
      <c r="K33" s="70"/>
      <c r="L33" s="34"/>
      <c r="M33" s="402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 ht="30.0" customHeight="1">
      <c r="A34" s="34"/>
      <c r="B34" s="44"/>
      <c r="C34" s="79" t="s">
        <v>41</v>
      </c>
      <c r="D34" s="66"/>
      <c r="E34" s="66"/>
      <c r="F34" s="67">
        <v>0.0</v>
      </c>
      <c r="G34" s="67">
        <v>0.0</v>
      </c>
      <c r="H34" s="67">
        <f t="shared" si="9"/>
        <v>0</v>
      </c>
      <c r="I34" s="77"/>
      <c r="J34" s="68"/>
      <c r="K34" s="70"/>
      <c r="L34" s="34"/>
      <c r="M34" s="402"/>
      <c r="N34" s="34"/>
      <c r="O34" s="34"/>
      <c r="P34" s="34"/>
      <c r="Q34" s="34"/>
      <c r="R34" s="34"/>
      <c r="S34" s="34"/>
      <c r="T34" s="34"/>
      <c r="U34" s="34"/>
      <c r="V34" s="34"/>
      <c r="W34" s="34"/>
    </row>
    <row r="35" ht="30.0" customHeight="1">
      <c r="A35" s="34"/>
      <c r="B35" s="83">
        <v>6.0</v>
      </c>
      <c r="C35" s="208" t="s">
        <v>119</v>
      </c>
      <c r="D35" s="66"/>
      <c r="E35" s="66"/>
      <c r="F35" s="67"/>
      <c r="G35" s="67"/>
      <c r="H35" s="67"/>
      <c r="I35" s="68"/>
      <c r="J35" s="72" t="s">
        <v>25</v>
      </c>
      <c r="K35" s="70">
        <f>IF(J35="YES",IF(J12="2010-2013",H36*$J$11,IF(J12="2014-2021",G36*$J$11,IF(J12="2021-2023",F36*$J$11,0))),0)</f>
        <v>23183.5331</v>
      </c>
      <c r="L35" s="207" t="s">
        <v>23</v>
      </c>
      <c r="M35" s="73">
        <f>IF(L35="Delapidated",K35*0.6,IF(L35="Poor",K35*0.7,IF(L35="Fair",K35*0.8,IF(L35="Good",K35*0.85,IF(L35="Very Good",K35*0.9,IF(L35="Excellent",K35*1,IF(L35="Not Applicable",K35*1,0)))))))</f>
        <v>23183.5331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ht="30.0" hidden="1" customHeight="1">
      <c r="A36" s="34"/>
      <c r="B36" s="84"/>
      <c r="C36" s="79" t="s">
        <v>25</v>
      </c>
      <c r="D36" s="66"/>
      <c r="E36" s="66"/>
      <c r="F36" s="67">
        <f>433.791129032257*8.62%*E16</f>
        <v>46.3670662</v>
      </c>
      <c r="G36" s="67">
        <f t="shared" ref="G36:G37" si="10">F36/$G$16</f>
        <v>37.09365296</v>
      </c>
      <c r="H36" s="67">
        <f t="shared" ref="H36:H37" si="11">F36/$H$16</f>
        <v>35.1265653</v>
      </c>
      <c r="I36" s="77">
        <v>1.0</v>
      </c>
      <c r="J36" s="68"/>
      <c r="K36" s="70"/>
      <c r="L36" s="34"/>
      <c r="M36" s="73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ht="30.0" hidden="1" customHeight="1">
      <c r="A37" s="34"/>
      <c r="B37" s="85"/>
      <c r="C37" s="79" t="s">
        <v>26</v>
      </c>
      <c r="D37" s="66"/>
      <c r="E37" s="66"/>
      <c r="F37" s="67">
        <v>0.0</v>
      </c>
      <c r="G37" s="67">
        <f t="shared" si="10"/>
        <v>0</v>
      </c>
      <c r="H37" s="67">
        <f t="shared" si="11"/>
        <v>0</v>
      </c>
      <c r="I37" s="77">
        <v>2.0</v>
      </c>
      <c r="J37" s="68"/>
      <c r="K37" s="70"/>
      <c r="L37" s="34"/>
      <c r="M37" s="402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ht="30.0" customHeight="1">
      <c r="A38" s="34"/>
      <c r="B38" s="83">
        <f>B35+1</f>
        <v>7</v>
      </c>
      <c r="C38" s="208" t="s">
        <v>45</v>
      </c>
      <c r="D38" s="66"/>
      <c r="E38" s="66"/>
      <c r="F38" s="67"/>
      <c r="G38" s="67"/>
      <c r="H38" s="67"/>
      <c r="I38" s="68"/>
      <c r="J38" s="72" t="s">
        <v>25</v>
      </c>
      <c r="K38" s="70">
        <f>IF(J38="YES",IF(J12="2010-2013",H39*$J$11,IF(J12="2014-2021",G39*$J$11,IF(J12="2021-2023",F39*$J$11,0))),0)</f>
        <v>199399.9007</v>
      </c>
      <c r="L38" s="207" t="s">
        <v>23</v>
      </c>
      <c r="M38" s="73">
        <f>IF(L38="Delapidated",K38*0.6,IF(L38="Poor",K38*0.7,IF(L38="Fair",K38*0.8,IF(L38="Good",K38*0.85,IF(L38="Very Good",K38*0.9,IF(L38="Excellent",K38*1,IF(L38="Not Applicable",K38*1,0)))))))</f>
        <v>199399.9007</v>
      </c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ht="30.0" hidden="1" customHeight="1">
      <c r="A39" s="34"/>
      <c r="B39" s="84"/>
      <c r="C39" s="79" t="s">
        <v>25</v>
      </c>
      <c r="D39" s="66"/>
      <c r="E39" s="66"/>
      <c r="F39" s="67">
        <f>433.791129032257*74.14%*E16</f>
        <v>398.7998014</v>
      </c>
      <c r="G39" s="67">
        <f t="shared" ref="G39:G40" si="12">F39/$G$16</f>
        <v>319.0398411</v>
      </c>
      <c r="H39" s="67">
        <f t="shared" ref="H39:H40" si="13">F39/$H$16</f>
        <v>302.1210617</v>
      </c>
      <c r="I39" s="77">
        <v>1.0</v>
      </c>
      <c r="J39" s="68"/>
      <c r="K39" s="70"/>
      <c r="L39" s="34"/>
      <c r="M39" s="402"/>
      <c r="N39" s="34"/>
      <c r="O39" s="34"/>
      <c r="P39" s="34"/>
      <c r="Q39" s="34"/>
      <c r="R39" s="34"/>
      <c r="S39" s="34"/>
      <c r="T39" s="34"/>
      <c r="U39" s="34"/>
      <c r="V39" s="34"/>
      <c r="W39" s="34"/>
    </row>
    <row r="40" ht="30.0" hidden="1" customHeight="1">
      <c r="A40" s="34"/>
      <c r="B40" s="85"/>
      <c r="C40" s="79" t="s">
        <v>26</v>
      </c>
      <c r="D40" s="66"/>
      <c r="E40" s="66"/>
      <c r="F40" s="67">
        <v>0.0</v>
      </c>
      <c r="G40" s="67">
        <f t="shared" si="12"/>
        <v>0</v>
      </c>
      <c r="H40" s="67">
        <f t="shared" si="13"/>
        <v>0</v>
      </c>
      <c r="I40" s="77">
        <v>2.0</v>
      </c>
      <c r="J40" s="68"/>
      <c r="K40" s="70"/>
      <c r="L40" s="34"/>
      <c r="M40" s="402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ht="30.0" customHeight="1">
      <c r="A41" s="34"/>
      <c r="B41" s="44"/>
      <c r="C41" s="214" t="s">
        <v>48</v>
      </c>
      <c r="D41" s="66"/>
      <c r="E41" s="66"/>
      <c r="F41" s="67"/>
      <c r="G41" s="67"/>
      <c r="H41" s="67"/>
      <c r="I41" s="77"/>
      <c r="J41" s="379">
        <v>20.0</v>
      </c>
      <c r="K41" s="189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ht="30.0" customHeight="1">
      <c r="A42" s="34"/>
      <c r="B42" s="83">
        <f>B38+1</f>
        <v>8</v>
      </c>
      <c r="C42" s="208" t="s">
        <v>49</v>
      </c>
      <c r="D42" s="66"/>
      <c r="E42" s="66"/>
      <c r="F42" s="67"/>
      <c r="G42" s="67"/>
      <c r="H42" s="67"/>
      <c r="I42" s="68"/>
      <c r="J42" s="72" t="s">
        <v>25</v>
      </c>
      <c r="K42" s="70">
        <f>IF(J42="YES",IF($J$12="2010-2013",H43*J41,IF(J12="2014-2021",G43*J41,IF(J12="2021-2023",F43*J41,0))),0)</f>
        <v>80000</v>
      </c>
      <c r="L42" s="207" t="s">
        <v>23</v>
      </c>
      <c r="M42" s="73">
        <f>IF(L42="Delapidated",K42*0.6,IF(L42="Poor",K42*0.7,IF(L42="Fair",K42*0.8,IF(L42="Good",K42*0.85,IF(L42="Very Good",K42*0.9,IF(L42="Excellent",K42*1,IF(L42="Not Applicable",K42*1,0)))))))</f>
        <v>80000</v>
      </c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ht="30.0" hidden="1" customHeight="1">
      <c r="A43" s="34"/>
      <c r="B43" s="84"/>
      <c r="C43" s="79" t="s">
        <v>25</v>
      </c>
      <c r="D43" s="66"/>
      <c r="E43" s="66"/>
      <c r="F43" s="67">
        <v>4000.0</v>
      </c>
      <c r="G43" s="67">
        <f t="shared" ref="G43:G44" si="14">F43/$G$16</f>
        <v>3200</v>
      </c>
      <c r="H43" s="67">
        <f t="shared" ref="H43:H44" si="15">F43/$H$16</f>
        <v>3030.30303</v>
      </c>
      <c r="I43" s="77">
        <v>1.0</v>
      </c>
      <c r="J43" s="68"/>
      <c r="K43" s="70"/>
      <c r="L43" s="34"/>
      <c r="M43" s="73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ht="30.0" hidden="1" customHeight="1">
      <c r="A44" s="34"/>
      <c r="B44" s="85"/>
      <c r="C44" s="79" t="s">
        <v>26</v>
      </c>
      <c r="D44" s="66"/>
      <c r="E44" s="66"/>
      <c r="F44" s="67">
        <v>0.0</v>
      </c>
      <c r="G44" s="67">
        <f t="shared" si="14"/>
        <v>0</v>
      </c>
      <c r="H44" s="67">
        <f t="shared" si="15"/>
        <v>0</v>
      </c>
      <c r="I44" s="77">
        <v>2.0</v>
      </c>
      <c r="J44" s="68"/>
      <c r="K44" s="70"/>
      <c r="L44" s="34"/>
      <c r="M44" s="402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ht="30.0" customHeight="1">
      <c r="A45" s="34"/>
      <c r="B45" s="83">
        <f>B42+1</f>
        <v>9</v>
      </c>
      <c r="C45" s="208" t="s">
        <v>50</v>
      </c>
      <c r="D45" s="66"/>
      <c r="E45" s="66"/>
      <c r="F45" s="67"/>
      <c r="G45" s="67"/>
      <c r="H45" s="67"/>
      <c r="I45" s="68"/>
      <c r="J45" s="72" t="s">
        <v>25</v>
      </c>
      <c r="K45" s="70">
        <f>IF(J45="YES",IF(J12="2010-2013",H46*$J$11,IF(J12="2014-2021",G46*$J$11,IF(J12="2021-2023",F46*$J$11,0))),0)</f>
        <v>101516.6667</v>
      </c>
      <c r="L45" s="207" t="s">
        <v>23</v>
      </c>
      <c r="M45" s="73">
        <f>IF(L45="Delapidated",K45*0.6,IF(L45="Poor",K45*0.7,IF(L45="Fair",K45*0.8,IF(L45="Good",K45*0.85,IF(L45="Very Good",K45*0.9,IF(L45="Excellent",K45*1,IF(L45="Not Applicable",K45*1,0)))))))</f>
        <v>101516.6667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ht="30.0" hidden="1" customHeight="1">
      <c r="A46" s="34"/>
      <c r="B46" s="84"/>
      <c r="C46" s="79" t="s">
        <v>25</v>
      </c>
      <c r="D46" s="66"/>
      <c r="E46" s="66"/>
      <c r="F46" s="67">
        <f>163.736559139785*E16</f>
        <v>203.0333333</v>
      </c>
      <c r="G46" s="67">
        <f t="shared" ref="G46:G47" si="16">F46/$G$16</f>
        <v>162.4266667</v>
      </c>
      <c r="H46" s="67">
        <f t="shared" ref="H46:H47" si="17">F46/$H$16</f>
        <v>153.8131313</v>
      </c>
      <c r="I46" s="77">
        <v>1.0</v>
      </c>
      <c r="J46" s="68"/>
      <c r="K46" s="70"/>
      <c r="L46" s="34"/>
      <c r="M46" s="73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ht="30.0" hidden="1" customHeight="1">
      <c r="A47" s="34"/>
      <c r="B47" s="85"/>
      <c r="C47" s="79" t="s">
        <v>26</v>
      </c>
      <c r="D47" s="66"/>
      <c r="E47" s="66"/>
      <c r="F47" s="67">
        <v>0.0</v>
      </c>
      <c r="G47" s="67">
        <f t="shared" si="16"/>
        <v>0</v>
      </c>
      <c r="H47" s="67">
        <f t="shared" si="17"/>
        <v>0</v>
      </c>
      <c r="I47" s="77">
        <v>2.0</v>
      </c>
      <c r="J47" s="68"/>
      <c r="K47" s="70"/>
      <c r="L47" s="34"/>
      <c r="M47" s="402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ht="30.0" customHeight="1">
      <c r="A48" s="34"/>
      <c r="B48" s="83">
        <v>10.0</v>
      </c>
      <c r="C48" s="92" t="s">
        <v>51</v>
      </c>
      <c r="D48" s="66"/>
      <c r="E48" s="66"/>
      <c r="F48" s="67"/>
      <c r="G48" s="67"/>
      <c r="H48" s="67"/>
      <c r="I48" s="77"/>
      <c r="J48" s="72" t="s">
        <v>52</v>
      </c>
      <c r="K48" s="70">
        <f>IF(J48="VINYL FLOORING",IF(J12="2010-2013",H49*$J$11,IF(J12="2014-2021",G49*$J$11,IF(J12="2021-2023",F49*$J$11,0))),IF(J48="TILING FLOORING",IF(J12="2010-2013",H50*$J$11,IF(J12="2014-2021",G50*$J$11,IF(J12="2021-2023",F50*$J$11,0))),IF(J48="TIMBER FLOORING",IF(J12="2010-2013",H51*$J$11,IF(J12="2014-2021",G51*$J$11,IF(J12="2021-2023",F51*$J$11,0))),IF(J48="CARPETS FLOORING",IF(J12="2010-2013",H52*$J$11,IF(J12="2014-2021",G52*$J$11,IF(J12="2021-2023",F52*$J$11,0))),0))))</f>
        <v>156640</v>
      </c>
      <c r="L48" s="207" t="s">
        <v>23</v>
      </c>
      <c r="M48" s="73">
        <f>IF(L48="Delapidated",K48*0.6,IF(L48="Poor",K48*0.7,IF(L48="Fair",K48*0.8,IF(L48="Good",K48*0.85,IF(L48="Very Good",K48*0.9,IF(L48="Excellent",K48*1,IF(L48="Not Applicable",K48*1,0)))))))</f>
        <v>156640</v>
      </c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ht="30.0" hidden="1" customHeight="1">
      <c r="A49" s="34"/>
      <c r="B49" s="84"/>
      <c r="C49" s="79" t="s">
        <v>53</v>
      </c>
      <c r="D49" s="66"/>
      <c r="E49" s="66"/>
      <c r="F49" s="67">
        <f>F50*0.7</f>
        <v>219.296</v>
      </c>
      <c r="G49" s="67">
        <f t="shared" ref="G49:G53" si="18">F49/$G$16</f>
        <v>175.4368</v>
      </c>
      <c r="H49" s="67">
        <f t="shared" ref="H49:H53" si="19">F49/$H$16</f>
        <v>166.1333333</v>
      </c>
      <c r="I49" s="77">
        <v>1.0</v>
      </c>
      <c r="J49" s="68"/>
      <c r="K49" s="70"/>
      <c r="L49" s="34"/>
      <c r="M49" s="73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ht="30.0" hidden="1" customHeight="1">
      <c r="A50" s="34"/>
      <c r="B50" s="84"/>
      <c r="C50" s="79" t="s">
        <v>52</v>
      </c>
      <c r="D50" s="66"/>
      <c r="E50" s="66"/>
      <c r="F50" s="67">
        <f>315.806451612903*0.8*E16</f>
        <v>313.28</v>
      </c>
      <c r="G50" s="67">
        <f t="shared" si="18"/>
        <v>250.624</v>
      </c>
      <c r="H50" s="67">
        <f t="shared" si="19"/>
        <v>237.3333333</v>
      </c>
      <c r="I50" s="77">
        <v>2.0</v>
      </c>
      <c r="J50" s="68"/>
      <c r="K50" s="70"/>
      <c r="L50" s="34"/>
      <c r="M50" s="73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ht="30.0" hidden="1" customHeight="1">
      <c r="A51" s="34"/>
      <c r="B51" s="84"/>
      <c r="C51" s="79" t="s">
        <v>145</v>
      </c>
      <c r="D51" s="66"/>
      <c r="E51" s="66"/>
      <c r="F51" s="67">
        <f>F50*1.2</f>
        <v>375.936</v>
      </c>
      <c r="G51" s="67">
        <f t="shared" si="18"/>
        <v>300.7488</v>
      </c>
      <c r="H51" s="67">
        <f t="shared" si="19"/>
        <v>284.8</v>
      </c>
      <c r="I51" s="77">
        <v>3.0</v>
      </c>
      <c r="J51" s="68"/>
      <c r="K51" s="70"/>
      <c r="L51" s="34"/>
      <c r="M51" s="73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ht="30.0" hidden="1" customHeight="1">
      <c r="A52" s="34"/>
      <c r="B52" s="84"/>
      <c r="C52" s="79" t="s">
        <v>55</v>
      </c>
      <c r="D52" s="66"/>
      <c r="E52" s="66"/>
      <c r="F52" s="67">
        <f>F50*1.3</f>
        <v>407.264</v>
      </c>
      <c r="G52" s="67">
        <f t="shared" si="18"/>
        <v>325.8112</v>
      </c>
      <c r="H52" s="67">
        <f t="shared" si="19"/>
        <v>308.5333333</v>
      </c>
      <c r="I52" s="77">
        <v>4.0</v>
      </c>
      <c r="J52" s="68"/>
      <c r="K52" s="70"/>
      <c r="L52" s="34"/>
      <c r="M52" s="73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ht="30.0" hidden="1" customHeight="1">
      <c r="A53" s="34"/>
      <c r="B53" s="85"/>
      <c r="C53" s="79" t="s">
        <v>56</v>
      </c>
      <c r="D53" s="66"/>
      <c r="E53" s="66"/>
      <c r="F53" s="67">
        <v>0.0</v>
      </c>
      <c r="G53" s="67">
        <f t="shared" si="18"/>
        <v>0</v>
      </c>
      <c r="H53" s="67">
        <f t="shared" si="19"/>
        <v>0</v>
      </c>
      <c r="I53" s="77">
        <v>5.0</v>
      </c>
      <c r="J53" s="68"/>
      <c r="K53" s="70"/>
      <c r="L53" s="34"/>
      <c r="M53" s="402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ht="30.0" customHeight="1">
      <c r="A54" s="34"/>
      <c r="B54" s="83">
        <v>11.0</v>
      </c>
      <c r="C54" s="208" t="s">
        <v>57</v>
      </c>
      <c r="D54" s="66"/>
      <c r="E54" s="66"/>
      <c r="F54" s="67"/>
      <c r="G54" s="67"/>
      <c r="H54" s="67"/>
      <c r="I54" s="68"/>
      <c r="J54" s="72" t="s">
        <v>58</v>
      </c>
      <c r="K54" s="70">
        <f>IF(J54="STEEL WINDOW FRAMES",IF(J12="2010-2013",H55*$J$11,IF(J12="2014-2021",G55*$J$11,IF(J12="2021-2023",F55*$J$11,0))),IF(J54="ALUMINIUM WINDOW FRAMES",IF(J12="2010-2013",H56*$J$11,IF(J12="2014-2021",G56*$J$11,IF(J12="2021-2023",F56*$J$11,0))),0))</f>
        <v>195533.3333</v>
      </c>
      <c r="L54" s="207" t="s">
        <v>23</v>
      </c>
      <c r="M54" s="73">
        <f>IF(L54="Delapidated",K54*0.6,IF(L54="Poor",K54*0.7,IF(L54="Fair",K54*0.8,IF(L54="Good",K54*0.85,IF(L54="Very Good",K54*0.9,IF(L54="Excellent",K54*1,IF(L54="Not Applicable",K54*1,0)))))))</f>
        <v>195533.3333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ht="30.0" customHeight="1">
      <c r="A55" s="34"/>
      <c r="B55" s="84"/>
      <c r="C55" s="79" t="s">
        <v>59</v>
      </c>
      <c r="D55" s="66"/>
      <c r="E55" s="66"/>
      <c r="F55" s="93">
        <f>F56*0.3</f>
        <v>117.32</v>
      </c>
      <c r="G55" s="67">
        <f t="shared" ref="G55:G57" si="20">F55/$G$16</f>
        <v>93.856</v>
      </c>
      <c r="H55" s="67">
        <f t="shared" ref="H55:H57" si="21">F55/$H$16</f>
        <v>88.87878788</v>
      </c>
      <c r="I55" s="77">
        <v>1.0</v>
      </c>
      <c r="J55" s="68"/>
      <c r="K55" s="70"/>
      <c r="L55" s="34"/>
      <c r="M55" s="73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ht="30.0" customHeight="1">
      <c r="A56" s="34"/>
      <c r="B56" s="84"/>
      <c r="C56" s="79" t="s">
        <v>58</v>
      </c>
      <c r="D56" s="66"/>
      <c r="E56" s="66"/>
      <c r="F56" s="67">
        <f>315.376344086022*E16</f>
        <v>391.0666667</v>
      </c>
      <c r="G56" s="67">
        <f t="shared" si="20"/>
        <v>312.8533333</v>
      </c>
      <c r="H56" s="67">
        <f t="shared" si="21"/>
        <v>296.2626263</v>
      </c>
      <c r="I56" s="77">
        <v>2.0</v>
      </c>
      <c r="J56" s="68"/>
      <c r="K56" s="70"/>
      <c r="L56" s="34"/>
      <c r="M56" s="73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30.0" customHeight="1">
      <c r="A57" s="34"/>
      <c r="B57" s="85"/>
      <c r="C57" s="79" t="s">
        <v>60</v>
      </c>
      <c r="D57" s="66"/>
      <c r="E57" s="66"/>
      <c r="F57" s="67">
        <v>0.0</v>
      </c>
      <c r="G57" s="67">
        <f t="shared" si="20"/>
        <v>0</v>
      </c>
      <c r="H57" s="67">
        <f t="shared" si="21"/>
        <v>0</v>
      </c>
      <c r="I57" s="77">
        <v>3.0</v>
      </c>
      <c r="J57" s="68"/>
      <c r="K57" s="70"/>
      <c r="L57" s="34"/>
      <c r="M57" s="402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30.0" customHeight="1">
      <c r="A58" s="34"/>
      <c r="B58" s="83">
        <f>B54+1</f>
        <v>12</v>
      </c>
      <c r="C58" s="208" t="s">
        <v>61</v>
      </c>
      <c r="D58" s="66"/>
      <c r="E58" s="66"/>
      <c r="F58" s="67"/>
      <c r="G58" s="67"/>
      <c r="H58" s="67"/>
      <c r="I58" s="68"/>
      <c r="J58" s="72" t="s">
        <v>25</v>
      </c>
      <c r="K58" s="70">
        <f>IF(J58="YES",IF(J12="2010-2013",H59*$J$11,IF(J12="2014-2021",G59*$J$11,IF(J12="2021-2023",F59*$J$11,0))),0)</f>
        <v>181050</v>
      </c>
      <c r="L58" s="207" t="s">
        <v>23</v>
      </c>
      <c r="M58" s="73">
        <f>IF(L58="Delapidated",K58*0.6,IF(L58="Poor",K58*0.7,IF(L58="Fair",K58*0.8,IF(L58="Good",K58*0.85,IF(L58="Very Good",K58*0.9,IF(L58="Excellent",K58*1,IF(L58="Not Applicable",K58*1,0)))))))</f>
        <v>181050</v>
      </c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30.0" hidden="1" customHeight="1">
      <c r="A59" s="34"/>
      <c r="B59" s="84"/>
      <c r="C59" s="79" t="s">
        <v>25</v>
      </c>
      <c r="D59" s="66"/>
      <c r="E59" s="66"/>
      <c r="F59" s="67">
        <f>292.016129032258*E16</f>
        <v>362.1</v>
      </c>
      <c r="G59" s="67">
        <f t="shared" ref="G59:G60" si="22">F59/$G$16</f>
        <v>289.68</v>
      </c>
      <c r="H59" s="67">
        <f t="shared" ref="H59:H60" si="23">F59/$H$16</f>
        <v>274.3181818</v>
      </c>
      <c r="I59" s="77">
        <v>1.0</v>
      </c>
      <c r="J59" s="68"/>
      <c r="K59" s="70"/>
      <c r="L59" s="34"/>
      <c r="M59" s="73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30.0" hidden="1" customHeight="1">
      <c r="A60" s="34"/>
      <c r="B60" s="85"/>
      <c r="C60" s="79" t="s">
        <v>26</v>
      </c>
      <c r="D60" s="66"/>
      <c r="E60" s="66"/>
      <c r="F60" s="67">
        <v>0.0</v>
      </c>
      <c r="G60" s="67">
        <f t="shared" si="22"/>
        <v>0</v>
      </c>
      <c r="H60" s="67">
        <f t="shared" si="23"/>
        <v>0</v>
      </c>
      <c r="I60" s="77">
        <v>2.0</v>
      </c>
      <c r="J60" s="68"/>
      <c r="K60" s="70"/>
      <c r="L60" s="34"/>
      <c r="M60" s="402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ht="30.0" customHeight="1">
      <c r="A61" s="34"/>
      <c r="B61" s="83">
        <f>B58+1</f>
        <v>13</v>
      </c>
      <c r="C61" s="208" t="s">
        <v>62</v>
      </c>
      <c r="D61" s="66"/>
      <c r="E61" s="66"/>
      <c r="F61" s="67"/>
      <c r="G61" s="67"/>
      <c r="H61" s="67"/>
      <c r="I61" s="68"/>
      <c r="J61" s="72" t="s">
        <v>25</v>
      </c>
      <c r="K61" s="70">
        <f>IF(J61="YES",IF(J12="2010-2013",H62*$J$11,IF(J12="2014-2021",G62*$J$11,IF(J12="2021-2023",F62*$J$11,0))),0)</f>
        <v>39160</v>
      </c>
      <c r="L61" s="207" t="s">
        <v>23</v>
      </c>
      <c r="M61" s="73">
        <f>IF(L61="Delapidated",K61*0.6,IF(L61="Poor",K61*0.7,IF(L61="Fair",K61*0.8,IF(L61="Good",K61*0.85,IF(L61="Very Good",K61*0.9,IF(L61="Excellent",K61*1,IF(L61="Not Applicable",K61*1,0)))))))</f>
        <v>39160</v>
      </c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ht="30.0" hidden="1" customHeight="1">
      <c r="A62" s="34"/>
      <c r="B62" s="84"/>
      <c r="C62" s="79" t="s">
        <v>25</v>
      </c>
      <c r="D62" s="66"/>
      <c r="E62" s="66"/>
      <c r="F62" s="67">
        <f>315.806451612903*0.2*E16</f>
        <v>78.32</v>
      </c>
      <c r="G62" s="67">
        <f t="shared" ref="G62:G63" si="24">F62/$G$16</f>
        <v>62.656</v>
      </c>
      <c r="H62" s="67">
        <f t="shared" ref="H62:H63" si="25">F62/$H$16</f>
        <v>59.33333333</v>
      </c>
      <c r="I62" s="77">
        <v>1.0</v>
      </c>
      <c r="J62" s="68"/>
      <c r="K62" s="70"/>
      <c r="L62" s="34"/>
      <c r="M62" s="73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ht="30.0" hidden="1" customHeight="1">
      <c r="A63" s="34"/>
      <c r="B63" s="85"/>
      <c r="C63" s="79" t="s">
        <v>26</v>
      </c>
      <c r="D63" s="66"/>
      <c r="E63" s="66"/>
      <c r="F63" s="67">
        <v>0.0</v>
      </c>
      <c r="G63" s="67">
        <f t="shared" si="24"/>
        <v>0</v>
      </c>
      <c r="H63" s="67">
        <f t="shared" si="25"/>
        <v>0</v>
      </c>
      <c r="I63" s="77">
        <v>2.0</v>
      </c>
      <c r="J63" s="68"/>
      <c r="K63" s="70"/>
      <c r="L63" s="34"/>
      <c r="M63" s="402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ht="30.0" customHeight="1">
      <c r="A64" s="34"/>
      <c r="B64" s="44"/>
      <c r="C64" s="214" t="s">
        <v>63</v>
      </c>
      <c r="D64" s="66"/>
      <c r="E64" s="66"/>
      <c r="F64" s="67"/>
      <c r="G64" s="67"/>
      <c r="H64" s="67"/>
      <c r="I64" s="77"/>
      <c r="J64" s="379">
        <v>20.0</v>
      </c>
      <c r="K64" s="189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65" ht="30.0" customHeight="1">
      <c r="A65" s="34"/>
      <c r="B65" s="83">
        <f>B61+1</f>
        <v>14</v>
      </c>
      <c r="C65" s="208" t="s">
        <v>64</v>
      </c>
      <c r="D65" s="66"/>
      <c r="E65" s="66"/>
      <c r="F65" s="67"/>
      <c r="G65" s="67"/>
      <c r="H65" s="67"/>
      <c r="I65" s="68"/>
      <c r="J65" s="72" t="s">
        <v>25</v>
      </c>
      <c r="K65" s="70">
        <f>IF(J65="YES",IF(J12="2010-2013",H66*J64,IF(J12="2014-2021",G66*J64,IF(J12="2021-2023",F66*J64,0))),0)</f>
        <v>46000</v>
      </c>
      <c r="L65" s="207" t="s">
        <v>23</v>
      </c>
      <c r="M65" s="73">
        <f>IF(L65="Delapidated",K65*0.6,IF(L65="Poor",K65*0.7,IF(L65="Fair",K65*0.8,IF(L65="Good",K65*0.85,IF(L65="Very Good",K65*0.9,IF(L65="Excellent",K65*1,IF(L65="Not Applicable",K65*1,0)))))))</f>
        <v>46000</v>
      </c>
      <c r="N65" s="34"/>
      <c r="O65" s="34"/>
      <c r="P65" s="34"/>
      <c r="Q65" s="34"/>
      <c r="R65" s="34"/>
      <c r="S65" s="34"/>
      <c r="T65" s="34"/>
      <c r="U65" s="34"/>
      <c r="V65" s="34"/>
      <c r="W65" s="34"/>
    </row>
    <row r="66" ht="30.0" hidden="1" customHeight="1">
      <c r="A66" s="34"/>
      <c r="B66" s="84"/>
      <c r="C66" s="79" t="s">
        <v>25</v>
      </c>
      <c r="D66" s="66"/>
      <c r="E66" s="66"/>
      <c r="F66" s="67">
        <v>2300.0</v>
      </c>
      <c r="G66" s="67">
        <f t="shared" ref="G66:G67" si="26">F66/$G$16</f>
        <v>1840</v>
      </c>
      <c r="H66" s="67">
        <f t="shared" ref="H66:H67" si="27">F66/$H$16</f>
        <v>1742.424242</v>
      </c>
      <c r="I66" s="77">
        <v>1.0</v>
      </c>
      <c r="J66" s="68"/>
      <c r="K66" s="70"/>
      <c r="L66" s="34"/>
      <c r="M66" s="73"/>
      <c r="N66" s="34"/>
      <c r="O66" s="34"/>
      <c r="P66" s="34"/>
      <c r="Q66" s="34"/>
      <c r="R66" s="34"/>
      <c r="S66" s="34"/>
      <c r="T66" s="34"/>
      <c r="U66" s="34"/>
      <c r="V66" s="34"/>
      <c r="W66" s="34"/>
    </row>
    <row r="67" ht="30.0" hidden="1" customHeight="1">
      <c r="A67" s="34"/>
      <c r="B67" s="85"/>
      <c r="C67" s="79" t="s">
        <v>26</v>
      </c>
      <c r="D67" s="66"/>
      <c r="E67" s="66"/>
      <c r="F67" s="67">
        <v>0.0</v>
      </c>
      <c r="G67" s="67">
        <f t="shared" si="26"/>
        <v>0</v>
      </c>
      <c r="H67" s="67">
        <f t="shared" si="27"/>
        <v>0</v>
      </c>
      <c r="I67" s="77">
        <v>2.0</v>
      </c>
      <c r="J67" s="68"/>
      <c r="K67" s="70"/>
      <c r="L67" s="34"/>
      <c r="M67" s="402"/>
      <c r="N67" s="34"/>
      <c r="O67" s="34"/>
      <c r="P67" s="34"/>
      <c r="Q67" s="34"/>
      <c r="R67" s="34"/>
      <c r="S67" s="34"/>
      <c r="T67" s="34"/>
      <c r="U67" s="34"/>
      <c r="V67" s="34"/>
      <c r="W67" s="34"/>
    </row>
    <row r="68" ht="30.0" customHeight="1">
      <c r="A68" s="34"/>
      <c r="B68" s="83">
        <f>B65+1</f>
        <v>15</v>
      </c>
      <c r="C68" s="208" t="s">
        <v>65</v>
      </c>
      <c r="D68" s="66"/>
      <c r="E68" s="66"/>
      <c r="F68" s="67"/>
      <c r="G68" s="67"/>
      <c r="H68" s="67"/>
      <c r="I68" s="68"/>
      <c r="J68" s="72" t="s">
        <v>25</v>
      </c>
      <c r="K68" s="70">
        <f>IF(J68="YES",IF(J12="2010-2013",H69*$J$11,IF(J12="2014-2021",G69*$J$11,IF(J12="2021-2023",F69*$J$11,0))),0)</f>
        <v>115983.3333</v>
      </c>
      <c r="L68" s="207" t="s">
        <v>23</v>
      </c>
      <c r="M68" s="73">
        <f>IF(L68="Delapidated",K68*0.6,IF(L68="Poor",K68*0.7,IF(L68="Fair",K68*0.8,IF(L68="Good",K68*0.85,IF(L68="Very Good",K68*0.9,IF(L68="Excellent",K68*1,IF(L68="Not Applicable",K68*1,0)))))))</f>
        <v>115983.3333</v>
      </c>
      <c r="N68" s="34"/>
      <c r="O68" s="34"/>
      <c r="P68" s="34"/>
      <c r="Q68" s="34"/>
      <c r="R68" s="34"/>
      <c r="S68" s="34"/>
      <c r="T68" s="34"/>
      <c r="U68" s="34"/>
      <c r="V68" s="34"/>
      <c r="W68" s="34"/>
    </row>
    <row r="69" ht="30.0" hidden="1" customHeight="1">
      <c r="A69" s="34"/>
      <c r="B69" s="84"/>
      <c r="C69" s="79" t="s">
        <v>25</v>
      </c>
      <c r="D69" s="66"/>
      <c r="E69" s="66"/>
      <c r="F69" s="67">
        <f>187.069892473118*E16</f>
        <v>231.9666667</v>
      </c>
      <c r="G69" s="67">
        <f t="shared" ref="G69:G70" si="28">F69/$G$16</f>
        <v>185.5733333</v>
      </c>
      <c r="H69" s="67">
        <f t="shared" ref="H69:H70" si="29">F69/$H$16</f>
        <v>175.7323232</v>
      </c>
      <c r="I69" s="77">
        <v>1.0</v>
      </c>
      <c r="J69" s="68"/>
      <c r="K69" s="70"/>
      <c r="L69" s="34"/>
      <c r="M69" s="73"/>
      <c r="N69" s="34"/>
      <c r="O69" s="34"/>
      <c r="P69" s="34"/>
      <c r="Q69" s="34"/>
      <c r="R69" s="34"/>
      <c r="S69" s="34"/>
      <c r="T69" s="34"/>
      <c r="U69" s="34"/>
      <c r="V69" s="34"/>
      <c r="W69" s="34"/>
    </row>
    <row r="70" ht="30.0" hidden="1" customHeight="1">
      <c r="A70" s="34"/>
      <c r="B70" s="85"/>
      <c r="C70" s="79" t="s">
        <v>26</v>
      </c>
      <c r="D70" s="66"/>
      <c r="E70" s="66"/>
      <c r="F70" s="67">
        <v>0.0</v>
      </c>
      <c r="G70" s="67">
        <f t="shared" si="28"/>
        <v>0</v>
      </c>
      <c r="H70" s="67">
        <f t="shared" si="29"/>
        <v>0</v>
      </c>
      <c r="I70" s="77">
        <v>2.0</v>
      </c>
      <c r="J70" s="68"/>
      <c r="K70" s="70"/>
      <c r="L70" s="34"/>
      <c r="M70" s="402"/>
      <c r="N70" s="34"/>
      <c r="O70" s="34"/>
      <c r="P70" s="34"/>
      <c r="Q70" s="34"/>
      <c r="R70" s="34"/>
      <c r="S70" s="34"/>
      <c r="T70" s="34"/>
      <c r="U70" s="34"/>
      <c r="V70" s="34"/>
      <c r="W70" s="34"/>
    </row>
    <row r="71" ht="30.0" customHeight="1">
      <c r="A71" s="34"/>
      <c r="B71" s="83">
        <f>B68+1</f>
        <v>16</v>
      </c>
      <c r="C71" s="208" t="s">
        <v>123</v>
      </c>
      <c r="D71" s="66"/>
      <c r="E71" s="66"/>
      <c r="F71" s="67"/>
      <c r="G71" s="67"/>
      <c r="H71" s="67"/>
      <c r="I71" s="68"/>
      <c r="J71" s="72" t="s">
        <v>25</v>
      </c>
      <c r="K71" s="70">
        <f>IF(J71="YES",IF(J12="2010-2013",H72*$J$11,IF(J12="2014-2021",G72*$J$11,IF(J12="2021-2023",F72*$J$11,0))),0)</f>
        <v>206933.3333</v>
      </c>
      <c r="L71" s="207" t="s">
        <v>23</v>
      </c>
      <c r="M71" s="73">
        <f>IF(L71="Delapidated",K71*0.6,IF(L71="Poor",K71*0.7,IF(L71="Fair",K71*0.8,IF(L71="Good",K71*0.85,IF(L71="Very Good",K71*0.9,IF(L71="Excellent",K71*1,IF(L71="Not Applicable",K71*1,0)))))))</f>
        <v>206933.3333</v>
      </c>
      <c r="N71" s="34"/>
      <c r="O71" s="34"/>
      <c r="P71" s="34"/>
      <c r="Q71" s="34"/>
      <c r="R71" s="34"/>
      <c r="S71" s="34"/>
      <c r="T71" s="34"/>
      <c r="U71" s="34"/>
      <c r="V71" s="34"/>
      <c r="W71" s="34"/>
    </row>
    <row r="72" ht="30.0" hidden="1" customHeight="1">
      <c r="A72" s="34"/>
      <c r="B72" s="84"/>
      <c r="C72" s="79" t="s">
        <v>25</v>
      </c>
      <c r="D72" s="66"/>
      <c r="E72" s="66"/>
      <c r="F72" s="67">
        <f>333.763440860215*E16</f>
        <v>413.8666667</v>
      </c>
      <c r="G72" s="67">
        <f t="shared" ref="G72:G73" si="30">F72/$G$16</f>
        <v>331.0933333</v>
      </c>
      <c r="H72" s="67">
        <f t="shared" ref="H72:H73" si="31">F72/$H$16</f>
        <v>313.5353535</v>
      </c>
      <c r="I72" s="77">
        <v>1.0</v>
      </c>
      <c r="J72" s="68"/>
      <c r="K72" s="70"/>
      <c r="L72" s="34"/>
      <c r="M72" s="73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ht="30.0" hidden="1" customHeight="1">
      <c r="A73" s="34"/>
      <c r="B73" s="85"/>
      <c r="C73" s="79" t="s">
        <v>26</v>
      </c>
      <c r="D73" s="66"/>
      <c r="E73" s="66"/>
      <c r="F73" s="67">
        <v>0.0</v>
      </c>
      <c r="G73" s="67">
        <f t="shared" si="30"/>
        <v>0</v>
      </c>
      <c r="H73" s="67">
        <f t="shared" si="31"/>
        <v>0</v>
      </c>
      <c r="I73" s="77">
        <v>2.0</v>
      </c>
      <c r="J73" s="68"/>
      <c r="K73" s="70"/>
      <c r="L73" s="34"/>
      <c r="M73" s="402"/>
      <c r="N73" s="34"/>
      <c r="O73" s="34"/>
      <c r="P73" s="34"/>
      <c r="Q73" s="34"/>
      <c r="R73" s="34"/>
      <c r="S73" s="34"/>
      <c r="T73" s="34"/>
      <c r="U73" s="34"/>
      <c r="V73" s="34"/>
      <c r="W73" s="34"/>
    </row>
    <row r="74" ht="30.0" customHeight="1">
      <c r="A74" s="34"/>
      <c r="B74" s="44"/>
      <c r="C74" s="214" t="s">
        <v>89</v>
      </c>
      <c r="D74" s="66"/>
      <c r="E74" s="66"/>
      <c r="F74" s="67"/>
      <c r="G74" s="67"/>
      <c r="H74" s="67"/>
      <c r="I74" s="77"/>
      <c r="J74" s="379">
        <v>20.0</v>
      </c>
      <c r="K74" s="70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</row>
    <row r="75" ht="30.0" customHeight="1">
      <c r="A75" s="17"/>
      <c r="B75" s="83">
        <f>B71+1</f>
        <v>17</v>
      </c>
      <c r="C75" s="255" t="s">
        <v>124</v>
      </c>
      <c r="D75" s="97"/>
      <c r="E75" s="97"/>
      <c r="F75" s="67"/>
      <c r="G75" s="67"/>
      <c r="H75" s="67"/>
      <c r="I75" s="68"/>
      <c r="J75" s="72" t="s">
        <v>25</v>
      </c>
      <c r="K75" s="58">
        <f>IF(J75="YES",IF(J12="2010-2013",H76*J74,IF(J12="2014-2021",G76*J74,IF(J12="2021-2023",F76*J74,0))),0)</f>
        <v>140000</v>
      </c>
      <c r="L75" s="207" t="s">
        <v>23</v>
      </c>
      <c r="M75" s="73">
        <f>IF(L75="Delapidated",K75*0.6,IF(L75="Poor",K75*0.7,IF(L75="Fair",K75*0.8,IF(L75="Good",K75*0.85,IF(L75="Very Good",K75*0.9,IF(L75="Excellent",K75*1,IF(L75="Not Applicable",K75*1,0)))))))</f>
        <v>140000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ht="30.0" hidden="1" customHeight="1">
      <c r="A76" s="17"/>
      <c r="B76" s="84"/>
      <c r="C76" s="79" t="s">
        <v>25</v>
      </c>
      <c r="D76" s="97"/>
      <c r="E76" s="97"/>
      <c r="F76" s="321">
        <v>7000.0</v>
      </c>
      <c r="G76" s="67">
        <f t="shared" ref="G76:G82" si="32">F76/$G$16</f>
        <v>5600</v>
      </c>
      <c r="H76" s="67">
        <f t="shared" ref="H76:H82" si="33">F76/$H$16</f>
        <v>5303.030303</v>
      </c>
      <c r="I76" s="77">
        <v>1.0</v>
      </c>
      <c r="J76" s="322"/>
      <c r="K76" s="58"/>
      <c r="L76" s="17"/>
      <c r="M76" s="99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ht="30.0" hidden="1" customHeight="1">
      <c r="A77" s="17"/>
      <c r="B77" s="85"/>
      <c r="C77" s="79" t="s">
        <v>26</v>
      </c>
      <c r="D77" s="97"/>
      <c r="E77" s="97"/>
      <c r="F77" s="321">
        <v>0.0</v>
      </c>
      <c r="G77" s="67">
        <f t="shared" si="32"/>
        <v>0</v>
      </c>
      <c r="H77" s="67">
        <f t="shared" si="33"/>
        <v>0</v>
      </c>
      <c r="I77" s="77">
        <v>2.0</v>
      </c>
      <c r="J77" s="322"/>
      <c r="K77" s="123"/>
      <c r="L77" s="250"/>
      <c r="M77" s="125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ht="30.0" customHeight="1">
      <c r="A78" s="17"/>
      <c r="B78" s="255"/>
      <c r="C78" s="105"/>
      <c r="D78" s="97"/>
      <c r="E78" s="97"/>
      <c r="F78" s="98"/>
      <c r="G78" s="67">
        <f t="shared" si="32"/>
        <v>0</v>
      </c>
      <c r="H78" s="67">
        <f t="shared" si="33"/>
        <v>0</v>
      </c>
      <c r="I78" s="77"/>
      <c r="J78" s="718"/>
      <c r="K78" s="197"/>
      <c r="L78" s="193"/>
      <c r="M78" s="19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ht="30.0" customHeight="1">
      <c r="A79" s="17"/>
      <c r="B79" s="219"/>
      <c r="C79" s="214" t="s">
        <v>69</v>
      </c>
      <c r="D79" s="97"/>
      <c r="E79" s="97"/>
      <c r="F79" s="98"/>
      <c r="G79" s="67">
        <f t="shared" si="32"/>
        <v>0</v>
      </c>
      <c r="H79" s="67">
        <f t="shared" si="33"/>
        <v>0</v>
      </c>
      <c r="I79" s="90"/>
      <c r="J79" s="379">
        <v>60.0</v>
      </c>
      <c r="K79" s="189"/>
      <c r="L79" s="193"/>
      <c r="M79" s="610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ht="30.0" customHeight="1">
      <c r="A80" s="17"/>
      <c r="B80" s="44">
        <f>B75+1</f>
        <v>18</v>
      </c>
      <c r="C80" s="74" t="s">
        <v>70</v>
      </c>
      <c r="D80" s="97"/>
      <c r="E80" s="97"/>
      <c r="F80" s="98"/>
      <c r="G80" s="67">
        <f t="shared" si="32"/>
        <v>0</v>
      </c>
      <c r="H80" s="67">
        <f t="shared" si="33"/>
        <v>0</v>
      </c>
      <c r="I80" s="77"/>
      <c r="J80" s="229" t="s">
        <v>25</v>
      </c>
      <c r="K80" s="285">
        <f>IF(J80="YES",IF(J12="2010-2013",H81*J79,IF(J12="2014-2021",G81*J79,IF(J12="2021-2023",F81*J79,0))),0)</f>
        <v>215760</v>
      </c>
      <c r="L80" s="231" t="s">
        <v>23</v>
      </c>
      <c r="M80" s="120">
        <f>IF(L80="Delapidated",K80*0.6,IF(L80="Poor",K80*0.7,IF(L80="Fair",K80*0.8,IF(L80="Good",K80*0.85,IF(L80="Very Good",K80*0.9,IF(L80="Excellent",K80*1,IF(L80="Not Applicable",K80*1,0)))))))</f>
        <v>215760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ht="30.0" hidden="1" customHeight="1">
      <c r="A81" s="17"/>
      <c r="B81" s="219"/>
      <c r="C81" s="79" t="s">
        <v>25</v>
      </c>
      <c r="D81" s="97"/>
      <c r="E81" s="97"/>
      <c r="F81" s="98">
        <f>2900*E16</f>
        <v>3596</v>
      </c>
      <c r="G81" s="67">
        <f t="shared" si="32"/>
        <v>2876.8</v>
      </c>
      <c r="H81" s="67">
        <f t="shared" si="33"/>
        <v>2724.242424</v>
      </c>
      <c r="I81" s="77"/>
      <c r="J81" s="322"/>
      <c r="K81" s="58"/>
      <c r="L81" s="17"/>
      <c r="M81" s="99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ht="30.0" hidden="1" customHeight="1">
      <c r="A82" s="17"/>
      <c r="B82" s="235"/>
      <c r="C82" s="236" t="s">
        <v>26</v>
      </c>
      <c r="D82" s="97"/>
      <c r="E82" s="97"/>
      <c r="F82" s="98">
        <v>0.0</v>
      </c>
      <c r="G82" s="67">
        <f t="shared" si="32"/>
        <v>0</v>
      </c>
      <c r="H82" s="67">
        <f t="shared" si="33"/>
        <v>0</v>
      </c>
      <c r="I82" s="77"/>
      <c r="J82" s="122"/>
      <c r="K82" s="58"/>
      <c r="L82" s="17"/>
      <c r="M82" s="99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ht="30.0" customHeight="1">
      <c r="A83" s="250"/>
      <c r="B83" s="564"/>
      <c r="C83" s="241"/>
      <c r="D83" s="314"/>
      <c r="E83" s="314"/>
      <c r="F83" s="314"/>
      <c r="G83" s="314"/>
      <c r="H83" s="314"/>
      <c r="I83" s="719"/>
      <c r="J83" s="245"/>
      <c r="K83" s="189"/>
      <c r="L83" s="34"/>
      <c r="M83" s="45"/>
      <c r="N83" s="250"/>
      <c r="O83" s="250"/>
      <c r="P83" s="250"/>
      <c r="Q83" s="250"/>
      <c r="R83" s="250"/>
      <c r="S83" s="250"/>
      <c r="T83" s="250"/>
      <c r="U83" s="250"/>
      <c r="V83" s="250"/>
      <c r="W83" s="250"/>
    </row>
    <row r="84" ht="30.0" hidden="1" customHeight="1">
      <c r="A84" s="88"/>
      <c r="B84" s="709"/>
      <c r="C84" s="710" t="s">
        <v>71</v>
      </c>
      <c r="D84" s="562"/>
      <c r="E84" s="562"/>
      <c r="F84" s="562">
        <v>4646.23655913978</v>
      </c>
      <c r="G84" s="562"/>
      <c r="H84" s="562"/>
      <c r="I84" s="90"/>
      <c r="J84" s="720"/>
      <c r="K84" s="721"/>
      <c r="L84" s="17"/>
      <c r="M84" s="62"/>
      <c r="N84" s="34"/>
      <c r="O84" s="34"/>
      <c r="P84" s="34"/>
      <c r="Q84" s="34"/>
      <c r="R84" s="34"/>
      <c r="S84" s="34"/>
      <c r="T84" s="34"/>
      <c r="U84" s="34"/>
      <c r="V84" s="34"/>
      <c r="W84" s="34"/>
    </row>
    <row r="85" ht="30.0" hidden="1" customHeight="1">
      <c r="A85" s="17"/>
      <c r="B85" s="44" t="str">
        <f>#REF!+1</f>
        <v>#REF!</v>
      </c>
      <c r="C85" s="254" t="s">
        <v>72</v>
      </c>
      <c r="D85" s="71"/>
      <c r="E85" s="71"/>
      <c r="F85" s="71">
        <v>0.0</v>
      </c>
      <c r="G85" s="71"/>
      <c r="H85" s="71"/>
      <c r="I85" s="722"/>
      <c r="J85" s="723"/>
      <c r="K85" s="724"/>
      <c r="L85" s="17"/>
      <c r="M85" s="62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ht="30.0" hidden="1" customHeight="1">
      <c r="A86" s="17"/>
      <c r="B86" s="61"/>
      <c r="C86" s="255"/>
      <c r="D86" s="97"/>
      <c r="E86" s="97"/>
      <c r="F86" s="97">
        <v>0.0</v>
      </c>
      <c r="G86" s="97"/>
      <c r="H86" s="97"/>
      <c r="I86" s="725"/>
      <c r="J86" s="127"/>
      <c r="K86" s="106"/>
      <c r="L86" s="17"/>
      <c r="M86" s="62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ht="30.0" hidden="1" customHeight="1">
      <c r="A87" s="17"/>
      <c r="B87" s="656"/>
      <c r="C87" s="657" t="s">
        <v>71</v>
      </c>
      <c r="D87" s="562"/>
      <c r="E87" s="562"/>
      <c r="F87" s="562">
        <v>4646.23655913978</v>
      </c>
      <c r="G87" s="562"/>
      <c r="H87" s="562"/>
      <c r="I87" s="726"/>
      <c r="J87" s="133"/>
      <c r="K87" s="727"/>
      <c r="L87" s="17"/>
      <c r="M87" s="62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ht="30.0" hidden="1" customHeight="1">
      <c r="A88" s="17"/>
      <c r="B88" s="659"/>
      <c r="C88" s="660" t="s">
        <v>73</v>
      </c>
      <c r="D88" s="338"/>
      <c r="E88" s="338"/>
      <c r="F88" s="338">
        <v>0.0</v>
      </c>
      <c r="G88" s="338"/>
      <c r="H88" s="338"/>
      <c r="I88" s="662"/>
      <c r="J88" s="140"/>
      <c r="K88" s="663"/>
      <c r="L88" s="17"/>
      <c r="M88" s="679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ht="30.0" customHeight="1">
      <c r="A89" s="17"/>
      <c r="B89" s="340"/>
      <c r="C89" s="17"/>
      <c r="D89" s="341"/>
      <c r="E89" s="341"/>
      <c r="F89" s="341">
        <v>4646.23655913978</v>
      </c>
      <c r="G89" s="341"/>
      <c r="H89" s="341"/>
      <c r="I89" s="664"/>
      <c r="J89" s="340" t="s">
        <v>143</v>
      </c>
      <c r="K89" s="265">
        <f>SUM(K17:K82)</f>
        <v>3154926.934</v>
      </c>
      <c r="L89" s="17"/>
      <c r="M89" s="266">
        <f>SUM(M17:M80)</f>
        <v>3068126.934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ht="30.0" customHeight="1">
      <c r="A90" s="250"/>
      <c r="B90" s="340"/>
      <c r="C90" s="250"/>
      <c r="D90" s="728"/>
      <c r="E90" s="728"/>
      <c r="F90" s="728"/>
      <c r="G90" s="728"/>
      <c r="H90" s="728"/>
      <c r="I90" s="339"/>
      <c r="J90" s="340"/>
      <c r="K90" s="714"/>
      <c r="L90" s="17"/>
      <c r="M90" s="115"/>
      <c r="N90" s="250"/>
      <c r="O90" s="250"/>
      <c r="P90" s="250"/>
      <c r="Q90" s="250"/>
      <c r="R90" s="250"/>
      <c r="S90" s="250"/>
      <c r="T90" s="250"/>
      <c r="U90" s="250"/>
      <c r="V90" s="250"/>
      <c r="W90" s="250"/>
    </row>
    <row r="91" ht="30.0" customHeight="1">
      <c r="A91" s="147"/>
      <c r="B91" s="119"/>
      <c r="C91" s="17"/>
      <c r="D91" s="344"/>
      <c r="E91" s="344"/>
      <c r="F91" s="344"/>
      <c r="G91" s="344"/>
      <c r="H91" s="344"/>
      <c r="I91" s="345"/>
      <c r="J91" s="138" t="s">
        <v>131</v>
      </c>
      <c r="K91" s="265">
        <f>K89/J11</f>
        <v>6309.853868</v>
      </c>
      <c r="L91" s="17"/>
      <c r="M91" s="266">
        <f>M89/J11</f>
        <v>6136.253868</v>
      </c>
      <c r="N91" s="147"/>
      <c r="O91" s="147"/>
      <c r="P91" s="147"/>
      <c r="Q91" s="147"/>
      <c r="R91" s="147"/>
      <c r="S91" s="147"/>
      <c r="T91" s="147"/>
      <c r="U91" s="147"/>
      <c r="V91" s="147"/>
      <c r="W91" s="147"/>
    </row>
    <row r="92" ht="12.0" customHeight="1">
      <c r="B92" s="1"/>
      <c r="K92" s="2"/>
      <c r="M92" s="2"/>
    </row>
    <row r="93" ht="45.75" customHeight="1">
      <c r="B93" s="1"/>
      <c r="C93" s="574"/>
      <c r="K93" s="2"/>
      <c r="M93" s="2"/>
    </row>
    <row r="94" ht="12.0" customHeight="1">
      <c r="B94" s="1"/>
      <c r="K94" s="2"/>
      <c r="M94" s="2"/>
    </row>
    <row r="95" ht="12.0" customHeight="1">
      <c r="B95" s="1"/>
      <c r="K95" s="2"/>
      <c r="M95" s="2"/>
    </row>
    <row r="96" ht="12.0" customHeight="1">
      <c r="B96" s="1"/>
      <c r="K96" s="2"/>
      <c r="M96" s="2"/>
    </row>
    <row r="97" ht="12.0" customHeight="1">
      <c r="B97" s="1"/>
      <c r="K97" s="2"/>
      <c r="M97" s="2"/>
    </row>
    <row r="98" ht="12.0" customHeight="1">
      <c r="B98" s="1"/>
      <c r="K98" s="2"/>
      <c r="M98" s="2"/>
    </row>
    <row r="99" ht="12.0" customHeight="1">
      <c r="B99" s="1"/>
      <c r="K99" s="2"/>
      <c r="M99" s="2"/>
    </row>
    <row r="100" ht="12.0" customHeight="1">
      <c r="B100" s="1"/>
      <c r="K100" s="2"/>
      <c r="M100" s="2"/>
    </row>
    <row r="101" ht="12.0" customHeight="1">
      <c r="B101" s="1"/>
      <c r="K101" s="2"/>
      <c r="M101" s="2"/>
    </row>
    <row r="102" ht="12.0" customHeight="1">
      <c r="B102" s="1"/>
      <c r="K102" s="2"/>
      <c r="M102" s="2"/>
    </row>
    <row r="103" ht="12.0" customHeight="1">
      <c r="B103" s="1"/>
      <c r="K103" s="2"/>
      <c r="M103" s="2"/>
    </row>
    <row r="104" ht="12.0" customHeight="1">
      <c r="B104" s="1"/>
      <c r="K104" s="2"/>
      <c r="M104" s="2"/>
    </row>
    <row r="105" ht="12.0" customHeight="1">
      <c r="B105" s="1"/>
      <c r="K105" s="2"/>
      <c r="M105" s="2"/>
    </row>
    <row r="106" ht="12.0" customHeight="1">
      <c r="B106" s="1"/>
      <c r="K106" s="2"/>
      <c r="M106" s="2"/>
    </row>
    <row r="107" ht="12.0" customHeight="1">
      <c r="B107" s="1"/>
      <c r="K107" s="2"/>
      <c r="M107" s="2"/>
    </row>
    <row r="108" ht="12.0" customHeight="1">
      <c r="B108" s="1"/>
      <c r="K108" s="2"/>
      <c r="M108" s="2"/>
    </row>
    <row r="109" ht="12.0" customHeight="1">
      <c r="B109" s="1"/>
      <c r="K109" s="2"/>
      <c r="M109" s="2"/>
    </row>
    <row r="110" ht="12.0" customHeight="1">
      <c r="B110" s="1"/>
      <c r="K110" s="2"/>
      <c r="M110" s="2"/>
    </row>
    <row r="111" ht="12.0" customHeight="1">
      <c r="B111" s="1"/>
      <c r="K111" s="2"/>
      <c r="M111" s="2"/>
    </row>
    <row r="112" ht="12.0" customHeight="1">
      <c r="B112" s="1"/>
      <c r="K112" s="2"/>
      <c r="M112" s="2"/>
    </row>
    <row r="113" ht="12.0" customHeight="1">
      <c r="B113" s="1"/>
      <c r="K113" s="2"/>
      <c r="M113" s="2"/>
    </row>
    <row r="114" ht="12.0" customHeight="1">
      <c r="B114" s="1"/>
      <c r="K114" s="2"/>
      <c r="M114" s="2"/>
    </row>
    <row r="115" ht="12.0" customHeight="1">
      <c r="B115" s="1"/>
      <c r="K115" s="2"/>
      <c r="M115" s="2"/>
    </row>
    <row r="116" ht="12.0" customHeight="1">
      <c r="B116" s="1"/>
      <c r="K116" s="2"/>
      <c r="M116" s="2"/>
    </row>
    <row r="117" ht="12.0" customHeight="1">
      <c r="B117" s="1"/>
      <c r="K117" s="2"/>
      <c r="M117" s="2"/>
    </row>
    <row r="118" ht="12.0" customHeight="1">
      <c r="B118" s="1"/>
      <c r="K118" s="2"/>
      <c r="M118" s="2"/>
    </row>
    <row r="119" ht="12.0" customHeight="1">
      <c r="B119" s="1"/>
      <c r="K119" s="2"/>
      <c r="M119" s="2"/>
    </row>
    <row r="120" ht="12.0" customHeight="1">
      <c r="B120" s="1"/>
      <c r="K120" s="2"/>
      <c r="M120" s="2"/>
    </row>
    <row r="121" ht="12.0" customHeight="1">
      <c r="B121" s="1"/>
      <c r="K121" s="2"/>
      <c r="M121" s="2"/>
    </row>
    <row r="122" ht="12.0" customHeight="1">
      <c r="B122" s="1"/>
      <c r="K122" s="2"/>
      <c r="M122" s="2"/>
    </row>
    <row r="123" ht="12.0" customHeight="1">
      <c r="B123" s="1"/>
      <c r="K123" s="2"/>
      <c r="M123" s="2"/>
    </row>
    <row r="124" ht="12.0" customHeight="1">
      <c r="B124" s="1"/>
      <c r="K124" s="2"/>
      <c r="M124" s="2"/>
    </row>
    <row r="125" ht="12.0" customHeight="1">
      <c r="B125" s="1"/>
      <c r="K125" s="2"/>
      <c r="M125" s="2"/>
    </row>
    <row r="126" ht="12.0" customHeight="1">
      <c r="B126" s="1"/>
      <c r="K126" s="2"/>
      <c r="M126" s="2"/>
    </row>
    <row r="127" ht="12.0" customHeight="1">
      <c r="B127" s="1"/>
      <c r="K127" s="2"/>
      <c r="M127" s="2"/>
    </row>
    <row r="128" ht="12.0" customHeight="1">
      <c r="B128" s="1"/>
      <c r="K128" s="2"/>
      <c r="M128" s="2"/>
    </row>
    <row r="129" ht="12.0" customHeight="1">
      <c r="B129" s="1"/>
      <c r="K129" s="2"/>
      <c r="M129" s="2"/>
    </row>
    <row r="130" ht="12.0" customHeight="1">
      <c r="B130" s="1"/>
      <c r="K130" s="2"/>
      <c r="M130" s="2"/>
    </row>
    <row r="131" ht="12.0" customHeight="1">
      <c r="B131" s="1"/>
      <c r="K131" s="2"/>
      <c r="M131" s="2"/>
    </row>
    <row r="132" ht="12.0" customHeight="1">
      <c r="B132" s="1"/>
      <c r="K132" s="2"/>
      <c r="M132" s="2"/>
    </row>
    <row r="133" ht="12.0" customHeight="1">
      <c r="B133" s="1"/>
      <c r="K133" s="2"/>
      <c r="M133" s="2"/>
    </row>
    <row r="134" ht="12.0" customHeight="1">
      <c r="B134" s="1"/>
      <c r="K134" s="2"/>
      <c r="M134" s="2"/>
    </row>
    <row r="135" ht="12.0" customHeight="1">
      <c r="B135" s="1"/>
      <c r="K135" s="2"/>
      <c r="M135" s="2"/>
    </row>
    <row r="136" ht="12.0" customHeight="1">
      <c r="B136" s="1"/>
      <c r="K136" s="2"/>
      <c r="M136" s="2"/>
    </row>
    <row r="137" ht="12.0" customHeight="1">
      <c r="B137" s="1"/>
      <c r="K137" s="2"/>
      <c r="M137" s="2"/>
    </row>
    <row r="138" ht="12.0" customHeight="1">
      <c r="B138" s="1"/>
      <c r="K138" s="2"/>
      <c r="M138" s="2"/>
    </row>
    <row r="139" ht="12.0" customHeight="1">
      <c r="B139" s="1"/>
      <c r="K139" s="2"/>
      <c r="M139" s="2"/>
    </row>
    <row r="140" ht="12.0" customHeight="1">
      <c r="B140" s="1"/>
      <c r="K140" s="2"/>
      <c r="M140" s="2"/>
    </row>
    <row r="141" ht="12.0" customHeight="1">
      <c r="B141" s="1"/>
      <c r="K141" s="2"/>
      <c r="M141" s="2"/>
    </row>
    <row r="142" ht="12.0" customHeight="1">
      <c r="B142" s="1"/>
      <c r="K142" s="2"/>
      <c r="M142" s="2"/>
    </row>
    <row r="143" ht="12.0" customHeight="1">
      <c r="B143" s="1"/>
      <c r="K143" s="2"/>
      <c r="M143" s="2"/>
    </row>
    <row r="144" ht="12.0" customHeight="1">
      <c r="B144" s="1"/>
      <c r="K144" s="2"/>
      <c r="M144" s="2"/>
    </row>
    <row r="145" ht="12.0" customHeight="1">
      <c r="B145" s="1"/>
      <c r="K145" s="2"/>
      <c r="M145" s="2"/>
    </row>
    <row r="146" ht="12.0" customHeight="1">
      <c r="B146" s="1"/>
      <c r="K146" s="2"/>
      <c r="M146" s="2"/>
    </row>
    <row r="147" ht="12.0" customHeight="1">
      <c r="B147" s="1"/>
      <c r="K147" s="2"/>
      <c r="M147" s="2"/>
    </row>
    <row r="148" ht="12.0" customHeight="1">
      <c r="B148" s="1"/>
      <c r="K148" s="2"/>
      <c r="M148" s="2"/>
    </row>
    <row r="149" ht="12.0" customHeight="1">
      <c r="B149" s="1"/>
      <c r="K149" s="2"/>
      <c r="M149" s="2"/>
    </row>
    <row r="150" ht="12.0" customHeight="1">
      <c r="B150" s="1"/>
      <c r="K150" s="2"/>
      <c r="M150" s="2"/>
    </row>
    <row r="151" ht="12.0" customHeight="1">
      <c r="B151" s="1"/>
      <c r="K151" s="2"/>
      <c r="M151" s="2"/>
    </row>
    <row r="152" ht="12.0" customHeight="1">
      <c r="B152" s="1"/>
      <c r="K152" s="2"/>
      <c r="M152" s="2"/>
    </row>
    <row r="153" ht="12.0" customHeight="1">
      <c r="B153" s="1"/>
      <c r="K153" s="2"/>
      <c r="M153" s="2"/>
    </row>
    <row r="154" ht="12.0" customHeight="1">
      <c r="B154" s="1"/>
      <c r="K154" s="2"/>
      <c r="M154" s="2"/>
    </row>
    <row r="155" ht="12.0" customHeight="1">
      <c r="B155" s="1"/>
      <c r="K155" s="2"/>
      <c r="M155" s="2"/>
    </row>
    <row r="156" ht="12.0" customHeight="1">
      <c r="B156" s="1"/>
      <c r="K156" s="2"/>
      <c r="M156" s="2"/>
    </row>
    <row r="157" ht="12.0" customHeight="1">
      <c r="B157" s="1"/>
      <c r="K157" s="2"/>
      <c r="M157" s="2"/>
    </row>
    <row r="158" ht="12.0" customHeight="1">
      <c r="B158" s="1"/>
      <c r="K158" s="2"/>
      <c r="M158" s="2"/>
    </row>
    <row r="159" ht="12.0" customHeight="1">
      <c r="B159" s="1"/>
      <c r="K159" s="2"/>
      <c r="M159" s="2"/>
    </row>
    <row r="160" ht="12.0" customHeight="1">
      <c r="B160" s="1"/>
      <c r="K160" s="2"/>
      <c r="M160" s="2"/>
    </row>
    <row r="161" ht="12.0" customHeight="1">
      <c r="B161" s="1"/>
      <c r="K161" s="2"/>
      <c r="M161" s="2"/>
    </row>
    <row r="162" ht="12.0" customHeight="1">
      <c r="B162" s="1"/>
      <c r="K162" s="2"/>
      <c r="M162" s="2"/>
    </row>
    <row r="163" ht="12.0" customHeight="1">
      <c r="B163" s="1"/>
      <c r="K163" s="2"/>
      <c r="M163" s="2"/>
    </row>
    <row r="164" ht="12.0" customHeight="1">
      <c r="B164" s="1"/>
      <c r="K164" s="2"/>
      <c r="M164" s="2"/>
    </row>
    <row r="165" ht="12.0" customHeight="1">
      <c r="B165" s="1"/>
      <c r="K165" s="2"/>
      <c r="M165" s="2"/>
    </row>
    <row r="166" ht="12.0" customHeight="1">
      <c r="B166" s="1"/>
      <c r="K166" s="2"/>
      <c r="M166" s="2"/>
    </row>
    <row r="167" ht="12.0" customHeight="1">
      <c r="B167" s="1"/>
      <c r="K167" s="2"/>
      <c r="M167" s="2"/>
    </row>
    <row r="168" ht="12.0" customHeight="1">
      <c r="B168" s="1"/>
      <c r="K168" s="2"/>
      <c r="M168" s="2"/>
    </row>
    <row r="169" ht="12.0" customHeight="1">
      <c r="B169" s="1"/>
      <c r="K169" s="2"/>
      <c r="M169" s="2"/>
    </row>
    <row r="170" ht="12.0" customHeight="1">
      <c r="B170" s="1"/>
      <c r="K170" s="2"/>
      <c r="M170" s="2"/>
    </row>
    <row r="171" ht="12.0" customHeight="1">
      <c r="B171" s="1"/>
      <c r="K171" s="2"/>
      <c r="M171" s="2"/>
    </row>
    <row r="172" ht="12.0" customHeight="1">
      <c r="B172" s="1"/>
      <c r="K172" s="2"/>
      <c r="M172" s="2"/>
    </row>
    <row r="173" ht="12.0" customHeight="1">
      <c r="B173" s="1"/>
      <c r="K173" s="2"/>
      <c r="M173" s="2"/>
    </row>
    <row r="174" ht="12.0" customHeight="1">
      <c r="B174" s="1"/>
      <c r="K174" s="2"/>
      <c r="M174" s="2"/>
    </row>
    <row r="175" ht="12.0" customHeight="1">
      <c r="B175" s="1"/>
      <c r="K175" s="2"/>
      <c r="M175" s="2"/>
    </row>
    <row r="176" ht="12.0" customHeight="1">
      <c r="B176" s="1"/>
      <c r="K176" s="2"/>
      <c r="M176" s="2"/>
    </row>
    <row r="177" ht="12.0" customHeight="1">
      <c r="B177" s="1"/>
      <c r="K177" s="2"/>
      <c r="M177" s="2"/>
    </row>
    <row r="178" ht="12.0" customHeight="1">
      <c r="B178" s="1"/>
      <c r="K178" s="2"/>
      <c r="M178" s="2"/>
    </row>
    <row r="179" ht="12.0" customHeight="1">
      <c r="B179" s="1"/>
      <c r="K179" s="2"/>
      <c r="M179" s="2"/>
    </row>
    <row r="180" ht="12.0" customHeight="1">
      <c r="B180" s="1"/>
      <c r="K180" s="2"/>
      <c r="M180" s="2"/>
    </row>
    <row r="181" ht="12.0" customHeight="1">
      <c r="B181" s="1"/>
      <c r="K181" s="2"/>
      <c r="M181" s="2"/>
    </row>
    <row r="182" ht="12.0" customHeight="1">
      <c r="B182" s="1"/>
      <c r="K182" s="2"/>
      <c r="M182" s="2"/>
    </row>
    <row r="183" ht="12.0" customHeight="1">
      <c r="B183" s="1"/>
      <c r="K183" s="2"/>
      <c r="M183" s="2"/>
    </row>
    <row r="184" ht="12.0" customHeight="1">
      <c r="B184" s="1"/>
      <c r="K184" s="2"/>
      <c r="M184" s="2"/>
    </row>
    <row r="185" ht="12.0" customHeight="1">
      <c r="B185" s="1"/>
      <c r="K185" s="2"/>
      <c r="M185" s="2"/>
    </row>
    <row r="186" ht="12.0" customHeight="1">
      <c r="B186" s="1"/>
      <c r="K186" s="2"/>
      <c r="M186" s="2"/>
    </row>
    <row r="187" ht="12.0" customHeight="1">
      <c r="B187" s="1"/>
      <c r="K187" s="2"/>
      <c r="M187" s="2"/>
    </row>
    <row r="188" ht="12.0" customHeight="1">
      <c r="B188" s="1"/>
      <c r="K188" s="2"/>
      <c r="M188" s="2"/>
    </row>
    <row r="189" ht="12.0" customHeight="1">
      <c r="B189" s="1"/>
      <c r="K189" s="2"/>
      <c r="M189" s="2"/>
    </row>
    <row r="190" ht="12.0" customHeight="1">
      <c r="B190" s="1"/>
      <c r="K190" s="2"/>
      <c r="M190" s="2"/>
    </row>
    <row r="191" ht="12.0" customHeight="1">
      <c r="B191" s="1"/>
      <c r="K191" s="2"/>
      <c r="M191" s="2"/>
    </row>
    <row r="192" ht="12.0" customHeight="1">
      <c r="B192" s="1"/>
      <c r="K192" s="2"/>
      <c r="M192" s="2"/>
    </row>
    <row r="193" ht="12.0" customHeight="1">
      <c r="B193" s="1"/>
      <c r="K193" s="2"/>
      <c r="M193" s="2"/>
    </row>
    <row r="194" ht="12.0" customHeight="1">
      <c r="B194" s="1"/>
      <c r="K194" s="2"/>
      <c r="M194" s="2"/>
    </row>
    <row r="195" ht="12.0" customHeight="1">
      <c r="B195" s="1"/>
      <c r="K195" s="2"/>
      <c r="M195" s="2"/>
    </row>
    <row r="196" ht="12.0" customHeight="1">
      <c r="B196" s="1"/>
      <c r="K196" s="2"/>
      <c r="M196" s="2"/>
    </row>
    <row r="197" ht="12.0" customHeight="1">
      <c r="B197" s="1"/>
      <c r="K197" s="2"/>
      <c r="M197" s="2"/>
    </row>
    <row r="198" ht="12.0" customHeight="1">
      <c r="B198" s="1"/>
      <c r="K198" s="2"/>
      <c r="M198" s="2"/>
    </row>
    <row r="199" ht="12.0" customHeight="1">
      <c r="B199" s="1"/>
      <c r="K199" s="2"/>
      <c r="M199" s="2"/>
    </row>
    <row r="200" ht="12.0" customHeight="1">
      <c r="B200" s="1"/>
      <c r="K200" s="2"/>
      <c r="M200" s="2"/>
    </row>
    <row r="201" ht="12.0" customHeight="1">
      <c r="B201" s="1"/>
      <c r="K201" s="2"/>
      <c r="M201" s="2"/>
    </row>
    <row r="202" ht="12.0" customHeight="1">
      <c r="B202" s="1"/>
      <c r="K202" s="2"/>
      <c r="M202" s="2"/>
    </row>
    <row r="203" ht="12.0" customHeight="1">
      <c r="B203" s="1"/>
      <c r="K203" s="2"/>
      <c r="M203" s="2"/>
    </row>
    <row r="204" ht="12.0" customHeight="1">
      <c r="B204" s="1"/>
      <c r="K204" s="2"/>
      <c r="M204" s="2"/>
    </row>
    <row r="205" ht="12.0" customHeight="1">
      <c r="B205" s="1"/>
      <c r="K205" s="2"/>
      <c r="M205" s="2"/>
    </row>
    <row r="206" ht="12.0" customHeight="1">
      <c r="B206" s="1"/>
      <c r="K206" s="2"/>
      <c r="M206" s="2"/>
    </row>
    <row r="207" ht="12.0" customHeight="1">
      <c r="B207" s="1"/>
      <c r="K207" s="2"/>
      <c r="M207" s="2"/>
    </row>
    <row r="208" ht="12.0" customHeight="1">
      <c r="B208" s="1"/>
      <c r="K208" s="2"/>
      <c r="M208" s="2"/>
    </row>
    <row r="209" ht="12.0" customHeight="1">
      <c r="B209" s="1"/>
      <c r="K209" s="2"/>
      <c r="M209" s="2"/>
    </row>
    <row r="210" ht="12.0" customHeight="1">
      <c r="B210" s="1"/>
      <c r="K210" s="2"/>
      <c r="M210" s="2"/>
    </row>
    <row r="211" ht="12.0" customHeight="1">
      <c r="B211" s="1"/>
      <c r="K211" s="2"/>
      <c r="M211" s="2"/>
    </row>
    <row r="212" ht="12.0" customHeight="1">
      <c r="B212" s="1"/>
      <c r="K212" s="2"/>
      <c r="M212" s="2"/>
    </row>
    <row r="213" ht="12.0" customHeight="1">
      <c r="B213" s="1"/>
      <c r="K213" s="2"/>
      <c r="M213" s="2"/>
    </row>
    <row r="214" ht="12.0" customHeight="1">
      <c r="B214" s="1"/>
      <c r="K214" s="2"/>
      <c r="M214" s="2"/>
    </row>
    <row r="215" ht="12.0" customHeight="1">
      <c r="B215" s="1"/>
      <c r="K215" s="2"/>
      <c r="M215" s="2"/>
    </row>
    <row r="216" ht="12.0" customHeight="1">
      <c r="B216" s="1"/>
      <c r="K216" s="2"/>
      <c r="M216" s="2"/>
    </row>
    <row r="217" ht="12.0" customHeight="1">
      <c r="B217" s="1"/>
      <c r="K217" s="2"/>
      <c r="M217" s="2"/>
    </row>
    <row r="218" ht="12.0" customHeight="1">
      <c r="B218" s="1"/>
      <c r="K218" s="2"/>
      <c r="M218" s="2"/>
    </row>
    <row r="219" ht="12.0" customHeight="1">
      <c r="B219" s="1"/>
      <c r="K219" s="2"/>
      <c r="M219" s="2"/>
    </row>
    <row r="220" ht="12.0" customHeight="1">
      <c r="B220" s="1"/>
      <c r="K220" s="2"/>
      <c r="M220" s="2"/>
    </row>
    <row r="221" ht="12.0" customHeight="1">
      <c r="B221" s="1"/>
      <c r="K221" s="2"/>
      <c r="M221" s="2"/>
    </row>
    <row r="222" ht="12.0" customHeight="1">
      <c r="B222" s="1"/>
      <c r="K222" s="2"/>
      <c r="M222" s="2"/>
    </row>
    <row r="223" ht="12.0" customHeight="1">
      <c r="B223" s="1"/>
      <c r="K223" s="2"/>
      <c r="M223" s="2"/>
    </row>
    <row r="224" ht="12.0" customHeight="1">
      <c r="B224" s="1"/>
      <c r="K224" s="2"/>
      <c r="M224" s="2"/>
    </row>
    <row r="225" ht="12.0" customHeight="1">
      <c r="B225" s="1"/>
      <c r="K225" s="2"/>
      <c r="M225" s="2"/>
    </row>
    <row r="226" ht="12.0" customHeight="1">
      <c r="B226" s="1"/>
      <c r="K226" s="2"/>
      <c r="M226" s="2"/>
    </row>
    <row r="227" ht="12.0" customHeight="1">
      <c r="B227" s="1"/>
      <c r="K227" s="2"/>
      <c r="M227" s="2"/>
    </row>
    <row r="228" ht="12.0" customHeight="1">
      <c r="B228" s="1"/>
      <c r="K228" s="2"/>
      <c r="M228" s="2"/>
    </row>
    <row r="229" ht="12.0" customHeight="1">
      <c r="B229" s="1"/>
      <c r="K229" s="2"/>
      <c r="M229" s="2"/>
    </row>
    <row r="230" ht="12.0" customHeight="1">
      <c r="B230" s="1"/>
      <c r="K230" s="2"/>
      <c r="M230" s="2"/>
    </row>
    <row r="231" ht="12.0" customHeight="1">
      <c r="B231" s="1"/>
      <c r="K231" s="2"/>
      <c r="M231" s="2"/>
    </row>
    <row r="232" ht="12.0" customHeight="1">
      <c r="B232" s="1"/>
      <c r="K232" s="2"/>
      <c r="M232" s="2"/>
    </row>
    <row r="233" ht="12.0" customHeight="1">
      <c r="B233" s="1"/>
      <c r="K233" s="2"/>
      <c r="M233" s="2"/>
    </row>
    <row r="234" ht="12.0" customHeight="1">
      <c r="B234" s="1"/>
      <c r="K234" s="2"/>
      <c r="M234" s="2"/>
    </row>
    <row r="235" ht="12.0" customHeight="1">
      <c r="B235" s="1"/>
      <c r="K235" s="2"/>
      <c r="M235" s="2"/>
    </row>
    <row r="236" ht="12.0" customHeight="1">
      <c r="B236" s="1"/>
      <c r="K236" s="2"/>
      <c r="M236" s="2"/>
    </row>
    <row r="237" ht="12.0" customHeight="1">
      <c r="B237" s="1"/>
      <c r="K237" s="2"/>
      <c r="M237" s="2"/>
    </row>
    <row r="238" ht="12.0" customHeight="1">
      <c r="B238" s="1"/>
      <c r="K238" s="2"/>
      <c r="M238" s="2"/>
    </row>
    <row r="239" ht="12.0" customHeight="1">
      <c r="B239" s="1"/>
      <c r="K239" s="2"/>
      <c r="M239" s="2"/>
    </row>
    <row r="240" ht="12.0" customHeight="1">
      <c r="B240" s="1"/>
      <c r="K240" s="2"/>
      <c r="M240" s="2"/>
    </row>
    <row r="241" ht="12.0" customHeight="1">
      <c r="B241" s="1"/>
      <c r="K241" s="2"/>
      <c r="M241" s="2"/>
    </row>
    <row r="242" ht="12.0" customHeight="1">
      <c r="B242" s="1"/>
      <c r="K242" s="2"/>
      <c r="M242" s="2"/>
    </row>
    <row r="243" ht="12.0" customHeight="1">
      <c r="B243" s="1"/>
      <c r="K243" s="2"/>
      <c r="M243" s="2"/>
    </row>
    <row r="244" ht="12.0" customHeight="1">
      <c r="B244" s="1"/>
      <c r="K244" s="2"/>
      <c r="M244" s="2"/>
    </row>
    <row r="245" ht="12.0" customHeight="1">
      <c r="B245" s="1"/>
      <c r="K245" s="2"/>
      <c r="M245" s="2"/>
    </row>
    <row r="246" ht="12.0" customHeight="1">
      <c r="B246" s="1"/>
      <c r="K246" s="2"/>
      <c r="M246" s="2"/>
    </row>
    <row r="247" ht="12.0" customHeight="1">
      <c r="B247" s="1"/>
      <c r="K247" s="2"/>
      <c r="M247" s="2"/>
    </row>
    <row r="248" ht="12.0" customHeight="1">
      <c r="B248" s="1"/>
      <c r="K248" s="2"/>
      <c r="M248" s="2"/>
    </row>
    <row r="249" ht="12.0" customHeight="1">
      <c r="B249" s="1"/>
      <c r="K249" s="2"/>
      <c r="M249" s="2"/>
    </row>
    <row r="250" ht="12.0" customHeight="1">
      <c r="B250" s="1"/>
      <c r="K250" s="2"/>
      <c r="M250" s="2"/>
    </row>
    <row r="251" ht="12.0" customHeight="1">
      <c r="B251" s="1"/>
      <c r="K251" s="2"/>
      <c r="M251" s="2"/>
    </row>
    <row r="252" ht="12.0" customHeight="1">
      <c r="B252" s="1"/>
      <c r="K252" s="2"/>
      <c r="M252" s="2"/>
    </row>
    <row r="253" ht="12.0" customHeight="1">
      <c r="B253" s="1"/>
      <c r="K253" s="2"/>
      <c r="M253" s="2"/>
    </row>
    <row r="254" ht="12.0" customHeight="1">
      <c r="B254" s="1"/>
      <c r="K254" s="2"/>
      <c r="M254" s="2"/>
    </row>
    <row r="255" ht="12.0" customHeight="1">
      <c r="B255" s="1"/>
      <c r="K255" s="2"/>
      <c r="M255" s="2"/>
    </row>
    <row r="256" ht="12.0" customHeight="1">
      <c r="B256" s="1"/>
      <c r="K256" s="2"/>
      <c r="M256" s="2"/>
    </row>
    <row r="257" ht="12.0" customHeight="1">
      <c r="B257" s="1"/>
      <c r="K257" s="2"/>
      <c r="M257" s="2"/>
    </row>
    <row r="258" ht="12.0" customHeight="1">
      <c r="B258" s="1"/>
      <c r="K258" s="2"/>
      <c r="M258" s="2"/>
    </row>
    <row r="259" ht="12.0" customHeight="1">
      <c r="B259" s="1"/>
      <c r="K259" s="2"/>
      <c r="M259" s="2"/>
    </row>
    <row r="260" ht="12.0" customHeight="1">
      <c r="B260" s="1"/>
      <c r="K260" s="2"/>
      <c r="M260" s="2"/>
    </row>
    <row r="261" ht="12.0" customHeight="1">
      <c r="B261" s="1"/>
      <c r="K261" s="2"/>
      <c r="M261" s="2"/>
    </row>
    <row r="262" ht="12.0" customHeight="1">
      <c r="B262" s="1"/>
      <c r="K262" s="2"/>
      <c r="M262" s="2"/>
    </row>
    <row r="263" ht="12.0" customHeight="1">
      <c r="B263" s="1"/>
      <c r="K263" s="2"/>
      <c r="M263" s="2"/>
    </row>
    <row r="264" ht="12.0" customHeight="1">
      <c r="B264" s="1"/>
      <c r="K264" s="2"/>
      <c r="M264" s="2"/>
    </row>
    <row r="265" ht="12.0" customHeight="1">
      <c r="B265" s="1"/>
      <c r="K265" s="2"/>
      <c r="M265" s="2"/>
    </row>
    <row r="266" ht="12.0" customHeight="1">
      <c r="B266" s="1"/>
      <c r="K266" s="2"/>
      <c r="M266" s="2"/>
    </row>
    <row r="267" ht="12.0" customHeight="1">
      <c r="B267" s="1"/>
      <c r="K267" s="2"/>
      <c r="M267" s="2"/>
    </row>
    <row r="268" ht="12.0" customHeight="1">
      <c r="B268" s="1"/>
      <c r="K268" s="2"/>
      <c r="M268" s="2"/>
    </row>
    <row r="269" ht="12.0" customHeight="1">
      <c r="B269" s="1"/>
      <c r="K269" s="2"/>
      <c r="M269" s="2"/>
    </row>
    <row r="270" ht="12.0" customHeight="1">
      <c r="B270" s="1"/>
      <c r="K270" s="2"/>
      <c r="M270" s="2"/>
    </row>
    <row r="271" ht="12.0" customHeight="1">
      <c r="B271" s="1"/>
      <c r="K271" s="2"/>
      <c r="M271" s="2"/>
    </row>
    <row r="272" ht="12.0" customHeight="1">
      <c r="B272" s="1"/>
      <c r="K272" s="2"/>
      <c r="M272" s="2"/>
    </row>
    <row r="273" ht="12.0" customHeight="1">
      <c r="B273" s="1"/>
      <c r="K273" s="2"/>
      <c r="M273" s="2"/>
    </row>
    <row r="274" ht="12.0" customHeight="1">
      <c r="B274" s="1"/>
      <c r="K274" s="2"/>
      <c r="M274" s="2"/>
    </row>
    <row r="275" ht="12.0" customHeight="1">
      <c r="B275" s="1"/>
      <c r="K275" s="2"/>
      <c r="M275" s="2"/>
    </row>
    <row r="276" ht="12.0" customHeight="1">
      <c r="B276" s="1"/>
      <c r="K276" s="2"/>
      <c r="M276" s="2"/>
    </row>
    <row r="277" ht="12.0" customHeight="1">
      <c r="B277" s="1"/>
      <c r="K277" s="2"/>
      <c r="M277" s="2"/>
    </row>
    <row r="278" ht="12.0" customHeight="1">
      <c r="B278" s="1"/>
      <c r="K278" s="2"/>
      <c r="M278" s="2"/>
    </row>
    <row r="279" ht="12.0" customHeight="1">
      <c r="B279" s="1"/>
      <c r="K279" s="2"/>
      <c r="M279" s="2"/>
    </row>
    <row r="280" ht="12.0" customHeight="1">
      <c r="B280" s="1"/>
      <c r="K280" s="2"/>
      <c r="M280" s="2"/>
    </row>
    <row r="281" ht="12.0" customHeight="1">
      <c r="B281" s="1"/>
      <c r="K281" s="2"/>
      <c r="M281" s="2"/>
    </row>
    <row r="282" ht="12.0" customHeight="1">
      <c r="B282" s="1"/>
      <c r="K282" s="2"/>
      <c r="M282" s="2"/>
    </row>
    <row r="283" ht="12.0" customHeight="1">
      <c r="B283" s="1"/>
      <c r="K283" s="2"/>
      <c r="M283" s="2"/>
    </row>
    <row r="284" ht="12.0" customHeight="1">
      <c r="B284" s="1"/>
      <c r="K284" s="2"/>
      <c r="M284" s="2"/>
    </row>
    <row r="285" ht="12.0" customHeight="1">
      <c r="B285" s="1"/>
      <c r="K285" s="2"/>
      <c r="M285" s="2"/>
    </row>
    <row r="286" ht="12.0" customHeight="1">
      <c r="B286" s="1"/>
      <c r="K286" s="2"/>
      <c r="M286" s="2"/>
    </row>
    <row r="287" ht="12.0" customHeight="1">
      <c r="B287" s="1"/>
      <c r="K287" s="2"/>
      <c r="M287" s="2"/>
    </row>
    <row r="288" ht="12.0" customHeight="1">
      <c r="B288" s="1"/>
      <c r="K288" s="2"/>
      <c r="M288" s="2"/>
    </row>
    <row r="289" ht="12.0" customHeight="1">
      <c r="B289" s="1"/>
      <c r="K289" s="2"/>
      <c r="M289" s="2"/>
    </row>
    <row r="290" ht="12.0" customHeight="1">
      <c r="B290" s="1"/>
      <c r="K290" s="2"/>
      <c r="M290" s="2"/>
    </row>
    <row r="291" ht="12.0" customHeight="1">
      <c r="B291" s="1"/>
      <c r="K291" s="2"/>
      <c r="M291" s="2"/>
    </row>
    <row r="292" ht="12.0" customHeight="1">
      <c r="B292" s="1"/>
      <c r="K292" s="2"/>
      <c r="M292" s="2"/>
    </row>
    <row r="293" ht="12.0" customHeight="1">
      <c r="B293" s="1"/>
      <c r="K293" s="2"/>
      <c r="M293" s="2"/>
    </row>
    <row r="294" ht="12.0" customHeight="1">
      <c r="B294" s="1"/>
      <c r="K294" s="2"/>
      <c r="M294" s="2"/>
    </row>
    <row r="295" ht="12.0" customHeight="1">
      <c r="B295" s="1"/>
      <c r="K295" s="2"/>
      <c r="M295" s="2"/>
    </row>
    <row r="296" ht="12.0" customHeight="1">
      <c r="B296" s="1"/>
      <c r="K296" s="2"/>
      <c r="M296" s="2"/>
    </row>
    <row r="297" ht="12.0" customHeight="1">
      <c r="B297" s="1"/>
      <c r="K297" s="2"/>
      <c r="M297" s="2"/>
    </row>
    <row r="298" ht="12.0" customHeight="1">
      <c r="B298" s="1"/>
      <c r="K298" s="2"/>
      <c r="M298" s="2"/>
    </row>
    <row r="299" ht="12.0" customHeight="1">
      <c r="B299" s="1"/>
      <c r="K299" s="2"/>
      <c r="M299" s="2"/>
    </row>
    <row r="300" ht="12.0" customHeight="1">
      <c r="B300" s="1"/>
      <c r="K300" s="2"/>
      <c r="M300" s="2"/>
    </row>
    <row r="301" ht="12.0" customHeight="1">
      <c r="B301" s="1"/>
      <c r="K301" s="2"/>
      <c r="M301" s="2"/>
    </row>
    <row r="302" ht="12.0" customHeight="1">
      <c r="B302" s="1"/>
      <c r="K302" s="2"/>
      <c r="M302" s="2"/>
    </row>
    <row r="303" ht="12.0" customHeight="1">
      <c r="B303" s="1"/>
      <c r="K303" s="2"/>
      <c r="M303" s="2"/>
    </row>
    <row r="304" ht="12.0" customHeight="1">
      <c r="B304" s="1"/>
      <c r="K304" s="2"/>
      <c r="M304" s="2"/>
    </row>
    <row r="305" ht="12.0" customHeight="1">
      <c r="B305" s="1"/>
      <c r="K305" s="2"/>
      <c r="M305" s="2"/>
    </row>
    <row r="306" ht="12.0" customHeight="1">
      <c r="B306" s="1"/>
      <c r="K306" s="2"/>
      <c r="M306" s="2"/>
    </row>
    <row r="307" ht="12.0" customHeight="1">
      <c r="B307" s="1"/>
      <c r="K307" s="2"/>
      <c r="M307" s="2"/>
    </row>
    <row r="308" ht="12.0" customHeight="1">
      <c r="B308" s="1"/>
      <c r="K308" s="2"/>
      <c r="M308" s="2"/>
    </row>
    <row r="309" ht="12.0" customHeight="1">
      <c r="B309" s="1"/>
      <c r="K309" s="2"/>
      <c r="M309" s="2"/>
    </row>
    <row r="310" ht="12.0" customHeight="1">
      <c r="B310" s="1"/>
      <c r="K310" s="2"/>
      <c r="M310" s="2"/>
    </row>
    <row r="311" ht="12.0" customHeight="1">
      <c r="B311" s="1"/>
      <c r="K311" s="2"/>
      <c r="M311" s="2"/>
    </row>
    <row r="312" ht="12.0" customHeight="1">
      <c r="B312" s="1"/>
      <c r="K312" s="2"/>
      <c r="M312" s="2"/>
    </row>
    <row r="313" ht="12.0" customHeight="1">
      <c r="B313" s="1"/>
      <c r="K313" s="2"/>
      <c r="M313" s="2"/>
    </row>
    <row r="314" ht="12.0" customHeight="1">
      <c r="B314" s="1"/>
      <c r="K314" s="2"/>
      <c r="M314" s="2"/>
    </row>
    <row r="315" ht="12.0" customHeight="1">
      <c r="B315" s="1"/>
      <c r="K315" s="2"/>
      <c r="M315" s="2"/>
    </row>
    <row r="316" ht="12.0" customHeight="1">
      <c r="B316" s="1"/>
      <c r="K316" s="2"/>
      <c r="M316" s="2"/>
    </row>
    <row r="317" ht="12.0" customHeight="1">
      <c r="B317" s="1"/>
      <c r="K317" s="2"/>
      <c r="M317" s="2"/>
    </row>
    <row r="318" ht="12.0" customHeight="1">
      <c r="B318" s="1"/>
      <c r="K318" s="2"/>
      <c r="M318" s="2"/>
    </row>
    <row r="319" ht="12.0" customHeight="1">
      <c r="B319" s="1"/>
      <c r="K319" s="2"/>
      <c r="M319" s="2"/>
    </row>
    <row r="320" ht="12.0" customHeight="1">
      <c r="B320" s="1"/>
      <c r="K320" s="2"/>
      <c r="M320" s="2"/>
    </row>
    <row r="321" ht="12.0" customHeight="1">
      <c r="B321" s="1"/>
      <c r="K321" s="2"/>
      <c r="M321" s="2"/>
    </row>
    <row r="322" ht="12.0" customHeight="1">
      <c r="B322" s="1"/>
      <c r="K322" s="2"/>
      <c r="M322" s="2"/>
    </row>
    <row r="323" ht="12.0" customHeight="1">
      <c r="B323" s="1"/>
      <c r="K323" s="2"/>
      <c r="M323" s="2"/>
    </row>
    <row r="324" ht="12.0" customHeight="1">
      <c r="B324" s="1"/>
      <c r="K324" s="2"/>
      <c r="M324" s="2"/>
    </row>
    <row r="325" ht="12.0" customHeight="1">
      <c r="B325" s="1"/>
      <c r="K325" s="2"/>
      <c r="M325" s="2"/>
    </row>
    <row r="326" ht="12.0" customHeight="1">
      <c r="B326" s="1"/>
      <c r="K326" s="2"/>
      <c r="M326" s="2"/>
    </row>
    <row r="327" ht="12.0" customHeight="1">
      <c r="B327" s="1"/>
      <c r="K327" s="2"/>
      <c r="M327" s="2"/>
    </row>
    <row r="328" ht="12.0" customHeight="1">
      <c r="B328" s="1"/>
      <c r="K328" s="2"/>
      <c r="M328" s="2"/>
    </row>
    <row r="329" ht="12.0" customHeight="1">
      <c r="B329" s="1"/>
      <c r="K329" s="2"/>
      <c r="M329" s="2"/>
    </row>
    <row r="330" ht="12.0" customHeight="1">
      <c r="B330" s="1"/>
      <c r="K330" s="2"/>
      <c r="M330" s="2"/>
    </row>
    <row r="331" ht="12.0" customHeight="1">
      <c r="B331" s="1"/>
      <c r="K331" s="2"/>
      <c r="M331" s="2"/>
    </row>
    <row r="332" ht="12.0" customHeight="1">
      <c r="B332" s="1"/>
      <c r="K332" s="2"/>
      <c r="M332" s="2"/>
    </row>
    <row r="333" ht="12.0" customHeight="1">
      <c r="B333" s="1"/>
      <c r="K333" s="2"/>
      <c r="M333" s="2"/>
    </row>
    <row r="334" ht="12.0" customHeight="1">
      <c r="B334" s="1"/>
      <c r="K334" s="2"/>
      <c r="M334" s="2"/>
    </row>
    <row r="335" ht="12.0" customHeight="1">
      <c r="B335" s="1"/>
      <c r="K335" s="2"/>
      <c r="M335" s="2"/>
    </row>
    <row r="336" ht="12.0" customHeight="1">
      <c r="B336" s="1"/>
      <c r="K336" s="2"/>
      <c r="M336" s="2"/>
    </row>
    <row r="337" ht="12.0" customHeight="1">
      <c r="B337" s="1"/>
      <c r="K337" s="2"/>
      <c r="M337" s="2"/>
    </row>
    <row r="338" ht="12.0" customHeight="1">
      <c r="B338" s="1"/>
      <c r="K338" s="2"/>
      <c r="M338" s="2"/>
    </row>
    <row r="339" ht="12.0" customHeight="1">
      <c r="B339" s="1"/>
      <c r="K339" s="2"/>
      <c r="M339" s="2"/>
    </row>
    <row r="340" ht="12.0" customHeight="1">
      <c r="B340" s="1"/>
      <c r="K340" s="2"/>
      <c r="M340" s="2"/>
    </row>
    <row r="341" ht="12.0" customHeight="1">
      <c r="B341" s="1"/>
      <c r="K341" s="2"/>
      <c r="M341" s="2"/>
    </row>
    <row r="342" ht="12.0" customHeight="1">
      <c r="B342" s="1"/>
      <c r="K342" s="2"/>
      <c r="M342" s="2"/>
    </row>
    <row r="343" ht="12.0" customHeight="1">
      <c r="B343" s="1"/>
      <c r="K343" s="2"/>
      <c r="M343" s="2"/>
    </row>
    <row r="344" ht="12.0" customHeight="1">
      <c r="B344" s="1"/>
      <c r="K344" s="2"/>
      <c r="M344" s="2"/>
    </row>
    <row r="345" ht="12.0" customHeight="1">
      <c r="B345" s="1"/>
      <c r="K345" s="2"/>
      <c r="M345" s="2"/>
    </row>
    <row r="346" ht="12.0" customHeight="1">
      <c r="B346" s="1"/>
      <c r="K346" s="2"/>
      <c r="M346" s="2"/>
    </row>
    <row r="347" ht="12.0" customHeight="1">
      <c r="B347" s="1"/>
      <c r="K347" s="2"/>
      <c r="M347" s="2"/>
    </row>
    <row r="348" ht="12.0" customHeight="1">
      <c r="B348" s="1"/>
      <c r="K348" s="2"/>
      <c r="M348" s="2"/>
    </row>
    <row r="349" ht="12.0" customHeight="1">
      <c r="B349" s="1"/>
      <c r="K349" s="2"/>
      <c r="M349" s="2"/>
    </row>
    <row r="350" ht="12.0" customHeight="1">
      <c r="B350" s="1"/>
      <c r="K350" s="2"/>
      <c r="M350" s="2"/>
    </row>
    <row r="351" ht="12.0" customHeight="1">
      <c r="B351" s="1"/>
      <c r="K351" s="2"/>
      <c r="M351" s="2"/>
    </row>
    <row r="352" ht="12.0" customHeight="1">
      <c r="B352" s="1"/>
      <c r="K352" s="2"/>
      <c r="M352" s="2"/>
    </row>
    <row r="353" ht="12.0" customHeight="1">
      <c r="B353" s="1"/>
      <c r="K353" s="2"/>
      <c r="M353" s="2"/>
    </row>
    <row r="354" ht="12.0" customHeight="1">
      <c r="B354" s="1"/>
      <c r="K354" s="2"/>
      <c r="M354" s="2"/>
    </row>
    <row r="355" ht="12.0" customHeight="1">
      <c r="B355" s="1"/>
      <c r="K355" s="2"/>
      <c r="M355" s="2"/>
    </row>
    <row r="356" ht="12.0" customHeight="1">
      <c r="B356" s="1"/>
      <c r="K356" s="2"/>
      <c r="M356" s="2"/>
    </row>
    <row r="357" ht="12.0" customHeight="1">
      <c r="B357" s="1"/>
      <c r="K357" s="2"/>
      <c r="M357" s="2"/>
    </row>
    <row r="358" ht="12.0" customHeight="1">
      <c r="B358" s="1"/>
      <c r="K358" s="2"/>
      <c r="M358" s="2"/>
    </row>
    <row r="359" ht="12.0" customHeight="1">
      <c r="B359" s="1"/>
      <c r="K359" s="2"/>
      <c r="M359" s="2"/>
    </row>
    <row r="360" ht="12.0" customHeight="1">
      <c r="B360" s="1"/>
      <c r="K360" s="2"/>
      <c r="M360" s="2"/>
    </row>
    <row r="361" ht="12.0" customHeight="1">
      <c r="B361" s="1"/>
      <c r="K361" s="2"/>
      <c r="M361" s="2"/>
    </row>
    <row r="362" ht="12.0" customHeight="1">
      <c r="B362" s="1"/>
      <c r="K362" s="2"/>
      <c r="M362" s="2"/>
    </row>
    <row r="363" ht="12.0" customHeight="1">
      <c r="B363" s="1"/>
      <c r="K363" s="2"/>
      <c r="M363" s="2"/>
    </row>
    <row r="364" ht="12.0" customHeight="1">
      <c r="B364" s="1"/>
      <c r="K364" s="2"/>
      <c r="M364" s="2"/>
    </row>
    <row r="365" ht="12.0" customHeight="1">
      <c r="B365" s="1"/>
      <c r="K365" s="2"/>
      <c r="M365" s="2"/>
    </row>
    <row r="366" ht="12.0" customHeight="1">
      <c r="B366" s="1"/>
      <c r="K366" s="2"/>
      <c r="M366" s="2"/>
    </row>
    <row r="367" ht="12.0" customHeight="1">
      <c r="B367" s="1"/>
      <c r="K367" s="2"/>
      <c r="M367" s="2"/>
    </row>
    <row r="368" ht="12.0" customHeight="1">
      <c r="B368" s="1"/>
      <c r="K368" s="2"/>
      <c r="M368" s="2"/>
    </row>
    <row r="369" ht="12.0" customHeight="1">
      <c r="B369" s="1"/>
      <c r="K369" s="2"/>
      <c r="M369" s="2"/>
    </row>
    <row r="370" ht="12.0" customHeight="1">
      <c r="B370" s="1"/>
      <c r="K370" s="2"/>
      <c r="M370" s="2"/>
    </row>
    <row r="371" ht="12.0" customHeight="1">
      <c r="B371" s="1"/>
      <c r="K371" s="2"/>
      <c r="M371" s="2"/>
    </row>
    <row r="372" ht="12.0" customHeight="1">
      <c r="B372" s="1"/>
      <c r="K372" s="2"/>
      <c r="M372" s="2"/>
    </row>
    <row r="373" ht="12.0" customHeight="1">
      <c r="B373" s="1"/>
      <c r="K373" s="2"/>
      <c r="M373" s="2"/>
    </row>
    <row r="374" ht="12.0" customHeight="1">
      <c r="B374" s="1"/>
      <c r="K374" s="2"/>
      <c r="M374" s="2"/>
    </row>
    <row r="375" ht="12.0" customHeight="1">
      <c r="B375" s="1"/>
      <c r="K375" s="2"/>
      <c r="M375" s="2"/>
    </row>
    <row r="376" ht="12.0" customHeight="1">
      <c r="B376" s="1"/>
      <c r="K376" s="2"/>
      <c r="M376" s="2"/>
    </row>
    <row r="377" ht="12.0" customHeight="1">
      <c r="B377" s="1"/>
      <c r="K377" s="2"/>
      <c r="M377" s="2"/>
    </row>
    <row r="378" ht="12.0" customHeight="1">
      <c r="B378" s="1"/>
      <c r="K378" s="2"/>
      <c r="M378" s="2"/>
    </row>
    <row r="379" ht="12.0" customHeight="1">
      <c r="B379" s="1"/>
      <c r="K379" s="2"/>
      <c r="M379" s="2"/>
    </row>
    <row r="380" ht="12.0" customHeight="1">
      <c r="B380" s="1"/>
      <c r="K380" s="2"/>
      <c r="M380" s="2"/>
    </row>
    <row r="381" ht="12.0" customHeight="1">
      <c r="B381" s="1"/>
      <c r="K381" s="2"/>
      <c r="M381" s="2"/>
    </row>
    <row r="382" ht="12.0" customHeight="1">
      <c r="B382" s="1"/>
      <c r="K382" s="2"/>
      <c r="M382" s="2"/>
    </row>
    <row r="383" ht="12.0" customHeight="1">
      <c r="B383" s="1"/>
      <c r="K383" s="2"/>
      <c r="M383" s="2"/>
    </row>
    <row r="384" ht="12.0" customHeight="1">
      <c r="B384" s="1"/>
      <c r="K384" s="2"/>
      <c r="M384" s="2"/>
    </row>
    <row r="385" ht="12.0" customHeight="1">
      <c r="B385" s="1"/>
      <c r="K385" s="2"/>
      <c r="M385" s="2"/>
    </row>
    <row r="386" ht="12.0" customHeight="1">
      <c r="B386" s="1"/>
      <c r="K386" s="2"/>
      <c r="M386" s="2"/>
    </row>
    <row r="387" ht="12.0" customHeight="1">
      <c r="B387" s="1"/>
      <c r="K387" s="2"/>
      <c r="M387" s="2"/>
    </row>
    <row r="388" ht="12.0" customHeight="1">
      <c r="B388" s="1"/>
      <c r="K388" s="2"/>
      <c r="M388" s="2"/>
    </row>
    <row r="389" ht="12.0" customHeight="1">
      <c r="B389" s="1"/>
      <c r="K389" s="2"/>
      <c r="M389" s="2"/>
    </row>
    <row r="390" ht="12.0" customHeight="1">
      <c r="B390" s="1"/>
      <c r="K390" s="2"/>
      <c r="M390" s="2"/>
    </row>
    <row r="391" ht="12.0" customHeight="1">
      <c r="B391" s="1"/>
      <c r="K391" s="2"/>
      <c r="M391" s="2"/>
    </row>
    <row r="392" ht="12.0" customHeight="1">
      <c r="B392" s="1"/>
      <c r="K392" s="2"/>
      <c r="M392" s="2"/>
    </row>
    <row r="393" ht="12.0" customHeight="1">
      <c r="B393" s="1"/>
      <c r="K393" s="2"/>
      <c r="M393" s="2"/>
    </row>
    <row r="394" ht="12.0" customHeight="1">
      <c r="B394" s="1"/>
      <c r="K394" s="2"/>
      <c r="M394" s="2"/>
    </row>
    <row r="395" ht="12.0" customHeight="1">
      <c r="B395" s="1"/>
      <c r="K395" s="2"/>
      <c r="M395" s="2"/>
    </row>
    <row r="396" ht="12.0" customHeight="1">
      <c r="B396" s="1"/>
      <c r="K396" s="2"/>
      <c r="M396" s="2"/>
    </row>
    <row r="397" ht="12.0" customHeight="1">
      <c r="B397" s="1"/>
      <c r="K397" s="2"/>
      <c r="M397" s="2"/>
    </row>
    <row r="398" ht="12.0" customHeight="1">
      <c r="B398" s="1"/>
      <c r="K398" s="2"/>
      <c r="M398" s="2"/>
    </row>
    <row r="399" ht="12.0" customHeight="1">
      <c r="B399" s="1"/>
      <c r="K399" s="2"/>
      <c r="M399" s="2"/>
    </row>
    <row r="400" ht="12.0" customHeight="1">
      <c r="B400" s="1"/>
      <c r="K400" s="2"/>
      <c r="M400" s="2"/>
    </row>
    <row r="401" ht="12.0" customHeight="1">
      <c r="B401" s="1"/>
      <c r="K401" s="2"/>
      <c r="M401" s="2"/>
    </row>
    <row r="402" ht="12.0" customHeight="1">
      <c r="B402" s="1"/>
      <c r="K402" s="2"/>
      <c r="M402" s="2"/>
    </row>
    <row r="403" ht="12.0" customHeight="1">
      <c r="B403" s="1"/>
      <c r="K403" s="2"/>
      <c r="M403" s="2"/>
    </row>
    <row r="404" ht="12.0" customHeight="1">
      <c r="B404" s="1"/>
      <c r="K404" s="2"/>
      <c r="M404" s="2"/>
    </row>
    <row r="405" ht="12.0" customHeight="1">
      <c r="B405" s="1"/>
      <c r="K405" s="2"/>
      <c r="M405" s="2"/>
    </row>
    <row r="406" ht="12.0" customHeight="1">
      <c r="B406" s="1"/>
      <c r="K406" s="2"/>
      <c r="M406" s="2"/>
    </row>
    <row r="407" ht="12.0" customHeight="1">
      <c r="B407" s="1"/>
      <c r="K407" s="2"/>
      <c r="M407" s="2"/>
    </row>
    <row r="408" ht="12.0" customHeight="1">
      <c r="B408" s="1"/>
      <c r="K408" s="2"/>
      <c r="M408" s="2"/>
    </row>
    <row r="409" ht="12.0" customHeight="1">
      <c r="B409" s="1"/>
      <c r="K409" s="2"/>
      <c r="M409" s="2"/>
    </row>
    <row r="410" ht="12.0" customHeight="1">
      <c r="B410" s="1"/>
      <c r="K410" s="2"/>
      <c r="M410" s="2"/>
    </row>
    <row r="411" ht="12.0" customHeight="1">
      <c r="B411" s="1"/>
      <c r="K411" s="2"/>
      <c r="M411" s="2"/>
    </row>
    <row r="412" ht="12.0" customHeight="1">
      <c r="B412" s="1"/>
      <c r="K412" s="2"/>
      <c r="M412" s="2"/>
    </row>
    <row r="413" ht="12.0" customHeight="1">
      <c r="B413" s="1"/>
      <c r="K413" s="2"/>
      <c r="M413" s="2"/>
    </row>
    <row r="414" ht="12.0" customHeight="1">
      <c r="B414" s="1"/>
      <c r="K414" s="2"/>
      <c r="M414" s="2"/>
    </row>
    <row r="415" ht="12.0" customHeight="1">
      <c r="B415" s="1"/>
      <c r="K415" s="2"/>
      <c r="M415" s="2"/>
    </row>
    <row r="416" ht="12.0" customHeight="1">
      <c r="B416" s="1"/>
      <c r="K416" s="2"/>
      <c r="M416" s="2"/>
    </row>
    <row r="417" ht="12.0" customHeight="1">
      <c r="B417" s="1"/>
      <c r="K417" s="2"/>
      <c r="M417" s="2"/>
    </row>
    <row r="418" ht="12.0" customHeight="1">
      <c r="B418" s="1"/>
      <c r="K418" s="2"/>
      <c r="M418" s="2"/>
    </row>
    <row r="419" ht="12.0" customHeight="1">
      <c r="B419" s="1"/>
      <c r="K419" s="2"/>
      <c r="M419" s="2"/>
    </row>
    <row r="420" ht="12.0" customHeight="1">
      <c r="B420" s="1"/>
      <c r="K420" s="2"/>
      <c r="M420" s="2"/>
    </row>
    <row r="421" ht="12.0" customHeight="1">
      <c r="B421" s="1"/>
      <c r="K421" s="2"/>
      <c r="M421" s="2"/>
    </row>
    <row r="422" ht="12.0" customHeight="1">
      <c r="B422" s="1"/>
      <c r="K422" s="2"/>
      <c r="M422" s="2"/>
    </row>
    <row r="423" ht="12.0" customHeight="1">
      <c r="B423" s="1"/>
      <c r="K423" s="2"/>
      <c r="M423" s="2"/>
    </row>
    <row r="424" ht="12.0" customHeight="1">
      <c r="B424" s="1"/>
      <c r="K424" s="2"/>
      <c r="M424" s="2"/>
    </row>
    <row r="425" ht="12.0" customHeight="1">
      <c r="B425" s="1"/>
      <c r="K425" s="2"/>
      <c r="M425" s="2"/>
    </row>
    <row r="426" ht="12.0" customHeight="1">
      <c r="B426" s="1"/>
      <c r="K426" s="2"/>
      <c r="M426" s="2"/>
    </row>
    <row r="427" ht="12.0" customHeight="1">
      <c r="B427" s="1"/>
      <c r="K427" s="2"/>
      <c r="M427" s="2"/>
    </row>
    <row r="428" ht="12.0" customHeight="1">
      <c r="B428" s="1"/>
      <c r="K428" s="2"/>
      <c r="M428" s="2"/>
    </row>
    <row r="429" ht="12.0" customHeight="1">
      <c r="B429" s="1"/>
      <c r="K429" s="2"/>
      <c r="M429" s="2"/>
    </row>
    <row r="430" ht="12.0" customHeight="1">
      <c r="B430" s="1"/>
      <c r="K430" s="2"/>
      <c r="M430" s="2"/>
    </row>
    <row r="431" ht="12.0" customHeight="1">
      <c r="B431" s="1"/>
      <c r="K431" s="2"/>
      <c r="M431" s="2"/>
    </row>
    <row r="432" ht="12.0" customHeight="1">
      <c r="B432" s="1"/>
      <c r="K432" s="2"/>
      <c r="M432" s="2"/>
    </row>
    <row r="433" ht="12.0" customHeight="1">
      <c r="B433" s="1"/>
      <c r="K433" s="2"/>
      <c r="M433" s="2"/>
    </row>
    <row r="434" ht="12.0" customHeight="1">
      <c r="B434" s="1"/>
      <c r="K434" s="2"/>
      <c r="M434" s="2"/>
    </row>
    <row r="435" ht="12.0" customHeight="1">
      <c r="B435" s="1"/>
      <c r="K435" s="2"/>
      <c r="M435" s="2"/>
    </row>
    <row r="436" ht="12.0" customHeight="1">
      <c r="B436" s="1"/>
      <c r="K436" s="2"/>
      <c r="M436" s="2"/>
    </row>
    <row r="437" ht="12.0" customHeight="1">
      <c r="B437" s="1"/>
      <c r="K437" s="2"/>
      <c r="M437" s="2"/>
    </row>
    <row r="438" ht="12.0" customHeight="1">
      <c r="B438" s="1"/>
      <c r="K438" s="2"/>
      <c r="M438" s="2"/>
    </row>
    <row r="439" ht="12.0" customHeight="1">
      <c r="B439" s="1"/>
      <c r="K439" s="2"/>
      <c r="M439" s="2"/>
    </row>
    <row r="440" ht="12.0" customHeight="1">
      <c r="B440" s="1"/>
      <c r="K440" s="2"/>
      <c r="M440" s="2"/>
    </row>
    <row r="441" ht="12.0" customHeight="1">
      <c r="B441" s="1"/>
      <c r="K441" s="2"/>
      <c r="M441" s="2"/>
    </row>
    <row r="442" ht="12.0" customHeight="1">
      <c r="B442" s="1"/>
      <c r="K442" s="2"/>
      <c r="M442" s="2"/>
    </row>
    <row r="443" ht="12.0" customHeight="1">
      <c r="B443" s="1"/>
      <c r="K443" s="2"/>
      <c r="M443" s="2"/>
    </row>
    <row r="444" ht="12.0" customHeight="1">
      <c r="B444" s="1"/>
      <c r="K444" s="2"/>
      <c r="M444" s="2"/>
    </row>
    <row r="445" ht="12.0" customHeight="1">
      <c r="B445" s="1"/>
      <c r="K445" s="2"/>
      <c r="M445" s="2"/>
    </row>
    <row r="446" ht="12.0" customHeight="1">
      <c r="B446" s="1"/>
      <c r="K446" s="2"/>
      <c r="M446" s="2"/>
    </row>
    <row r="447" ht="12.0" customHeight="1">
      <c r="B447" s="1"/>
      <c r="K447" s="2"/>
      <c r="M447" s="2"/>
    </row>
    <row r="448" ht="12.0" customHeight="1">
      <c r="B448" s="1"/>
      <c r="K448" s="2"/>
      <c r="M448" s="2"/>
    </row>
    <row r="449" ht="12.0" customHeight="1">
      <c r="B449" s="1"/>
      <c r="K449" s="2"/>
      <c r="M449" s="2"/>
    </row>
    <row r="450" ht="12.0" customHeight="1">
      <c r="B450" s="1"/>
      <c r="K450" s="2"/>
      <c r="M450" s="2"/>
    </row>
    <row r="451" ht="12.0" customHeight="1">
      <c r="B451" s="1"/>
      <c r="K451" s="2"/>
      <c r="M451" s="2"/>
    </row>
    <row r="452" ht="12.0" customHeight="1">
      <c r="B452" s="1"/>
      <c r="K452" s="2"/>
      <c r="M452" s="2"/>
    </row>
    <row r="453" ht="12.0" customHeight="1">
      <c r="B453" s="1"/>
      <c r="K453" s="2"/>
      <c r="M453" s="2"/>
    </row>
    <row r="454" ht="12.0" customHeight="1">
      <c r="B454" s="1"/>
      <c r="K454" s="2"/>
      <c r="M454" s="2"/>
    </row>
    <row r="455" ht="12.0" customHeight="1">
      <c r="B455" s="1"/>
      <c r="K455" s="2"/>
      <c r="M455" s="2"/>
    </row>
    <row r="456" ht="12.0" customHeight="1">
      <c r="B456" s="1"/>
      <c r="K456" s="2"/>
      <c r="M456" s="2"/>
    </row>
    <row r="457" ht="12.0" customHeight="1">
      <c r="B457" s="1"/>
      <c r="K457" s="2"/>
      <c r="M457" s="2"/>
    </row>
    <row r="458" ht="12.0" customHeight="1">
      <c r="B458" s="1"/>
      <c r="K458" s="2"/>
      <c r="M458" s="2"/>
    </row>
    <row r="459" ht="12.0" customHeight="1">
      <c r="B459" s="1"/>
      <c r="K459" s="2"/>
      <c r="M459" s="2"/>
    </row>
    <row r="460" ht="12.0" customHeight="1">
      <c r="B460" s="1"/>
      <c r="K460" s="2"/>
      <c r="M460" s="2"/>
    </row>
    <row r="461" ht="12.0" customHeight="1">
      <c r="B461" s="1"/>
      <c r="K461" s="2"/>
      <c r="M461" s="2"/>
    </row>
    <row r="462" ht="12.0" customHeight="1">
      <c r="B462" s="1"/>
      <c r="K462" s="2"/>
      <c r="M462" s="2"/>
    </row>
    <row r="463" ht="12.0" customHeight="1">
      <c r="B463" s="1"/>
      <c r="K463" s="2"/>
      <c r="M463" s="2"/>
    </row>
    <row r="464" ht="12.0" customHeight="1">
      <c r="B464" s="1"/>
      <c r="K464" s="2"/>
      <c r="M464" s="2"/>
    </row>
    <row r="465" ht="12.0" customHeight="1">
      <c r="B465" s="1"/>
      <c r="K465" s="2"/>
      <c r="M465" s="2"/>
    </row>
    <row r="466" ht="12.0" customHeight="1">
      <c r="B466" s="1"/>
      <c r="K466" s="2"/>
      <c r="M466" s="2"/>
    </row>
    <row r="467" ht="12.0" customHeight="1">
      <c r="B467" s="1"/>
      <c r="K467" s="2"/>
      <c r="M467" s="2"/>
    </row>
    <row r="468" ht="12.0" customHeight="1">
      <c r="B468" s="1"/>
      <c r="K468" s="2"/>
      <c r="M468" s="2"/>
    </row>
    <row r="469" ht="12.0" customHeight="1">
      <c r="B469" s="1"/>
      <c r="K469" s="2"/>
      <c r="M469" s="2"/>
    </row>
    <row r="470" ht="12.0" customHeight="1">
      <c r="B470" s="1"/>
      <c r="K470" s="2"/>
      <c r="M470" s="2"/>
    </row>
    <row r="471" ht="12.0" customHeight="1">
      <c r="B471" s="1"/>
      <c r="K471" s="2"/>
      <c r="M471" s="2"/>
    </row>
    <row r="472" ht="12.0" customHeight="1">
      <c r="B472" s="1"/>
      <c r="K472" s="2"/>
      <c r="M472" s="2"/>
    </row>
    <row r="473" ht="12.0" customHeight="1">
      <c r="B473" s="1"/>
      <c r="K473" s="2"/>
      <c r="M473" s="2"/>
    </row>
    <row r="474" ht="12.0" customHeight="1">
      <c r="B474" s="1"/>
      <c r="K474" s="2"/>
      <c r="M474" s="2"/>
    </row>
    <row r="475" ht="12.0" customHeight="1">
      <c r="B475" s="1"/>
      <c r="K475" s="2"/>
      <c r="M475" s="2"/>
    </row>
    <row r="476" ht="12.0" customHeight="1">
      <c r="B476" s="1"/>
      <c r="K476" s="2"/>
      <c r="M476" s="2"/>
    </row>
    <row r="477" ht="12.0" customHeight="1">
      <c r="B477" s="1"/>
      <c r="K477" s="2"/>
      <c r="M477" s="2"/>
    </row>
    <row r="478" ht="12.0" customHeight="1">
      <c r="B478" s="1"/>
      <c r="K478" s="2"/>
      <c r="M478" s="2"/>
    </row>
    <row r="479" ht="12.0" customHeight="1">
      <c r="B479" s="1"/>
      <c r="K479" s="2"/>
      <c r="M479" s="2"/>
    </row>
    <row r="480" ht="12.0" customHeight="1">
      <c r="B480" s="1"/>
      <c r="K480" s="2"/>
      <c r="M480" s="2"/>
    </row>
    <row r="481" ht="12.0" customHeight="1">
      <c r="B481" s="1"/>
      <c r="K481" s="2"/>
      <c r="M481" s="2"/>
    </row>
    <row r="482" ht="12.0" customHeight="1">
      <c r="B482" s="1"/>
      <c r="K482" s="2"/>
      <c r="M482" s="2"/>
    </row>
    <row r="483" ht="12.0" customHeight="1">
      <c r="B483" s="1"/>
      <c r="K483" s="2"/>
      <c r="M483" s="2"/>
    </row>
    <row r="484" ht="12.0" customHeight="1">
      <c r="B484" s="1"/>
      <c r="K484" s="2"/>
      <c r="M484" s="2"/>
    </row>
    <row r="485" ht="12.0" customHeight="1">
      <c r="B485" s="1"/>
      <c r="K485" s="2"/>
      <c r="M485" s="2"/>
    </row>
    <row r="486" ht="12.0" customHeight="1">
      <c r="B486" s="1"/>
      <c r="K486" s="2"/>
      <c r="M486" s="2"/>
    </row>
    <row r="487" ht="12.0" customHeight="1">
      <c r="B487" s="1"/>
      <c r="K487" s="2"/>
      <c r="M487" s="2"/>
    </row>
    <row r="488" ht="12.0" customHeight="1">
      <c r="B488" s="1"/>
      <c r="K488" s="2"/>
      <c r="M488" s="2"/>
    </row>
    <row r="489" ht="12.0" customHeight="1">
      <c r="B489" s="1"/>
      <c r="K489" s="2"/>
      <c r="M489" s="2"/>
    </row>
    <row r="490" ht="12.0" customHeight="1">
      <c r="B490" s="1"/>
      <c r="K490" s="2"/>
      <c r="M490" s="2"/>
    </row>
    <row r="491" ht="12.0" customHeight="1">
      <c r="B491" s="1"/>
      <c r="K491" s="2"/>
      <c r="M491" s="2"/>
    </row>
    <row r="492" ht="12.0" customHeight="1">
      <c r="B492" s="1"/>
      <c r="K492" s="2"/>
      <c r="M492" s="2"/>
    </row>
    <row r="493" ht="12.0" customHeight="1">
      <c r="B493" s="1"/>
      <c r="K493" s="2"/>
      <c r="M493" s="2"/>
    </row>
    <row r="494" ht="12.0" customHeight="1">
      <c r="B494" s="1"/>
      <c r="K494" s="2"/>
      <c r="M494" s="2"/>
    </row>
    <row r="495" ht="12.0" customHeight="1">
      <c r="B495" s="1"/>
      <c r="K495" s="2"/>
      <c r="M495" s="2"/>
    </row>
    <row r="496" ht="12.0" customHeight="1">
      <c r="B496" s="1"/>
      <c r="K496" s="2"/>
      <c r="M496" s="2"/>
    </row>
    <row r="497" ht="12.0" customHeight="1">
      <c r="B497" s="1"/>
      <c r="K497" s="2"/>
      <c r="M497" s="2"/>
    </row>
    <row r="498" ht="12.0" customHeight="1">
      <c r="B498" s="1"/>
      <c r="K498" s="2"/>
      <c r="M498" s="2"/>
    </row>
    <row r="499" ht="12.0" customHeight="1">
      <c r="B499" s="1"/>
      <c r="K499" s="2"/>
      <c r="M499" s="2"/>
    </row>
    <row r="500" ht="12.0" customHeight="1">
      <c r="B500" s="1"/>
      <c r="K500" s="2"/>
      <c r="M500" s="2"/>
    </row>
    <row r="501" ht="12.0" customHeight="1">
      <c r="B501" s="1"/>
      <c r="K501" s="2"/>
      <c r="M501" s="2"/>
    </row>
    <row r="502" ht="12.0" customHeight="1">
      <c r="B502" s="1"/>
      <c r="K502" s="2"/>
      <c r="M502" s="2"/>
    </row>
    <row r="503" ht="12.0" customHeight="1">
      <c r="B503" s="1"/>
      <c r="K503" s="2"/>
      <c r="M503" s="2"/>
    </row>
    <row r="504" ht="12.0" customHeight="1">
      <c r="B504" s="1"/>
      <c r="K504" s="2"/>
      <c r="M504" s="2"/>
    </row>
    <row r="505" ht="12.0" customHeight="1">
      <c r="B505" s="1"/>
      <c r="K505" s="2"/>
      <c r="M505" s="2"/>
    </row>
    <row r="506" ht="12.0" customHeight="1">
      <c r="B506" s="1"/>
      <c r="K506" s="2"/>
      <c r="M506" s="2"/>
    </row>
    <row r="507" ht="12.0" customHeight="1">
      <c r="B507" s="1"/>
      <c r="K507" s="2"/>
      <c r="M507" s="2"/>
    </row>
    <row r="508" ht="12.0" customHeight="1">
      <c r="B508" s="1"/>
      <c r="K508" s="2"/>
      <c r="M508" s="2"/>
    </row>
    <row r="509" ht="12.0" customHeight="1">
      <c r="B509" s="1"/>
      <c r="K509" s="2"/>
      <c r="M509" s="2"/>
    </row>
    <row r="510" ht="12.0" customHeight="1">
      <c r="B510" s="1"/>
      <c r="K510" s="2"/>
      <c r="M510" s="2"/>
    </row>
    <row r="511" ht="12.0" customHeight="1">
      <c r="B511" s="1"/>
      <c r="K511" s="2"/>
      <c r="M511" s="2"/>
    </row>
    <row r="512" ht="12.0" customHeight="1">
      <c r="B512" s="1"/>
      <c r="K512" s="2"/>
      <c r="M512" s="2"/>
    </row>
    <row r="513" ht="12.0" customHeight="1">
      <c r="B513" s="1"/>
      <c r="K513" s="2"/>
      <c r="M513" s="2"/>
    </row>
    <row r="514" ht="12.0" customHeight="1">
      <c r="B514" s="1"/>
      <c r="K514" s="2"/>
      <c r="M514" s="2"/>
    </row>
    <row r="515" ht="12.0" customHeight="1">
      <c r="B515" s="1"/>
      <c r="K515" s="2"/>
      <c r="M515" s="2"/>
    </row>
    <row r="516" ht="12.0" customHeight="1">
      <c r="B516" s="1"/>
      <c r="K516" s="2"/>
      <c r="M516" s="2"/>
    </row>
    <row r="517" ht="12.0" customHeight="1">
      <c r="B517" s="1"/>
      <c r="K517" s="2"/>
      <c r="M517" s="2"/>
    </row>
    <row r="518" ht="12.0" customHeight="1">
      <c r="B518" s="1"/>
      <c r="K518" s="2"/>
      <c r="M518" s="2"/>
    </row>
    <row r="519" ht="12.0" customHeight="1">
      <c r="B519" s="1"/>
      <c r="K519" s="2"/>
      <c r="M519" s="2"/>
    </row>
    <row r="520" ht="12.0" customHeight="1">
      <c r="B520" s="1"/>
      <c r="K520" s="2"/>
      <c r="M520" s="2"/>
    </row>
    <row r="521" ht="12.0" customHeight="1">
      <c r="B521" s="1"/>
      <c r="K521" s="2"/>
      <c r="M521" s="2"/>
    </row>
    <row r="522" ht="12.0" customHeight="1">
      <c r="B522" s="1"/>
      <c r="K522" s="2"/>
      <c r="M522" s="2"/>
    </row>
    <row r="523" ht="12.0" customHeight="1">
      <c r="B523" s="1"/>
      <c r="K523" s="2"/>
      <c r="M523" s="2"/>
    </row>
    <row r="524" ht="12.0" customHeight="1">
      <c r="B524" s="1"/>
      <c r="K524" s="2"/>
      <c r="M524" s="2"/>
    </row>
    <row r="525" ht="12.0" customHeight="1">
      <c r="B525" s="1"/>
      <c r="K525" s="2"/>
      <c r="M525" s="2"/>
    </row>
    <row r="526" ht="12.0" customHeight="1">
      <c r="B526" s="1"/>
      <c r="K526" s="2"/>
      <c r="M526" s="2"/>
    </row>
    <row r="527" ht="12.0" customHeight="1">
      <c r="B527" s="1"/>
      <c r="K527" s="2"/>
      <c r="M527" s="2"/>
    </row>
    <row r="528" ht="12.0" customHeight="1">
      <c r="B528" s="1"/>
      <c r="K528" s="2"/>
      <c r="M528" s="2"/>
    </row>
    <row r="529" ht="12.0" customHeight="1">
      <c r="B529" s="1"/>
      <c r="K529" s="2"/>
      <c r="M529" s="2"/>
    </row>
    <row r="530" ht="12.0" customHeight="1">
      <c r="B530" s="1"/>
      <c r="K530" s="2"/>
      <c r="M530" s="2"/>
    </row>
    <row r="531" ht="12.0" customHeight="1">
      <c r="B531" s="1"/>
      <c r="K531" s="2"/>
      <c r="M531" s="2"/>
    </row>
    <row r="532" ht="12.0" customHeight="1">
      <c r="B532" s="1"/>
      <c r="K532" s="2"/>
      <c r="M532" s="2"/>
    </row>
    <row r="533" ht="12.0" customHeight="1">
      <c r="B533" s="1"/>
      <c r="K533" s="2"/>
      <c r="M533" s="2"/>
    </row>
    <row r="534" ht="12.0" customHeight="1">
      <c r="B534" s="1"/>
      <c r="K534" s="2"/>
      <c r="M534" s="2"/>
    </row>
    <row r="535" ht="12.0" customHeight="1">
      <c r="B535" s="1"/>
      <c r="K535" s="2"/>
      <c r="M535" s="2"/>
    </row>
    <row r="536" ht="12.0" customHeight="1">
      <c r="B536" s="1"/>
      <c r="K536" s="2"/>
      <c r="M536" s="2"/>
    </row>
    <row r="537" ht="12.0" customHeight="1">
      <c r="B537" s="1"/>
      <c r="K537" s="2"/>
      <c r="M537" s="2"/>
    </row>
    <row r="538" ht="12.0" customHeight="1">
      <c r="B538" s="1"/>
      <c r="K538" s="2"/>
      <c r="M538" s="2"/>
    </row>
    <row r="539" ht="12.0" customHeight="1">
      <c r="B539" s="1"/>
      <c r="K539" s="2"/>
      <c r="M539" s="2"/>
    </row>
    <row r="540" ht="12.0" customHeight="1">
      <c r="B540" s="1"/>
      <c r="K540" s="2"/>
      <c r="M540" s="2"/>
    </row>
    <row r="541" ht="12.0" customHeight="1">
      <c r="B541" s="1"/>
      <c r="K541" s="2"/>
      <c r="M541" s="2"/>
    </row>
    <row r="542" ht="12.0" customHeight="1">
      <c r="B542" s="1"/>
      <c r="K542" s="2"/>
      <c r="M542" s="2"/>
    </row>
    <row r="543" ht="12.0" customHeight="1">
      <c r="B543" s="1"/>
      <c r="K543" s="2"/>
      <c r="M543" s="2"/>
    </row>
    <row r="544" ht="12.0" customHeight="1">
      <c r="B544" s="1"/>
      <c r="K544" s="2"/>
      <c r="M544" s="2"/>
    </row>
    <row r="545" ht="12.0" customHeight="1">
      <c r="B545" s="1"/>
      <c r="K545" s="2"/>
      <c r="M545" s="2"/>
    </row>
    <row r="546" ht="12.0" customHeight="1">
      <c r="B546" s="1"/>
      <c r="K546" s="2"/>
      <c r="M546" s="2"/>
    </row>
    <row r="547" ht="12.0" customHeight="1">
      <c r="B547" s="1"/>
      <c r="K547" s="2"/>
      <c r="M547" s="2"/>
    </row>
    <row r="548" ht="12.0" customHeight="1">
      <c r="B548" s="1"/>
      <c r="K548" s="2"/>
      <c r="M548" s="2"/>
    </row>
    <row r="549" ht="12.0" customHeight="1">
      <c r="B549" s="1"/>
      <c r="K549" s="2"/>
      <c r="M549" s="2"/>
    </row>
    <row r="550" ht="12.0" customHeight="1">
      <c r="B550" s="1"/>
      <c r="K550" s="2"/>
      <c r="M550" s="2"/>
    </row>
    <row r="551" ht="12.0" customHeight="1">
      <c r="B551" s="1"/>
      <c r="K551" s="2"/>
      <c r="M551" s="2"/>
    </row>
    <row r="552" ht="12.0" customHeight="1">
      <c r="B552" s="1"/>
      <c r="K552" s="2"/>
      <c r="M552" s="2"/>
    </row>
    <row r="553" ht="12.0" customHeight="1">
      <c r="B553" s="1"/>
      <c r="K553" s="2"/>
      <c r="M553" s="2"/>
    </row>
    <row r="554" ht="12.0" customHeight="1">
      <c r="B554" s="1"/>
      <c r="K554" s="2"/>
      <c r="M554" s="2"/>
    </row>
    <row r="555" ht="12.0" customHeight="1">
      <c r="B555" s="1"/>
      <c r="K555" s="2"/>
      <c r="M555" s="2"/>
    </row>
    <row r="556" ht="12.0" customHeight="1">
      <c r="B556" s="1"/>
      <c r="K556" s="2"/>
      <c r="M556" s="2"/>
    </row>
    <row r="557" ht="12.0" customHeight="1">
      <c r="B557" s="1"/>
      <c r="K557" s="2"/>
      <c r="M557" s="2"/>
    </row>
    <row r="558" ht="12.0" customHeight="1">
      <c r="B558" s="1"/>
      <c r="K558" s="2"/>
      <c r="M558" s="2"/>
    </row>
    <row r="559" ht="12.0" customHeight="1">
      <c r="B559" s="1"/>
      <c r="K559" s="2"/>
      <c r="M559" s="2"/>
    </row>
    <row r="560" ht="12.0" customHeight="1">
      <c r="B560" s="1"/>
      <c r="K560" s="2"/>
      <c r="M560" s="2"/>
    </row>
    <row r="561" ht="12.0" customHeight="1">
      <c r="B561" s="1"/>
      <c r="K561" s="2"/>
      <c r="M561" s="2"/>
    </row>
    <row r="562" ht="12.0" customHeight="1">
      <c r="B562" s="1"/>
      <c r="K562" s="2"/>
      <c r="M562" s="2"/>
    </row>
    <row r="563" ht="12.0" customHeight="1">
      <c r="B563" s="1"/>
      <c r="K563" s="2"/>
      <c r="M563" s="2"/>
    </row>
    <row r="564" ht="12.0" customHeight="1">
      <c r="B564" s="1"/>
      <c r="K564" s="2"/>
      <c r="M564" s="2"/>
    </row>
    <row r="565" ht="12.0" customHeight="1">
      <c r="B565" s="1"/>
      <c r="K565" s="2"/>
      <c r="M565" s="2"/>
    </row>
    <row r="566" ht="12.0" customHeight="1">
      <c r="B566" s="1"/>
      <c r="K566" s="2"/>
      <c r="M566" s="2"/>
    </row>
    <row r="567" ht="12.0" customHeight="1">
      <c r="B567" s="1"/>
      <c r="K567" s="2"/>
      <c r="M567" s="2"/>
    </row>
    <row r="568" ht="12.0" customHeight="1">
      <c r="B568" s="1"/>
      <c r="K568" s="2"/>
      <c r="M568" s="2"/>
    </row>
    <row r="569" ht="12.0" customHeight="1">
      <c r="B569" s="1"/>
      <c r="K569" s="2"/>
      <c r="M569" s="2"/>
    </row>
    <row r="570" ht="12.0" customHeight="1">
      <c r="B570" s="1"/>
      <c r="K570" s="2"/>
      <c r="M570" s="2"/>
    </row>
    <row r="571" ht="12.0" customHeight="1">
      <c r="B571" s="1"/>
      <c r="K571" s="2"/>
      <c r="M571" s="2"/>
    </row>
    <row r="572" ht="12.0" customHeight="1">
      <c r="B572" s="1"/>
      <c r="K572" s="2"/>
      <c r="M572" s="2"/>
    </row>
    <row r="573" ht="12.0" customHeight="1">
      <c r="B573" s="1"/>
      <c r="K573" s="2"/>
      <c r="M573" s="2"/>
    </row>
    <row r="574" ht="12.0" customHeight="1">
      <c r="B574" s="1"/>
      <c r="K574" s="2"/>
      <c r="M574" s="2"/>
    </row>
    <row r="575" ht="12.0" customHeight="1">
      <c r="B575" s="1"/>
      <c r="K575" s="2"/>
      <c r="M575" s="2"/>
    </row>
    <row r="576" ht="12.0" customHeight="1">
      <c r="B576" s="1"/>
      <c r="K576" s="2"/>
      <c r="M576" s="2"/>
    </row>
    <row r="577" ht="12.0" customHeight="1">
      <c r="B577" s="1"/>
      <c r="K577" s="2"/>
      <c r="M577" s="2"/>
    </row>
    <row r="578" ht="12.0" customHeight="1">
      <c r="B578" s="1"/>
      <c r="K578" s="2"/>
      <c r="M578" s="2"/>
    </row>
    <row r="579" ht="12.0" customHeight="1">
      <c r="B579" s="1"/>
      <c r="K579" s="2"/>
      <c r="M579" s="2"/>
    </row>
    <row r="580" ht="12.0" customHeight="1">
      <c r="B580" s="1"/>
      <c r="K580" s="2"/>
      <c r="M580" s="2"/>
    </row>
    <row r="581" ht="12.0" customHeight="1">
      <c r="B581" s="1"/>
      <c r="K581" s="2"/>
      <c r="M581" s="2"/>
    </row>
    <row r="582" ht="12.0" customHeight="1">
      <c r="B582" s="1"/>
      <c r="K582" s="2"/>
      <c r="M582" s="2"/>
    </row>
    <row r="583" ht="12.0" customHeight="1">
      <c r="B583" s="1"/>
      <c r="K583" s="2"/>
      <c r="M583" s="2"/>
    </row>
    <row r="584" ht="12.0" customHeight="1">
      <c r="B584" s="1"/>
      <c r="K584" s="2"/>
      <c r="M584" s="2"/>
    </row>
    <row r="585" ht="12.0" customHeight="1">
      <c r="B585" s="1"/>
      <c r="K585" s="2"/>
      <c r="M585" s="2"/>
    </row>
    <row r="586" ht="12.0" customHeight="1">
      <c r="B586" s="1"/>
      <c r="K586" s="2"/>
      <c r="M586" s="2"/>
    </row>
    <row r="587" ht="12.0" customHeight="1">
      <c r="B587" s="1"/>
      <c r="K587" s="2"/>
      <c r="M587" s="2"/>
    </row>
    <row r="588" ht="12.0" customHeight="1">
      <c r="B588" s="1"/>
      <c r="K588" s="2"/>
      <c r="M588" s="2"/>
    </row>
    <row r="589" ht="12.0" customHeight="1">
      <c r="B589" s="1"/>
      <c r="K589" s="2"/>
      <c r="M589" s="2"/>
    </row>
    <row r="590" ht="12.0" customHeight="1">
      <c r="B590" s="1"/>
      <c r="K590" s="2"/>
      <c r="M590" s="2"/>
    </row>
    <row r="591" ht="12.0" customHeight="1">
      <c r="B591" s="1"/>
      <c r="K591" s="2"/>
      <c r="M591" s="2"/>
    </row>
    <row r="592" ht="12.0" customHeight="1">
      <c r="B592" s="1"/>
      <c r="K592" s="2"/>
      <c r="M592" s="2"/>
    </row>
    <row r="593" ht="12.0" customHeight="1">
      <c r="B593" s="1"/>
      <c r="K593" s="2"/>
      <c r="M593" s="2"/>
    </row>
    <row r="594" ht="12.0" customHeight="1">
      <c r="B594" s="1"/>
      <c r="K594" s="2"/>
      <c r="M594" s="2"/>
    </row>
    <row r="595" ht="12.0" customHeight="1">
      <c r="B595" s="1"/>
      <c r="K595" s="2"/>
      <c r="M595" s="2"/>
    </row>
    <row r="596" ht="12.0" customHeight="1">
      <c r="B596" s="1"/>
      <c r="K596" s="2"/>
      <c r="M596" s="2"/>
    </row>
    <row r="597" ht="12.0" customHeight="1">
      <c r="B597" s="1"/>
      <c r="K597" s="2"/>
      <c r="M597" s="2"/>
    </row>
    <row r="598" ht="12.0" customHeight="1">
      <c r="B598" s="1"/>
      <c r="K598" s="2"/>
      <c r="M598" s="2"/>
    </row>
    <row r="599" ht="12.0" customHeight="1">
      <c r="B599" s="1"/>
      <c r="K599" s="2"/>
      <c r="M599" s="2"/>
    </row>
    <row r="600" ht="12.0" customHeight="1">
      <c r="B600" s="1"/>
      <c r="K600" s="2"/>
      <c r="M600" s="2"/>
    </row>
    <row r="601" ht="12.0" customHeight="1">
      <c r="B601" s="1"/>
      <c r="K601" s="2"/>
      <c r="M601" s="2"/>
    </row>
    <row r="602" ht="12.0" customHeight="1">
      <c r="B602" s="1"/>
      <c r="K602" s="2"/>
      <c r="M602" s="2"/>
    </row>
    <row r="603" ht="12.0" customHeight="1">
      <c r="B603" s="1"/>
      <c r="K603" s="2"/>
      <c r="M603" s="2"/>
    </row>
    <row r="604" ht="12.0" customHeight="1">
      <c r="B604" s="1"/>
      <c r="K604" s="2"/>
      <c r="M604" s="2"/>
    </row>
    <row r="605" ht="12.0" customHeight="1">
      <c r="B605" s="1"/>
      <c r="K605" s="2"/>
      <c r="M605" s="2"/>
    </row>
    <row r="606" ht="12.0" customHeight="1">
      <c r="B606" s="1"/>
      <c r="K606" s="2"/>
      <c r="M606" s="2"/>
    </row>
    <row r="607" ht="12.0" customHeight="1">
      <c r="B607" s="1"/>
      <c r="K607" s="2"/>
      <c r="M607" s="2"/>
    </row>
    <row r="608" ht="12.0" customHeight="1">
      <c r="B608" s="1"/>
      <c r="K608" s="2"/>
      <c r="M608" s="2"/>
    </row>
    <row r="609" ht="12.0" customHeight="1">
      <c r="B609" s="1"/>
      <c r="K609" s="2"/>
      <c r="M609" s="2"/>
    </row>
    <row r="610" ht="12.0" customHeight="1">
      <c r="B610" s="1"/>
      <c r="K610" s="2"/>
      <c r="M610" s="2"/>
    </row>
    <row r="611" ht="12.0" customHeight="1">
      <c r="B611" s="1"/>
      <c r="K611" s="2"/>
      <c r="M611" s="2"/>
    </row>
    <row r="612" ht="12.0" customHeight="1">
      <c r="B612" s="1"/>
      <c r="K612" s="2"/>
      <c r="M612" s="2"/>
    </row>
    <row r="613" ht="12.0" customHeight="1">
      <c r="B613" s="1"/>
      <c r="K613" s="2"/>
      <c r="M613" s="2"/>
    </row>
    <row r="614" ht="12.0" customHeight="1">
      <c r="B614" s="1"/>
      <c r="K614" s="2"/>
      <c r="M614" s="2"/>
    </row>
    <row r="615" ht="12.0" customHeight="1">
      <c r="B615" s="1"/>
      <c r="K615" s="2"/>
      <c r="M615" s="2"/>
    </row>
    <row r="616" ht="12.0" customHeight="1">
      <c r="B616" s="1"/>
      <c r="K616" s="2"/>
      <c r="M616" s="2"/>
    </row>
    <row r="617" ht="12.0" customHeight="1">
      <c r="B617" s="1"/>
      <c r="K617" s="2"/>
      <c r="M617" s="2"/>
    </row>
    <row r="618" ht="12.0" customHeight="1">
      <c r="B618" s="1"/>
      <c r="K618" s="2"/>
      <c r="M618" s="2"/>
    </row>
    <row r="619" ht="12.0" customHeight="1">
      <c r="B619" s="1"/>
      <c r="K619" s="2"/>
      <c r="M619" s="2"/>
    </row>
    <row r="620" ht="12.0" customHeight="1">
      <c r="B620" s="1"/>
      <c r="K620" s="2"/>
      <c r="M620" s="2"/>
    </row>
    <row r="621" ht="12.0" customHeight="1">
      <c r="B621" s="1"/>
      <c r="K621" s="2"/>
      <c r="M621" s="2"/>
    </row>
    <row r="622" ht="12.0" customHeight="1">
      <c r="B622" s="1"/>
      <c r="K622" s="2"/>
      <c r="M622" s="2"/>
    </row>
    <row r="623" ht="12.0" customHeight="1">
      <c r="B623" s="1"/>
      <c r="K623" s="2"/>
      <c r="M623" s="2"/>
    </row>
    <row r="624" ht="12.0" customHeight="1">
      <c r="B624" s="1"/>
      <c r="K624" s="2"/>
      <c r="M624" s="2"/>
    </row>
    <row r="625" ht="12.0" customHeight="1">
      <c r="B625" s="1"/>
      <c r="K625" s="2"/>
      <c r="M625" s="2"/>
    </row>
    <row r="626" ht="12.0" customHeight="1">
      <c r="B626" s="1"/>
      <c r="K626" s="2"/>
      <c r="M626" s="2"/>
    </row>
    <row r="627" ht="12.0" customHeight="1">
      <c r="B627" s="1"/>
      <c r="K627" s="2"/>
      <c r="M627" s="2"/>
    </row>
    <row r="628" ht="12.0" customHeight="1">
      <c r="B628" s="1"/>
      <c r="K628" s="2"/>
      <c r="M628" s="2"/>
    </row>
    <row r="629" ht="12.0" customHeight="1">
      <c r="B629" s="1"/>
      <c r="K629" s="2"/>
      <c r="M629" s="2"/>
    </row>
    <row r="630" ht="12.0" customHeight="1">
      <c r="B630" s="1"/>
      <c r="K630" s="2"/>
      <c r="M630" s="2"/>
    </row>
    <row r="631" ht="12.0" customHeight="1">
      <c r="B631" s="1"/>
      <c r="K631" s="2"/>
      <c r="M631" s="2"/>
    </row>
    <row r="632" ht="12.0" customHeight="1">
      <c r="B632" s="1"/>
      <c r="K632" s="2"/>
      <c r="M632" s="2"/>
    </row>
    <row r="633" ht="12.0" customHeight="1">
      <c r="B633" s="1"/>
      <c r="K633" s="2"/>
      <c r="M633" s="2"/>
    </row>
    <row r="634" ht="12.0" customHeight="1">
      <c r="B634" s="1"/>
      <c r="K634" s="2"/>
      <c r="M634" s="2"/>
    </row>
    <row r="635" ht="12.0" customHeight="1">
      <c r="B635" s="1"/>
      <c r="K635" s="2"/>
      <c r="M635" s="2"/>
    </row>
    <row r="636" ht="12.0" customHeight="1">
      <c r="B636" s="1"/>
      <c r="K636" s="2"/>
      <c r="M636" s="2"/>
    </row>
    <row r="637" ht="12.0" customHeight="1">
      <c r="B637" s="1"/>
      <c r="K637" s="2"/>
      <c r="M637" s="2"/>
    </row>
    <row r="638" ht="12.0" customHeight="1">
      <c r="B638" s="1"/>
      <c r="K638" s="2"/>
      <c r="M638" s="2"/>
    </row>
    <row r="639" ht="12.0" customHeight="1">
      <c r="B639" s="1"/>
      <c r="K639" s="2"/>
      <c r="M639" s="2"/>
    </row>
    <row r="640" ht="12.0" customHeight="1">
      <c r="B640" s="1"/>
      <c r="K640" s="2"/>
      <c r="M640" s="2"/>
    </row>
    <row r="641" ht="12.0" customHeight="1">
      <c r="B641" s="1"/>
      <c r="K641" s="2"/>
      <c r="M641" s="2"/>
    </row>
    <row r="642" ht="12.0" customHeight="1">
      <c r="B642" s="1"/>
      <c r="K642" s="2"/>
      <c r="M642" s="2"/>
    </row>
    <row r="643" ht="12.0" customHeight="1">
      <c r="B643" s="1"/>
      <c r="K643" s="2"/>
      <c r="M643" s="2"/>
    </row>
    <row r="644" ht="12.0" customHeight="1">
      <c r="B644" s="1"/>
      <c r="K644" s="2"/>
      <c r="M644" s="2"/>
    </row>
    <row r="645" ht="12.0" customHeight="1">
      <c r="B645" s="1"/>
      <c r="K645" s="2"/>
      <c r="M645" s="2"/>
    </row>
    <row r="646" ht="12.0" customHeight="1">
      <c r="B646" s="1"/>
      <c r="K646" s="2"/>
      <c r="M646" s="2"/>
    </row>
    <row r="647" ht="12.0" customHeight="1">
      <c r="B647" s="1"/>
      <c r="K647" s="2"/>
      <c r="M647" s="2"/>
    </row>
    <row r="648" ht="12.0" customHeight="1">
      <c r="B648" s="1"/>
      <c r="K648" s="2"/>
      <c r="M648" s="2"/>
    </row>
    <row r="649" ht="12.0" customHeight="1">
      <c r="B649" s="1"/>
      <c r="K649" s="2"/>
      <c r="M649" s="2"/>
    </row>
    <row r="650" ht="12.0" customHeight="1">
      <c r="B650" s="1"/>
      <c r="K650" s="2"/>
      <c r="M650" s="2"/>
    </row>
    <row r="651" ht="12.0" customHeight="1">
      <c r="B651" s="1"/>
      <c r="K651" s="2"/>
      <c r="M651" s="2"/>
    </row>
    <row r="652" ht="12.0" customHeight="1">
      <c r="B652" s="1"/>
      <c r="K652" s="2"/>
      <c r="M652" s="2"/>
    </row>
    <row r="653" ht="12.0" customHeight="1">
      <c r="B653" s="1"/>
      <c r="K653" s="2"/>
      <c r="M653" s="2"/>
    </row>
    <row r="654" ht="12.0" customHeight="1">
      <c r="B654" s="1"/>
      <c r="K654" s="2"/>
      <c r="M654" s="2"/>
    </row>
    <row r="655" ht="12.0" customHeight="1">
      <c r="B655" s="1"/>
      <c r="K655" s="2"/>
      <c r="M655" s="2"/>
    </row>
    <row r="656" ht="12.0" customHeight="1">
      <c r="B656" s="1"/>
      <c r="K656" s="2"/>
      <c r="M656" s="2"/>
    </row>
    <row r="657" ht="12.0" customHeight="1">
      <c r="B657" s="1"/>
      <c r="K657" s="2"/>
      <c r="M657" s="2"/>
    </row>
    <row r="658" ht="12.0" customHeight="1">
      <c r="B658" s="1"/>
      <c r="K658" s="2"/>
      <c r="M658" s="2"/>
    </row>
    <row r="659" ht="12.0" customHeight="1">
      <c r="B659" s="1"/>
      <c r="K659" s="2"/>
      <c r="M659" s="2"/>
    </row>
    <row r="660" ht="12.0" customHeight="1">
      <c r="B660" s="1"/>
      <c r="K660" s="2"/>
      <c r="M660" s="2"/>
    </row>
    <row r="661" ht="12.0" customHeight="1">
      <c r="B661" s="1"/>
      <c r="K661" s="2"/>
      <c r="M661" s="2"/>
    </row>
    <row r="662" ht="12.0" customHeight="1">
      <c r="B662" s="1"/>
      <c r="K662" s="2"/>
      <c r="M662" s="2"/>
    </row>
    <row r="663" ht="12.0" customHeight="1">
      <c r="B663" s="1"/>
      <c r="K663" s="2"/>
      <c r="M663" s="2"/>
    </row>
    <row r="664" ht="12.0" customHeight="1">
      <c r="B664" s="1"/>
      <c r="K664" s="2"/>
      <c r="M664" s="2"/>
    </row>
    <row r="665" ht="12.0" customHeight="1">
      <c r="B665" s="1"/>
      <c r="K665" s="2"/>
      <c r="M665" s="2"/>
    </row>
    <row r="666" ht="12.0" customHeight="1">
      <c r="B666" s="1"/>
      <c r="K666" s="2"/>
      <c r="M666" s="2"/>
    </row>
    <row r="667" ht="12.0" customHeight="1">
      <c r="B667" s="1"/>
      <c r="K667" s="2"/>
      <c r="M667" s="2"/>
    </row>
    <row r="668" ht="12.0" customHeight="1">
      <c r="B668" s="1"/>
      <c r="K668" s="2"/>
      <c r="M668" s="2"/>
    </row>
    <row r="669" ht="12.0" customHeight="1">
      <c r="B669" s="1"/>
      <c r="K669" s="2"/>
      <c r="M669" s="2"/>
    </row>
    <row r="670" ht="12.0" customHeight="1">
      <c r="B670" s="1"/>
      <c r="K670" s="2"/>
      <c r="M670" s="2"/>
    </row>
    <row r="671" ht="12.0" customHeight="1">
      <c r="B671" s="1"/>
      <c r="K671" s="2"/>
      <c r="M671" s="2"/>
    </row>
    <row r="672" ht="12.0" customHeight="1">
      <c r="B672" s="1"/>
      <c r="K672" s="2"/>
      <c r="M672" s="2"/>
    </row>
    <row r="673" ht="12.0" customHeight="1">
      <c r="B673" s="1"/>
      <c r="K673" s="2"/>
      <c r="M673" s="2"/>
    </row>
    <row r="674" ht="12.0" customHeight="1">
      <c r="B674" s="1"/>
      <c r="K674" s="2"/>
      <c r="M674" s="2"/>
    </row>
    <row r="675" ht="12.0" customHeight="1">
      <c r="B675" s="1"/>
      <c r="K675" s="2"/>
      <c r="M675" s="2"/>
    </row>
    <row r="676" ht="12.0" customHeight="1">
      <c r="B676" s="1"/>
      <c r="K676" s="2"/>
      <c r="M676" s="2"/>
    </row>
    <row r="677" ht="12.0" customHeight="1">
      <c r="B677" s="1"/>
      <c r="K677" s="2"/>
      <c r="M677" s="2"/>
    </row>
    <row r="678" ht="12.0" customHeight="1">
      <c r="B678" s="1"/>
      <c r="K678" s="2"/>
      <c r="M678" s="2"/>
    </row>
    <row r="679" ht="12.0" customHeight="1">
      <c r="B679" s="1"/>
      <c r="K679" s="2"/>
      <c r="M679" s="2"/>
    </row>
    <row r="680" ht="12.0" customHeight="1">
      <c r="B680" s="1"/>
      <c r="K680" s="2"/>
      <c r="M680" s="2"/>
    </row>
    <row r="681" ht="12.0" customHeight="1">
      <c r="B681" s="1"/>
      <c r="K681" s="2"/>
      <c r="M681" s="2"/>
    </row>
    <row r="682" ht="12.0" customHeight="1">
      <c r="B682" s="1"/>
      <c r="K682" s="2"/>
      <c r="M682" s="2"/>
    </row>
    <row r="683" ht="12.0" customHeight="1">
      <c r="B683" s="1"/>
      <c r="K683" s="2"/>
      <c r="M683" s="2"/>
    </row>
    <row r="684" ht="12.0" customHeight="1">
      <c r="B684" s="1"/>
      <c r="K684" s="2"/>
      <c r="M684" s="2"/>
    </row>
    <row r="685" ht="12.0" customHeight="1">
      <c r="B685" s="1"/>
      <c r="K685" s="2"/>
      <c r="M685" s="2"/>
    </row>
    <row r="686" ht="12.0" customHeight="1">
      <c r="B686" s="1"/>
      <c r="K686" s="2"/>
      <c r="M686" s="2"/>
    </row>
    <row r="687" ht="12.0" customHeight="1">
      <c r="B687" s="1"/>
      <c r="K687" s="2"/>
      <c r="M687" s="2"/>
    </row>
    <row r="688" ht="12.0" customHeight="1">
      <c r="B688" s="1"/>
      <c r="K688" s="2"/>
      <c r="M688" s="2"/>
    </row>
    <row r="689" ht="12.0" customHeight="1">
      <c r="B689" s="1"/>
      <c r="K689" s="2"/>
      <c r="M689" s="2"/>
    </row>
    <row r="690" ht="12.0" customHeight="1">
      <c r="B690" s="1"/>
      <c r="K690" s="2"/>
      <c r="M690" s="2"/>
    </row>
    <row r="691" ht="12.0" customHeight="1">
      <c r="B691" s="1"/>
      <c r="K691" s="2"/>
      <c r="M691" s="2"/>
    </row>
    <row r="692" ht="12.0" customHeight="1">
      <c r="B692" s="1"/>
      <c r="K692" s="2"/>
      <c r="M692" s="2"/>
    </row>
    <row r="693" ht="12.0" customHeight="1">
      <c r="B693" s="1"/>
      <c r="K693" s="2"/>
      <c r="M693" s="2"/>
    </row>
    <row r="694" ht="12.0" customHeight="1">
      <c r="B694" s="1"/>
      <c r="K694" s="2"/>
      <c r="M694" s="2"/>
    </row>
    <row r="695" ht="12.0" customHeight="1">
      <c r="B695" s="1"/>
      <c r="K695" s="2"/>
      <c r="M695" s="2"/>
    </row>
    <row r="696" ht="12.0" customHeight="1">
      <c r="B696" s="1"/>
      <c r="K696" s="2"/>
      <c r="M696" s="2"/>
    </row>
    <row r="697" ht="12.0" customHeight="1">
      <c r="B697" s="1"/>
      <c r="K697" s="2"/>
      <c r="M697" s="2"/>
    </row>
    <row r="698" ht="12.0" customHeight="1">
      <c r="B698" s="1"/>
      <c r="K698" s="2"/>
      <c r="M698" s="2"/>
    </row>
    <row r="699" ht="12.0" customHeight="1">
      <c r="B699" s="1"/>
      <c r="K699" s="2"/>
      <c r="M699" s="2"/>
    </row>
    <row r="700" ht="12.0" customHeight="1">
      <c r="B700" s="1"/>
      <c r="K700" s="2"/>
      <c r="M700" s="2"/>
    </row>
    <row r="701" ht="12.0" customHeight="1">
      <c r="B701" s="1"/>
      <c r="K701" s="2"/>
      <c r="M701" s="2"/>
    </row>
    <row r="702" ht="12.0" customHeight="1">
      <c r="B702" s="1"/>
      <c r="K702" s="2"/>
      <c r="M702" s="2"/>
    </row>
    <row r="703" ht="12.0" customHeight="1">
      <c r="B703" s="1"/>
      <c r="K703" s="2"/>
      <c r="M703" s="2"/>
    </row>
    <row r="704" ht="12.0" customHeight="1">
      <c r="B704" s="1"/>
      <c r="K704" s="2"/>
      <c r="M704" s="2"/>
    </row>
    <row r="705" ht="12.0" customHeight="1">
      <c r="B705" s="1"/>
      <c r="K705" s="2"/>
      <c r="M705" s="2"/>
    </row>
    <row r="706" ht="12.0" customHeight="1">
      <c r="B706" s="1"/>
      <c r="K706" s="2"/>
      <c r="M706" s="2"/>
    </row>
    <row r="707" ht="12.0" customHeight="1">
      <c r="B707" s="1"/>
      <c r="K707" s="2"/>
      <c r="M707" s="2"/>
    </row>
    <row r="708" ht="12.0" customHeight="1">
      <c r="B708" s="1"/>
      <c r="K708" s="2"/>
      <c r="M708" s="2"/>
    </row>
    <row r="709" ht="12.0" customHeight="1">
      <c r="B709" s="1"/>
      <c r="K709" s="2"/>
      <c r="M709" s="2"/>
    </row>
    <row r="710" ht="12.0" customHeight="1">
      <c r="B710" s="1"/>
      <c r="K710" s="2"/>
      <c r="M710" s="2"/>
    </row>
    <row r="711" ht="12.0" customHeight="1">
      <c r="B711" s="1"/>
      <c r="K711" s="2"/>
      <c r="M711" s="2"/>
    </row>
    <row r="712" ht="12.0" customHeight="1">
      <c r="B712" s="1"/>
      <c r="K712" s="2"/>
      <c r="M712" s="2"/>
    </row>
    <row r="713" ht="12.0" customHeight="1">
      <c r="B713" s="1"/>
      <c r="K713" s="2"/>
      <c r="M713" s="2"/>
    </row>
    <row r="714" ht="12.0" customHeight="1">
      <c r="B714" s="1"/>
      <c r="K714" s="2"/>
      <c r="M714" s="2"/>
    </row>
    <row r="715" ht="12.0" customHeight="1">
      <c r="B715" s="1"/>
      <c r="K715" s="2"/>
      <c r="M715" s="2"/>
    </row>
    <row r="716" ht="12.0" customHeight="1">
      <c r="B716" s="1"/>
      <c r="K716" s="2"/>
      <c r="M716" s="2"/>
    </row>
    <row r="717" ht="12.0" customHeight="1">
      <c r="B717" s="1"/>
      <c r="K717" s="2"/>
      <c r="M717" s="2"/>
    </row>
    <row r="718" ht="12.0" customHeight="1">
      <c r="B718" s="1"/>
      <c r="K718" s="2"/>
      <c r="M718" s="2"/>
    </row>
    <row r="719" ht="12.0" customHeight="1">
      <c r="B719" s="1"/>
      <c r="K719" s="2"/>
      <c r="M719" s="2"/>
    </row>
    <row r="720" ht="12.0" customHeight="1">
      <c r="B720" s="1"/>
      <c r="K720" s="2"/>
      <c r="M720" s="2"/>
    </row>
    <row r="721" ht="12.0" customHeight="1">
      <c r="B721" s="1"/>
      <c r="K721" s="2"/>
      <c r="M721" s="2"/>
    </row>
    <row r="722" ht="12.0" customHeight="1">
      <c r="B722" s="1"/>
      <c r="K722" s="2"/>
      <c r="M722" s="2"/>
    </row>
    <row r="723" ht="12.0" customHeight="1">
      <c r="B723" s="1"/>
      <c r="K723" s="2"/>
      <c r="M723" s="2"/>
    </row>
    <row r="724" ht="12.0" customHeight="1">
      <c r="B724" s="1"/>
      <c r="K724" s="2"/>
      <c r="M724" s="2"/>
    </row>
    <row r="725" ht="12.0" customHeight="1">
      <c r="B725" s="1"/>
      <c r="K725" s="2"/>
      <c r="M725" s="2"/>
    </row>
    <row r="726" ht="12.0" customHeight="1">
      <c r="B726" s="1"/>
      <c r="K726" s="2"/>
      <c r="M726" s="2"/>
    </row>
    <row r="727" ht="12.0" customHeight="1">
      <c r="B727" s="1"/>
      <c r="K727" s="2"/>
      <c r="M727" s="2"/>
    </row>
    <row r="728" ht="12.0" customHeight="1">
      <c r="B728" s="1"/>
      <c r="K728" s="2"/>
      <c r="M728" s="2"/>
    </row>
    <row r="729" ht="12.0" customHeight="1">
      <c r="B729" s="1"/>
      <c r="K729" s="2"/>
      <c r="M729" s="2"/>
    </row>
    <row r="730" ht="12.0" customHeight="1">
      <c r="B730" s="1"/>
      <c r="K730" s="2"/>
      <c r="M730" s="2"/>
    </row>
    <row r="731" ht="12.0" customHeight="1">
      <c r="B731" s="1"/>
      <c r="K731" s="2"/>
      <c r="M731" s="2"/>
    </row>
    <row r="732" ht="12.0" customHeight="1">
      <c r="B732" s="1"/>
      <c r="K732" s="2"/>
      <c r="M732" s="2"/>
    </row>
    <row r="733" ht="12.0" customHeight="1">
      <c r="B733" s="1"/>
      <c r="K733" s="2"/>
      <c r="M733" s="2"/>
    </row>
    <row r="734" ht="12.0" customHeight="1">
      <c r="B734" s="1"/>
      <c r="K734" s="2"/>
      <c r="M734" s="2"/>
    </row>
    <row r="735" ht="12.0" customHeight="1">
      <c r="B735" s="1"/>
      <c r="K735" s="2"/>
      <c r="M735" s="2"/>
    </row>
    <row r="736" ht="12.0" customHeight="1">
      <c r="B736" s="1"/>
      <c r="K736" s="2"/>
      <c r="M736" s="2"/>
    </row>
    <row r="737" ht="12.0" customHeight="1">
      <c r="B737" s="1"/>
      <c r="K737" s="2"/>
      <c r="M737" s="2"/>
    </row>
    <row r="738" ht="12.0" customHeight="1">
      <c r="B738" s="1"/>
      <c r="K738" s="2"/>
      <c r="M738" s="2"/>
    </row>
    <row r="739" ht="12.0" customHeight="1">
      <c r="B739" s="1"/>
      <c r="K739" s="2"/>
      <c r="M739" s="2"/>
    </row>
    <row r="740" ht="12.0" customHeight="1">
      <c r="B740" s="1"/>
      <c r="K740" s="2"/>
      <c r="M740" s="2"/>
    </row>
    <row r="741" ht="12.0" customHeight="1">
      <c r="B741" s="1"/>
      <c r="K741" s="2"/>
      <c r="M741" s="2"/>
    </row>
    <row r="742" ht="12.0" customHeight="1">
      <c r="B742" s="1"/>
      <c r="K742" s="2"/>
      <c r="M742" s="2"/>
    </row>
    <row r="743" ht="12.0" customHeight="1">
      <c r="B743" s="1"/>
      <c r="K743" s="2"/>
      <c r="M743" s="2"/>
    </row>
    <row r="744" ht="12.0" customHeight="1">
      <c r="B744" s="1"/>
      <c r="K744" s="2"/>
      <c r="M744" s="2"/>
    </row>
    <row r="745" ht="12.0" customHeight="1">
      <c r="B745" s="1"/>
      <c r="K745" s="2"/>
      <c r="M745" s="2"/>
    </row>
    <row r="746" ht="12.0" customHeight="1">
      <c r="B746" s="1"/>
      <c r="K746" s="2"/>
      <c r="M746" s="2"/>
    </row>
    <row r="747" ht="12.0" customHeight="1">
      <c r="B747" s="1"/>
      <c r="K747" s="2"/>
      <c r="M747" s="2"/>
    </row>
    <row r="748" ht="12.0" customHeight="1">
      <c r="B748" s="1"/>
      <c r="K748" s="2"/>
      <c r="M748" s="2"/>
    </row>
    <row r="749" ht="12.0" customHeight="1">
      <c r="B749" s="1"/>
      <c r="K749" s="2"/>
      <c r="M749" s="2"/>
    </row>
    <row r="750" ht="12.0" customHeight="1">
      <c r="B750" s="1"/>
      <c r="K750" s="2"/>
      <c r="M750" s="2"/>
    </row>
    <row r="751" ht="12.0" customHeight="1">
      <c r="B751" s="1"/>
      <c r="K751" s="2"/>
      <c r="M751" s="2"/>
    </row>
    <row r="752" ht="12.0" customHeight="1">
      <c r="B752" s="1"/>
      <c r="K752" s="2"/>
      <c r="M752" s="2"/>
    </row>
    <row r="753" ht="12.0" customHeight="1">
      <c r="B753" s="1"/>
      <c r="K753" s="2"/>
      <c r="M753" s="2"/>
    </row>
    <row r="754" ht="12.0" customHeight="1">
      <c r="B754" s="1"/>
      <c r="K754" s="2"/>
      <c r="M754" s="2"/>
    </row>
    <row r="755" ht="12.0" customHeight="1">
      <c r="B755" s="1"/>
      <c r="K755" s="2"/>
      <c r="M755" s="2"/>
    </row>
    <row r="756" ht="12.0" customHeight="1">
      <c r="B756" s="1"/>
      <c r="K756" s="2"/>
      <c r="M756" s="2"/>
    </row>
    <row r="757" ht="12.0" customHeight="1">
      <c r="B757" s="1"/>
      <c r="K757" s="2"/>
      <c r="M757" s="2"/>
    </row>
    <row r="758" ht="12.0" customHeight="1">
      <c r="B758" s="1"/>
      <c r="K758" s="2"/>
      <c r="M758" s="2"/>
    </row>
    <row r="759" ht="12.0" customHeight="1">
      <c r="B759" s="1"/>
      <c r="K759" s="2"/>
      <c r="M759" s="2"/>
    </row>
    <row r="760" ht="12.0" customHeight="1">
      <c r="B760" s="1"/>
      <c r="K760" s="2"/>
      <c r="M760" s="2"/>
    </row>
    <row r="761" ht="12.0" customHeight="1">
      <c r="B761" s="1"/>
      <c r="K761" s="2"/>
      <c r="M761" s="2"/>
    </row>
    <row r="762" ht="12.0" customHeight="1">
      <c r="B762" s="1"/>
      <c r="K762" s="2"/>
      <c r="M762" s="2"/>
    </row>
    <row r="763" ht="12.0" customHeight="1">
      <c r="B763" s="1"/>
      <c r="K763" s="2"/>
      <c r="M763" s="2"/>
    </row>
    <row r="764" ht="12.0" customHeight="1">
      <c r="B764" s="1"/>
      <c r="K764" s="2"/>
      <c r="M764" s="2"/>
    </row>
    <row r="765" ht="12.0" customHeight="1">
      <c r="B765" s="1"/>
      <c r="K765" s="2"/>
      <c r="M765" s="2"/>
    </row>
    <row r="766" ht="12.0" customHeight="1">
      <c r="B766" s="1"/>
      <c r="K766" s="2"/>
      <c r="M766" s="2"/>
    </row>
    <row r="767" ht="12.0" customHeight="1">
      <c r="B767" s="1"/>
      <c r="K767" s="2"/>
      <c r="M767" s="2"/>
    </row>
    <row r="768" ht="12.0" customHeight="1">
      <c r="B768" s="1"/>
      <c r="K768" s="2"/>
      <c r="M768" s="2"/>
    </row>
    <row r="769" ht="12.0" customHeight="1">
      <c r="B769" s="1"/>
      <c r="K769" s="2"/>
      <c r="M769" s="2"/>
    </row>
    <row r="770" ht="12.0" customHeight="1">
      <c r="B770" s="1"/>
      <c r="K770" s="2"/>
      <c r="M770" s="2"/>
    </row>
    <row r="771" ht="12.0" customHeight="1">
      <c r="B771" s="1"/>
      <c r="K771" s="2"/>
      <c r="M771" s="2"/>
    </row>
    <row r="772" ht="12.0" customHeight="1">
      <c r="B772" s="1"/>
      <c r="K772" s="2"/>
      <c r="M772" s="2"/>
    </row>
    <row r="773" ht="12.0" customHeight="1">
      <c r="B773" s="1"/>
      <c r="K773" s="2"/>
      <c r="M773" s="2"/>
    </row>
    <row r="774" ht="12.0" customHeight="1">
      <c r="B774" s="1"/>
      <c r="K774" s="2"/>
      <c r="M774" s="2"/>
    </row>
    <row r="775" ht="12.0" customHeight="1">
      <c r="B775" s="1"/>
      <c r="K775" s="2"/>
      <c r="M775" s="2"/>
    </row>
    <row r="776" ht="12.0" customHeight="1">
      <c r="B776" s="1"/>
      <c r="K776" s="2"/>
      <c r="M776" s="2"/>
    </row>
    <row r="777" ht="12.0" customHeight="1">
      <c r="B777" s="1"/>
      <c r="K777" s="2"/>
      <c r="M777" s="2"/>
    </row>
    <row r="778" ht="12.0" customHeight="1">
      <c r="B778" s="1"/>
      <c r="K778" s="2"/>
      <c r="M778" s="2"/>
    </row>
    <row r="779" ht="12.0" customHeight="1">
      <c r="B779" s="1"/>
      <c r="K779" s="2"/>
      <c r="M779" s="2"/>
    </row>
    <row r="780" ht="12.0" customHeight="1">
      <c r="B780" s="1"/>
      <c r="K780" s="2"/>
      <c r="M780" s="2"/>
    </row>
    <row r="781" ht="12.0" customHeight="1">
      <c r="B781" s="1"/>
      <c r="K781" s="2"/>
      <c r="M781" s="2"/>
    </row>
    <row r="782" ht="12.0" customHeight="1">
      <c r="B782" s="1"/>
      <c r="K782" s="2"/>
      <c r="M782" s="2"/>
    </row>
    <row r="783" ht="12.0" customHeight="1">
      <c r="B783" s="1"/>
      <c r="K783" s="2"/>
      <c r="M783" s="2"/>
    </row>
    <row r="784" ht="12.0" customHeight="1">
      <c r="B784" s="1"/>
      <c r="K784" s="2"/>
      <c r="M784" s="2"/>
    </row>
    <row r="785" ht="12.0" customHeight="1">
      <c r="B785" s="1"/>
      <c r="K785" s="2"/>
      <c r="M785" s="2"/>
    </row>
    <row r="786" ht="12.0" customHeight="1">
      <c r="B786" s="1"/>
      <c r="K786" s="2"/>
      <c r="M786" s="2"/>
    </row>
    <row r="787" ht="12.0" customHeight="1">
      <c r="B787" s="1"/>
      <c r="K787" s="2"/>
      <c r="M787" s="2"/>
    </row>
    <row r="788" ht="12.0" customHeight="1">
      <c r="B788" s="1"/>
      <c r="K788" s="2"/>
      <c r="M788" s="2"/>
    </row>
    <row r="789" ht="12.0" customHeight="1">
      <c r="B789" s="1"/>
      <c r="K789" s="2"/>
      <c r="M789" s="2"/>
    </row>
    <row r="790" ht="12.0" customHeight="1">
      <c r="B790" s="1"/>
      <c r="K790" s="2"/>
      <c r="M790" s="2"/>
    </row>
    <row r="791" ht="12.0" customHeight="1">
      <c r="B791" s="1"/>
      <c r="K791" s="2"/>
      <c r="M791" s="2"/>
    </row>
    <row r="792" ht="12.0" customHeight="1">
      <c r="B792" s="1"/>
      <c r="K792" s="2"/>
      <c r="M792" s="2"/>
    </row>
    <row r="793" ht="12.0" customHeight="1">
      <c r="B793" s="1"/>
      <c r="K793" s="2"/>
      <c r="M793" s="2"/>
    </row>
    <row r="794" ht="12.0" customHeight="1">
      <c r="B794" s="1"/>
      <c r="K794" s="2"/>
      <c r="M794" s="2"/>
    </row>
    <row r="795" ht="12.0" customHeight="1">
      <c r="B795" s="1"/>
      <c r="K795" s="2"/>
      <c r="M795" s="2"/>
    </row>
    <row r="796" ht="12.0" customHeight="1">
      <c r="B796" s="1"/>
      <c r="K796" s="2"/>
      <c r="M796" s="2"/>
    </row>
    <row r="797" ht="12.0" customHeight="1">
      <c r="B797" s="1"/>
      <c r="K797" s="2"/>
      <c r="M797" s="2"/>
    </row>
    <row r="798" ht="12.0" customHeight="1">
      <c r="B798" s="1"/>
      <c r="K798" s="2"/>
      <c r="M798" s="2"/>
    </row>
    <row r="799" ht="12.0" customHeight="1">
      <c r="B799" s="1"/>
      <c r="K799" s="2"/>
      <c r="M799" s="2"/>
    </row>
    <row r="800" ht="12.0" customHeight="1">
      <c r="B800" s="1"/>
      <c r="K800" s="2"/>
      <c r="M800" s="2"/>
    </row>
    <row r="801" ht="12.0" customHeight="1">
      <c r="B801" s="1"/>
      <c r="K801" s="2"/>
      <c r="M801" s="2"/>
    </row>
    <row r="802" ht="12.0" customHeight="1">
      <c r="B802" s="1"/>
      <c r="K802" s="2"/>
      <c r="M802" s="2"/>
    </row>
    <row r="803" ht="12.0" customHeight="1">
      <c r="B803" s="1"/>
      <c r="K803" s="2"/>
      <c r="M803" s="2"/>
    </row>
    <row r="804" ht="12.0" customHeight="1">
      <c r="B804" s="1"/>
      <c r="K804" s="2"/>
      <c r="M804" s="2"/>
    </row>
    <row r="805" ht="12.0" customHeight="1">
      <c r="B805" s="1"/>
      <c r="K805" s="2"/>
      <c r="M805" s="2"/>
    </row>
    <row r="806" ht="12.0" customHeight="1">
      <c r="B806" s="1"/>
      <c r="K806" s="2"/>
      <c r="M806" s="2"/>
    </row>
    <row r="807" ht="12.0" customHeight="1">
      <c r="B807" s="1"/>
      <c r="K807" s="2"/>
      <c r="M807" s="2"/>
    </row>
    <row r="808" ht="12.0" customHeight="1">
      <c r="B808" s="1"/>
      <c r="K808" s="2"/>
      <c r="M808" s="2"/>
    </row>
    <row r="809" ht="12.0" customHeight="1">
      <c r="B809" s="1"/>
      <c r="K809" s="2"/>
      <c r="M809" s="2"/>
    </row>
    <row r="810" ht="12.0" customHeight="1">
      <c r="B810" s="1"/>
      <c r="K810" s="2"/>
      <c r="M810" s="2"/>
    </row>
    <row r="811" ht="12.0" customHeight="1">
      <c r="B811" s="1"/>
      <c r="K811" s="2"/>
      <c r="M811" s="2"/>
    </row>
    <row r="812" ht="12.0" customHeight="1">
      <c r="B812" s="1"/>
      <c r="K812" s="2"/>
      <c r="M812" s="2"/>
    </row>
    <row r="813" ht="12.0" customHeight="1">
      <c r="B813" s="1"/>
      <c r="K813" s="2"/>
      <c r="M813" s="2"/>
    </row>
    <row r="814" ht="12.0" customHeight="1">
      <c r="B814" s="1"/>
      <c r="K814" s="2"/>
      <c r="M814" s="2"/>
    </row>
    <row r="815" ht="12.0" customHeight="1">
      <c r="B815" s="1"/>
      <c r="K815" s="2"/>
      <c r="M815" s="2"/>
    </row>
    <row r="816" ht="12.0" customHeight="1">
      <c r="B816" s="1"/>
      <c r="K816" s="2"/>
      <c r="M816" s="2"/>
    </row>
    <row r="817" ht="12.0" customHeight="1">
      <c r="B817" s="1"/>
      <c r="K817" s="2"/>
      <c r="M817" s="2"/>
    </row>
    <row r="818" ht="12.0" customHeight="1">
      <c r="B818" s="1"/>
      <c r="K818" s="2"/>
      <c r="M818" s="2"/>
    </row>
    <row r="819" ht="12.0" customHeight="1">
      <c r="B819" s="1"/>
      <c r="K819" s="2"/>
      <c r="M819" s="2"/>
    </row>
    <row r="820" ht="12.0" customHeight="1">
      <c r="B820" s="1"/>
      <c r="K820" s="2"/>
      <c r="M820" s="2"/>
    </row>
    <row r="821" ht="12.0" customHeight="1">
      <c r="B821" s="1"/>
      <c r="K821" s="2"/>
      <c r="M821" s="2"/>
    </row>
    <row r="822" ht="12.0" customHeight="1">
      <c r="B822" s="1"/>
      <c r="K822" s="2"/>
      <c r="M822" s="2"/>
    </row>
    <row r="823" ht="12.0" customHeight="1">
      <c r="B823" s="1"/>
      <c r="K823" s="2"/>
      <c r="M823" s="2"/>
    </row>
    <row r="824" ht="12.0" customHeight="1">
      <c r="B824" s="1"/>
      <c r="K824" s="2"/>
      <c r="M824" s="2"/>
    </row>
    <row r="825" ht="12.0" customHeight="1">
      <c r="B825" s="1"/>
      <c r="K825" s="2"/>
      <c r="M825" s="2"/>
    </row>
    <row r="826" ht="12.0" customHeight="1">
      <c r="B826" s="1"/>
      <c r="K826" s="2"/>
      <c r="M826" s="2"/>
    </row>
    <row r="827" ht="12.0" customHeight="1">
      <c r="B827" s="1"/>
      <c r="K827" s="2"/>
      <c r="M827" s="2"/>
    </row>
    <row r="828" ht="12.0" customHeight="1">
      <c r="B828" s="1"/>
      <c r="K828" s="2"/>
      <c r="M828" s="2"/>
    </row>
    <row r="829" ht="12.0" customHeight="1">
      <c r="B829" s="1"/>
      <c r="K829" s="2"/>
      <c r="M829" s="2"/>
    </row>
    <row r="830" ht="12.0" customHeight="1">
      <c r="B830" s="1"/>
      <c r="K830" s="2"/>
      <c r="M830" s="2"/>
    </row>
    <row r="831" ht="12.0" customHeight="1">
      <c r="B831" s="1"/>
      <c r="K831" s="2"/>
      <c r="M831" s="2"/>
    </row>
    <row r="832" ht="12.0" customHeight="1">
      <c r="B832" s="1"/>
      <c r="K832" s="2"/>
      <c r="M832" s="2"/>
    </row>
    <row r="833" ht="12.0" customHeight="1">
      <c r="B833" s="1"/>
      <c r="K833" s="2"/>
      <c r="M833" s="2"/>
    </row>
    <row r="834" ht="12.0" customHeight="1">
      <c r="B834" s="1"/>
      <c r="K834" s="2"/>
      <c r="M834" s="2"/>
    </row>
    <row r="835" ht="12.0" customHeight="1">
      <c r="B835" s="1"/>
      <c r="K835" s="2"/>
      <c r="M835" s="2"/>
    </row>
    <row r="836" ht="12.0" customHeight="1">
      <c r="B836" s="1"/>
      <c r="K836" s="2"/>
      <c r="M836" s="2"/>
    </row>
    <row r="837" ht="12.0" customHeight="1">
      <c r="B837" s="1"/>
      <c r="K837" s="2"/>
      <c r="M837" s="2"/>
    </row>
    <row r="838" ht="12.0" customHeight="1">
      <c r="B838" s="1"/>
      <c r="K838" s="2"/>
      <c r="M838" s="2"/>
    </row>
    <row r="839" ht="12.0" customHeight="1">
      <c r="B839" s="1"/>
      <c r="K839" s="2"/>
      <c r="M839" s="2"/>
    </row>
    <row r="840" ht="12.0" customHeight="1">
      <c r="B840" s="1"/>
      <c r="K840" s="2"/>
      <c r="M840" s="2"/>
    </row>
    <row r="841" ht="12.0" customHeight="1">
      <c r="B841" s="1"/>
      <c r="K841" s="2"/>
      <c r="M841" s="2"/>
    </row>
    <row r="842" ht="12.0" customHeight="1">
      <c r="B842" s="1"/>
      <c r="K842" s="2"/>
      <c r="M842" s="2"/>
    </row>
    <row r="843" ht="12.0" customHeight="1">
      <c r="B843" s="1"/>
      <c r="K843" s="2"/>
      <c r="M843" s="2"/>
    </row>
    <row r="844" ht="12.0" customHeight="1">
      <c r="B844" s="1"/>
      <c r="K844" s="2"/>
      <c r="M844" s="2"/>
    </row>
    <row r="845" ht="12.0" customHeight="1">
      <c r="B845" s="1"/>
      <c r="K845" s="2"/>
      <c r="M845" s="2"/>
    </row>
    <row r="846" ht="12.0" customHeight="1">
      <c r="B846" s="1"/>
      <c r="K846" s="2"/>
      <c r="M846" s="2"/>
    </row>
    <row r="847" ht="12.0" customHeight="1">
      <c r="B847" s="1"/>
      <c r="K847" s="2"/>
      <c r="M847" s="2"/>
    </row>
    <row r="848" ht="12.0" customHeight="1">
      <c r="B848" s="1"/>
      <c r="K848" s="2"/>
      <c r="M848" s="2"/>
    </row>
    <row r="849" ht="12.0" customHeight="1">
      <c r="B849" s="1"/>
      <c r="K849" s="2"/>
      <c r="M849" s="2"/>
    </row>
    <row r="850" ht="12.0" customHeight="1">
      <c r="B850" s="1"/>
      <c r="K850" s="2"/>
      <c r="M850" s="2"/>
    </row>
    <row r="851" ht="12.0" customHeight="1">
      <c r="B851" s="1"/>
      <c r="K851" s="2"/>
      <c r="M851" s="2"/>
    </row>
    <row r="852" ht="12.0" customHeight="1">
      <c r="B852" s="1"/>
      <c r="K852" s="2"/>
      <c r="M852" s="2"/>
    </row>
    <row r="853" ht="12.0" customHeight="1">
      <c r="B853" s="1"/>
      <c r="K853" s="2"/>
      <c r="M853" s="2"/>
    </row>
    <row r="854" ht="12.0" customHeight="1">
      <c r="B854" s="1"/>
      <c r="K854" s="2"/>
      <c r="M854" s="2"/>
    </row>
    <row r="855" ht="12.0" customHeight="1">
      <c r="B855" s="1"/>
      <c r="K855" s="2"/>
      <c r="M855" s="2"/>
    </row>
    <row r="856" ht="12.0" customHeight="1">
      <c r="B856" s="1"/>
      <c r="K856" s="2"/>
      <c r="M856" s="2"/>
    </row>
    <row r="857" ht="12.0" customHeight="1">
      <c r="B857" s="1"/>
      <c r="K857" s="2"/>
      <c r="M857" s="2"/>
    </row>
    <row r="858" ht="12.0" customHeight="1">
      <c r="B858" s="1"/>
      <c r="K858" s="2"/>
      <c r="M858" s="2"/>
    </row>
    <row r="859" ht="12.0" customHeight="1">
      <c r="B859" s="1"/>
      <c r="K859" s="2"/>
      <c r="M859" s="2"/>
    </row>
    <row r="860" ht="12.0" customHeight="1">
      <c r="B860" s="1"/>
      <c r="K860" s="2"/>
      <c r="M860" s="2"/>
    </row>
    <row r="861" ht="12.0" customHeight="1">
      <c r="B861" s="1"/>
      <c r="K861" s="2"/>
      <c r="M861" s="2"/>
    </row>
    <row r="862" ht="12.0" customHeight="1">
      <c r="B862" s="1"/>
      <c r="K862" s="2"/>
      <c r="M862" s="2"/>
    </row>
    <row r="863" ht="12.0" customHeight="1">
      <c r="B863" s="1"/>
      <c r="K863" s="2"/>
      <c r="M863" s="2"/>
    </row>
    <row r="864" ht="12.0" customHeight="1">
      <c r="B864" s="1"/>
      <c r="K864" s="2"/>
      <c r="M864" s="2"/>
    </row>
    <row r="865" ht="12.0" customHeight="1">
      <c r="B865" s="1"/>
      <c r="K865" s="2"/>
      <c r="M865" s="2"/>
    </row>
    <row r="866" ht="12.0" customHeight="1">
      <c r="B866" s="1"/>
      <c r="K866" s="2"/>
      <c r="M866" s="2"/>
    </row>
    <row r="867" ht="12.0" customHeight="1">
      <c r="B867" s="1"/>
      <c r="K867" s="2"/>
      <c r="M867" s="2"/>
    </row>
    <row r="868" ht="12.0" customHeight="1">
      <c r="B868" s="1"/>
      <c r="K868" s="2"/>
      <c r="M868" s="2"/>
    </row>
    <row r="869" ht="12.0" customHeight="1">
      <c r="B869" s="1"/>
      <c r="K869" s="2"/>
      <c r="M869" s="2"/>
    </row>
    <row r="870" ht="12.0" customHeight="1">
      <c r="B870" s="1"/>
      <c r="K870" s="2"/>
      <c r="M870" s="2"/>
    </row>
    <row r="871" ht="12.0" customHeight="1">
      <c r="B871" s="1"/>
      <c r="K871" s="2"/>
      <c r="M871" s="2"/>
    </row>
    <row r="872" ht="12.0" customHeight="1">
      <c r="B872" s="1"/>
      <c r="K872" s="2"/>
      <c r="M872" s="2"/>
    </row>
    <row r="873" ht="12.0" customHeight="1">
      <c r="B873" s="1"/>
      <c r="K873" s="2"/>
      <c r="M873" s="2"/>
    </row>
    <row r="874" ht="12.0" customHeight="1">
      <c r="B874" s="1"/>
      <c r="K874" s="2"/>
      <c r="M874" s="2"/>
    </row>
    <row r="875" ht="12.0" customHeight="1">
      <c r="B875" s="1"/>
      <c r="K875" s="2"/>
      <c r="M875" s="2"/>
    </row>
    <row r="876" ht="12.0" customHeight="1">
      <c r="B876" s="1"/>
      <c r="K876" s="2"/>
      <c r="M876" s="2"/>
    </row>
    <row r="877" ht="12.0" customHeight="1">
      <c r="B877" s="1"/>
      <c r="K877" s="2"/>
      <c r="M877" s="2"/>
    </row>
    <row r="878" ht="12.0" customHeight="1">
      <c r="B878" s="1"/>
      <c r="K878" s="2"/>
      <c r="M878" s="2"/>
    </row>
    <row r="879" ht="12.0" customHeight="1">
      <c r="B879" s="1"/>
      <c r="K879" s="2"/>
      <c r="M879" s="2"/>
    </row>
    <row r="880" ht="12.0" customHeight="1">
      <c r="B880" s="1"/>
      <c r="K880" s="2"/>
      <c r="M880" s="2"/>
    </row>
    <row r="881" ht="12.0" customHeight="1">
      <c r="B881" s="1"/>
      <c r="K881" s="2"/>
      <c r="M881" s="2"/>
    </row>
    <row r="882" ht="12.0" customHeight="1">
      <c r="B882" s="1"/>
      <c r="K882" s="2"/>
      <c r="M882" s="2"/>
    </row>
    <row r="883" ht="12.0" customHeight="1">
      <c r="B883" s="1"/>
      <c r="K883" s="2"/>
      <c r="M883" s="2"/>
    </row>
    <row r="884" ht="12.0" customHeight="1">
      <c r="B884" s="1"/>
      <c r="K884" s="2"/>
      <c r="M884" s="2"/>
    </row>
    <row r="885" ht="12.0" customHeight="1">
      <c r="B885" s="1"/>
      <c r="K885" s="2"/>
      <c r="M885" s="2"/>
    </row>
    <row r="886" ht="12.0" customHeight="1">
      <c r="B886" s="1"/>
      <c r="K886" s="2"/>
      <c r="M886" s="2"/>
    </row>
    <row r="887" ht="12.0" customHeight="1">
      <c r="B887" s="1"/>
      <c r="K887" s="2"/>
      <c r="M887" s="2"/>
    </row>
    <row r="888" ht="12.0" customHeight="1">
      <c r="B888" s="1"/>
      <c r="K888" s="2"/>
      <c r="M888" s="2"/>
    </row>
    <row r="889" ht="12.0" customHeight="1">
      <c r="B889" s="1"/>
      <c r="K889" s="2"/>
      <c r="M889" s="2"/>
    </row>
    <row r="890" ht="12.0" customHeight="1">
      <c r="B890" s="1"/>
      <c r="K890" s="2"/>
      <c r="M890" s="2"/>
    </row>
    <row r="891" ht="12.0" customHeight="1">
      <c r="B891" s="1"/>
      <c r="K891" s="2"/>
      <c r="M891" s="2"/>
    </row>
    <row r="892" ht="12.0" customHeight="1">
      <c r="B892" s="1"/>
      <c r="K892" s="2"/>
      <c r="M892" s="2"/>
    </row>
    <row r="893" ht="12.0" customHeight="1">
      <c r="B893" s="1"/>
      <c r="K893" s="2"/>
      <c r="M893" s="2"/>
    </row>
    <row r="894" ht="12.0" customHeight="1">
      <c r="B894" s="1"/>
      <c r="K894" s="2"/>
      <c r="M894" s="2"/>
    </row>
    <row r="895" ht="12.0" customHeight="1">
      <c r="B895" s="1"/>
      <c r="K895" s="2"/>
      <c r="M895" s="2"/>
    </row>
    <row r="896" ht="12.0" customHeight="1">
      <c r="B896" s="1"/>
      <c r="K896" s="2"/>
      <c r="M896" s="2"/>
    </row>
    <row r="897" ht="12.0" customHeight="1">
      <c r="B897" s="1"/>
      <c r="K897" s="2"/>
      <c r="M897" s="2"/>
    </row>
    <row r="898" ht="12.0" customHeight="1">
      <c r="B898" s="1"/>
      <c r="K898" s="2"/>
      <c r="M898" s="2"/>
    </row>
    <row r="899" ht="12.0" customHeight="1">
      <c r="B899" s="1"/>
      <c r="K899" s="2"/>
      <c r="M899" s="2"/>
    </row>
    <row r="900" ht="12.0" customHeight="1">
      <c r="B900" s="1"/>
      <c r="K900" s="2"/>
      <c r="M900" s="2"/>
    </row>
    <row r="901" ht="12.0" customHeight="1">
      <c r="B901" s="1"/>
      <c r="K901" s="2"/>
      <c r="M901" s="2"/>
    </row>
    <row r="902" ht="12.0" customHeight="1">
      <c r="B902" s="1"/>
      <c r="K902" s="2"/>
      <c r="M902" s="2"/>
    </row>
    <row r="903" ht="12.0" customHeight="1">
      <c r="B903" s="1"/>
      <c r="K903" s="2"/>
      <c r="M903" s="2"/>
    </row>
    <row r="904" ht="12.0" customHeight="1">
      <c r="B904" s="1"/>
      <c r="K904" s="2"/>
      <c r="M904" s="2"/>
    </row>
    <row r="905" ht="12.0" customHeight="1">
      <c r="B905" s="1"/>
      <c r="K905" s="2"/>
      <c r="M905" s="2"/>
    </row>
    <row r="906" ht="12.0" customHeight="1">
      <c r="B906" s="1"/>
      <c r="K906" s="2"/>
      <c r="M906" s="2"/>
    </row>
    <row r="907" ht="12.0" customHeight="1">
      <c r="B907" s="1"/>
      <c r="K907" s="2"/>
      <c r="M907" s="2"/>
    </row>
    <row r="908" ht="12.0" customHeight="1">
      <c r="B908" s="1"/>
      <c r="K908" s="2"/>
      <c r="M908" s="2"/>
    </row>
    <row r="909" ht="12.0" customHeight="1">
      <c r="B909" s="1"/>
      <c r="K909" s="2"/>
      <c r="M909" s="2"/>
    </row>
    <row r="910" ht="12.0" customHeight="1">
      <c r="B910" s="1"/>
      <c r="K910" s="2"/>
      <c r="M910" s="2"/>
    </row>
    <row r="911" ht="12.0" customHeight="1">
      <c r="B911" s="1"/>
      <c r="K911" s="2"/>
      <c r="M911" s="2"/>
    </row>
    <row r="912" ht="12.0" customHeight="1">
      <c r="B912" s="1"/>
      <c r="K912" s="2"/>
      <c r="M912" s="2"/>
    </row>
    <row r="913" ht="12.0" customHeight="1">
      <c r="B913" s="1"/>
      <c r="K913" s="2"/>
      <c r="M913" s="2"/>
    </row>
    <row r="914" ht="12.0" customHeight="1">
      <c r="B914" s="1"/>
      <c r="K914" s="2"/>
      <c r="M914" s="2"/>
    </row>
    <row r="915" ht="12.0" customHeight="1">
      <c r="B915" s="1"/>
      <c r="K915" s="2"/>
      <c r="M915" s="2"/>
    </row>
    <row r="916" ht="12.0" customHeight="1">
      <c r="B916" s="1"/>
      <c r="K916" s="2"/>
      <c r="M916" s="2"/>
    </row>
    <row r="917" ht="12.0" customHeight="1">
      <c r="B917" s="1"/>
      <c r="K917" s="2"/>
      <c r="M917" s="2"/>
    </row>
    <row r="918" ht="12.0" customHeight="1">
      <c r="B918" s="1"/>
      <c r="K918" s="2"/>
      <c r="M918" s="2"/>
    </row>
    <row r="919" ht="12.0" customHeight="1">
      <c r="B919" s="1"/>
      <c r="K919" s="2"/>
      <c r="M919" s="2"/>
    </row>
    <row r="920" ht="12.0" customHeight="1">
      <c r="B920" s="1"/>
      <c r="K920" s="2"/>
      <c r="M920" s="2"/>
    </row>
    <row r="921" ht="12.0" customHeight="1">
      <c r="B921" s="1"/>
      <c r="K921" s="2"/>
      <c r="M921" s="2"/>
    </row>
    <row r="922" ht="12.0" customHeight="1">
      <c r="B922" s="1"/>
      <c r="K922" s="2"/>
      <c r="M922" s="2"/>
    </row>
    <row r="923" ht="12.0" customHeight="1">
      <c r="B923" s="1"/>
      <c r="K923" s="2"/>
      <c r="M923" s="2"/>
    </row>
    <row r="924" ht="12.0" customHeight="1">
      <c r="B924" s="1"/>
      <c r="K924" s="2"/>
      <c r="M924" s="2"/>
    </row>
    <row r="925" ht="12.0" customHeight="1">
      <c r="B925" s="1"/>
      <c r="K925" s="2"/>
      <c r="M925" s="2"/>
    </row>
    <row r="926" ht="12.0" customHeight="1">
      <c r="B926" s="1"/>
      <c r="K926" s="2"/>
      <c r="M926" s="2"/>
    </row>
    <row r="927" ht="12.0" customHeight="1">
      <c r="B927" s="1"/>
      <c r="K927" s="2"/>
      <c r="M927" s="2"/>
    </row>
    <row r="928" ht="12.0" customHeight="1">
      <c r="B928" s="1"/>
      <c r="K928" s="2"/>
      <c r="M928" s="2"/>
    </row>
    <row r="929" ht="12.0" customHeight="1">
      <c r="B929" s="1"/>
      <c r="K929" s="2"/>
      <c r="M929" s="2"/>
    </row>
    <row r="930" ht="12.0" customHeight="1">
      <c r="B930" s="1"/>
      <c r="K930" s="2"/>
      <c r="M930" s="2"/>
    </row>
    <row r="931" ht="12.0" customHeight="1">
      <c r="B931" s="1"/>
      <c r="K931" s="2"/>
      <c r="M931" s="2"/>
    </row>
    <row r="932" ht="12.0" customHeight="1">
      <c r="B932" s="1"/>
      <c r="K932" s="2"/>
      <c r="M932" s="2"/>
    </row>
    <row r="933" ht="12.0" customHeight="1">
      <c r="B933" s="1"/>
      <c r="K933" s="2"/>
      <c r="M933" s="2"/>
    </row>
    <row r="934" ht="12.0" customHeight="1">
      <c r="B934" s="1"/>
      <c r="K934" s="2"/>
      <c r="M934" s="2"/>
    </row>
    <row r="935" ht="12.0" customHeight="1">
      <c r="B935" s="1"/>
      <c r="K935" s="2"/>
      <c r="M935" s="2"/>
    </row>
    <row r="936" ht="12.0" customHeight="1">
      <c r="B936" s="1"/>
      <c r="K936" s="2"/>
      <c r="M936" s="2"/>
    </row>
    <row r="937" ht="12.0" customHeight="1">
      <c r="B937" s="1"/>
      <c r="K937" s="2"/>
      <c r="M937" s="2"/>
    </row>
    <row r="938" ht="12.0" customHeight="1">
      <c r="B938" s="1"/>
      <c r="K938" s="2"/>
      <c r="M938" s="2"/>
    </row>
    <row r="939" ht="12.0" customHeight="1">
      <c r="B939" s="1"/>
      <c r="K939" s="2"/>
      <c r="M939" s="2"/>
    </row>
    <row r="940" ht="12.0" customHeight="1">
      <c r="B940" s="1"/>
      <c r="K940" s="2"/>
      <c r="M940" s="2"/>
    </row>
    <row r="941" ht="12.0" customHeight="1">
      <c r="B941" s="1"/>
      <c r="K941" s="2"/>
      <c r="M941" s="2"/>
    </row>
    <row r="942" ht="12.0" customHeight="1">
      <c r="B942" s="1"/>
      <c r="K942" s="2"/>
      <c r="M942" s="2"/>
    </row>
    <row r="943" ht="12.0" customHeight="1">
      <c r="B943" s="1"/>
      <c r="K943" s="2"/>
      <c r="M943" s="2"/>
    </row>
    <row r="944" ht="12.0" customHeight="1">
      <c r="B944" s="1"/>
      <c r="K944" s="2"/>
      <c r="M944" s="2"/>
    </row>
    <row r="945" ht="12.0" customHeight="1">
      <c r="B945" s="1"/>
      <c r="K945" s="2"/>
      <c r="M945" s="2"/>
    </row>
    <row r="946" ht="12.0" customHeight="1">
      <c r="B946" s="1"/>
      <c r="K946" s="2"/>
      <c r="M946" s="2"/>
    </row>
    <row r="947" ht="12.0" customHeight="1">
      <c r="B947" s="1"/>
      <c r="K947" s="2"/>
      <c r="M947" s="2"/>
    </row>
    <row r="948" ht="12.0" customHeight="1">
      <c r="B948" s="1"/>
      <c r="K948" s="2"/>
      <c r="M948" s="2"/>
    </row>
    <row r="949" ht="12.0" customHeight="1">
      <c r="B949" s="1"/>
      <c r="K949" s="2"/>
      <c r="M949" s="2"/>
    </row>
    <row r="950" ht="12.0" customHeight="1">
      <c r="B950" s="1"/>
      <c r="K950" s="2"/>
      <c r="M950" s="2"/>
    </row>
    <row r="951" ht="12.0" customHeight="1">
      <c r="B951" s="1"/>
      <c r="K951" s="2"/>
      <c r="M951" s="2"/>
    </row>
    <row r="952" ht="12.0" customHeight="1">
      <c r="B952" s="1"/>
      <c r="K952" s="2"/>
      <c r="M952" s="2"/>
    </row>
    <row r="953" ht="12.0" customHeight="1">
      <c r="B953" s="1"/>
      <c r="K953" s="2"/>
      <c r="M953" s="2"/>
    </row>
    <row r="954" ht="12.0" customHeight="1">
      <c r="B954" s="1"/>
      <c r="K954" s="2"/>
      <c r="M954" s="2"/>
    </row>
    <row r="955" ht="12.0" customHeight="1">
      <c r="B955" s="1"/>
      <c r="K955" s="2"/>
      <c r="M955" s="2"/>
    </row>
    <row r="956" ht="12.0" customHeight="1">
      <c r="B956" s="1"/>
      <c r="K956" s="2"/>
      <c r="M956" s="2"/>
    </row>
    <row r="957" ht="12.0" customHeight="1">
      <c r="B957" s="1"/>
      <c r="K957" s="2"/>
      <c r="M957" s="2"/>
    </row>
    <row r="958" ht="12.0" customHeight="1">
      <c r="B958" s="1"/>
      <c r="K958" s="2"/>
      <c r="M958" s="2"/>
    </row>
    <row r="959" ht="12.0" customHeight="1">
      <c r="B959" s="1"/>
      <c r="K959" s="2"/>
      <c r="M959" s="2"/>
    </row>
    <row r="960" ht="12.0" customHeight="1">
      <c r="B960" s="1"/>
      <c r="K960" s="2"/>
      <c r="M960" s="2"/>
    </row>
    <row r="961" ht="12.0" customHeight="1">
      <c r="B961" s="1"/>
      <c r="K961" s="2"/>
      <c r="M961" s="2"/>
    </row>
    <row r="962" ht="12.0" customHeight="1">
      <c r="B962" s="1"/>
      <c r="K962" s="2"/>
      <c r="M962" s="2"/>
    </row>
    <row r="963" ht="12.0" customHeight="1">
      <c r="B963" s="1"/>
      <c r="K963" s="2"/>
      <c r="M963" s="2"/>
    </row>
    <row r="964" ht="12.0" customHeight="1">
      <c r="B964" s="1"/>
      <c r="K964" s="2"/>
      <c r="M964" s="2"/>
    </row>
    <row r="965" ht="12.0" customHeight="1">
      <c r="B965" s="1"/>
      <c r="K965" s="2"/>
      <c r="M965" s="2"/>
    </row>
    <row r="966" ht="12.0" customHeight="1">
      <c r="B966" s="1"/>
      <c r="K966" s="2"/>
      <c r="M966" s="2"/>
    </row>
    <row r="967" ht="12.0" customHeight="1">
      <c r="B967" s="1"/>
      <c r="K967" s="2"/>
      <c r="M967" s="2"/>
    </row>
    <row r="968" ht="12.0" customHeight="1">
      <c r="B968" s="1"/>
      <c r="K968" s="2"/>
      <c r="M968" s="2"/>
    </row>
    <row r="969" ht="12.0" customHeight="1">
      <c r="B969" s="1"/>
      <c r="K969" s="2"/>
      <c r="M969" s="2"/>
    </row>
    <row r="970" ht="12.0" customHeight="1">
      <c r="B970" s="1"/>
      <c r="K970" s="2"/>
      <c r="M970" s="2"/>
    </row>
    <row r="971" ht="12.0" customHeight="1">
      <c r="B971" s="1"/>
      <c r="K971" s="2"/>
      <c r="M971" s="2"/>
    </row>
    <row r="972" ht="12.0" customHeight="1">
      <c r="B972" s="1"/>
      <c r="K972" s="2"/>
      <c r="M972" s="2"/>
    </row>
    <row r="973" ht="12.0" customHeight="1">
      <c r="B973" s="1"/>
      <c r="K973" s="2"/>
      <c r="M973" s="2"/>
    </row>
    <row r="974" ht="12.0" customHeight="1">
      <c r="B974" s="1"/>
      <c r="K974" s="2"/>
      <c r="M974" s="2"/>
    </row>
    <row r="975" ht="12.0" customHeight="1">
      <c r="B975" s="1"/>
      <c r="K975" s="2"/>
      <c r="M975" s="2"/>
    </row>
    <row r="976" ht="12.0" customHeight="1">
      <c r="B976" s="1"/>
      <c r="K976" s="2"/>
      <c r="M976" s="2"/>
    </row>
    <row r="977" ht="12.0" customHeight="1">
      <c r="B977" s="1"/>
      <c r="K977" s="2"/>
      <c r="M977" s="2"/>
    </row>
    <row r="978" ht="12.0" customHeight="1">
      <c r="B978" s="1"/>
      <c r="K978" s="2"/>
      <c r="M978" s="2"/>
    </row>
    <row r="979" ht="12.0" customHeight="1">
      <c r="B979" s="1"/>
      <c r="K979" s="2"/>
      <c r="M979" s="2"/>
    </row>
    <row r="980" ht="12.0" customHeight="1">
      <c r="B980" s="1"/>
      <c r="K980" s="2"/>
      <c r="M980" s="2"/>
    </row>
    <row r="981" ht="12.0" customHeight="1">
      <c r="B981" s="1"/>
      <c r="K981" s="2"/>
      <c r="M981" s="2"/>
    </row>
    <row r="982" ht="12.0" customHeight="1">
      <c r="B982" s="1"/>
      <c r="K982" s="2"/>
      <c r="M982" s="2"/>
    </row>
    <row r="983" ht="12.0" customHeight="1">
      <c r="B983" s="1"/>
      <c r="K983" s="2"/>
      <c r="M983" s="2"/>
    </row>
    <row r="984" ht="12.0" customHeight="1">
      <c r="B984" s="1"/>
      <c r="K984" s="2"/>
      <c r="M984" s="2"/>
    </row>
    <row r="985" ht="12.0" customHeight="1">
      <c r="B985" s="1"/>
      <c r="K985" s="2"/>
      <c r="M985" s="2"/>
    </row>
    <row r="986" ht="12.0" customHeight="1">
      <c r="B986" s="1"/>
      <c r="K986" s="2"/>
      <c r="M986" s="2"/>
    </row>
    <row r="987" ht="12.0" customHeight="1">
      <c r="B987" s="1"/>
      <c r="K987" s="2"/>
      <c r="M987" s="2"/>
    </row>
    <row r="988" ht="12.0" customHeight="1">
      <c r="B988" s="1"/>
      <c r="K988" s="2"/>
      <c r="M988" s="2"/>
    </row>
    <row r="989" ht="12.0" customHeight="1">
      <c r="B989" s="1"/>
      <c r="K989" s="2"/>
      <c r="M989" s="2"/>
    </row>
    <row r="990" ht="12.0" customHeight="1">
      <c r="B990" s="1"/>
      <c r="K990" s="2"/>
      <c r="M990" s="2"/>
    </row>
    <row r="991" ht="12.0" customHeight="1">
      <c r="B991" s="1"/>
      <c r="K991" s="2"/>
      <c r="M991" s="2"/>
    </row>
    <row r="992" ht="12.0" customHeight="1">
      <c r="B992" s="1"/>
      <c r="K992" s="2"/>
      <c r="M992" s="2"/>
    </row>
    <row r="993" ht="12.0" customHeight="1">
      <c r="B993" s="1"/>
      <c r="K993" s="2"/>
      <c r="M993" s="2"/>
    </row>
    <row r="994" ht="12.0" customHeight="1">
      <c r="B994" s="1"/>
      <c r="K994" s="2"/>
      <c r="M994" s="2"/>
    </row>
    <row r="995" ht="12.0" customHeight="1">
      <c r="B995" s="1"/>
      <c r="K995" s="2"/>
      <c r="M995" s="2"/>
    </row>
    <row r="996" ht="12.0" customHeight="1">
      <c r="B996" s="1"/>
      <c r="K996" s="2"/>
      <c r="M996" s="2"/>
    </row>
    <row r="997" ht="12.0" customHeight="1">
      <c r="B997" s="1"/>
      <c r="K997" s="2"/>
      <c r="M997" s="2"/>
    </row>
    <row r="998" ht="12.0" customHeight="1">
      <c r="B998" s="1"/>
      <c r="K998" s="2"/>
      <c r="M998" s="2"/>
    </row>
    <row r="999" ht="12.0" customHeight="1">
      <c r="B999" s="1"/>
      <c r="K999" s="2"/>
      <c r="M999" s="2"/>
    </row>
  </sheetData>
  <mergeCells count="19">
    <mergeCell ref="J5:K5"/>
    <mergeCell ref="L5:M5"/>
    <mergeCell ref="F6:H6"/>
    <mergeCell ref="I6:K6"/>
    <mergeCell ref="B18:B20"/>
    <mergeCell ref="B21:B25"/>
    <mergeCell ref="B26:B30"/>
    <mergeCell ref="B61:B63"/>
    <mergeCell ref="B65:B67"/>
    <mergeCell ref="B68:B70"/>
    <mergeCell ref="B71:B73"/>
    <mergeCell ref="B75:B77"/>
    <mergeCell ref="B35:B37"/>
    <mergeCell ref="B38:B40"/>
    <mergeCell ref="B42:B44"/>
    <mergeCell ref="B45:B47"/>
    <mergeCell ref="B48:B53"/>
    <mergeCell ref="B54:B57"/>
    <mergeCell ref="B58:B60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2 J45 J58 J61 J65 J68 J71 J75 J80">
      <formula1>"YES,NO"</formula1>
    </dataValidation>
    <dataValidation type="list" allowBlank="1" showErrorMessage="1" sqref="L17:L18 L21 L26 L31 L35 L38 L42 L45 L48 L54 L58 L61 L65 L68 L71 L75 L80">
      <formula1>"DELAPIDATED,POOR,FAIR,GOOD,VERY GOOD,EXCELLENT,NOT APPLICABLE"</formula1>
    </dataValidation>
    <dataValidation type="list" allowBlank="1" showErrorMessage="1" sqref="J54">
      <formula1>"STEEL WINDOW FRAMES,ALUMINIUM WINDOW FRAMES,NO WINDOWS FITTED"</formula1>
    </dataValidation>
    <dataValidation type="list" allowBlank="1" showErrorMessage="1" sqref="J12">
      <formula1>"2010-2013,2014-2021,2021-2023"</formula1>
    </dataValidation>
    <dataValidation type="list" allowBlank="1" showErrorMessage="1" sqref="J48">
      <formula1>"VINYL FLOORING,TILING FLOORING,TIMBER FLOORING,CARPETS FLOORING,NO FLOORING"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29.63"/>
    <col customWidth="1" hidden="1" min="4" max="5" width="28.25"/>
    <col customWidth="1" hidden="1" min="6" max="9" width="24.88"/>
    <col customWidth="1" min="10" max="10" width="20.75"/>
    <col customWidth="1" min="11" max="11" width="17.75"/>
    <col customWidth="1" hidden="1" min="12" max="12" width="23.38"/>
    <col customWidth="1" hidden="1" min="13" max="13" width="30.0"/>
    <col customWidth="1" hidden="1" min="14" max="14" width="22.25"/>
    <col customWidth="1" min="15" max="15" width="16.13"/>
    <col customWidth="1" min="16" max="16" width="16.25"/>
    <col customWidth="1" min="17" max="26" width="9.13"/>
  </cols>
  <sheetData>
    <row r="1" ht="12.0" customHeight="1">
      <c r="B1" s="1"/>
      <c r="K1" s="2"/>
      <c r="P1" s="2"/>
    </row>
    <row r="2" ht="36.0" customHeight="1">
      <c r="B2" s="1"/>
      <c r="C2" s="4" t="s">
        <v>144</v>
      </c>
      <c r="K2" s="2"/>
      <c r="P2" s="2"/>
    </row>
    <row r="3" ht="34.5" customHeight="1">
      <c r="B3" s="1"/>
      <c r="C3" s="260" t="s">
        <v>140</v>
      </c>
      <c r="K3" s="2"/>
      <c r="P3" s="2"/>
    </row>
    <row r="4" ht="12.0" customHeight="1">
      <c r="B4" s="1"/>
      <c r="C4" s="260"/>
      <c r="K4" s="2"/>
      <c r="P4" s="2"/>
    </row>
    <row r="5" ht="30.0" customHeight="1">
      <c r="B5" s="1"/>
      <c r="C5" s="152"/>
      <c r="J5" s="6" t="s">
        <v>2</v>
      </c>
      <c r="K5" s="7"/>
      <c r="L5" s="8" t="s">
        <v>3</v>
      </c>
      <c r="M5" s="7"/>
      <c r="O5" s="8" t="s">
        <v>3</v>
      </c>
      <c r="P5" s="7"/>
    </row>
    <row r="6" ht="49.5" hidden="1" customHeight="1">
      <c r="B6" s="631"/>
      <c r="C6" s="632"/>
      <c r="D6" s="633"/>
      <c r="E6" s="633"/>
      <c r="F6" s="535" t="s">
        <v>79</v>
      </c>
      <c r="G6" s="274"/>
      <c r="H6" s="7"/>
      <c r="I6" s="536" t="s">
        <v>80</v>
      </c>
      <c r="J6" s="274"/>
      <c r="K6" s="7"/>
      <c r="L6" s="635" t="s">
        <v>91</v>
      </c>
      <c r="M6" s="274"/>
      <c r="N6" s="7"/>
      <c r="O6" s="161"/>
      <c r="P6" s="2"/>
    </row>
    <row r="7" ht="49.5" hidden="1" customHeight="1">
      <c r="B7" s="631"/>
      <c r="C7" s="632" t="s">
        <v>121</v>
      </c>
      <c r="D7" s="633"/>
      <c r="E7" s="633"/>
      <c r="F7" s="636"/>
      <c r="G7" s="636"/>
      <c r="H7" s="636"/>
      <c r="I7" s="636"/>
      <c r="J7" s="636"/>
      <c r="K7" s="669"/>
      <c r="L7" s="729"/>
      <c r="M7" s="159"/>
      <c r="N7" s="160"/>
      <c r="O7" s="161"/>
      <c r="P7" s="2"/>
    </row>
    <row r="8" ht="69.75" customHeight="1">
      <c r="A8" s="20"/>
      <c r="B8" s="649" t="s">
        <v>6</v>
      </c>
      <c r="C8" s="649" t="s">
        <v>7</v>
      </c>
      <c r="D8" s="359"/>
      <c r="E8" s="361" t="s">
        <v>8</v>
      </c>
      <c r="F8" s="362" t="s">
        <v>9</v>
      </c>
      <c r="G8" s="362" t="s">
        <v>10</v>
      </c>
      <c r="H8" s="362" t="s">
        <v>11</v>
      </c>
      <c r="I8" s="363" t="s">
        <v>12</v>
      </c>
      <c r="J8" s="26" t="s">
        <v>13</v>
      </c>
      <c r="K8" s="24" t="s">
        <v>14</v>
      </c>
      <c r="L8" s="641" t="s">
        <v>15</v>
      </c>
      <c r="M8" s="642" t="s">
        <v>16</v>
      </c>
      <c r="N8" s="643" t="s">
        <v>17</v>
      </c>
      <c r="O8" s="31" t="s">
        <v>18</v>
      </c>
      <c r="P8" s="24" t="s">
        <v>14</v>
      </c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30.0" hidden="1" customHeight="1">
      <c r="A9" s="20"/>
      <c r="B9" s="174"/>
      <c r="C9" s="672" t="s">
        <v>136</v>
      </c>
      <c r="D9" s="175"/>
      <c r="E9" s="37"/>
      <c r="F9" s="176">
        <v>3.0</v>
      </c>
      <c r="G9" s="176">
        <v>2.0</v>
      </c>
      <c r="H9" s="176">
        <v>1.0</v>
      </c>
      <c r="I9" s="175"/>
      <c r="J9" s="730"/>
      <c r="K9" s="731"/>
      <c r="L9" s="20"/>
      <c r="M9" s="20"/>
      <c r="N9" s="20"/>
      <c r="O9" s="20"/>
      <c r="P9" s="137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0.0" customHeight="1">
      <c r="A10" s="17"/>
      <c r="B10" s="52"/>
      <c r="C10" s="184" t="s">
        <v>19</v>
      </c>
      <c r="D10" s="185"/>
      <c r="E10" s="54"/>
      <c r="F10" s="186"/>
      <c r="G10" s="186"/>
      <c r="H10" s="186"/>
      <c r="I10" s="283"/>
      <c r="J10" s="702">
        <v>500.0</v>
      </c>
      <c r="K10" s="189"/>
      <c r="L10" s="190" t="str">
        <f t="shared" ref="L10:L11" si="1">AVERAGE(#REF!)</f>
        <v>#REF!</v>
      </c>
      <c r="M10" s="191">
        <v>1326.1</v>
      </c>
      <c r="N10" s="193"/>
      <c r="O10" s="193"/>
      <c r="P10" s="19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3.5" hidden="1" customHeight="1">
      <c r="A11" s="17"/>
      <c r="B11" s="61"/>
      <c r="C11" s="194" t="s">
        <v>20</v>
      </c>
      <c r="D11" s="185"/>
      <c r="E11" s="54"/>
      <c r="F11" s="186"/>
      <c r="G11" s="186"/>
      <c r="H11" s="186"/>
      <c r="I11" s="185"/>
      <c r="J11" s="732"/>
      <c r="K11" s="197"/>
      <c r="L11" s="190" t="str">
        <f t="shared" si="1"/>
        <v>#REF!</v>
      </c>
      <c r="M11" s="191">
        <v>1587.4</v>
      </c>
      <c r="N11" s="193"/>
      <c r="O11" s="193"/>
      <c r="P11" s="19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customHeight="1">
      <c r="A12" s="17"/>
      <c r="B12" s="61"/>
      <c r="C12" s="194" t="s">
        <v>20</v>
      </c>
      <c r="D12" s="185" t="s">
        <v>81</v>
      </c>
      <c r="E12" s="54"/>
      <c r="F12" s="186"/>
      <c r="G12" s="186"/>
      <c r="H12" s="186"/>
      <c r="I12" s="56"/>
      <c r="J12" s="733" t="s">
        <v>9</v>
      </c>
      <c r="K12" s="197"/>
      <c r="L12" s="190"/>
      <c r="M12" s="191"/>
      <c r="N12" s="193"/>
      <c r="O12" s="193"/>
      <c r="P12" s="19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customHeight="1">
      <c r="A13" s="17"/>
      <c r="B13" s="61"/>
      <c r="C13" s="198"/>
      <c r="D13" s="185" t="s">
        <v>11</v>
      </c>
      <c r="E13" s="17"/>
      <c r="F13" s="186"/>
      <c r="G13" s="186"/>
      <c r="H13" s="186"/>
      <c r="I13" s="56"/>
      <c r="J13" s="56"/>
      <c r="K13" s="285"/>
      <c r="L13" s="199"/>
      <c r="M13" s="14"/>
      <c r="N13" s="701"/>
      <c r="O13" s="17"/>
      <c r="P13" s="120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customHeight="1">
      <c r="A14" s="17"/>
      <c r="B14" s="61"/>
      <c r="C14" s="198"/>
      <c r="D14" s="185" t="s">
        <v>10</v>
      </c>
      <c r="E14" s="185"/>
      <c r="F14" s="186"/>
      <c r="G14" s="186"/>
      <c r="H14" s="186"/>
      <c r="I14" s="56"/>
      <c r="J14" s="56"/>
      <c r="K14" s="58"/>
      <c r="L14" s="199"/>
      <c r="M14" s="14"/>
      <c r="N14" s="701"/>
      <c r="O14" s="17"/>
      <c r="P14" s="99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customHeight="1">
      <c r="A15" s="17"/>
      <c r="B15" s="61"/>
      <c r="C15" s="198"/>
      <c r="D15" s="185" t="s">
        <v>9</v>
      </c>
      <c r="E15" s="185"/>
      <c r="F15" s="186"/>
      <c r="G15" s="186"/>
      <c r="H15" s="186"/>
      <c r="I15" s="56"/>
      <c r="J15" s="56"/>
      <c r="K15" s="58"/>
      <c r="L15" s="199"/>
      <c r="M15" s="14"/>
      <c r="N15" s="701"/>
      <c r="O15" s="17"/>
      <c r="P15" s="99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customHeight="1">
      <c r="A16" s="17"/>
      <c r="B16" s="61"/>
      <c r="C16" s="198"/>
      <c r="D16" s="185" t="s">
        <v>21</v>
      </c>
      <c r="E16" s="63">
        <v>1.24</v>
      </c>
      <c r="F16" s="186"/>
      <c r="G16" s="203">
        <v>1.25</v>
      </c>
      <c r="H16" s="203">
        <v>1.32</v>
      </c>
      <c r="I16" s="56"/>
      <c r="J16" s="56"/>
      <c r="K16" s="58"/>
      <c r="L16" s="199"/>
      <c r="M16" s="14"/>
      <c r="N16" s="701"/>
      <c r="O16" s="17"/>
      <c r="P16" s="60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67">
        <f>440.487142749416*E16</f>
        <v>546.204057</v>
      </c>
      <c r="G17" s="67">
        <f>F17/$G$16</f>
        <v>436.9632456</v>
      </c>
      <c r="H17" s="67">
        <f>F17/$H$16</f>
        <v>413.7909523</v>
      </c>
      <c r="I17" s="68"/>
      <c r="J17" s="204"/>
      <c r="K17" s="70">
        <f>IF(J12="2010-2013",J10*H17,IF(J12="2014-2021",J10*G17,IF(J12="2021-2023",J10*F17,-2)))</f>
        <v>273102.0285</v>
      </c>
      <c r="L17" s="199" t="str">
        <f t="shared" ref="L17:L18" si="2">AVERAGE(#REF!)</f>
        <v>#REF!</v>
      </c>
      <c r="M17" s="205">
        <v>584130.0</v>
      </c>
      <c r="N17" s="206">
        <f t="shared" ref="N17:N18" si="3">M17/$M$10</f>
        <v>440.4871427</v>
      </c>
      <c r="O17" s="207" t="s">
        <v>23</v>
      </c>
      <c r="P17" s="73">
        <f t="shared" ref="P17:P18" si="4">IF(O17="Delapidated",K17*0.6,IF(O17="Poor",K17*0.7,IF(O17="Fair",K17*0.8,IF(O17="Good",K17*0.85,IF(O17="Very Good",K17*0.9,IF(O17="Excellent",K17*1,IF(O17="Not Applicable",K17*1,0)))))))</f>
        <v>273102.0285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66"/>
      <c r="F18" s="209"/>
      <c r="G18" s="67"/>
      <c r="H18" s="67"/>
      <c r="I18" s="68"/>
      <c r="J18" s="72" t="s">
        <v>25</v>
      </c>
      <c r="K18" s="70">
        <f>IF(J18="YES",IF(J12="2010-2013",H19*$J$10,IF(J12="2014-2021",G19*$J$10,IF(J12="2021-2023",F19*$J$10,0))),0)</f>
        <v>595996.682</v>
      </c>
      <c r="L18" s="199" t="str">
        <f t="shared" si="2"/>
        <v>#REF!</v>
      </c>
      <c r="M18" s="205">
        <v>1274760.0</v>
      </c>
      <c r="N18" s="206">
        <f t="shared" si="3"/>
        <v>961.284971</v>
      </c>
      <c r="O18" s="207" t="s">
        <v>23</v>
      </c>
      <c r="P18" s="73">
        <f t="shared" si="4"/>
        <v>595996.682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hidden="1" customHeight="1">
      <c r="A19" s="34"/>
      <c r="B19" s="84"/>
      <c r="C19" s="79" t="s">
        <v>25</v>
      </c>
      <c r="D19" s="66"/>
      <c r="E19" s="66"/>
      <c r="F19" s="67">
        <f>961.284970967499*E16</f>
        <v>1191.993364</v>
      </c>
      <c r="G19" s="67">
        <f t="shared" ref="G19:G20" si="5">F19/$G$16</f>
        <v>953.5946912</v>
      </c>
      <c r="H19" s="67">
        <f t="shared" ref="H19:H20" si="6">F19/$H$16</f>
        <v>903.0252758</v>
      </c>
      <c r="I19" s="77">
        <v>1.0</v>
      </c>
      <c r="J19" s="68"/>
      <c r="K19" s="70"/>
      <c r="L19" s="199"/>
      <c r="M19" s="205"/>
      <c r="N19" s="206"/>
      <c r="O19" s="34"/>
      <c r="P19" s="402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hidden="1" customHeight="1">
      <c r="A20" s="34"/>
      <c r="B20" s="85"/>
      <c r="C20" s="79" t="s">
        <v>26</v>
      </c>
      <c r="D20" s="66"/>
      <c r="E20" s="66"/>
      <c r="F20" s="67">
        <v>0.0</v>
      </c>
      <c r="G20" s="67">
        <f t="shared" si="5"/>
        <v>0</v>
      </c>
      <c r="H20" s="67">
        <f t="shared" si="6"/>
        <v>0</v>
      </c>
      <c r="I20" s="77">
        <v>2.0</v>
      </c>
      <c r="J20" s="68"/>
      <c r="K20" s="70"/>
      <c r="L20" s="199"/>
      <c r="M20" s="205"/>
      <c r="N20" s="206"/>
      <c r="O20" s="34"/>
      <c r="P20" s="402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208" t="s">
        <v>27</v>
      </c>
      <c r="D21" s="66"/>
      <c r="E21" s="66"/>
      <c r="F21" s="67"/>
      <c r="G21" s="67"/>
      <c r="H21" s="67"/>
      <c r="I21" s="68"/>
      <c r="J21" s="72" t="s">
        <v>28</v>
      </c>
      <c r="K21" s="70">
        <f>IF(J21="STOCK BRICKS",IF(J12="2010-2013",H22*$J$10,IF(J12="2014-2021",G22*$J$10,IF(J12="2021-2023",F22*$J$10,0))),IF(J21="BLOCKS",IF(J12="2010-2013",H23*$J$10,IF(J12="2014-2021",G23*$J$10,IF(J12="2021-2023",F23*$J$10,0))),IF(J21="FACE BRICKS",IF(J12="2010-2013",H24*$J$10,IF(J12="2014-2021",G24*$J$10,IF(J12="2021-2023",F24*$J$10,0))),0)))</f>
        <v>358983.787</v>
      </c>
      <c r="L21" s="199" t="str">
        <f>AVERAGE(#REF!)</f>
        <v>#REF!</v>
      </c>
      <c r="M21" s="205">
        <f>742410+25410</f>
        <v>767820</v>
      </c>
      <c r="N21" s="206">
        <f>M21/$M$10</f>
        <v>579.0061081</v>
      </c>
      <c r="O21" s="207" t="s">
        <v>23</v>
      </c>
      <c r="P21" s="73">
        <f>IF(O21="Delapidated",K21*0.6,IF(O21="Poor",K21*0.7,IF(O21="Fair",K21*0.8,IF(O21="Good",K21*0.85,IF(O21="Very Good",K21*0.9,IF(O21="Excellent",K21*1,IF(O21="Not Applicable",K21*1,0)))))))</f>
        <v>358983.787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hidden="1" customHeight="1">
      <c r="A22" s="34"/>
      <c r="B22" s="84"/>
      <c r="C22" s="79" t="s">
        <v>28</v>
      </c>
      <c r="D22" s="66"/>
      <c r="E22" s="66"/>
      <c r="F22" s="67">
        <f>579.006108136641*E16</f>
        <v>717.9675741</v>
      </c>
      <c r="G22" s="67">
        <f t="shared" ref="G22:G25" si="7">F22/$G$16</f>
        <v>574.3740593</v>
      </c>
      <c r="H22" s="67">
        <f t="shared" ref="H22:H25" si="8">F22/$H$16</f>
        <v>543.9148289</v>
      </c>
      <c r="I22" s="77">
        <v>1.0</v>
      </c>
      <c r="J22" s="68"/>
      <c r="K22" s="70"/>
      <c r="L22" s="199"/>
      <c r="M22" s="205"/>
      <c r="N22" s="206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hidden="1" customHeight="1">
      <c r="A23" s="34"/>
      <c r="B23" s="84"/>
      <c r="C23" s="79" t="s">
        <v>29</v>
      </c>
      <c r="D23" s="66"/>
      <c r="E23" s="66"/>
      <c r="F23" s="67">
        <f>F22*0.8</f>
        <v>574.3740593</v>
      </c>
      <c r="G23" s="67">
        <f t="shared" si="7"/>
        <v>459.4992474</v>
      </c>
      <c r="H23" s="67">
        <f t="shared" si="8"/>
        <v>435.1318631</v>
      </c>
      <c r="I23" s="77">
        <v>2.0</v>
      </c>
      <c r="J23" s="68"/>
      <c r="K23" s="70"/>
      <c r="L23" s="199"/>
      <c r="M23" s="205"/>
      <c r="N23" s="206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hidden="1" customHeight="1">
      <c r="A24" s="34"/>
      <c r="B24" s="84"/>
      <c r="C24" s="79" t="s">
        <v>30</v>
      </c>
      <c r="D24" s="66"/>
      <c r="E24" s="66"/>
      <c r="F24" s="67">
        <f>F22*1.3</f>
        <v>933.3578463</v>
      </c>
      <c r="G24" s="67">
        <f t="shared" si="7"/>
        <v>746.6862771</v>
      </c>
      <c r="H24" s="67">
        <f t="shared" si="8"/>
        <v>707.0892775</v>
      </c>
      <c r="I24" s="77">
        <v>3.0</v>
      </c>
      <c r="J24" s="68"/>
      <c r="K24" s="70"/>
      <c r="L24" s="199"/>
      <c r="M24" s="205"/>
      <c r="N24" s="206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hidden="1" customHeight="1">
      <c r="A25" s="34"/>
      <c r="B25" s="85"/>
      <c r="C25" s="79" t="s">
        <v>31</v>
      </c>
      <c r="D25" s="66"/>
      <c r="E25" s="66"/>
      <c r="F25" s="67">
        <v>0.0</v>
      </c>
      <c r="G25" s="67">
        <f t="shared" si="7"/>
        <v>0</v>
      </c>
      <c r="H25" s="67">
        <f t="shared" si="8"/>
        <v>0</v>
      </c>
      <c r="I25" s="77">
        <v>4.0</v>
      </c>
      <c r="J25" s="68"/>
      <c r="K25" s="70"/>
      <c r="L25" s="199"/>
      <c r="M25" s="205"/>
      <c r="N25" s="206"/>
      <c r="O25" s="34"/>
      <c r="P25" s="402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127</v>
      </c>
      <c r="D26" s="66"/>
      <c r="E26" s="66"/>
      <c r="F26" s="67"/>
      <c r="G26" s="67"/>
      <c r="H26" s="67"/>
      <c r="I26" s="68"/>
      <c r="J26" s="72" t="s">
        <v>33</v>
      </c>
      <c r="K26" s="70">
        <f>IF(J26="CONCRETE ROOF TILES",IF(J12="2010-2013",H27*$J$10,IF(J12="2014-2021",G27*$J$10,IF(J12="2021-2023",F27*$J$10,0))),IF(J26="IBR",IF(J12="2010-2013",H28*$J$10,IF(J12="2014-2021",G28*$J$10,IF(J12="2021-2023",F28*$J$10,0))),IF(J26="CORRUGATED ROOFING SHEETS",IF(J12="2010-2013",H29*$J$10,IF(J12="2014-2021",G29*$J$10,IF(J12="2021-2023",F29*$J$10,0))),0)))</f>
        <v>80600</v>
      </c>
      <c r="L26" s="199" t="str">
        <f>AVERAGE(#REF!)</f>
        <v>#REF!</v>
      </c>
      <c r="M26" s="205">
        <f>361050+72230</f>
        <v>433280</v>
      </c>
      <c r="N26" s="206">
        <f>M26/$M$10</f>
        <v>326.7325239</v>
      </c>
      <c r="O26" s="207" t="s">
        <v>23</v>
      </c>
      <c r="P26" s="73">
        <f>IF(O26="Delapidated",K26*0.6,IF(O26="Poor",K26*0.7,IF(O26="Fair",K26*0.8,IF(O26="Good",K26*0.85,IF(O26="Very Good",K26*0.9,IF(O26="Excellent",K26*1,IF(O26="Not Applicable",K26*1,0)))))))</f>
        <v>80600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hidden="1" customHeight="1">
      <c r="A27" s="34"/>
      <c r="B27" s="84"/>
      <c r="C27" s="79" t="s">
        <v>33</v>
      </c>
      <c r="D27" s="66"/>
      <c r="E27" s="66"/>
      <c r="F27" s="67">
        <f>130*E16</f>
        <v>161.2</v>
      </c>
      <c r="G27" s="67">
        <f t="shared" ref="G27:G30" si="9">F27/$G$16</f>
        <v>128.96</v>
      </c>
      <c r="H27" s="67">
        <f t="shared" ref="H27:H30" si="10">F27/$H$16</f>
        <v>122.1212121</v>
      </c>
      <c r="I27" s="77">
        <v>1.0</v>
      </c>
      <c r="J27" s="68"/>
      <c r="K27" s="70"/>
      <c r="L27" s="199"/>
      <c r="M27" s="205"/>
      <c r="N27" s="206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hidden="1" customHeight="1">
      <c r="A28" s="34"/>
      <c r="B28" s="84"/>
      <c r="C28" s="79" t="s">
        <v>34</v>
      </c>
      <c r="D28" s="66"/>
      <c r="E28" s="66"/>
      <c r="F28" s="67">
        <f>F27*1.6</f>
        <v>257.92</v>
      </c>
      <c r="G28" s="67">
        <f t="shared" si="9"/>
        <v>206.336</v>
      </c>
      <c r="H28" s="67">
        <f t="shared" si="10"/>
        <v>195.3939394</v>
      </c>
      <c r="I28" s="77">
        <v>2.0</v>
      </c>
      <c r="J28" s="68"/>
      <c r="K28" s="70"/>
      <c r="L28" s="199"/>
      <c r="M28" s="205"/>
      <c r="N28" s="206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hidden="1" customHeight="1">
      <c r="A29" s="34"/>
      <c r="B29" s="84"/>
      <c r="C29" s="79" t="s">
        <v>35</v>
      </c>
      <c r="D29" s="66"/>
      <c r="E29" s="66"/>
      <c r="F29" s="67">
        <f>F27*0.6</f>
        <v>96.72</v>
      </c>
      <c r="G29" s="67">
        <f t="shared" si="9"/>
        <v>77.376</v>
      </c>
      <c r="H29" s="67">
        <f t="shared" si="10"/>
        <v>73.27272727</v>
      </c>
      <c r="I29" s="77">
        <v>3.0</v>
      </c>
      <c r="J29" s="68"/>
      <c r="K29" s="70"/>
      <c r="L29" s="199"/>
      <c r="M29" s="205"/>
      <c r="N29" s="206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hidden="1" customHeight="1">
      <c r="A30" s="34"/>
      <c r="B30" s="85"/>
      <c r="C30" s="79" t="s">
        <v>36</v>
      </c>
      <c r="D30" s="66"/>
      <c r="E30" s="66"/>
      <c r="F30" s="67">
        <v>0.0</v>
      </c>
      <c r="G30" s="67">
        <f t="shared" si="9"/>
        <v>0</v>
      </c>
      <c r="H30" s="67">
        <f t="shared" si="10"/>
        <v>0</v>
      </c>
      <c r="I30" s="77">
        <v>4.0</v>
      </c>
      <c r="J30" s="68"/>
      <c r="K30" s="70"/>
      <c r="L30" s="199"/>
      <c r="M30" s="205"/>
      <c r="N30" s="206"/>
      <c r="O30" s="34"/>
      <c r="P30" s="402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4">
        <f>B26+1</f>
        <v>5</v>
      </c>
      <c r="C31" s="74" t="s">
        <v>37</v>
      </c>
      <c r="D31" s="66"/>
      <c r="E31" s="66"/>
      <c r="F31" s="67"/>
      <c r="G31" s="67"/>
      <c r="H31" s="67"/>
      <c r="I31" s="77"/>
      <c r="J31" s="72" t="s">
        <v>38</v>
      </c>
      <c r="K31" s="70">
        <f>IF(J31="TIMBER ROOF TRUSSES",IF(J12="2010-2013",H32*$J$10,IF(J12="2014-2021",G32*$J$10,IF(J12="2021-2023",F32*$J$10,0))),IF(J31="STRUCTURAL STEEL TRUSSES",IF(J12="2010-2013",H33*$J$10,IF(J12="2014-2021",G33*$J$10,IF(J12="2021-2023",F33*$J$10,0))),0))</f>
        <v>217000</v>
      </c>
      <c r="L31" s="59" t="str">
        <f>AVERAGE(#REF!)</f>
        <v>#REF!</v>
      </c>
      <c r="M31" s="43">
        <f>51922.2222222222+844</f>
        <v>52766.22222</v>
      </c>
      <c r="N31" s="71" t="str">
        <f>M31/$L$9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130200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hidden="1" customHeight="1">
      <c r="A32" s="34"/>
      <c r="B32" s="44"/>
      <c r="C32" s="79" t="s">
        <v>38</v>
      </c>
      <c r="D32" s="66"/>
      <c r="E32" s="66"/>
      <c r="F32" s="67">
        <f>350*E16</f>
        <v>434</v>
      </c>
      <c r="G32" s="67">
        <f t="shared" ref="G32:G34" si="11">F32/$G$16</f>
        <v>347.2</v>
      </c>
      <c r="H32" s="67">
        <f t="shared" ref="H32:H34" si="12">F32/$H$16</f>
        <v>328.7878788</v>
      </c>
      <c r="I32" s="77"/>
      <c r="J32" s="68"/>
      <c r="K32" s="70"/>
      <c r="L32" s="199"/>
      <c r="M32" s="205"/>
      <c r="N32" s="206"/>
      <c r="O32" s="34"/>
      <c r="P32" s="402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hidden="1" customHeight="1">
      <c r="A33" s="34"/>
      <c r="B33" s="44"/>
      <c r="C33" s="79" t="s">
        <v>137</v>
      </c>
      <c r="D33" s="66"/>
      <c r="E33" s="66"/>
      <c r="F33" s="67">
        <f>1100*E16</f>
        <v>1364</v>
      </c>
      <c r="G33" s="67">
        <f t="shared" si="11"/>
        <v>1091.2</v>
      </c>
      <c r="H33" s="67">
        <f t="shared" si="12"/>
        <v>1033.333333</v>
      </c>
      <c r="I33" s="77"/>
      <c r="J33" s="68"/>
      <c r="K33" s="70"/>
      <c r="L33" s="199"/>
      <c r="M33" s="205"/>
      <c r="N33" s="206"/>
      <c r="O33" s="34"/>
      <c r="P33" s="402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hidden="1" customHeight="1">
      <c r="A34" s="34"/>
      <c r="B34" s="44"/>
      <c r="C34" s="79" t="s">
        <v>41</v>
      </c>
      <c r="D34" s="66"/>
      <c r="E34" s="66"/>
      <c r="F34" s="67">
        <v>0.0</v>
      </c>
      <c r="G34" s="67">
        <f t="shared" si="11"/>
        <v>0</v>
      </c>
      <c r="H34" s="67">
        <f t="shared" si="12"/>
        <v>0</v>
      </c>
      <c r="I34" s="77"/>
      <c r="J34" s="68"/>
      <c r="K34" s="70"/>
      <c r="L34" s="199"/>
      <c r="M34" s="205"/>
      <c r="N34" s="206"/>
      <c r="O34" s="34"/>
      <c r="P34" s="402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3">
        <v>6.0</v>
      </c>
      <c r="C35" s="208" t="s">
        <v>119</v>
      </c>
      <c r="D35" s="66"/>
      <c r="E35" s="66"/>
      <c r="F35" s="67"/>
      <c r="G35" s="67"/>
      <c r="H35" s="67"/>
      <c r="I35" s="68"/>
      <c r="J35" s="72" t="s">
        <v>25</v>
      </c>
      <c r="K35" s="70">
        <f>IF(J35="YES",IF(J12="2010-2013",H36*$J$10,IF(J12="2014-2021",G36*$J$10,IF(J12="2021-2023",F36*$J$10,0))),0)</f>
        <v>24873.76696</v>
      </c>
      <c r="L35" s="199" t="str">
        <f>AVERAGE(#REF!)</f>
        <v>#REF!</v>
      </c>
      <c r="M35" s="205">
        <f>559590+57600</f>
        <v>617190</v>
      </c>
      <c r="N35" s="206">
        <f>M35/$M$10</f>
        <v>465.4173893</v>
      </c>
      <c r="O35" s="207" t="s">
        <v>23</v>
      </c>
      <c r="P35" s="73">
        <f>IF(O35="Delapidated",K35*0.6,IF(O35="Poor",K35*0.7,IF(O35="Fair",K35*0.8,IF(O35="Good",K35*0.85,IF(O35="Very Good",K35*0.9,IF(O35="Excellent",K35*1,IF(O35="Not Applicable",K35*1,0)))))))</f>
        <v>24873.76696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hidden="1" customHeight="1">
      <c r="A36" s="34"/>
      <c r="B36" s="84"/>
      <c r="C36" s="79" t="s">
        <v>25</v>
      </c>
      <c r="D36" s="66"/>
      <c r="E36" s="66"/>
      <c r="F36" s="67">
        <f>465.417389337154*8.62%*E16</f>
        <v>49.74753391</v>
      </c>
      <c r="G36" s="67">
        <f t="shared" ref="G36:G37" si="13">F36/$G$16</f>
        <v>39.79802713</v>
      </c>
      <c r="H36" s="67">
        <f t="shared" ref="H36:H37" si="14">F36/$H$16</f>
        <v>37.68752569</v>
      </c>
      <c r="I36" s="77">
        <v>1.0</v>
      </c>
      <c r="J36" s="68"/>
      <c r="K36" s="70"/>
      <c r="L36" s="199"/>
      <c r="M36" s="205"/>
      <c r="N36" s="206"/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hidden="1" customHeight="1">
      <c r="A37" s="34"/>
      <c r="B37" s="85"/>
      <c r="C37" s="79" t="s">
        <v>26</v>
      </c>
      <c r="D37" s="66"/>
      <c r="E37" s="66"/>
      <c r="F37" s="67">
        <v>0.0</v>
      </c>
      <c r="G37" s="67">
        <f t="shared" si="13"/>
        <v>0</v>
      </c>
      <c r="H37" s="67">
        <f t="shared" si="14"/>
        <v>0</v>
      </c>
      <c r="I37" s="77">
        <v>2.0</v>
      </c>
      <c r="J37" s="68"/>
      <c r="K37" s="70"/>
      <c r="L37" s="199"/>
      <c r="M37" s="205"/>
      <c r="N37" s="206"/>
      <c r="O37" s="34"/>
      <c r="P37" s="402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3">
        <f>B35+1</f>
        <v>7</v>
      </c>
      <c r="C38" s="208" t="s">
        <v>45</v>
      </c>
      <c r="D38" s="66"/>
      <c r="E38" s="66"/>
      <c r="F38" s="67"/>
      <c r="G38" s="67"/>
      <c r="H38" s="67"/>
      <c r="I38" s="68"/>
      <c r="J38" s="72" t="s">
        <v>25</v>
      </c>
      <c r="K38" s="70">
        <f>IF(J38="YES",IF(J12="2010-2013",H39*$J$10,IF(J12="2014-2021",G39*$J$10,IF(J12="2021-2023",F39*$J$10,0))),0)</f>
        <v>213937.4805</v>
      </c>
      <c r="L38" s="199"/>
      <c r="M38" s="205"/>
      <c r="N38" s="206">
        <f>M38/$M$10</f>
        <v>0</v>
      </c>
      <c r="O38" s="207" t="s">
        <v>23</v>
      </c>
      <c r="P38" s="73">
        <f>IF(O38="Delapidated",K38*0.6,IF(O38="Poor",K38*0.7,IF(O38="Fair",K38*0.8,IF(O38="Good",K38*0.85,IF(O38="Very Good",K38*0.9,IF(O38="Excellent",K38*1,IF(O38="Not Applicable",K38*1,0)))))))</f>
        <v>213937.4805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hidden="1" customHeight="1">
      <c r="A39" s="34"/>
      <c r="B39" s="84"/>
      <c r="C39" s="79" t="s">
        <v>25</v>
      </c>
      <c r="D39" s="66"/>
      <c r="E39" s="66"/>
      <c r="F39" s="67">
        <f>465.417389337154*74.14%*E16</f>
        <v>427.874961</v>
      </c>
      <c r="G39" s="67">
        <f t="shared" ref="G39:G40" si="15">F39/$G$16</f>
        <v>342.2999688</v>
      </c>
      <c r="H39" s="67">
        <f t="shared" ref="H39:H40" si="16">F39/$H$16</f>
        <v>324.1476978</v>
      </c>
      <c r="I39" s="77">
        <v>1.0</v>
      </c>
      <c r="J39" s="68"/>
      <c r="K39" s="70"/>
      <c r="L39" s="199"/>
      <c r="M39" s="205"/>
      <c r="N39" s="206"/>
      <c r="O39" s="34"/>
      <c r="P39" s="402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hidden="1" customHeight="1">
      <c r="A40" s="34"/>
      <c r="B40" s="85"/>
      <c r="C40" s="79" t="s">
        <v>26</v>
      </c>
      <c r="D40" s="66"/>
      <c r="E40" s="66"/>
      <c r="F40" s="67">
        <v>0.0</v>
      </c>
      <c r="G40" s="67">
        <f t="shared" si="15"/>
        <v>0</v>
      </c>
      <c r="H40" s="67">
        <f t="shared" si="16"/>
        <v>0</v>
      </c>
      <c r="I40" s="77">
        <v>2.0</v>
      </c>
      <c r="J40" s="68"/>
      <c r="K40" s="70"/>
      <c r="L40" s="199"/>
      <c r="M40" s="205"/>
      <c r="N40" s="206"/>
      <c r="O40" s="34"/>
      <c r="P40" s="402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44"/>
      <c r="C41" s="214" t="s">
        <v>48</v>
      </c>
      <c r="D41" s="66"/>
      <c r="E41" s="66"/>
      <c r="F41" s="67"/>
      <c r="G41" s="67"/>
      <c r="H41" s="67"/>
      <c r="I41" s="77"/>
      <c r="J41" s="379">
        <v>20.0</v>
      </c>
      <c r="K41" s="34"/>
      <c r="L41" s="199"/>
      <c r="M41" s="205"/>
      <c r="N41" s="206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3">
        <f>B38+1</f>
        <v>8</v>
      </c>
      <c r="C42" s="208" t="s">
        <v>49</v>
      </c>
      <c r="D42" s="66"/>
      <c r="E42" s="66"/>
      <c r="F42" s="67"/>
      <c r="G42" s="67"/>
      <c r="H42" s="67"/>
      <c r="I42" s="68"/>
      <c r="J42" s="72" t="s">
        <v>25</v>
      </c>
      <c r="K42" s="70">
        <f>IF(J42="YES",IF($J$12="2010-2013",H43*J41,IF(J12="2014-2021",G43*J41,IF(J12="2021-2023",F43*J41,0))),0)</f>
        <v>80000</v>
      </c>
      <c r="L42" s="199"/>
      <c r="M42" s="205"/>
      <c r="N42" s="206">
        <f>M42/$M$10</f>
        <v>0</v>
      </c>
      <c r="O42" s="207" t="s">
        <v>23</v>
      </c>
      <c r="P42" s="73">
        <f>IF(O42="Delapidated",K42*0.6,IF(O42="Poor",K42*0.7,IF(O42="Fair",K42*0.8,IF(O42="Good",K42*0.85,IF(O42="Very Good",K42*0.9,IF(O42="Excellent",K42*1,IF(O42="Not Applicable",K42*1,0)))))))</f>
        <v>80000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hidden="1" customHeight="1">
      <c r="A43" s="34"/>
      <c r="B43" s="84"/>
      <c r="C43" s="79" t="s">
        <v>25</v>
      </c>
      <c r="D43" s="66"/>
      <c r="E43" s="66"/>
      <c r="F43" s="67">
        <v>4000.0</v>
      </c>
      <c r="G43" s="67">
        <f t="shared" ref="G43:G44" si="17">F43/$G$16</f>
        <v>3200</v>
      </c>
      <c r="H43" s="67">
        <f t="shared" ref="H43:H44" si="18">F43/$H$16</f>
        <v>3030.30303</v>
      </c>
      <c r="I43" s="77">
        <v>1.0</v>
      </c>
      <c r="J43" s="68"/>
      <c r="K43" s="70"/>
      <c r="L43" s="199"/>
      <c r="M43" s="205"/>
      <c r="N43" s="206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hidden="1" customHeight="1">
      <c r="A44" s="34"/>
      <c r="B44" s="85"/>
      <c r="C44" s="79" t="s">
        <v>26</v>
      </c>
      <c r="D44" s="66"/>
      <c r="E44" s="66"/>
      <c r="F44" s="67">
        <v>0.0</v>
      </c>
      <c r="G44" s="67">
        <f t="shared" si="17"/>
        <v>0</v>
      </c>
      <c r="H44" s="67">
        <f t="shared" si="18"/>
        <v>0</v>
      </c>
      <c r="I44" s="77">
        <v>2.0</v>
      </c>
      <c r="J44" s="68"/>
      <c r="K44" s="70"/>
      <c r="L44" s="199"/>
      <c r="M44" s="205"/>
      <c r="N44" s="206"/>
      <c r="O44" s="34"/>
      <c r="P44" s="402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83">
        <f>B42+1</f>
        <v>9</v>
      </c>
      <c r="C45" s="208" t="s">
        <v>50</v>
      </c>
      <c r="D45" s="66"/>
      <c r="E45" s="66"/>
      <c r="F45" s="67"/>
      <c r="G45" s="67"/>
      <c r="H45" s="67"/>
      <c r="I45" s="68"/>
      <c r="J45" s="72" t="s">
        <v>25</v>
      </c>
      <c r="K45" s="70">
        <f>IF(J45="YES",IF(J12="2010-2013",H46*$J$10,IF(J12="2014-2021",G46*$J$10,IF(J12="2021-2023",F46*$J$10,0))),0)</f>
        <v>105069.4518</v>
      </c>
      <c r="L45" s="199" t="str">
        <f>AVERAGE(#REF!)</f>
        <v>#REF!</v>
      </c>
      <c r="M45" s="205">
        <v>224730.0</v>
      </c>
      <c r="N45" s="206">
        <f>M45/$M$10</f>
        <v>169.4668577</v>
      </c>
      <c r="O45" s="207" t="s">
        <v>23</v>
      </c>
      <c r="P45" s="73">
        <f>IF(O45="Delapidated",K45*0.6,IF(O45="Poor",K45*0.7,IF(O45="Fair",K45*0.8,IF(O45="Good",K45*0.85,IF(O45="Very Good",K45*0.9,IF(O45="Excellent",K45*1,IF(O45="Not Applicable",K45*1,0)))))))</f>
        <v>105069.4518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hidden="1" customHeight="1">
      <c r="A46" s="34"/>
      <c r="B46" s="84"/>
      <c r="C46" s="79" t="s">
        <v>25</v>
      </c>
      <c r="D46" s="66"/>
      <c r="E46" s="66"/>
      <c r="F46" s="67">
        <f>169.466857703039*E16</f>
        <v>210.1389036</v>
      </c>
      <c r="G46" s="67">
        <f t="shared" ref="G46:G47" si="19">F46/$G$16</f>
        <v>168.1111228</v>
      </c>
      <c r="H46" s="67">
        <f t="shared" ref="H46:H47" si="20">F46/$H$16</f>
        <v>159.1961391</v>
      </c>
      <c r="I46" s="77">
        <v>1.0</v>
      </c>
      <c r="J46" s="68"/>
      <c r="K46" s="70"/>
      <c r="L46" s="199"/>
      <c r="M46" s="205"/>
      <c r="N46" s="206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hidden="1" customHeight="1">
      <c r="A47" s="34"/>
      <c r="B47" s="85"/>
      <c r="C47" s="79" t="s">
        <v>26</v>
      </c>
      <c r="D47" s="66"/>
      <c r="E47" s="66"/>
      <c r="F47" s="67">
        <v>0.0</v>
      </c>
      <c r="G47" s="67">
        <f t="shared" si="19"/>
        <v>0</v>
      </c>
      <c r="H47" s="67">
        <f t="shared" si="20"/>
        <v>0</v>
      </c>
      <c r="I47" s="77">
        <v>2.0</v>
      </c>
      <c r="J47" s="68"/>
      <c r="K47" s="70"/>
      <c r="L47" s="199"/>
      <c r="M47" s="205"/>
      <c r="N47" s="206"/>
      <c r="O47" s="34"/>
      <c r="P47" s="402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83">
        <v>10.0</v>
      </c>
      <c r="C48" s="92" t="s">
        <v>51</v>
      </c>
      <c r="D48" s="66"/>
      <c r="E48" s="66"/>
      <c r="F48" s="67"/>
      <c r="G48" s="67"/>
      <c r="H48" s="67"/>
      <c r="I48" s="77"/>
      <c r="J48" s="72" t="s">
        <v>52</v>
      </c>
      <c r="K48" s="70">
        <f>IF(J48="VINYL FLOORING",IF(J12="2010-2013",H49*$J$10,IF(J12="2014-2021",G49*$J$10,IF(J12="2021-2023",F49*$J$10,0))),IF(J48="TILING FLOORING",IF(J12="2010-2013",H50*$J$10,IF(J12="2014-2021",G50*$J$10,IF(J12="2021-2023",F50*$J$10,0))),IF(J48="TIMBER FLOORING",IF(J12="2010-2013",H51*$J$10,IF(J12="2014-2021",G51*$J$10,IF(J12="2021-2023",F51*$J$10,0))),IF(J48="CARPETS FLOORING",IF(J12="2010-2013",H52*$J$10,IF(J12="2014-2021",G52*$J$10,IF(J12="2021-2023",F52*$J$10,0))),0))))</f>
        <v>167662.2879</v>
      </c>
      <c r="L48" s="199"/>
      <c r="M48" s="205"/>
      <c r="N48" s="206"/>
      <c r="O48" s="207" t="s">
        <v>23</v>
      </c>
      <c r="P48" s="73">
        <f>IF(O48="Delapidated",K48*0.6,IF(O48="Poor",K48*0.7,IF(O48="Fair",K48*0.8,IF(O48="Good",K48*0.85,IF(O48="Very Good",K48*0.9,IF(O48="Excellent",K48*1,IF(O48="Not Applicable",K48*1,0)))))))</f>
        <v>167662.2879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hidden="1" customHeight="1">
      <c r="A49" s="34"/>
      <c r="B49" s="84"/>
      <c r="C49" s="79" t="s">
        <v>53</v>
      </c>
      <c r="D49" s="66"/>
      <c r="E49" s="66"/>
      <c r="F49" s="67">
        <f>F50*0.7</f>
        <v>234.7272031</v>
      </c>
      <c r="G49" s="67">
        <f t="shared" ref="G49:G53" si="21">F49/$G$16</f>
        <v>187.7817625</v>
      </c>
      <c r="H49" s="67">
        <f t="shared" ref="H49:H53" si="22">F49/$H$16</f>
        <v>177.8236387</v>
      </c>
      <c r="I49" s="77">
        <v>1.0</v>
      </c>
      <c r="J49" s="68"/>
      <c r="K49" s="70"/>
      <c r="L49" s="199"/>
      <c r="M49" s="205"/>
      <c r="N49" s="206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hidden="1" customHeight="1">
      <c r="A50" s="34"/>
      <c r="B50" s="84"/>
      <c r="C50" s="79" t="s">
        <v>52</v>
      </c>
      <c r="D50" s="66"/>
      <c r="E50" s="66"/>
      <c r="F50" s="67">
        <f>338.028806274037*0.8*E16</f>
        <v>335.3245758</v>
      </c>
      <c r="G50" s="67">
        <f t="shared" si="21"/>
        <v>268.2596607</v>
      </c>
      <c r="H50" s="67">
        <f t="shared" si="22"/>
        <v>254.0337696</v>
      </c>
      <c r="I50" s="77">
        <v>2.0</v>
      </c>
      <c r="J50" s="68"/>
      <c r="K50" s="70"/>
      <c r="L50" s="199"/>
      <c r="M50" s="205"/>
      <c r="N50" s="206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hidden="1" customHeight="1">
      <c r="A51" s="34"/>
      <c r="B51" s="84"/>
      <c r="C51" s="79" t="s">
        <v>54</v>
      </c>
      <c r="D51" s="66"/>
      <c r="E51" s="66"/>
      <c r="F51" s="67">
        <f>F50*1.2</f>
        <v>402.389491</v>
      </c>
      <c r="G51" s="67">
        <f t="shared" si="21"/>
        <v>321.9115928</v>
      </c>
      <c r="H51" s="67">
        <f t="shared" si="22"/>
        <v>304.8405235</v>
      </c>
      <c r="I51" s="77">
        <v>3.0</v>
      </c>
      <c r="J51" s="68"/>
      <c r="K51" s="70"/>
      <c r="L51" s="199"/>
      <c r="M51" s="205"/>
      <c r="N51" s="206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hidden="1" customHeight="1">
      <c r="A52" s="34"/>
      <c r="B52" s="84"/>
      <c r="C52" s="79" t="s">
        <v>55</v>
      </c>
      <c r="D52" s="66"/>
      <c r="E52" s="66"/>
      <c r="F52" s="67">
        <f>F50*1.3</f>
        <v>435.9219486</v>
      </c>
      <c r="G52" s="67">
        <f t="shared" si="21"/>
        <v>348.7375589</v>
      </c>
      <c r="H52" s="67">
        <f t="shared" si="22"/>
        <v>330.2439004</v>
      </c>
      <c r="I52" s="77">
        <v>4.0</v>
      </c>
      <c r="J52" s="68"/>
      <c r="K52" s="70"/>
      <c r="L52" s="199"/>
      <c r="M52" s="205"/>
      <c r="N52" s="206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hidden="1" customHeight="1">
      <c r="A53" s="34"/>
      <c r="B53" s="85"/>
      <c r="C53" s="79" t="s">
        <v>56</v>
      </c>
      <c r="D53" s="66"/>
      <c r="E53" s="66"/>
      <c r="F53" s="67">
        <v>0.0</v>
      </c>
      <c r="G53" s="67">
        <f t="shared" si="21"/>
        <v>0</v>
      </c>
      <c r="H53" s="67">
        <f t="shared" si="22"/>
        <v>0</v>
      </c>
      <c r="I53" s="77">
        <v>5.0</v>
      </c>
      <c r="J53" s="68"/>
      <c r="K53" s="70"/>
      <c r="L53" s="199"/>
      <c r="M53" s="205"/>
      <c r="N53" s="206"/>
      <c r="O53" s="34"/>
      <c r="P53" s="402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34"/>
      <c r="B54" s="83">
        <v>11.0</v>
      </c>
      <c r="C54" s="208" t="s">
        <v>57</v>
      </c>
      <c r="D54" s="66"/>
      <c r="E54" s="66"/>
      <c r="F54" s="67"/>
      <c r="G54" s="67"/>
      <c r="H54" s="67"/>
      <c r="I54" s="68"/>
      <c r="J54" s="72" t="s">
        <v>58</v>
      </c>
      <c r="K54" s="70">
        <f>IF(J54="STEEL WINDOW FRAMES",IF(J12="2010-2013",H55*$J$10,IF(J12="2014-2021",G55*$J$10,IF(J12="2021-2023",F55*$J$10,0))),IF(J54="ALUMINIUM WINDOW FRAMES",IF(J12="2010-2013",H56*$J$10,IF(J12="2014-2021",G56*$J$10,IF(J12="2021-2023",F56*$J$10,0))),0))</f>
        <v>161206.5455</v>
      </c>
      <c r="L54" s="199" t="str">
        <f>AVERAGE(#REF!)</f>
        <v>#REF!</v>
      </c>
      <c r="M54" s="205">
        <v>344800.0</v>
      </c>
      <c r="N54" s="206">
        <f>M54/$M$10</f>
        <v>260.0105573</v>
      </c>
      <c r="O54" s="207" t="s">
        <v>23</v>
      </c>
      <c r="P54" s="73">
        <f>IF(O54="Delapidated",K54*0.6,IF(O54="Poor",K54*0.7,IF(O54="Fair",K54*0.8,IF(O54="Good",K54*0.85,IF(O54="Very Good",K54*0.9,IF(O54="Excellent",K54*1,IF(O54="Not Applicable",K54*1,0)))))))</f>
        <v>161206.5455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hidden="1" customHeight="1">
      <c r="A55" s="34"/>
      <c r="B55" s="84"/>
      <c r="C55" s="79" t="s">
        <v>59</v>
      </c>
      <c r="D55" s="66"/>
      <c r="E55" s="66"/>
      <c r="F55" s="303">
        <f>F56*0.3</f>
        <v>96.72392731</v>
      </c>
      <c r="G55" s="67">
        <f t="shared" ref="G55:G57" si="23">F55/$G$16</f>
        <v>77.37914184</v>
      </c>
      <c r="H55" s="67">
        <f t="shared" ref="H55:H57" si="24">F55/$H$16</f>
        <v>73.2757025</v>
      </c>
      <c r="I55" s="77">
        <v>1.0</v>
      </c>
      <c r="J55" s="68"/>
      <c r="K55" s="70"/>
      <c r="L55" s="199"/>
      <c r="M55" s="205"/>
      <c r="N55" s="206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hidden="1" customHeight="1">
      <c r="A56" s="34"/>
      <c r="B56" s="84"/>
      <c r="C56" s="79" t="s">
        <v>58</v>
      </c>
      <c r="D56" s="66"/>
      <c r="E56" s="66"/>
      <c r="F56" s="67">
        <f>260.010557273207*E16</f>
        <v>322.413091</v>
      </c>
      <c r="G56" s="67">
        <f t="shared" si="23"/>
        <v>257.9304728</v>
      </c>
      <c r="H56" s="67">
        <f t="shared" si="24"/>
        <v>244.2523417</v>
      </c>
      <c r="I56" s="77">
        <v>2.0</v>
      </c>
      <c r="J56" s="68"/>
      <c r="K56" s="70"/>
      <c r="L56" s="199"/>
      <c r="M56" s="205"/>
      <c r="N56" s="206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hidden="1" customHeight="1">
      <c r="A57" s="34"/>
      <c r="B57" s="85"/>
      <c r="C57" s="79" t="s">
        <v>60</v>
      </c>
      <c r="D57" s="66"/>
      <c r="E57" s="66"/>
      <c r="F57" s="67">
        <v>0.0</v>
      </c>
      <c r="G57" s="67">
        <f t="shared" si="23"/>
        <v>0</v>
      </c>
      <c r="H57" s="67">
        <f t="shared" si="24"/>
        <v>0</v>
      </c>
      <c r="I57" s="77">
        <v>3.0</v>
      </c>
      <c r="J57" s="68"/>
      <c r="K57" s="70"/>
      <c r="L57" s="199"/>
      <c r="M57" s="205"/>
      <c r="N57" s="206"/>
      <c r="O57" s="34"/>
      <c r="P57" s="402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customHeight="1">
      <c r="A58" s="34"/>
      <c r="B58" s="83">
        <f>B54+1</f>
        <v>12</v>
      </c>
      <c r="C58" s="208" t="s">
        <v>61</v>
      </c>
      <c r="D58" s="66"/>
      <c r="E58" s="66"/>
      <c r="F58" s="67"/>
      <c r="G58" s="67"/>
      <c r="H58" s="67"/>
      <c r="I58" s="68"/>
      <c r="J58" s="72" t="s">
        <v>25</v>
      </c>
      <c r="K58" s="70">
        <f>IF(J58="YES",IF(J12="2010-2013",H59*$J$10,IF(J12="2014-2021",G59*$J$10,IF(J12="2021-2023",F59*$J$10,0))),0)</f>
        <v>182278.4104</v>
      </c>
      <c r="L58" s="199" t="str">
        <f>AVERAGE(#REF!)</f>
        <v>#REF!</v>
      </c>
      <c r="M58" s="205">
        <v>389870.0</v>
      </c>
      <c r="N58" s="206">
        <f>M58/$M$10</f>
        <v>293.9974361</v>
      </c>
      <c r="O58" s="207" t="s">
        <v>23</v>
      </c>
      <c r="P58" s="73">
        <f>IF(O58="Delapidated",K58*0.6,IF(O58="Poor",K58*0.7,IF(O58="Fair",K58*0.8,IF(O58="Good",K58*0.85,IF(O58="Very Good",K58*0.9,IF(O58="Excellent",K58*1,IF(O58="Not Applicable",K58*1,0)))))))</f>
        <v>182278.4104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hidden="1" customHeight="1">
      <c r="A59" s="34"/>
      <c r="B59" s="84"/>
      <c r="C59" s="79" t="s">
        <v>25</v>
      </c>
      <c r="D59" s="66"/>
      <c r="E59" s="66"/>
      <c r="F59" s="67">
        <f>293.997436090793*E16</f>
        <v>364.5568208</v>
      </c>
      <c r="G59" s="67">
        <f t="shared" ref="G59:G60" si="25">F59/$G$16</f>
        <v>291.6454566</v>
      </c>
      <c r="H59" s="67">
        <f t="shared" ref="H59:H60" si="26">F59/$H$16</f>
        <v>276.1794097</v>
      </c>
      <c r="I59" s="77">
        <v>1.0</v>
      </c>
      <c r="J59" s="68"/>
      <c r="K59" s="70"/>
      <c r="L59" s="199"/>
      <c r="M59" s="205"/>
      <c r="N59" s="206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hidden="1" customHeight="1">
      <c r="A60" s="34"/>
      <c r="B60" s="85"/>
      <c r="C60" s="79" t="s">
        <v>26</v>
      </c>
      <c r="D60" s="66"/>
      <c r="E60" s="66"/>
      <c r="F60" s="67">
        <v>0.0</v>
      </c>
      <c r="G60" s="67">
        <f t="shared" si="25"/>
        <v>0</v>
      </c>
      <c r="H60" s="67">
        <f t="shared" si="26"/>
        <v>0</v>
      </c>
      <c r="I60" s="77">
        <v>2.0</v>
      </c>
      <c r="J60" s="68"/>
      <c r="K60" s="70"/>
      <c r="L60" s="199"/>
      <c r="M60" s="205"/>
      <c r="N60" s="206"/>
      <c r="O60" s="34"/>
      <c r="P60" s="402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83">
        <f>B58+1</f>
        <v>13</v>
      </c>
      <c r="C61" s="208" t="s">
        <v>62</v>
      </c>
      <c r="D61" s="66"/>
      <c r="E61" s="66"/>
      <c r="F61" s="67"/>
      <c r="G61" s="67"/>
      <c r="H61" s="67"/>
      <c r="I61" s="68"/>
      <c r="J61" s="72" t="s">
        <v>25</v>
      </c>
      <c r="K61" s="70">
        <f>IF(J61="YES",IF(J12="2010-2013",H62*$J$10,IF(J12="2014-2021",G62*$J$10,IF(J12="2021-2023",F62*$J$10,0))),0)</f>
        <v>41915.57198</v>
      </c>
      <c r="L61" s="199" t="str">
        <f>AVERAGE(#REF!)</f>
        <v>#REF!</v>
      </c>
      <c r="M61" s="205">
        <v>448260.0</v>
      </c>
      <c r="N61" s="206">
        <f>M61/$M$10</f>
        <v>338.0288063</v>
      </c>
      <c r="O61" s="207" t="s">
        <v>23</v>
      </c>
      <c r="P61" s="73">
        <f>IF(O61="Delapidated",K61*0.6,IF(O61="Poor",K61*0.7,IF(O61="Fair",K61*0.8,IF(O61="Good",K61*0.85,IF(O61="Very Good",K61*0.9,IF(O61="Excellent",K61*1,IF(O61="Not Applicable",K61*1,0)))))))</f>
        <v>41915.57198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hidden="1" customHeight="1">
      <c r="A62" s="34"/>
      <c r="B62" s="84"/>
      <c r="C62" s="79" t="s">
        <v>25</v>
      </c>
      <c r="D62" s="66"/>
      <c r="E62" s="66"/>
      <c r="F62" s="67">
        <f>338.028806274037*0.2*E16</f>
        <v>83.83114396</v>
      </c>
      <c r="G62" s="67">
        <f t="shared" ref="G62:G63" si="27">F62/$G$16</f>
        <v>67.06491516</v>
      </c>
      <c r="H62" s="67">
        <f t="shared" ref="H62:H63" si="28">F62/$H$16</f>
        <v>63.50844239</v>
      </c>
      <c r="I62" s="77">
        <v>1.0</v>
      </c>
      <c r="J62" s="68"/>
      <c r="K62" s="70"/>
      <c r="L62" s="199"/>
      <c r="M62" s="205"/>
      <c r="N62" s="206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hidden="1" customHeight="1">
      <c r="A63" s="34"/>
      <c r="B63" s="85"/>
      <c r="C63" s="79" t="s">
        <v>26</v>
      </c>
      <c r="D63" s="66"/>
      <c r="E63" s="66"/>
      <c r="F63" s="67">
        <v>0.0</v>
      </c>
      <c r="G63" s="67">
        <f t="shared" si="27"/>
        <v>0</v>
      </c>
      <c r="H63" s="67">
        <f t="shared" si="28"/>
        <v>0</v>
      </c>
      <c r="I63" s="77">
        <v>2.0</v>
      </c>
      <c r="J63" s="68"/>
      <c r="K63" s="70"/>
      <c r="L63" s="199"/>
      <c r="M63" s="205"/>
      <c r="N63" s="206"/>
      <c r="O63" s="34"/>
      <c r="P63" s="402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44"/>
      <c r="C64" s="214" t="s">
        <v>63</v>
      </c>
      <c r="D64" s="66"/>
      <c r="E64" s="66"/>
      <c r="F64" s="67"/>
      <c r="G64" s="67"/>
      <c r="H64" s="67"/>
      <c r="I64" s="77"/>
      <c r="J64" s="379">
        <v>20.0</v>
      </c>
      <c r="K64" s="34"/>
      <c r="L64" s="199"/>
      <c r="M64" s="205"/>
      <c r="N64" s="206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83">
        <f>B61+1</f>
        <v>14</v>
      </c>
      <c r="C65" s="208" t="s">
        <v>64</v>
      </c>
      <c r="D65" s="66"/>
      <c r="E65" s="66"/>
      <c r="F65" s="67"/>
      <c r="G65" s="67"/>
      <c r="H65" s="67"/>
      <c r="I65" s="68"/>
      <c r="J65" s="72" t="s">
        <v>25</v>
      </c>
      <c r="K65" s="70">
        <f>IF(J65="YES",IF(J12="2010-2013",H66*J64,IF(J12="2014-2021",G66*J64,IF(J12="2021-2023",F66*J64,0))),0)</f>
        <v>46000</v>
      </c>
      <c r="L65" s="199" t="str">
        <f>AVERAGE(#REF!)</f>
        <v>#REF!</v>
      </c>
      <c r="M65" s="205">
        <f>490260+14640</f>
        <v>504900</v>
      </c>
      <c r="N65" s="206">
        <f>M65/$M$10</f>
        <v>380.7405173</v>
      </c>
      <c r="O65" s="207" t="s">
        <v>23</v>
      </c>
      <c r="P65" s="73">
        <f>IF(O65="Delapidated",K65*0.6,IF(O65="Poor",K65*0.7,IF(O65="Fair",K65*0.8,IF(O65="Good",K65*0.85,IF(O65="Very Good",K65*0.9,IF(O65="Excellent",K65*1,IF(O65="Not Applicable",K65*1,0)))))))</f>
        <v>46000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hidden="1" customHeight="1">
      <c r="A66" s="34"/>
      <c r="B66" s="84"/>
      <c r="C66" s="79" t="s">
        <v>25</v>
      </c>
      <c r="D66" s="66"/>
      <c r="E66" s="66"/>
      <c r="F66" s="67">
        <v>2300.0</v>
      </c>
      <c r="G66" s="67">
        <f t="shared" ref="G66:G67" si="29">F66/$G$16</f>
        <v>1840</v>
      </c>
      <c r="H66" s="67">
        <f t="shared" ref="H66:H67" si="30">F66/$H$16</f>
        <v>1742.424242</v>
      </c>
      <c r="I66" s="77">
        <v>1.0</v>
      </c>
      <c r="J66" s="68"/>
      <c r="K66" s="70"/>
      <c r="L66" s="199"/>
      <c r="M66" s="205"/>
      <c r="N66" s="206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hidden="1" customHeight="1">
      <c r="A67" s="34"/>
      <c r="B67" s="85"/>
      <c r="C67" s="79" t="s">
        <v>26</v>
      </c>
      <c r="D67" s="66"/>
      <c r="E67" s="66"/>
      <c r="F67" s="67">
        <v>0.0</v>
      </c>
      <c r="G67" s="67">
        <f t="shared" si="29"/>
        <v>0</v>
      </c>
      <c r="H67" s="67">
        <f t="shared" si="30"/>
        <v>0</v>
      </c>
      <c r="I67" s="77">
        <v>2.0</v>
      </c>
      <c r="J67" s="68"/>
      <c r="K67" s="70"/>
      <c r="L67" s="199"/>
      <c r="M67" s="205"/>
      <c r="N67" s="206"/>
      <c r="O67" s="34"/>
      <c r="P67" s="402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83">
        <f>B65+1</f>
        <v>15</v>
      </c>
      <c r="C68" s="208" t="s">
        <v>65</v>
      </c>
      <c r="D68" s="66"/>
      <c r="E68" s="66"/>
      <c r="F68" s="67"/>
      <c r="G68" s="67"/>
      <c r="H68" s="67"/>
      <c r="I68" s="68"/>
      <c r="J68" s="72" t="s">
        <v>25</v>
      </c>
      <c r="K68" s="70">
        <f>IF(J68="YES",IF(J12="2010-2013",H69*$J$10,IF(J12="2014-2021",G69*$J$10,IF(J12="2021-2023",F69*$J$10,0))),0)</f>
        <v>103998.7935</v>
      </c>
      <c r="L68" s="199" t="str">
        <f>AVERAGE(#REF!)</f>
        <v>#REF!</v>
      </c>
      <c r="M68" s="205">
        <v>222440.0</v>
      </c>
      <c r="N68" s="206">
        <f>M68/$M$10</f>
        <v>167.7399894</v>
      </c>
      <c r="O68" s="207" t="s">
        <v>23</v>
      </c>
      <c r="P68" s="73">
        <f>IF(O68="Delapidated",K68*0.6,IF(O68="Poor",K68*0.7,IF(O68="Fair",K68*0.8,IF(O68="Good",K68*0.85,IF(O68="Very Good",K68*0.9,IF(O68="Excellent",K68*1,IF(O68="Not Applicable",K68*1,0)))))))</f>
        <v>103998.7935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hidden="1" customHeight="1">
      <c r="A69" s="34"/>
      <c r="B69" s="84"/>
      <c r="C69" s="79" t="s">
        <v>25</v>
      </c>
      <c r="D69" s="66"/>
      <c r="E69" s="66"/>
      <c r="F69" s="67">
        <f>167.739989442727*E16</f>
        <v>207.9975869</v>
      </c>
      <c r="G69" s="67">
        <f t="shared" ref="G69:G70" si="31">F69/$G$16</f>
        <v>166.3980695</v>
      </c>
      <c r="H69" s="67">
        <f t="shared" ref="H69:H70" si="32">F69/$H$16</f>
        <v>157.5739295</v>
      </c>
      <c r="I69" s="77">
        <v>1.0</v>
      </c>
      <c r="J69" s="68"/>
      <c r="K69" s="70"/>
      <c r="L69" s="199"/>
      <c r="M69" s="205"/>
      <c r="N69" s="206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hidden="1" customHeight="1">
      <c r="A70" s="34"/>
      <c r="B70" s="85"/>
      <c r="C70" s="79" t="s">
        <v>26</v>
      </c>
      <c r="D70" s="66"/>
      <c r="E70" s="66"/>
      <c r="F70" s="67">
        <v>0.0</v>
      </c>
      <c r="G70" s="67">
        <f t="shared" si="31"/>
        <v>0</v>
      </c>
      <c r="H70" s="67">
        <f t="shared" si="32"/>
        <v>0</v>
      </c>
      <c r="I70" s="77">
        <v>2.0</v>
      </c>
      <c r="J70" s="68"/>
      <c r="K70" s="70"/>
      <c r="L70" s="199"/>
      <c r="M70" s="205"/>
      <c r="N70" s="206"/>
      <c r="O70" s="34"/>
      <c r="P70" s="402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83">
        <f>B68+1</f>
        <v>16</v>
      </c>
      <c r="C71" s="208" t="s">
        <v>94</v>
      </c>
      <c r="D71" s="66"/>
      <c r="E71" s="66"/>
      <c r="F71" s="67"/>
      <c r="G71" s="67"/>
      <c r="H71" s="67"/>
      <c r="I71" s="68"/>
      <c r="J71" s="72" t="s">
        <v>25</v>
      </c>
      <c r="K71" s="70">
        <f>IF(J71="YES",IF(J12="2010-2013",H72*$J$10,IF(J12="2014-2021",G72*$J$10,IF(J12="2021-2023",F72*$J$10,0))),0)</f>
        <v>177850.8408</v>
      </c>
      <c r="L71" s="199" t="str">
        <f>AVERAGE(#REF!)</f>
        <v>#REF!</v>
      </c>
      <c r="M71" s="205">
        <v>380400.0</v>
      </c>
      <c r="N71" s="206">
        <f>M71/$M$10</f>
        <v>286.8561949</v>
      </c>
      <c r="O71" s="207" t="s">
        <v>23</v>
      </c>
      <c r="P71" s="73">
        <f>IF(O71="Delapidated",K71*0.6,IF(O71="Poor",K71*0.7,IF(O71="Fair",K71*0.8,IF(O71="Good",K71*0.85,IF(O71="Very Good",K71*0.9,IF(O71="Excellent",K71*1,IF(O71="Not Applicable",K71*1,0)))))))</f>
        <v>177850.8408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hidden="1" customHeight="1">
      <c r="A72" s="34"/>
      <c r="B72" s="84"/>
      <c r="C72" s="79" t="s">
        <v>25</v>
      </c>
      <c r="D72" s="66"/>
      <c r="E72" s="66"/>
      <c r="F72" s="67">
        <f>286.8561948571*E16</f>
        <v>355.7016816</v>
      </c>
      <c r="G72" s="67">
        <f t="shared" ref="G72:G73" si="33">F72/$G$16</f>
        <v>284.5613453</v>
      </c>
      <c r="H72" s="67">
        <f t="shared" ref="H72:H73" si="34">F72/$H$16</f>
        <v>269.4709709</v>
      </c>
      <c r="I72" s="77">
        <v>1.0</v>
      </c>
      <c r="J72" s="68"/>
      <c r="K72" s="70"/>
      <c r="L72" s="199"/>
      <c r="M72" s="205"/>
      <c r="N72" s="206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hidden="1" customHeight="1">
      <c r="A73" s="34"/>
      <c r="B73" s="85"/>
      <c r="C73" s="79" t="s">
        <v>26</v>
      </c>
      <c r="D73" s="66"/>
      <c r="E73" s="66"/>
      <c r="F73" s="67">
        <v>0.0</v>
      </c>
      <c r="G73" s="67">
        <f t="shared" si="33"/>
        <v>0</v>
      </c>
      <c r="H73" s="67">
        <f t="shared" si="34"/>
        <v>0</v>
      </c>
      <c r="I73" s="77">
        <v>2.0</v>
      </c>
      <c r="J73" s="68"/>
      <c r="K73" s="70"/>
      <c r="L73" s="199"/>
      <c r="M73" s="205"/>
      <c r="N73" s="206"/>
      <c r="O73" s="34"/>
      <c r="P73" s="402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customHeight="1">
      <c r="A74" s="34"/>
      <c r="B74" s="44"/>
      <c r="C74" s="214" t="s">
        <v>89</v>
      </c>
      <c r="D74" s="66"/>
      <c r="E74" s="66"/>
      <c r="F74" s="67"/>
      <c r="G74" s="67"/>
      <c r="H74" s="67"/>
      <c r="I74" s="77"/>
      <c r="J74" s="379">
        <v>20.0</v>
      </c>
      <c r="K74" s="34"/>
      <c r="L74" s="199"/>
      <c r="M74" s="205"/>
      <c r="N74" s="206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17"/>
      <c r="B75" s="83">
        <f>B71+1</f>
        <v>17</v>
      </c>
      <c r="C75" s="255" t="s">
        <v>68</v>
      </c>
      <c r="D75" s="97"/>
      <c r="E75" s="97"/>
      <c r="F75" s="67"/>
      <c r="G75" s="67"/>
      <c r="H75" s="67"/>
      <c r="I75" s="68"/>
      <c r="J75" s="72" t="s">
        <v>25</v>
      </c>
      <c r="K75" s="58">
        <f>IF(J75="YES",IF(J12="2010-2013",H76*J74,IF(J12="2014-2021",G76*J74,IF(J12="2021-2023",F76*J74,0))),0)</f>
        <v>140000</v>
      </c>
      <c r="L75" s="199"/>
      <c r="M75" s="14"/>
      <c r="N75" s="206">
        <f>M75/$M$10</f>
        <v>0</v>
      </c>
      <c r="O75" s="207" t="s">
        <v>23</v>
      </c>
      <c r="P75" s="73">
        <f>IF(O75="Delapidated",K75*0.6,IF(O75="Poor",K75*0.7,IF(O75="Fair",K75*0.8,IF(O75="Good",K75*0.85,IF(O75="Very Good",K75*0.9,IF(O75="Excellent",K75*1,IF(O75="Not Applicable",K75*1,0)))))))</f>
        <v>140000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30.0" hidden="1" customHeight="1">
      <c r="A76" s="17"/>
      <c r="B76" s="84"/>
      <c r="C76" s="79" t="s">
        <v>25</v>
      </c>
      <c r="D76" s="97"/>
      <c r="E76" s="97"/>
      <c r="F76" s="321">
        <v>7000.0</v>
      </c>
      <c r="G76" s="67">
        <f t="shared" ref="G76:G81" si="35">F76/$G$16</f>
        <v>5600</v>
      </c>
      <c r="H76" s="67">
        <f t="shared" ref="H76:H81" si="36">F76/$H$16</f>
        <v>5303.030303</v>
      </c>
      <c r="I76" s="77">
        <v>1.0</v>
      </c>
      <c r="J76" s="322"/>
      <c r="K76" s="58"/>
      <c r="L76" s="199"/>
      <c r="M76" s="14"/>
      <c r="N76" s="206"/>
      <c r="O76" s="17"/>
      <c r="P76" s="99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30.0" hidden="1" customHeight="1">
      <c r="A77" s="17"/>
      <c r="B77" s="85"/>
      <c r="C77" s="79" t="s">
        <v>26</v>
      </c>
      <c r="D77" s="97"/>
      <c r="E77" s="97"/>
      <c r="F77" s="321">
        <v>0.0</v>
      </c>
      <c r="G77" s="67">
        <f t="shared" si="35"/>
        <v>0</v>
      </c>
      <c r="H77" s="67">
        <f t="shared" si="36"/>
        <v>0</v>
      </c>
      <c r="I77" s="77">
        <v>2.0</v>
      </c>
      <c r="J77" s="322"/>
      <c r="K77" s="58"/>
      <c r="L77" s="199"/>
      <c r="M77" s="14"/>
      <c r="N77" s="206"/>
      <c r="O77" s="250"/>
      <c r="P77" s="99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0.0" customHeight="1">
      <c r="A78" s="17"/>
      <c r="B78" s="219"/>
      <c r="C78" s="105"/>
      <c r="D78" s="338"/>
      <c r="E78" s="338"/>
      <c r="F78" s="80"/>
      <c r="G78" s="67">
        <f t="shared" si="35"/>
        <v>0</v>
      </c>
      <c r="H78" s="67">
        <f t="shared" si="36"/>
        <v>0</v>
      </c>
      <c r="I78" s="78"/>
      <c r="J78" s="734"/>
      <c r="K78" s="45"/>
      <c r="L78" s="190"/>
      <c r="M78" s="191"/>
      <c r="N78" s="225"/>
      <c r="O78" s="193"/>
      <c r="P78" s="19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30.0" customHeight="1">
      <c r="A79" s="17"/>
      <c r="B79" s="219"/>
      <c r="C79" s="214" t="s">
        <v>69</v>
      </c>
      <c r="D79" s="338"/>
      <c r="E79" s="338"/>
      <c r="F79" s="80"/>
      <c r="G79" s="67">
        <f t="shared" si="35"/>
        <v>0</v>
      </c>
      <c r="H79" s="67">
        <f t="shared" si="36"/>
        <v>0</v>
      </c>
      <c r="I79" s="735"/>
      <c r="J79" s="379">
        <v>60.0</v>
      </c>
      <c r="K79" s="228"/>
      <c r="L79" s="190"/>
      <c r="M79" s="191"/>
      <c r="N79" s="225"/>
      <c r="O79" s="193"/>
      <c r="P79" s="19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0.0" customHeight="1">
      <c r="A80" s="17"/>
      <c r="B80" s="44">
        <v>18.0</v>
      </c>
      <c r="C80" s="74" t="s">
        <v>70</v>
      </c>
      <c r="D80" s="338"/>
      <c r="E80" s="338"/>
      <c r="F80" s="80"/>
      <c r="G80" s="67">
        <f t="shared" si="35"/>
        <v>0</v>
      </c>
      <c r="H80" s="67">
        <f t="shared" si="36"/>
        <v>0</v>
      </c>
      <c r="I80" s="78"/>
      <c r="J80" s="229" t="s">
        <v>25</v>
      </c>
      <c r="K80" s="736">
        <f>IF(J80="YES",IF(J12="2010-2013",H81*J79,IF(J12="2014-2021",G81*J79,IF(J12="2021-2023",F81*J79,0))),0)</f>
        <v>215760</v>
      </c>
      <c r="L80" s="199"/>
      <c r="M80" s="14"/>
      <c r="N80" s="206"/>
      <c r="O80" s="231" t="s">
        <v>23</v>
      </c>
      <c r="P80" s="120">
        <f>IF(O80="Delapidated",K80*0.6,IF(O80="Poor",K80*0.7,IF(O80="Fair",K80*0.8,IF(O80="Good",K80*0.85,IF(O80="Very Good",K80*0.9,IF(O80="Excellent",K80*1,IF(O80="Not Applicable",K80*1,0)))))))</f>
        <v>215760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0.0" hidden="1" customHeight="1">
      <c r="A81" s="17"/>
      <c r="B81" s="219"/>
      <c r="C81" s="79" t="s">
        <v>25</v>
      </c>
      <c r="D81" s="338"/>
      <c r="E81" s="338"/>
      <c r="F81" s="80">
        <f>2900*E16</f>
        <v>3596</v>
      </c>
      <c r="G81" s="67">
        <f t="shared" si="35"/>
        <v>2876.8</v>
      </c>
      <c r="H81" s="67">
        <f t="shared" si="36"/>
        <v>2724.242424</v>
      </c>
      <c r="I81" s="78"/>
      <c r="J81" s="78"/>
      <c r="K81" s="70"/>
      <c r="L81" s="199"/>
      <c r="M81" s="14"/>
      <c r="N81" s="206"/>
      <c r="O81" s="17"/>
      <c r="P81" s="62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hidden="1" customHeight="1">
      <c r="A82" s="17"/>
      <c r="B82" s="235"/>
      <c r="C82" s="236" t="s">
        <v>26</v>
      </c>
      <c r="D82" s="338"/>
      <c r="E82" s="338"/>
      <c r="F82" s="80"/>
      <c r="G82" s="80"/>
      <c r="H82" s="80"/>
      <c r="I82" s="78"/>
      <c r="J82" s="86"/>
      <c r="K82" s="70"/>
      <c r="L82" s="199"/>
      <c r="M82" s="14"/>
      <c r="N82" s="206"/>
      <c r="O82" s="17"/>
      <c r="P82" s="62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250"/>
      <c r="B83" s="340"/>
      <c r="C83" s="570"/>
      <c r="D83" s="728"/>
      <c r="E83" s="728"/>
      <c r="F83" s="728"/>
      <c r="G83" s="728"/>
      <c r="H83" s="728"/>
      <c r="I83" s="339"/>
      <c r="J83" s="342"/>
      <c r="K83" s="737"/>
      <c r="L83" s="247"/>
      <c r="M83" s="326"/>
      <c r="N83" s="249"/>
      <c r="O83" s="17"/>
      <c r="P83" s="738"/>
      <c r="Q83" s="250"/>
      <c r="R83" s="250"/>
      <c r="S83" s="250"/>
      <c r="T83" s="250"/>
      <c r="U83" s="250"/>
      <c r="V83" s="250"/>
      <c r="W83" s="250"/>
      <c r="X83" s="250"/>
      <c r="Y83" s="250"/>
      <c r="Z83" s="250"/>
    </row>
    <row r="84" ht="30.0" customHeight="1">
      <c r="A84" s="17"/>
      <c r="B84" s="340"/>
      <c r="C84" s="17"/>
      <c r="D84" s="341"/>
      <c r="E84" s="341"/>
      <c r="F84" s="341">
        <v>4669.76849408039</v>
      </c>
      <c r="G84" s="341"/>
      <c r="H84" s="341"/>
      <c r="I84" s="664"/>
      <c r="J84" s="340" t="s">
        <v>143</v>
      </c>
      <c r="K84" s="265">
        <f>SUM(K17:K80)</f>
        <v>3186235.647</v>
      </c>
      <c r="L84" s="199" t="str">
        <f>AVERAGE(#REF!)</f>
        <v>#REF!</v>
      </c>
      <c r="M84" s="14" t="str">
        <f>SUM(#REF!)</f>
        <v>#REF!</v>
      </c>
      <c r="N84" s="206" t="str">
        <f>M84/$M$10</f>
        <v>#REF!</v>
      </c>
      <c r="O84" s="17"/>
      <c r="P84" s="266">
        <f>SUM(P17:P81)</f>
        <v>3099435.647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30.0" customHeight="1">
      <c r="A85" s="17"/>
      <c r="B85" s="340"/>
      <c r="C85" s="17"/>
      <c r="D85" s="341"/>
      <c r="E85" s="341"/>
      <c r="F85" s="341"/>
      <c r="G85" s="341"/>
      <c r="H85" s="341"/>
      <c r="I85" s="664"/>
      <c r="J85" s="340"/>
      <c r="K85" s="739"/>
      <c r="L85" s="199"/>
      <c r="M85" s="14"/>
      <c r="N85" s="206"/>
      <c r="O85" s="17"/>
      <c r="P85" s="261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147"/>
      <c r="B86" s="343"/>
      <c r="C86" s="17"/>
      <c r="D86" s="344"/>
      <c r="E86" s="344"/>
      <c r="F86" s="344"/>
      <c r="G86" s="344"/>
      <c r="H86" s="344"/>
      <c r="I86" s="345"/>
      <c r="J86" s="138" t="s">
        <v>131</v>
      </c>
      <c r="K86" s="265">
        <f>K84/J10</f>
        <v>6372.471294</v>
      </c>
      <c r="L86" s="199" t="str">
        <f>AVERAGE(#REF!)</f>
        <v>#REF!</v>
      </c>
      <c r="M86" s="14" t="str">
        <f>M84/M10</f>
        <v>#REF!</v>
      </c>
      <c r="N86" s="206" t="str">
        <f>M86/$M$10</f>
        <v>#REF!</v>
      </c>
      <c r="O86" s="17"/>
      <c r="P86" s="266">
        <f>P84/J10</f>
        <v>6198.871294</v>
      </c>
      <c r="Q86" s="147"/>
      <c r="R86" s="147"/>
      <c r="S86" s="147"/>
      <c r="T86" s="147"/>
      <c r="U86" s="147"/>
      <c r="V86" s="147"/>
      <c r="W86" s="147"/>
      <c r="X86" s="147"/>
      <c r="Y86" s="147"/>
      <c r="Z86" s="147"/>
    </row>
    <row r="87" ht="12.0" customHeight="1">
      <c r="B87" s="119"/>
      <c r="C87" s="17"/>
      <c r="D87" s="17"/>
      <c r="E87" s="17"/>
      <c r="F87" s="17"/>
      <c r="G87" s="17"/>
      <c r="H87" s="17"/>
      <c r="I87" s="17"/>
      <c r="J87" s="17"/>
      <c r="K87" s="261"/>
      <c r="L87" s="17"/>
      <c r="M87" s="17"/>
      <c r="N87" s="17"/>
      <c r="O87" s="17"/>
      <c r="P87" s="261"/>
    </row>
    <row r="88" ht="45.75" customHeight="1">
      <c r="B88" s="1"/>
      <c r="C88" s="574"/>
      <c r="K88" s="2"/>
      <c r="P88" s="2"/>
    </row>
    <row r="89" ht="12.0" customHeight="1">
      <c r="B89" s="1"/>
      <c r="K89" s="2"/>
      <c r="P89" s="2"/>
    </row>
    <row r="90" ht="12.0" customHeight="1">
      <c r="B90" s="1"/>
      <c r="K90" s="2"/>
      <c r="P90" s="2"/>
    </row>
    <row r="91" ht="12.0" customHeight="1">
      <c r="B91" s="1"/>
      <c r="K91" s="2"/>
      <c r="P91" s="2"/>
    </row>
    <row r="92" ht="12.0" customHeight="1">
      <c r="B92" s="1"/>
      <c r="K92" s="2"/>
      <c r="P92" s="2"/>
    </row>
    <row r="93" ht="12.0" customHeight="1">
      <c r="B93" s="1"/>
      <c r="K93" s="2"/>
      <c r="P93" s="2"/>
    </row>
    <row r="94" ht="12.0" customHeight="1">
      <c r="B94" s="1"/>
      <c r="K94" s="2"/>
      <c r="P94" s="2"/>
    </row>
    <row r="95" ht="12.0" customHeight="1">
      <c r="B95" s="1"/>
      <c r="K95" s="2"/>
      <c r="P95" s="2"/>
    </row>
    <row r="96" ht="12.0" customHeight="1">
      <c r="B96" s="1"/>
      <c r="K96" s="2"/>
      <c r="P96" s="2"/>
    </row>
    <row r="97" ht="12.0" customHeight="1">
      <c r="B97" s="1"/>
      <c r="K97" s="2"/>
      <c r="P97" s="2"/>
    </row>
    <row r="98" ht="12.0" customHeight="1">
      <c r="B98" s="1"/>
      <c r="K98" s="2"/>
      <c r="P98" s="2"/>
    </row>
    <row r="99" ht="12.0" customHeight="1">
      <c r="B99" s="1"/>
      <c r="K99" s="2"/>
      <c r="P99" s="2"/>
    </row>
    <row r="100" ht="12.0" customHeight="1">
      <c r="B100" s="1"/>
      <c r="K100" s="2"/>
      <c r="P100" s="2"/>
    </row>
    <row r="101" ht="12.0" customHeight="1">
      <c r="B101" s="1"/>
      <c r="K101" s="2"/>
      <c r="P101" s="2"/>
    </row>
    <row r="102" ht="12.0" customHeight="1">
      <c r="B102" s="1"/>
      <c r="K102" s="2"/>
      <c r="P102" s="2"/>
    </row>
    <row r="103" ht="12.0" customHeight="1">
      <c r="B103" s="1"/>
      <c r="K103" s="2"/>
      <c r="P103" s="2"/>
    </row>
    <row r="104" ht="12.0" customHeight="1">
      <c r="B104" s="1"/>
      <c r="K104" s="2"/>
      <c r="P104" s="2"/>
    </row>
    <row r="105" ht="12.0" customHeight="1">
      <c r="B105" s="1"/>
      <c r="K105" s="2"/>
      <c r="P105" s="2"/>
    </row>
    <row r="106" ht="12.0" customHeight="1">
      <c r="B106" s="1"/>
      <c r="K106" s="2"/>
      <c r="P106" s="2"/>
    </row>
    <row r="107" ht="12.0" customHeight="1">
      <c r="B107" s="1"/>
      <c r="K107" s="2"/>
      <c r="P107" s="2"/>
    </row>
    <row r="108" ht="12.0" customHeight="1">
      <c r="B108" s="1"/>
      <c r="K108" s="2"/>
      <c r="P108" s="2"/>
    </row>
    <row r="109" ht="12.0" customHeight="1">
      <c r="B109" s="1"/>
      <c r="K109" s="2"/>
      <c r="P109" s="2"/>
    </row>
    <row r="110" ht="12.0" customHeight="1">
      <c r="B110" s="1"/>
      <c r="K110" s="2"/>
      <c r="P110" s="2"/>
    </row>
    <row r="111" ht="12.0" customHeight="1">
      <c r="B111" s="1"/>
      <c r="K111" s="2"/>
      <c r="P111" s="2"/>
    </row>
    <row r="112" ht="12.0" customHeight="1">
      <c r="B112" s="1"/>
      <c r="K112" s="2"/>
      <c r="P112" s="2"/>
    </row>
    <row r="113" ht="12.0" customHeight="1">
      <c r="B113" s="1"/>
      <c r="K113" s="2"/>
      <c r="P113" s="2"/>
    </row>
    <row r="114" ht="12.0" customHeight="1">
      <c r="B114" s="1"/>
      <c r="K114" s="2"/>
      <c r="P114" s="2"/>
    </row>
    <row r="115" ht="12.0" customHeight="1">
      <c r="B115" s="1"/>
      <c r="K115" s="2"/>
      <c r="P115" s="2"/>
    </row>
    <row r="116" ht="12.0" customHeight="1">
      <c r="B116" s="1"/>
      <c r="K116" s="2"/>
      <c r="P116" s="2"/>
    </row>
    <row r="117" ht="12.0" customHeight="1">
      <c r="B117" s="1"/>
      <c r="K117" s="2"/>
      <c r="P117" s="2"/>
    </row>
    <row r="118" ht="12.0" customHeight="1">
      <c r="B118" s="1"/>
      <c r="K118" s="2"/>
      <c r="P118" s="2"/>
    </row>
    <row r="119" ht="12.0" customHeight="1">
      <c r="B119" s="1"/>
      <c r="K119" s="2"/>
      <c r="P119" s="2"/>
    </row>
    <row r="120" ht="12.0" customHeight="1">
      <c r="B120" s="1"/>
      <c r="K120" s="2"/>
      <c r="P120" s="2"/>
    </row>
    <row r="121" ht="12.0" customHeight="1">
      <c r="B121" s="1"/>
      <c r="K121" s="2"/>
      <c r="P121" s="2"/>
    </row>
    <row r="122" ht="12.0" customHeight="1">
      <c r="B122" s="1"/>
      <c r="K122" s="2"/>
      <c r="P122" s="2"/>
    </row>
    <row r="123" ht="12.0" customHeight="1">
      <c r="B123" s="1"/>
      <c r="K123" s="2"/>
      <c r="P123" s="2"/>
    </row>
    <row r="124" ht="12.0" customHeight="1">
      <c r="B124" s="1"/>
      <c r="K124" s="2"/>
      <c r="P124" s="2"/>
    </row>
    <row r="125" ht="12.0" customHeight="1">
      <c r="B125" s="1"/>
      <c r="K125" s="2"/>
      <c r="P125" s="2"/>
    </row>
    <row r="126" ht="12.0" customHeight="1">
      <c r="B126" s="1"/>
      <c r="K126" s="2"/>
      <c r="P126" s="2"/>
    </row>
    <row r="127" ht="12.0" customHeight="1">
      <c r="B127" s="1"/>
      <c r="K127" s="2"/>
      <c r="P127" s="2"/>
    </row>
    <row r="128" ht="12.0" customHeight="1">
      <c r="B128" s="1"/>
      <c r="K128" s="2"/>
      <c r="P128" s="2"/>
    </row>
    <row r="129" ht="12.0" customHeight="1">
      <c r="B129" s="1"/>
      <c r="K129" s="2"/>
      <c r="P129" s="2"/>
    </row>
    <row r="130" ht="12.0" customHeight="1">
      <c r="B130" s="1"/>
      <c r="K130" s="2"/>
      <c r="P130" s="2"/>
    </row>
    <row r="131" ht="12.0" customHeight="1">
      <c r="B131" s="1"/>
      <c r="K131" s="2"/>
      <c r="P131" s="2"/>
    </row>
    <row r="132" ht="12.0" customHeight="1">
      <c r="B132" s="1"/>
      <c r="K132" s="2"/>
      <c r="P132" s="2"/>
    </row>
    <row r="133" ht="12.0" customHeight="1">
      <c r="B133" s="1"/>
      <c r="K133" s="2"/>
      <c r="P133" s="2"/>
    </row>
    <row r="134" ht="12.0" customHeight="1">
      <c r="B134" s="1"/>
      <c r="K134" s="2"/>
      <c r="P134" s="2"/>
    </row>
    <row r="135" ht="12.0" customHeight="1">
      <c r="B135" s="1"/>
      <c r="K135" s="2"/>
      <c r="P135" s="2"/>
    </row>
    <row r="136" ht="12.0" customHeight="1">
      <c r="B136" s="1"/>
      <c r="K136" s="2"/>
      <c r="P136" s="2"/>
    </row>
    <row r="137" ht="12.0" customHeight="1">
      <c r="B137" s="1"/>
      <c r="K137" s="2"/>
      <c r="P137" s="2"/>
    </row>
    <row r="138" ht="12.0" customHeight="1">
      <c r="B138" s="1"/>
      <c r="K138" s="2"/>
      <c r="P138" s="2"/>
    </row>
    <row r="139" ht="12.0" customHeight="1">
      <c r="B139" s="1"/>
      <c r="K139" s="2"/>
      <c r="P139" s="2"/>
    </row>
    <row r="140" ht="12.0" customHeight="1">
      <c r="B140" s="1"/>
      <c r="K140" s="2"/>
      <c r="P140" s="2"/>
    </row>
    <row r="141" ht="12.0" customHeight="1">
      <c r="B141" s="1"/>
      <c r="K141" s="2"/>
      <c r="P141" s="2"/>
    </row>
    <row r="142" ht="12.0" customHeight="1">
      <c r="B142" s="1"/>
      <c r="K142" s="2"/>
      <c r="P142" s="2"/>
    </row>
    <row r="143" ht="12.0" customHeight="1">
      <c r="B143" s="1"/>
      <c r="K143" s="2"/>
      <c r="P143" s="2"/>
    </row>
    <row r="144" ht="12.0" customHeight="1">
      <c r="B144" s="1"/>
      <c r="K144" s="2"/>
      <c r="P144" s="2"/>
    </row>
    <row r="145" ht="12.0" customHeight="1">
      <c r="B145" s="1"/>
      <c r="K145" s="2"/>
      <c r="P145" s="2"/>
    </row>
    <row r="146" ht="12.0" customHeight="1">
      <c r="B146" s="1"/>
      <c r="K146" s="2"/>
      <c r="P146" s="2"/>
    </row>
    <row r="147" ht="12.0" customHeight="1">
      <c r="B147" s="1"/>
      <c r="K147" s="2"/>
      <c r="P147" s="2"/>
    </row>
    <row r="148" ht="12.0" customHeight="1">
      <c r="B148" s="1"/>
      <c r="K148" s="2"/>
      <c r="P148" s="2"/>
    </row>
    <row r="149" ht="12.0" customHeight="1">
      <c r="B149" s="1"/>
      <c r="K149" s="2"/>
      <c r="P149" s="2"/>
    </row>
    <row r="150" ht="12.0" customHeight="1">
      <c r="B150" s="1"/>
      <c r="K150" s="2"/>
      <c r="P150" s="2"/>
    </row>
    <row r="151" ht="12.0" customHeight="1">
      <c r="B151" s="1"/>
      <c r="K151" s="2"/>
      <c r="P151" s="2"/>
    </row>
    <row r="152" ht="12.0" customHeight="1">
      <c r="B152" s="1"/>
      <c r="K152" s="2"/>
      <c r="P152" s="2"/>
    </row>
    <row r="153" ht="12.0" customHeight="1">
      <c r="B153" s="1"/>
      <c r="K153" s="2"/>
      <c r="P153" s="2"/>
    </row>
    <row r="154" ht="12.0" customHeight="1">
      <c r="B154" s="1"/>
      <c r="K154" s="2"/>
      <c r="P154" s="2"/>
    </row>
    <row r="155" ht="12.0" customHeight="1">
      <c r="B155" s="1"/>
      <c r="K155" s="2"/>
      <c r="P155" s="2"/>
    </row>
    <row r="156" ht="12.0" customHeight="1">
      <c r="B156" s="1"/>
      <c r="K156" s="2"/>
      <c r="P156" s="2"/>
    </row>
    <row r="157" ht="12.0" customHeight="1">
      <c r="B157" s="1"/>
      <c r="K157" s="2"/>
      <c r="P157" s="2"/>
    </row>
    <row r="158" ht="12.0" customHeight="1">
      <c r="B158" s="1"/>
      <c r="K158" s="2"/>
      <c r="P158" s="2"/>
    </row>
    <row r="159" ht="12.0" customHeight="1">
      <c r="B159" s="1"/>
      <c r="K159" s="2"/>
      <c r="P159" s="2"/>
    </row>
    <row r="160" ht="12.0" customHeight="1">
      <c r="B160" s="1"/>
      <c r="K160" s="2"/>
      <c r="P160" s="2"/>
    </row>
    <row r="161" ht="12.0" customHeight="1">
      <c r="B161" s="1"/>
      <c r="K161" s="2"/>
      <c r="P161" s="2"/>
    </row>
    <row r="162" ht="12.0" customHeight="1">
      <c r="B162" s="1"/>
      <c r="K162" s="2"/>
      <c r="P162" s="2"/>
    </row>
    <row r="163" ht="12.0" customHeight="1">
      <c r="B163" s="1"/>
      <c r="K163" s="2"/>
      <c r="P163" s="2"/>
    </row>
    <row r="164" ht="12.0" customHeight="1">
      <c r="B164" s="1"/>
      <c r="K164" s="2"/>
      <c r="P164" s="2"/>
    </row>
    <row r="165" ht="12.0" customHeight="1">
      <c r="B165" s="1"/>
      <c r="K165" s="2"/>
      <c r="P165" s="2"/>
    </row>
    <row r="166" ht="12.0" customHeight="1">
      <c r="B166" s="1"/>
      <c r="K166" s="2"/>
      <c r="P166" s="2"/>
    </row>
    <row r="167" ht="12.0" customHeight="1">
      <c r="B167" s="1"/>
      <c r="K167" s="2"/>
      <c r="P167" s="2"/>
    </row>
    <row r="168" ht="12.0" customHeight="1">
      <c r="B168" s="1"/>
      <c r="K168" s="2"/>
      <c r="P168" s="2"/>
    </row>
    <row r="169" ht="12.0" customHeight="1">
      <c r="B169" s="1"/>
      <c r="K169" s="2"/>
      <c r="P169" s="2"/>
    </row>
    <row r="170" ht="12.0" customHeight="1">
      <c r="B170" s="1"/>
      <c r="K170" s="2"/>
      <c r="P170" s="2"/>
    </row>
    <row r="171" ht="12.0" customHeight="1">
      <c r="B171" s="1"/>
      <c r="K171" s="2"/>
      <c r="P171" s="2"/>
    </row>
    <row r="172" ht="12.0" customHeight="1">
      <c r="B172" s="1"/>
      <c r="K172" s="2"/>
      <c r="P172" s="2"/>
    </row>
    <row r="173" ht="12.0" customHeight="1">
      <c r="B173" s="1"/>
      <c r="K173" s="2"/>
      <c r="P173" s="2"/>
    </row>
    <row r="174" ht="12.0" customHeight="1">
      <c r="B174" s="1"/>
      <c r="K174" s="2"/>
      <c r="P174" s="2"/>
    </row>
    <row r="175" ht="12.0" customHeight="1">
      <c r="B175" s="1"/>
      <c r="K175" s="2"/>
      <c r="P175" s="2"/>
    </row>
    <row r="176" ht="12.0" customHeight="1">
      <c r="B176" s="1"/>
      <c r="K176" s="2"/>
      <c r="P176" s="2"/>
    </row>
    <row r="177" ht="12.0" customHeight="1">
      <c r="B177" s="1"/>
      <c r="K177" s="2"/>
      <c r="P177" s="2"/>
    </row>
    <row r="178" ht="12.0" customHeight="1">
      <c r="B178" s="1"/>
      <c r="K178" s="2"/>
      <c r="P178" s="2"/>
    </row>
    <row r="179" ht="12.0" customHeight="1">
      <c r="B179" s="1"/>
      <c r="K179" s="2"/>
      <c r="P179" s="2"/>
    </row>
    <row r="180" ht="12.0" customHeight="1">
      <c r="B180" s="1"/>
      <c r="K180" s="2"/>
      <c r="P180" s="2"/>
    </row>
    <row r="181" ht="12.0" customHeight="1">
      <c r="B181" s="1"/>
      <c r="K181" s="2"/>
      <c r="P181" s="2"/>
    </row>
    <row r="182" ht="12.0" customHeight="1">
      <c r="B182" s="1"/>
      <c r="K182" s="2"/>
      <c r="P182" s="2"/>
    </row>
    <row r="183" ht="12.0" customHeight="1">
      <c r="B183" s="1"/>
      <c r="K183" s="2"/>
      <c r="P183" s="2"/>
    </row>
    <row r="184" ht="12.0" customHeight="1">
      <c r="B184" s="1"/>
      <c r="K184" s="2"/>
      <c r="P184" s="2"/>
    </row>
    <row r="185" ht="12.0" customHeight="1">
      <c r="B185" s="1"/>
      <c r="K185" s="2"/>
      <c r="P185" s="2"/>
    </row>
    <row r="186" ht="12.0" customHeight="1">
      <c r="B186" s="1"/>
      <c r="K186" s="2"/>
      <c r="P186" s="2"/>
    </row>
    <row r="187" ht="12.0" customHeight="1">
      <c r="B187" s="1"/>
      <c r="K187" s="2"/>
      <c r="P187" s="2"/>
    </row>
    <row r="188" ht="12.0" customHeight="1">
      <c r="B188" s="1"/>
      <c r="K188" s="2"/>
      <c r="P188" s="2"/>
    </row>
    <row r="189" ht="12.0" customHeight="1">
      <c r="B189" s="1"/>
      <c r="K189" s="2"/>
      <c r="P189" s="2"/>
    </row>
    <row r="190" ht="12.0" customHeight="1">
      <c r="B190" s="1"/>
      <c r="K190" s="2"/>
      <c r="P190" s="2"/>
    </row>
    <row r="191" ht="12.0" customHeight="1">
      <c r="B191" s="1"/>
      <c r="K191" s="2"/>
      <c r="P191" s="2"/>
    </row>
    <row r="192" ht="12.0" customHeight="1">
      <c r="B192" s="1"/>
      <c r="K192" s="2"/>
      <c r="P192" s="2"/>
    </row>
    <row r="193" ht="12.0" customHeight="1">
      <c r="B193" s="1"/>
      <c r="K193" s="2"/>
      <c r="P193" s="2"/>
    </row>
    <row r="194" ht="12.0" customHeight="1">
      <c r="B194" s="1"/>
      <c r="K194" s="2"/>
      <c r="P194" s="2"/>
    </row>
    <row r="195" ht="12.0" customHeight="1">
      <c r="B195" s="1"/>
      <c r="K195" s="2"/>
      <c r="P195" s="2"/>
    </row>
    <row r="196" ht="12.0" customHeight="1">
      <c r="B196" s="1"/>
      <c r="K196" s="2"/>
      <c r="P196" s="2"/>
    </row>
    <row r="197" ht="12.0" customHeight="1">
      <c r="B197" s="1"/>
      <c r="K197" s="2"/>
      <c r="P197" s="2"/>
    </row>
    <row r="198" ht="12.0" customHeight="1">
      <c r="B198" s="1"/>
      <c r="K198" s="2"/>
      <c r="P198" s="2"/>
    </row>
    <row r="199" ht="12.0" customHeight="1">
      <c r="B199" s="1"/>
      <c r="K199" s="2"/>
      <c r="P199" s="2"/>
    </row>
    <row r="200" ht="12.0" customHeight="1">
      <c r="B200" s="1"/>
      <c r="K200" s="2"/>
      <c r="P200" s="2"/>
    </row>
    <row r="201" ht="12.0" customHeight="1">
      <c r="B201" s="1"/>
      <c r="K201" s="2"/>
      <c r="P201" s="2"/>
    </row>
    <row r="202" ht="12.0" customHeight="1">
      <c r="B202" s="1"/>
      <c r="K202" s="2"/>
      <c r="P202" s="2"/>
    </row>
    <row r="203" ht="12.0" customHeight="1">
      <c r="B203" s="1"/>
      <c r="K203" s="2"/>
      <c r="P203" s="2"/>
    </row>
    <row r="204" ht="12.0" customHeight="1">
      <c r="B204" s="1"/>
      <c r="K204" s="2"/>
      <c r="P204" s="2"/>
    </row>
    <row r="205" ht="12.0" customHeight="1">
      <c r="B205" s="1"/>
      <c r="K205" s="2"/>
      <c r="P205" s="2"/>
    </row>
    <row r="206" ht="12.0" customHeight="1">
      <c r="B206" s="1"/>
      <c r="K206" s="2"/>
      <c r="P206" s="2"/>
    </row>
    <row r="207" ht="12.0" customHeight="1">
      <c r="B207" s="1"/>
      <c r="K207" s="2"/>
      <c r="P207" s="2"/>
    </row>
    <row r="208" ht="12.0" customHeight="1">
      <c r="B208" s="1"/>
      <c r="K208" s="2"/>
      <c r="P208" s="2"/>
    </row>
    <row r="209" ht="12.0" customHeight="1">
      <c r="B209" s="1"/>
      <c r="K209" s="2"/>
      <c r="P209" s="2"/>
    </row>
    <row r="210" ht="12.0" customHeight="1">
      <c r="B210" s="1"/>
      <c r="K210" s="2"/>
      <c r="P210" s="2"/>
    </row>
    <row r="211" ht="12.0" customHeight="1">
      <c r="B211" s="1"/>
      <c r="K211" s="2"/>
      <c r="P211" s="2"/>
    </row>
    <row r="212" ht="12.0" customHeight="1">
      <c r="B212" s="1"/>
      <c r="K212" s="2"/>
      <c r="P212" s="2"/>
    </row>
    <row r="213" ht="12.0" customHeight="1">
      <c r="B213" s="1"/>
      <c r="K213" s="2"/>
      <c r="P213" s="2"/>
    </row>
    <row r="214" ht="12.0" customHeight="1">
      <c r="B214" s="1"/>
      <c r="K214" s="2"/>
      <c r="P214" s="2"/>
    </row>
    <row r="215" ht="12.0" customHeight="1">
      <c r="B215" s="1"/>
      <c r="K215" s="2"/>
      <c r="P215" s="2"/>
    </row>
    <row r="216" ht="12.0" customHeight="1">
      <c r="B216" s="1"/>
      <c r="K216" s="2"/>
      <c r="P216" s="2"/>
    </row>
    <row r="217" ht="12.0" customHeight="1">
      <c r="B217" s="1"/>
      <c r="K217" s="2"/>
      <c r="P217" s="2"/>
    </row>
    <row r="218" ht="12.0" customHeight="1">
      <c r="B218" s="1"/>
      <c r="K218" s="2"/>
      <c r="P218" s="2"/>
    </row>
    <row r="219" ht="12.0" customHeight="1">
      <c r="B219" s="1"/>
      <c r="K219" s="2"/>
      <c r="P219" s="2"/>
    </row>
    <row r="220" ht="12.0" customHeight="1">
      <c r="B220" s="1"/>
      <c r="K220" s="2"/>
      <c r="P220" s="2"/>
    </row>
    <row r="221" ht="12.0" customHeight="1">
      <c r="B221" s="1"/>
      <c r="K221" s="2"/>
      <c r="P221" s="2"/>
    </row>
    <row r="222" ht="12.0" customHeight="1">
      <c r="B222" s="1"/>
      <c r="K222" s="2"/>
      <c r="P222" s="2"/>
    </row>
    <row r="223" ht="12.0" customHeight="1">
      <c r="B223" s="1"/>
      <c r="K223" s="2"/>
      <c r="P223" s="2"/>
    </row>
    <row r="224" ht="12.0" customHeight="1">
      <c r="B224" s="1"/>
      <c r="K224" s="2"/>
      <c r="P224" s="2"/>
    </row>
    <row r="225" ht="12.0" customHeight="1">
      <c r="B225" s="1"/>
      <c r="K225" s="2"/>
      <c r="P225" s="2"/>
    </row>
    <row r="226" ht="12.0" customHeight="1">
      <c r="B226" s="1"/>
      <c r="K226" s="2"/>
      <c r="P226" s="2"/>
    </row>
    <row r="227" ht="12.0" customHeight="1">
      <c r="B227" s="1"/>
      <c r="K227" s="2"/>
      <c r="P227" s="2"/>
    </row>
    <row r="228" ht="12.0" customHeight="1">
      <c r="B228" s="1"/>
      <c r="K228" s="2"/>
      <c r="P228" s="2"/>
    </row>
    <row r="229" ht="12.0" customHeight="1">
      <c r="B229" s="1"/>
      <c r="K229" s="2"/>
      <c r="P229" s="2"/>
    </row>
    <row r="230" ht="12.0" customHeight="1">
      <c r="B230" s="1"/>
      <c r="K230" s="2"/>
      <c r="P230" s="2"/>
    </row>
    <row r="231" ht="12.0" customHeight="1">
      <c r="B231" s="1"/>
      <c r="K231" s="2"/>
      <c r="P231" s="2"/>
    </row>
    <row r="232" ht="12.0" customHeight="1">
      <c r="B232" s="1"/>
      <c r="K232" s="2"/>
      <c r="P232" s="2"/>
    </row>
    <row r="233" ht="12.0" customHeight="1">
      <c r="B233" s="1"/>
      <c r="K233" s="2"/>
      <c r="P233" s="2"/>
    </row>
    <row r="234" ht="12.0" customHeight="1">
      <c r="B234" s="1"/>
      <c r="K234" s="2"/>
      <c r="P234" s="2"/>
    </row>
    <row r="235" ht="12.0" customHeight="1">
      <c r="B235" s="1"/>
      <c r="K235" s="2"/>
      <c r="P235" s="2"/>
    </row>
    <row r="236" ht="12.0" customHeight="1">
      <c r="B236" s="1"/>
      <c r="K236" s="2"/>
      <c r="P236" s="2"/>
    </row>
    <row r="237" ht="12.0" customHeight="1">
      <c r="B237" s="1"/>
      <c r="K237" s="2"/>
      <c r="P237" s="2"/>
    </row>
    <row r="238" ht="12.0" customHeight="1">
      <c r="B238" s="1"/>
      <c r="K238" s="2"/>
      <c r="P238" s="2"/>
    </row>
    <row r="239" ht="12.0" customHeight="1">
      <c r="B239" s="1"/>
      <c r="K239" s="2"/>
      <c r="P239" s="2"/>
    </row>
    <row r="240" ht="12.0" customHeight="1">
      <c r="B240" s="1"/>
      <c r="K240" s="2"/>
      <c r="P240" s="2"/>
    </row>
    <row r="241" ht="12.0" customHeight="1">
      <c r="B241" s="1"/>
      <c r="K241" s="2"/>
      <c r="P241" s="2"/>
    </row>
    <row r="242" ht="12.0" customHeight="1">
      <c r="B242" s="1"/>
      <c r="K242" s="2"/>
      <c r="P242" s="2"/>
    </row>
    <row r="243" ht="12.0" customHeight="1">
      <c r="B243" s="1"/>
      <c r="K243" s="2"/>
      <c r="P243" s="2"/>
    </row>
    <row r="244" ht="12.0" customHeight="1">
      <c r="B244" s="1"/>
      <c r="K244" s="2"/>
      <c r="P244" s="2"/>
    </row>
    <row r="245" ht="12.0" customHeight="1">
      <c r="B245" s="1"/>
      <c r="K245" s="2"/>
      <c r="P245" s="2"/>
    </row>
    <row r="246" ht="12.0" customHeight="1">
      <c r="B246" s="1"/>
      <c r="K246" s="2"/>
      <c r="P246" s="2"/>
    </row>
    <row r="247" ht="12.0" customHeight="1">
      <c r="B247" s="1"/>
      <c r="K247" s="2"/>
      <c r="P247" s="2"/>
    </row>
    <row r="248" ht="12.0" customHeight="1">
      <c r="B248" s="1"/>
      <c r="K248" s="2"/>
      <c r="P248" s="2"/>
    </row>
    <row r="249" ht="12.0" customHeight="1">
      <c r="B249" s="1"/>
      <c r="K249" s="2"/>
      <c r="P249" s="2"/>
    </row>
    <row r="250" ht="12.0" customHeight="1">
      <c r="B250" s="1"/>
      <c r="K250" s="2"/>
      <c r="P250" s="2"/>
    </row>
    <row r="251" ht="12.0" customHeight="1">
      <c r="B251" s="1"/>
      <c r="K251" s="2"/>
      <c r="P251" s="2"/>
    </row>
    <row r="252" ht="12.0" customHeight="1">
      <c r="B252" s="1"/>
      <c r="K252" s="2"/>
      <c r="P252" s="2"/>
    </row>
    <row r="253" ht="12.0" customHeight="1">
      <c r="B253" s="1"/>
      <c r="K253" s="2"/>
      <c r="P253" s="2"/>
    </row>
    <row r="254" ht="12.0" customHeight="1">
      <c r="B254" s="1"/>
      <c r="K254" s="2"/>
      <c r="P254" s="2"/>
    </row>
    <row r="255" ht="12.0" customHeight="1">
      <c r="B255" s="1"/>
      <c r="K255" s="2"/>
      <c r="P255" s="2"/>
    </row>
    <row r="256" ht="12.0" customHeight="1">
      <c r="B256" s="1"/>
      <c r="K256" s="2"/>
      <c r="P256" s="2"/>
    </row>
    <row r="257" ht="12.0" customHeight="1">
      <c r="B257" s="1"/>
      <c r="K257" s="2"/>
      <c r="P257" s="2"/>
    </row>
    <row r="258" ht="12.0" customHeight="1">
      <c r="B258" s="1"/>
      <c r="K258" s="2"/>
      <c r="P258" s="2"/>
    </row>
    <row r="259" ht="12.0" customHeight="1">
      <c r="B259" s="1"/>
      <c r="K259" s="2"/>
      <c r="P259" s="2"/>
    </row>
    <row r="260" ht="12.0" customHeight="1">
      <c r="B260" s="1"/>
      <c r="K260" s="2"/>
      <c r="P260" s="2"/>
    </row>
    <row r="261" ht="12.0" customHeight="1">
      <c r="B261" s="1"/>
      <c r="K261" s="2"/>
      <c r="P261" s="2"/>
    </row>
    <row r="262" ht="12.0" customHeight="1">
      <c r="B262" s="1"/>
      <c r="K262" s="2"/>
      <c r="P262" s="2"/>
    </row>
    <row r="263" ht="12.0" customHeight="1">
      <c r="B263" s="1"/>
      <c r="K263" s="2"/>
      <c r="P263" s="2"/>
    </row>
    <row r="264" ht="12.0" customHeight="1">
      <c r="B264" s="1"/>
      <c r="K264" s="2"/>
      <c r="P264" s="2"/>
    </row>
    <row r="265" ht="12.0" customHeight="1">
      <c r="B265" s="1"/>
      <c r="K265" s="2"/>
      <c r="P265" s="2"/>
    </row>
    <row r="266" ht="12.0" customHeight="1">
      <c r="B266" s="1"/>
      <c r="K266" s="2"/>
      <c r="P266" s="2"/>
    </row>
    <row r="267" ht="12.0" customHeight="1">
      <c r="B267" s="1"/>
      <c r="K267" s="2"/>
      <c r="P267" s="2"/>
    </row>
    <row r="268" ht="12.0" customHeight="1">
      <c r="B268" s="1"/>
      <c r="K268" s="2"/>
      <c r="P268" s="2"/>
    </row>
    <row r="269" ht="12.0" customHeight="1">
      <c r="B269" s="1"/>
      <c r="K269" s="2"/>
      <c r="P269" s="2"/>
    </row>
    <row r="270" ht="12.0" customHeight="1">
      <c r="B270" s="1"/>
      <c r="K270" s="2"/>
      <c r="P270" s="2"/>
    </row>
    <row r="271" ht="12.0" customHeight="1">
      <c r="B271" s="1"/>
      <c r="K271" s="2"/>
      <c r="P271" s="2"/>
    </row>
    <row r="272" ht="12.0" customHeight="1">
      <c r="B272" s="1"/>
      <c r="K272" s="2"/>
      <c r="P272" s="2"/>
    </row>
    <row r="273" ht="12.0" customHeight="1">
      <c r="B273" s="1"/>
      <c r="K273" s="2"/>
      <c r="P273" s="2"/>
    </row>
    <row r="274" ht="12.0" customHeight="1">
      <c r="B274" s="1"/>
      <c r="K274" s="2"/>
      <c r="P274" s="2"/>
    </row>
    <row r="275" ht="12.0" customHeight="1">
      <c r="B275" s="1"/>
      <c r="K275" s="2"/>
      <c r="P275" s="2"/>
    </row>
    <row r="276" ht="12.0" customHeight="1">
      <c r="B276" s="1"/>
      <c r="K276" s="2"/>
      <c r="P276" s="2"/>
    </row>
    <row r="277" ht="12.0" customHeight="1">
      <c r="B277" s="1"/>
      <c r="K277" s="2"/>
      <c r="P277" s="2"/>
    </row>
    <row r="278" ht="12.0" customHeight="1">
      <c r="B278" s="1"/>
      <c r="K278" s="2"/>
      <c r="P278" s="2"/>
    </row>
    <row r="279" ht="12.0" customHeight="1">
      <c r="B279" s="1"/>
      <c r="K279" s="2"/>
      <c r="P279" s="2"/>
    </row>
    <row r="280" ht="12.0" customHeight="1">
      <c r="B280" s="1"/>
      <c r="K280" s="2"/>
      <c r="P280" s="2"/>
    </row>
    <row r="281" ht="12.0" customHeight="1">
      <c r="B281" s="1"/>
      <c r="K281" s="2"/>
      <c r="P281" s="2"/>
    </row>
    <row r="282" ht="12.0" customHeight="1">
      <c r="B282" s="1"/>
      <c r="K282" s="2"/>
      <c r="P282" s="2"/>
    </row>
    <row r="283" ht="12.0" customHeight="1">
      <c r="B283" s="1"/>
      <c r="K283" s="2"/>
      <c r="P283" s="2"/>
    </row>
    <row r="284" ht="12.0" customHeight="1">
      <c r="B284" s="1"/>
      <c r="K284" s="2"/>
      <c r="P284" s="2"/>
    </row>
    <row r="285" ht="12.0" customHeight="1">
      <c r="B285" s="1"/>
      <c r="K285" s="2"/>
      <c r="P285" s="2"/>
    </row>
    <row r="286" ht="12.0" customHeight="1">
      <c r="B286" s="1"/>
      <c r="K286" s="2"/>
      <c r="P286" s="2"/>
    </row>
    <row r="287" ht="12.0" customHeight="1">
      <c r="B287" s="1"/>
      <c r="K287" s="2"/>
      <c r="P287" s="2"/>
    </row>
    <row r="288" ht="12.0" customHeight="1">
      <c r="B288" s="1"/>
      <c r="K288" s="2"/>
      <c r="P288" s="2"/>
    </row>
    <row r="289" ht="12.0" customHeight="1">
      <c r="B289" s="1"/>
      <c r="K289" s="2"/>
      <c r="P289" s="2"/>
    </row>
    <row r="290" ht="12.0" customHeight="1">
      <c r="B290" s="1"/>
      <c r="K290" s="2"/>
      <c r="P290" s="2"/>
    </row>
    <row r="291" ht="12.0" customHeight="1">
      <c r="B291" s="1"/>
      <c r="K291" s="2"/>
      <c r="P291" s="2"/>
    </row>
    <row r="292" ht="12.0" customHeight="1">
      <c r="B292" s="1"/>
      <c r="K292" s="2"/>
      <c r="P292" s="2"/>
    </row>
    <row r="293" ht="12.0" customHeight="1">
      <c r="B293" s="1"/>
      <c r="K293" s="2"/>
      <c r="P293" s="2"/>
    </row>
    <row r="294" ht="12.0" customHeight="1">
      <c r="B294" s="1"/>
      <c r="K294" s="2"/>
      <c r="P294" s="2"/>
    </row>
    <row r="295" ht="12.0" customHeight="1">
      <c r="B295" s="1"/>
      <c r="K295" s="2"/>
      <c r="P295" s="2"/>
    </row>
    <row r="296" ht="12.0" customHeight="1">
      <c r="B296" s="1"/>
      <c r="K296" s="2"/>
      <c r="P296" s="2"/>
    </row>
    <row r="297" ht="12.0" customHeight="1">
      <c r="B297" s="1"/>
      <c r="K297" s="2"/>
      <c r="P297" s="2"/>
    </row>
    <row r="298" ht="12.0" customHeight="1">
      <c r="B298" s="1"/>
      <c r="K298" s="2"/>
      <c r="P298" s="2"/>
    </row>
    <row r="299" ht="12.0" customHeight="1">
      <c r="B299" s="1"/>
      <c r="K299" s="2"/>
      <c r="P299" s="2"/>
    </row>
    <row r="300" ht="12.0" customHeight="1">
      <c r="B300" s="1"/>
      <c r="K300" s="2"/>
      <c r="P300" s="2"/>
    </row>
    <row r="301" ht="12.0" customHeight="1">
      <c r="B301" s="1"/>
      <c r="K301" s="2"/>
      <c r="P301" s="2"/>
    </row>
    <row r="302" ht="12.0" customHeight="1">
      <c r="B302" s="1"/>
      <c r="K302" s="2"/>
      <c r="P302" s="2"/>
    </row>
    <row r="303" ht="12.0" customHeight="1">
      <c r="B303" s="1"/>
      <c r="K303" s="2"/>
      <c r="P303" s="2"/>
    </row>
    <row r="304" ht="12.0" customHeight="1">
      <c r="B304" s="1"/>
      <c r="K304" s="2"/>
      <c r="P304" s="2"/>
    </row>
    <row r="305" ht="12.0" customHeight="1">
      <c r="B305" s="1"/>
      <c r="K305" s="2"/>
      <c r="P305" s="2"/>
    </row>
    <row r="306" ht="12.0" customHeight="1">
      <c r="B306" s="1"/>
      <c r="K306" s="2"/>
      <c r="P306" s="2"/>
    </row>
    <row r="307" ht="12.0" customHeight="1">
      <c r="B307" s="1"/>
      <c r="K307" s="2"/>
      <c r="P307" s="2"/>
    </row>
    <row r="308" ht="12.0" customHeight="1">
      <c r="B308" s="1"/>
      <c r="K308" s="2"/>
      <c r="P308" s="2"/>
    </row>
    <row r="309" ht="12.0" customHeight="1">
      <c r="B309" s="1"/>
      <c r="K309" s="2"/>
      <c r="P309" s="2"/>
    </row>
    <row r="310" ht="12.0" customHeight="1">
      <c r="B310" s="1"/>
      <c r="K310" s="2"/>
      <c r="P310" s="2"/>
    </row>
    <row r="311" ht="12.0" customHeight="1">
      <c r="B311" s="1"/>
      <c r="K311" s="2"/>
      <c r="P311" s="2"/>
    </row>
    <row r="312" ht="12.0" customHeight="1">
      <c r="B312" s="1"/>
      <c r="K312" s="2"/>
      <c r="P312" s="2"/>
    </row>
    <row r="313" ht="12.0" customHeight="1">
      <c r="B313" s="1"/>
      <c r="K313" s="2"/>
      <c r="P313" s="2"/>
    </row>
    <row r="314" ht="12.0" customHeight="1">
      <c r="B314" s="1"/>
      <c r="K314" s="2"/>
      <c r="P314" s="2"/>
    </row>
    <row r="315" ht="12.0" customHeight="1">
      <c r="B315" s="1"/>
      <c r="K315" s="2"/>
      <c r="P315" s="2"/>
    </row>
    <row r="316" ht="12.0" customHeight="1">
      <c r="B316" s="1"/>
      <c r="K316" s="2"/>
      <c r="P316" s="2"/>
    </row>
    <row r="317" ht="12.0" customHeight="1">
      <c r="B317" s="1"/>
      <c r="K317" s="2"/>
      <c r="P317" s="2"/>
    </row>
    <row r="318" ht="12.0" customHeight="1">
      <c r="B318" s="1"/>
      <c r="K318" s="2"/>
      <c r="P318" s="2"/>
    </row>
    <row r="319" ht="12.0" customHeight="1">
      <c r="B319" s="1"/>
      <c r="K319" s="2"/>
      <c r="P319" s="2"/>
    </row>
    <row r="320" ht="12.0" customHeight="1">
      <c r="B320" s="1"/>
      <c r="K320" s="2"/>
      <c r="P320" s="2"/>
    </row>
    <row r="321" ht="12.0" customHeight="1">
      <c r="B321" s="1"/>
      <c r="K321" s="2"/>
      <c r="P321" s="2"/>
    </row>
    <row r="322" ht="12.0" customHeight="1">
      <c r="B322" s="1"/>
      <c r="K322" s="2"/>
      <c r="P322" s="2"/>
    </row>
    <row r="323" ht="12.0" customHeight="1">
      <c r="B323" s="1"/>
      <c r="K323" s="2"/>
      <c r="P323" s="2"/>
    </row>
    <row r="324" ht="12.0" customHeight="1">
      <c r="B324" s="1"/>
      <c r="K324" s="2"/>
      <c r="P324" s="2"/>
    </row>
    <row r="325" ht="12.0" customHeight="1">
      <c r="B325" s="1"/>
      <c r="K325" s="2"/>
      <c r="P325" s="2"/>
    </row>
    <row r="326" ht="12.0" customHeight="1">
      <c r="B326" s="1"/>
      <c r="K326" s="2"/>
      <c r="P326" s="2"/>
    </row>
    <row r="327" ht="12.0" customHeight="1">
      <c r="B327" s="1"/>
      <c r="K327" s="2"/>
      <c r="P327" s="2"/>
    </row>
    <row r="328" ht="12.0" customHeight="1">
      <c r="B328" s="1"/>
      <c r="K328" s="2"/>
      <c r="P328" s="2"/>
    </row>
    <row r="329" ht="12.0" customHeight="1">
      <c r="B329" s="1"/>
      <c r="K329" s="2"/>
      <c r="P329" s="2"/>
    </row>
    <row r="330" ht="12.0" customHeight="1">
      <c r="B330" s="1"/>
      <c r="K330" s="2"/>
      <c r="P330" s="2"/>
    </row>
    <row r="331" ht="12.0" customHeight="1">
      <c r="B331" s="1"/>
      <c r="K331" s="2"/>
      <c r="P331" s="2"/>
    </row>
    <row r="332" ht="12.0" customHeight="1">
      <c r="B332" s="1"/>
      <c r="K332" s="2"/>
      <c r="P332" s="2"/>
    </row>
    <row r="333" ht="12.0" customHeight="1">
      <c r="B333" s="1"/>
      <c r="K333" s="2"/>
      <c r="P333" s="2"/>
    </row>
    <row r="334" ht="12.0" customHeight="1">
      <c r="B334" s="1"/>
      <c r="K334" s="2"/>
      <c r="P334" s="2"/>
    </row>
    <row r="335" ht="12.0" customHeight="1">
      <c r="B335" s="1"/>
      <c r="K335" s="2"/>
      <c r="P335" s="2"/>
    </row>
    <row r="336" ht="12.0" customHeight="1">
      <c r="B336" s="1"/>
      <c r="K336" s="2"/>
      <c r="P336" s="2"/>
    </row>
    <row r="337" ht="12.0" customHeight="1">
      <c r="B337" s="1"/>
      <c r="K337" s="2"/>
      <c r="P337" s="2"/>
    </row>
    <row r="338" ht="12.0" customHeight="1">
      <c r="B338" s="1"/>
      <c r="K338" s="2"/>
      <c r="P338" s="2"/>
    </row>
    <row r="339" ht="12.0" customHeight="1">
      <c r="B339" s="1"/>
      <c r="K339" s="2"/>
      <c r="P339" s="2"/>
    </row>
    <row r="340" ht="12.0" customHeight="1">
      <c r="B340" s="1"/>
      <c r="K340" s="2"/>
      <c r="P340" s="2"/>
    </row>
    <row r="341" ht="12.0" customHeight="1">
      <c r="B341" s="1"/>
      <c r="K341" s="2"/>
      <c r="P341" s="2"/>
    </row>
    <row r="342" ht="12.0" customHeight="1">
      <c r="B342" s="1"/>
      <c r="K342" s="2"/>
      <c r="P342" s="2"/>
    </row>
    <row r="343" ht="12.0" customHeight="1">
      <c r="B343" s="1"/>
      <c r="K343" s="2"/>
      <c r="P343" s="2"/>
    </row>
    <row r="344" ht="12.0" customHeight="1">
      <c r="B344" s="1"/>
      <c r="K344" s="2"/>
      <c r="P344" s="2"/>
    </row>
    <row r="345" ht="12.0" customHeight="1">
      <c r="B345" s="1"/>
      <c r="K345" s="2"/>
      <c r="P345" s="2"/>
    </row>
    <row r="346" ht="12.0" customHeight="1">
      <c r="B346" s="1"/>
      <c r="K346" s="2"/>
      <c r="P346" s="2"/>
    </row>
    <row r="347" ht="12.0" customHeight="1">
      <c r="B347" s="1"/>
      <c r="K347" s="2"/>
      <c r="P347" s="2"/>
    </row>
    <row r="348" ht="12.0" customHeight="1">
      <c r="B348" s="1"/>
      <c r="K348" s="2"/>
      <c r="P348" s="2"/>
    </row>
    <row r="349" ht="12.0" customHeight="1">
      <c r="B349" s="1"/>
      <c r="K349" s="2"/>
      <c r="P349" s="2"/>
    </row>
    <row r="350" ht="12.0" customHeight="1">
      <c r="B350" s="1"/>
      <c r="K350" s="2"/>
      <c r="P350" s="2"/>
    </row>
    <row r="351" ht="12.0" customHeight="1">
      <c r="B351" s="1"/>
      <c r="K351" s="2"/>
      <c r="P351" s="2"/>
    </row>
    <row r="352" ht="12.0" customHeight="1">
      <c r="B352" s="1"/>
      <c r="K352" s="2"/>
      <c r="P352" s="2"/>
    </row>
    <row r="353" ht="12.0" customHeight="1">
      <c r="B353" s="1"/>
      <c r="K353" s="2"/>
      <c r="P353" s="2"/>
    </row>
    <row r="354" ht="12.0" customHeight="1">
      <c r="B354" s="1"/>
      <c r="K354" s="2"/>
      <c r="P354" s="2"/>
    </row>
    <row r="355" ht="12.0" customHeight="1">
      <c r="B355" s="1"/>
      <c r="K355" s="2"/>
      <c r="P355" s="2"/>
    </row>
    <row r="356" ht="12.0" customHeight="1">
      <c r="B356" s="1"/>
      <c r="K356" s="2"/>
      <c r="P356" s="2"/>
    </row>
    <row r="357" ht="12.0" customHeight="1">
      <c r="B357" s="1"/>
      <c r="K357" s="2"/>
      <c r="P357" s="2"/>
    </row>
    <row r="358" ht="12.0" customHeight="1">
      <c r="B358" s="1"/>
      <c r="K358" s="2"/>
      <c r="P358" s="2"/>
    </row>
    <row r="359" ht="12.0" customHeight="1">
      <c r="B359" s="1"/>
      <c r="K359" s="2"/>
      <c r="P359" s="2"/>
    </row>
    <row r="360" ht="12.0" customHeight="1">
      <c r="B360" s="1"/>
      <c r="K360" s="2"/>
      <c r="P360" s="2"/>
    </row>
    <row r="361" ht="12.0" customHeight="1">
      <c r="B361" s="1"/>
      <c r="K361" s="2"/>
      <c r="P361" s="2"/>
    </row>
    <row r="362" ht="12.0" customHeight="1">
      <c r="B362" s="1"/>
      <c r="K362" s="2"/>
      <c r="P362" s="2"/>
    </row>
    <row r="363" ht="12.0" customHeight="1">
      <c r="B363" s="1"/>
      <c r="K363" s="2"/>
      <c r="P363" s="2"/>
    </row>
    <row r="364" ht="12.0" customHeight="1">
      <c r="B364" s="1"/>
      <c r="K364" s="2"/>
      <c r="P364" s="2"/>
    </row>
    <row r="365" ht="12.0" customHeight="1">
      <c r="B365" s="1"/>
      <c r="K365" s="2"/>
      <c r="P365" s="2"/>
    </row>
    <row r="366" ht="12.0" customHeight="1">
      <c r="B366" s="1"/>
      <c r="K366" s="2"/>
      <c r="P366" s="2"/>
    </row>
    <row r="367" ht="12.0" customHeight="1">
      <c r="B367" s="1"/>
      <c r="K367" s="2"/>
      <c r="P367" s="2"/>
    </row>
    <row r="368" ht="12.0" customHeight="1">
      <c r="B368" s="1"/>
      <c r="K368" s="2"/>
      <c r="P368" s="2"/>
    </row>
    <row r="369" ht="12.0" customHeight="1">
      <c r="B369" s="1"/>
      <c r="K369" s="2"/>
      <c r="P369" s="2"/>
    </row>
    <row r="370" ht="12.0" customHeight="1">
      <c r="B370" s="1"/>
      <c r="K370" s="2"/>
      <c r="P370" s="2"/>
    </row>
    <row r="371" ht="12.0" customHeight="1">
      <c r="B371" s="1"/>
      <c r="K371" s="2"/>
      <c r="P371" s="2"/>
    </row>
    <row r="372" ht="12.0" customHeight="1">
      <c r="B372" s="1"/>
      <c r="K372" s="2"/>
      <c r="P372" s="2"/>
    </row>
    <row r="373" ht="12.0" customHeight="1">
      <c r="B373" s="1"/>
      <c r="K373" s="2"/>
      <c r="P373" s="2"/>
    </row>
    <row r="374" ht="12.0" customHeight="1">
      <c r="B374" s="1"/>
      <c r="K374" s="2"/>
      <c r="P374" s="2"/>
    </row>
    <row r="375" ht="12.0" customHeight="1">
      <c r="B375" s="1"/>
      <c r="K375" s="2"/>
      <c r="P375" s="2"/>
    </row>
    <row r="376" ht="12.0" customHeight="1">
      <c r="B376" s="1"/>
      <c r="K376" s="2"/>
      <c r="P376" s="2"/>
    </row>
    <row r="377" ht="12.0" customHeight="1">
      <c r="B377" s="1"/>
      <c r="K377" s="2"/>
      <c r="P377" s="2"/>
    </row>
    <row r="378" ht="12.0" customHeight="1">
      <c r="B378" s="1"/>
      <c r="K378" s="2"/>
      <c r="P378" s="2"/>
    </row>
    <row r="379" ht="12.0" customHeight="1">
      <c r="B379" s="1"/>
      <c r="K379" s="2"/>
      <c r="P379" s="2"/>
    </row>
    <row r="380" ht="12.0" customHeight="1">
      <c r="B380" s="1"/>
      <c r="K380" s="2"/>
      <c r="P380" s="2"/>
    </row>
    <row r="381" ht="12.0" customHeight="1">
      <c r="B381" s="1"/>
      <c r="K381" s="2"/>
      <c r="P381" s="2"/>
    </row>
    <row r="382" ht="12.0" customHeight="1">
      <c r="B382" s="1"/>
      <c r="K382" s="2"/>
      <c r="P382" s="2"/>
    </row>
    <row r="383" ht="12.0" customHeight="1">
      <c r="B383" s="1"/>
      <c r="K383" s="2"/>
      <c r="P383" s="2"/>
    </row>
    <row r="384" ht="12.0" customHeight="1">
      <c r="B384" s="1"/>
      <c r="K384" s="2"/>
      <c r="P384" s="2"/>
    </row>
    <row r="385" ht="12.0" customHeight="1">
      <c r="B385" s="1"/>
      <c r="K385" s="2"/>
      <c r="P385" s="2"/>
    </row>
    <row r="386" ht="12.0" customHeight="1">
      <c r="B386" s="1"/>
      <c r="K386" s="2"/>
      <c r="P386" s="2"/>
    </row>
    <row r="387" ht="12.0" customHeight="1">
      <c r="B387" s="1"/>
      <c r="K387" s="2"/>
      <c r="P387" s="2"/>
    </row>
    <row r="388" ht="12.0" customHeight="1">
      <c r="B388" s="1"/>
      <c r="K388" s="2"/>
      <c r="P388" s="2"/>
    </row>
    <row r="389" ht="12.0" customHeight="1">
      <c r="B389" s="1"/>
      <c r="K389" s="2"/>
      <c r="P389" s="2"/>
    </row>
    <row r="390" ht="12.0" customHeight="1">
      <c r="B390" s="1"/>
      <c r="K390" s="2"/>
      <c r="P390" s="2"/>
    </row>
    <row r="391" ht="12.0" customHeight="1">
      <c r="B391" s="1"/>
      <c r="K391" s="2"/>
      <c r="P391" s="2"/>
    </row>
    <row r="392" ht="12.0" customHeight="1">
      <c r="B392" s="1"/>
      <c r="K392" s="2"/>
      <c r="P392" s="2"/>
    </row>
    <row r="393" ht="12.0" customHeight="1">
      <c r="B393" s="1"/>
      <c r="K393" s="2"/>
      <c r="P393" s="2"/>
    </row>
    <row r="394" ht="12.0" customHeight="1">
      <c r="B394" s="1"/>
      <c r="K394" s="2"/>
      <c r="P394" s="2"/>
    </row>
    <row r="395" ht="12.0" customHeight="1">
      <c r="B395" s="1"/>
      <c r="K395" s="2"/>
      <c r="P395" s="2"/>
    </row>
    <row r="396" ht="12.0" customHeight="1">
      <c r="B396" s="1"/>
      <c r="K396" s="2"/>
      <c r="P396" s="2"/>
    </row>
    <row r="397" ht="12.0" customHeight="1">
      <c r="B397" s="1"/>
      <c r="K397" s="2"/>
      <c r="P397" s="2"/>
    </row>
    <row r="398" ht="12.0" customHeight="1">
      <c r="B398" s="1"/>
      <c r="K398" s="2"/>
      <c r="P398" s="2"/>
    </row>
    <row r="399" ht="12.0" customHeight="1">
      <c r="B399" s="1"/>
      <c r="K399" s="2"/>
      <c r="P399" s="2"/>
    </row>
    <row r="400" ht="12.0" customHeight="1">
      <c r="B400" s="1"/>
      <c r="K400" s="2"/>
      <c r="P400" s="2"/>
    </row>
    <row r="401" ht="12.0" customHeight="1">
      <c r="B401" s="1"/>
      <c r="K401" s="2"/>
      <c r="P401" s="2"/>
    </row>
    <row r="402" ht="12.0" customHeight="1">
      <c r="B402" s="1"/>
      <c r="K402" s="2"/>
      <c r="P402" s="2"/>
    </row>
    <row r="403" ht="12.0" customHeight="1">
      <c r="B403" s="1"/>
      <c r="K403" s="2"/>
      <c r="P403" s="2"/>
    </row>
    <row r="404" ht="12.0" customHeight="1">
      <c r="B404" s="1"/>
      <c r="K404" s="2"/>
      <c r="P404" s="2"/>
    </row>
    <row r="405" ht="12.0" customHeight="1">
      <c r="B405" s="1"/>
      <c r="K405" s="2"/>
      <c r="P405" s="2"/>
    </row>
    <row r="406" ht="12.0" customHeight="1">
      <c r="B406" s="1"/>
      <c r="K406" s="2"/>
      <c r="P406" s="2"/>
    </row>
    <row r="407" ht="12.0" customHeight="1">
      <c r="B407" s="1"/>
      <c r="K407" s="2"/>
      <c r="P407" s="2"/>
    </row>
    <row r="408" ht="12.0" customHeight="1">
      <c r="B408" s="1"/>
      <c r="K408" s="2"/>
      <c r="P408" s="2"/>
    </row>
    <row r="409" ht="12.0" customHeight="1">
      <c r="B409" s="1"/>
      <c r="K409" s="2"/>
      <c r="P409" s="2"/>
    </row>
    <row r="410" ht="12.0" customHeight="1">
      <c r="B410" s="1"/>
      <c r="K410" s="2"/>
      <c r="P410" s="2"/>
    </row>
    <row r="411" ht="12.0" customHeight="1">
      <c r="B411" s="1"/>
      <c r="K411" s="2"/>
      <c r="P411" s="2"/>
    </row>
    <row r="412" ht="12.0" customHeight="1">
      <c r="B412" s="1"/>
      <c r="K412" s="2"/>
      <c r="P412" s="2"/>
    </row>
    <row r="413" ht="12.0" customHeight="1">
      <c r="B413" s="1"/>
      <c r="K413" s="2"/>
      <c r="P413" s="2"/>
    </row>
    <row r="414" ht="12.0" customHeight="1">
      <c r="B414" s="1"/>
      <c r="K414" s="2"/>
      <c r="P414" s="2"/>
    </row>
    <row r="415" ht="12.0" customHeight="1">
      <c r="B415" s="1"/>
      <c r="K415" s="2"/>
      <c r="P415" s="2"/>
    </row>
    <row r="416" ht="12.0" customHeight="1">
      <c r="B416" s="1"/>
      <c r="K416" s="2"/>
      <c r="P416" s="2"/>
    </row>
    <row r="417" ht="12.0" customHeight="1">
      <c r="B417" s="1"/>
      <c r="K417" s="2"/>
      <c r="P417" s="2"/>
    </row>
    <row r="418" ht="12.0" customHeight="1">
      <c r="B418" s="1"/>
      <c r="K418" s="2"/>
      <c r="P418" s="2"/>
    </row>
    <row r="419" ht="12.0" customHeight="1">
      <c r="B419" s="1"/>
      <c r="K419" s="2"/>
      <c r="P419" s="2"/>
    </row>
    <row r="420" ht="12.0" customHeight="1">
      <c r="B420" s="1"/>
      <c r="K420" s="2"/>
      <c r="P420" s="2"/>
    </row>
    <row r="421" ht="12.0" customHeight="1">
      <c r="B421" s="1"/>
      <c r="K421" s="2"/>
      <c r="P421" s="2"/>
    </row>
    <row r="422" ht="12.0" customHeight="1">
      <c r="B422" s="1"/>
      <c r="K422" s="2"/>
      <c r="P422" s="2"/>
    </row>
    <row r="423" ht="12.0" customHeight="1">
      <c r="B423" s="1"/>
      <c r="K423" s="2"/>
      <c r="P423" s="2"/>
    </row>
    <row r="424" ht="12.0" customHeight="1">
      <c r="B424" s="1"/>
      <c r="K424" s="2"/>
      <c r="P424" s="2"/>
    </row>
    <row r="425" ht="12.0" customHeight="1">
      <c r="B425" s="1"/>
      <c r="K425" s="2"/>
      <c r="P425" s="2"/>
    </row>
    <row r="426" ht="12.0" customHeight="1">
      <c r="B426" s="1"/>
      <c r="K426" s="2"/>
      <c r="P426" s="2"/>
    </row>
    <row r="427" ht="12.0" customHeight="1">
      <c r="B427" s="1"/>
      <c r="K427" s="2"/>
      <c r="P427" s="2"/>
    </row>
    <row r="428" ht="12.0" customHeight="1">
      <c r="B428" s="1"/>
      <c r="K428" s="2"/>
      <c r="P428" s="2"/>
    </row>
    <row r="429" ht="12.0" customHeight="1">
      <c r="B429" s="1"/>
      <c r="K429" s="2"/>
      <c r="P429" s="2"/>
    </row>
    <row r="430" ht="12.0" customHeight="1">
      <c r="B430" s="1"/>
      <c r="K430" s="2"/>
      <c r="P430" s="2"/>
    </row>
    <row r="431" ht="12.0" customHeight="1">
      <c r="B431" s="1"/>
      <c r="K431" s="2"/>
      <c r="P431" s="2"/>
    </row>
    <row r="432" ht="12.0" customHeight="1">
      <c r="B432" s="1"/>
      <c r="K432" s="2"/>
      <c r="P432" s="2"/>
    </row>
    <row r="433" ht="12.0" customHeight="1">
      <c r="B433" s="1"/>
      <c r="K433" s="2"/>
      <c r="P433" s="2"/>
    </row>
    <row r="434" ht="12.0" customHeight="1">
      <c r="B434" s="1"/>
      <c r="K434" s="2"/>
      <c r="P434" s="2"/>
    </row>
    <row r="435" ht="12.0" customHeight="1">
      <c r="B435" s="1"/>
      <c r="K435" s="2"/>
      <c r="P435" s="2"/>
    </row>
    <row r="436" ht="12.0" customHeight="1">
      <c r="B436" s="1"/>
      <c r="K436" s="2"/>
      <c r="P436" s="2"/>
    </row>
    <row r="437" ht="12.0" customHeight="1">
      <c r="B437" s="1"/>
      <c r="K437" s="2"/>
      <c r="P437" s="2"/>
    </row>
    <row r="438" ht="12.0" customHeight="1">
      <c r="B438" s="1"/>
      <c r="K438" s="2"/>
      <c r="P438" s="2"/>
    </row>
    <row r="439" ht="12.0" customHeight="1">
      <c r="B439" s="1"/>
      <c r="K439" s="2"/>
      <c r="P439" s="2"/>
    </row>
    <row r="440" ht="12.0" customHeight="1">
      <c r="B440" s="1"/>
      <c r="K440" s="2"/>
      <c r="P440" s="2"/>
    </row>
    <row r="441" ht="12.0" customHeight="1">
      <c r="B441" s="1"/>
      <c r="K441" s="2"/>
      <c r="P441" s="2"/>
    </row>
    <row r="442" ht="12.0" customHeight="1">
      <c r="B442" s="1"/>
      <c r="K442" s="2"/>
      <c r="P442" s="2"/>
    </row>
    <row r="443" ht="12.0" customHeight="1">
      <c r="B443" s="1"/>
      <c r="K443" s="2"/>
      <c r="P443" s="2"/>
    </row>
    <row r="444" ht="12.0" customHeight="1">
      <c r="B444" s="1"/>
      <c r="K444" s="2"/>
      <c r="P444" s="2"/>
    </row>
    <row r="445" ht="12.0" customHeight="1">
      <c r="B445" s="1"/>
      <c r="K445" s="2"/>
      <c r="P445" s="2"/>
    </row>
    <row r="446" ht="12.0" customHeight="1">
      <c r="B446" s="1"/>
      <c r="K446" s="2"/>
      <c r="P446" s="2"/>
    </row>
    <row r="447" ht="12.0" customHeight="1">
      <c r="B447" s="1"/>
      <c r="K447" s="2"/>
      <c r="P447" s="2"/>
    </row>
    <row r="448" ht="12.0" customHeight="1">
      <c r="B448" s="1"/>
      <c r="K448" s="2"/>
      <c r="P448" s="2"/>
    </row>
    <row r="449" ht="12.0" customHeight="1">
      <c r="B449" s="1"/>
      <c r="K449" s="2"/>
      <c r="P449" s="2"/>
    </row>
    <row r="450" ht="12.0" customHeight="1">
      <c r="B450" s="1"/>
      <c r="K450" s="2"/>
      <c r="P450" s="2"/>
    </row>
    <row r="451" ht="12.0" customHeight="1">
      <c r="B451" s="1"/>
      <c r="K451" s="2"/>
      <c r="P451" s="2"/>
    </row>
    <row r="452" ht="12.0" customHeight="1">
      <c r="B452" s="1"/>
      <c r="K452" s="2"/>
      <c r="P452" s="2"/>
    </row>
    <row r="453" ht="12.0" customHeight="1">
      <c r="B453" s="1"/>
      <c r="K453" s="2"/>
      <c r="P453" s="2"/>
    </row>
    <row r="454" ht="12.0" customHeight="1">
      <c r="B454" s="1"/>
      <c r="K454" s="2"/>
      <c r="P454" s="2"/>
    </row>
    <row r="455" ht="12.0" customHeight="1">
      <c r="B455" s="1"/>
      <c r="K455" s="2"/>
      <c r="P455" s="2"/>
    </row>
    <row r="456" ht="12.0" customHeight="1">
      <c r="B456" s="1"/>
      <c r="K456" s="2"/>
      <c r="P456" s="2"/>
    </row>
    <row r="457" ht="12.0" customHeight="1">
      <c r="B457" s="1"/>
      <c r="K457" s="2"/>
      <c r="P457" s="2"/>
    </row>
    <row r="458" ht="12.0" customHeight="1">
      <c r="B458" s="1"/>
      <c r="K458" s="2"/>
      <c r="P458" s="2"/>
    </row>
    <row r="459" ht="12.0" customHeight="1">
      <c r="B459" s="1"/>
      <c r="K459" s="2"/>
      <c r="P459" s="2"/>
    </row>
    <row r="460" ht="12.0" customHeight="1">
      <c r="B460" s="1"/>
      <c r="K460" s="2"/>
      <c r="P460" s="2"/>
    </row>
    <row r="461" ht="12.0" customHeight="1">
      <c r="B461" s="1"/>
      <c r="K461" s="2"/>
      <c r="P461" s="2"/>
    </row>
    <row r="462" ht="12.0" customHeight="1">
      <c r="B462" s="1"/>
      <c r="K462" s="2"/>
      <c r="P462" s="2"/>
    </row>
    <row r="463" ht="12.0" customHeight="1">
      <c r="B463" s="1"/>
      <c r="K463" s="2"/>
      <c r="P463" s="2"/>
    </row>
    <row r="464" ht="12.0" customHeight="1">
      <c r="B464" s="1"/>
      <c r="K464" s="2"/>
      <c r="P464" s="2"/>
    </row>
    <row r="465" ht="12.0" customHeight="1">
      <c r="B465" s="1"/>
      <c r="K465" s="2"/>
      <c r="P465" s="2"/>
    </row>
    <row r="466" ht="12.0" customHeight="1">
      <c r="B466" s="1"/>
      <c r="K466" s="2"/>
      <c r="P466" s="2"/>
    </row>
    <row r="467" ht="12.0" customHeight="1">
      <c r="B467" s="1"/>
      <c r="K467" s="2"/>
      <c r="P467" s="2"/>
    </row>
    <row r="468" ht="12.0" customHeight="1">
      <c r="B468" s="1"/>
      <c r="K468" s="2"/>
      <c r="P468" s="2"/>
    </row>
    <row r="469" ht="12.0" customHeight="1">
      <c r="B469" s="1"/>
      <c r="K469" s="2"/>
      <c r="P469" s="2"/>
    </row>
    <row r="470" ht="12.0" customHeight="1">
      <c r="B470" s="1"/>
      <c r="K470" s="2"/>
      <c r="P470" s="2"/>
    </row>
    <row r="471" ht="12.0" customHeight="1">
      <c r="B471" s="1"/>
      <c r="K471" s="2"/>
      <c r="P471" s="2"/>
    </row>
    <row r="472" ht="12.0" customHeight="1">
      <c r="B472" s="1"/>
      <c r="K472" s="2"/>
      <c r="P472" s="2"/>
    </row>
    <row r="473" ht="12.0" customHeight="1">
      <c r="B473" s="1"/>
      <c r="K473" s="2"/>
      <c r="P473" s="2"/>
    </row>
    <row r="474" ht="12.0" customHeight="1">
      <c r="B474" s="1"/>
      <c r="K474" s="2"/>
      <c r="P474" s="2"/>
    </row>
    <row r="475" ht="12.0" customHeight="1">
      <c r="B475" s="1"/>
      <c r="K475" s="2"/>
      <c r="P475" s="2"/>
    </row>
    <row r="476" ht="12.0" customHeight="1">
      <c r="B476" s="1"/>
      <c r="K476" s="2"/>
      <c r="P476" s="2"/>
    </row>
    <row r="477" ht="12.0" customHeight="1">
      <c r="B477" s="1"/>
      <c r="K477" s="2"/>
      <c r="P477" s="2"/>
    </row>
    <row r="478" ht="12.0" customHeight="1">
      <c r="B478" s="1"/>
      <c r="K478" s="2"/>
      <c r="P478" s="2"/>
    </row>
    <row r="479" ht="12.0" customHeight="1">
      <c r="B479" s="1"/>
      <c r="K479" s="2"/>
      <c r="P479" s="2"/>
    </row>
    <row r="480" ht="12.0" customHeight="1">
      <c r="B480" s="1"/>
      <c r="K480" s="2"/>
      <c r="P480" s="2"/>
    </row>
    <row r="481" ht="12.0" customHeight="1">
      <c r="B481" s="1"/>
      <c r="K481" s="2"/>
      <c r="P481" s="2"/>
    </row>
    <row r="482" ht="12.0" customHeight="1">
      <c r="B482" s="1"/>
      <c r="K482" s="2"/>
      <c r="P482" s="2"/>
    </row>
    <row r="483" ht="12.0" customHeight="1">
      <c r="B483" s="1"/>
      <c r="K483" s="2"/>
      <c r="P483" s="2"/>
    </row>
    <row r="484" ht="12.0" customHeight="1">
      <c r="B484" s="1"/>
      <c r="K484" s="2"/>
      <c r="P484" s="2"/>
    </row>
    <row r="485" ht="12.0" customHeight="1">
      <c r="B485" s="1"/>
      <c r="K485" s="2"/>
      <c r="P485" s="2"/>
    </row>
    <row r="486" ht="12.0" customHeight="1">
      <c r="B486" s="1"/>
      <c r="K486" s="2"/>
      <c r="P486" s="2"/>
    </row>
    <row r="487" ht="12.0" customHeight="1">
      <c r="B487" s="1"/>
      <c r="K487" s="2"/>
      <c r="P487" s="2"/>
    </row>
    <row r="488" ht="12.0" customHeight="1">
      <c r="B488" s="1"/>
      <c r="K488" s="2"/>
      <c r="P488" s="2"/>
    </row>
    <row r="489" ht="12.0" customHeight="1">
      <c r="B489" s="1"/>
      <c r="K489" s="2"/>
      <c r="P489" s="2"/>
    </row>
    <row r="490" ht="12.0" customHeight="1">
      <c r="B490" s="1"/>
      <c r="K490" s="2"/>
      <c r="P490" s="2"/>
    </row>
    <row r="491" ht="12.0" customHeight="1">
      <c r="B491" s="1"/>
      <c r="K491" s="2"/>
      <c r="P491" s="2"/>
    </row>
    <row r="492" ht="12.0" customHeight="1">
      <c r="B492" s="1"/>
      <c r="K492" s="2"/>
      <c r="P492" s="2"/>
    </row>
    <row r="493" ht="12.0" customHeight="1">
      <c r="B493" s="1"/>
      <c r="K493" s="2"/>
      <c r="P493" s="2"/>
    </row>
    <row r="494" ht="12.0" customHeight="1">
      <c r="B494" s="1"/>
      <c r="K494" s="2"/>
      <c r="P494" s="2"/>
    </row>
    <row r="495" ht="12.0" customHeight="1">
      <c r="B495" s="1"/>
      <c r="K495" s="2"/>
      <c r="P495" s="2"/>
    </row>
    <row r="496" ht="12.0" customHeight="1">
      <c r="B496" s="1"/>
      <c r="K496" s="2"/>
      <c r="P496" s="2"/>
    </row>
    <row r="497" ht="12.0" customHeight="1">
      <c r="B497" s="1"/>
      <c r="K497" s="2"/>
      <c r="P497" s="2"/>
    </row>
    <row r="498" ht="12.0" customHeight="1">
      <c r="B498" s="1"/>
      <c r="K498" s="2"/>
      <c r="P498" s="2"/>
    </row>
    <row r="499" ht="12.0" customHeight="1">
      <c r="B499" s="1"/>
      <c r="K499" s="2"/>
      <c r="P499" s="2"/>
    </row>
    <row r="500" ht="12.0" customHeight="1">
      <c r="B500" s="1"/>
      <c r="K500" s="2"/>
      <c r="P500" s="2"/>
    </row>
    <row r="501" ht="12.0" customHeight="1">
      <c r="B501" s="1"/>
      <c r="K501" s="2"/>
      <c r="P501" s="2"/>
    </row>
    <row r="502" ht="12.0" customHeight="1">
      <c r="B502" s="1"/>
      <c r="K502" s="2"/>
      <c r="P502" s="2"/>
    </row>
    <row r="503" ht="12.0" customHeight="1">
      <c r="B503" s="1"/>
      <c r="K503" s="2"/>
      <c r="P503" s="2"/>
    </row>
    <row r="504" ht="12.0" customHeight="1">
      <c r="B504" s="1"/>
      <c r="K504" s="2"/>
      <c r="P504" s="2"/>
    </row>
    <row r="505" ht="12.0" customHeight="1">
      <c r="B505" s="1"/>
      <c r="K505" s="2"/>
      <c r="P505" s="2"/>
    </row>
    <row r="506" ht="12.0" customHeight="1">
      <c r="B506" s="1"/>
      <c r="K506" s="2"/>
      <c r="P506" s="2"/>
    </row>
    <row r="507" ht="12.0" customHeight="1">
      <c r="B507" s="1"/>
      <c r="K507" s="2"/>
      <c r="P507" s="2"/>
    </row>
    <row r="508" ht="12.0" customHeight="1">
      <c r="B508" s="1"/>
      <c r="K508" s="2"/>
      <c r="P508" s="2"/>
    </row>
    <row r="509" ht="12.0" customHeight="1">
      <c r="B509" s="1"/>
      <c r="K509" s="2"/>
      <c r="P509" s="2"/>
    </row>
    <row r="510" ht="12.0" customHeight="1">
      <c r="B510" s="1"/>
      <c r="K510" s="2"/>
      <c r="P510" s="2"/>
    </row>
    <row r="511" ht="12.0" customHeight="1">
      <c r="B511" s="1"/>
      <c r="K511" s="2"/>
      <c r="P511" s="2"/>
    </row>
    <row r="512" ht="12.0" customHeight="1">
      <c r="B512" s="1"/>
      <c r="K512" s="2"/>
      <c r="P512" s="2"/>
    </row>
    <row r="513" ht="12.0" customHeight="1">
      <c r="B513" s="1"/>
      <c r="K513" s="2"/>
      <c r="P513" s="2"/>
    </row>
    <row r="514" ht="12.0" customHeight="1">
      <c r="B514" s="1"/>
      <c r="K514" s="2"/>
      <c r="P514" s="2"/>
    </row>
    <row r="515" ht="12.0" customHeight="1">
      <c r="B515" s="1"/>
      <c r="K515" s="2"/>
      <c r="P515" s="2"/>
    </row>
    <row r="516" ht="12.0" customHeight="1">
      <c r="B516" s="1"/>
      <c r="K516" s="2"/>
      <c r="P516" s="2"/>
    </row>
    <row r="517" ht="12.0" customHeight="1">
      <c r="B517" s="1"/>
      <c r="K517" s="2"/>
      <c r="P517" s="2"/>
    </row>
    <row r="518" ht="12.0" customHeight="1">
      <c r="B518" s="1"/>
      <c r="K518" s="2"/>
      <c r="P518" s="2"/>
    </row>
    <row r="519" ht="12.0" customHeight="1">
      <c r="B519" s="1"/>
      <c r="K519" s="2"/>
      <c r="P519" s="2"/>
    </row>
    <row r="520" ht="12.0" customHeight="1">
      <c r="B520" s="1"/>
      <c r="K520" s="2"/>
      <c r="P520" s="2"/>
    </row>
    <row r="521" ht="12.0" customHeight="1">
      <c r="B521" s="1"/>
      <c r="K521" s="2"/>
      <c r="P521" s="2"/>
    </row>
    <row r="522" ht="12.0" customHeight="1">
      <c r="B522" s="1"/>
      <c r="K522" s="2"/>
      <c r="P522" s="2"/>
    </row>
    <row r="523" ht="12.0" customHeight="1">
      <c r="B523" s="1"/>
      <c r="K523" s="2"/>
      <c r="P523" s="2"/>
    </row>
    <row r="524" ht="12.0" customHeight="1">
      <c r="B524" s="1"/>
      <c r="K524" s="2"/>
      <c r="P524" s="2"/>
    </row>
    <row r="525" ht="12.0" customHeight="1">
      <c r="B525" s="1"/>
      <c r="K525" s="2"/>
      <c r="P525" s="2"/>
    </row>
    <row r="526" ht="12.0" customHeight="1">
      <c r="B526" s="1"/>
      <c r="K526" s="2"/>
      <c r="P526" s="2"/>
    </row>
    <row r="527" ht="12.0" customHeight="1">
      <c r="B527" s="1"/>
      <c r="K527" s="2"/>
      <c r="P527" s="2"/>
    </row>
    <row r="528" ht="12.0" customHeight="1">
      <c r="B528" s="1"/>
      <c r="K528" s="2"/>
      <c r="P528" s="2"/>
    </row>
    <row r="529" ht="12.0" customHeight="1">
      <c r="B529" s="1"/>
      <c r="K529" s="2"/>
      <c r="P529" s="2"/>
    </row>
    <row r="530" ht="12.0" customHeight="1">
      <c r="B530" s="1"/>
      <c r="K530" s="2"/>
      <c r="P530" s="2"/>
    </row>
    <row r="531" ht="12.0" customHeight="1">
      <c r="B531" s="1"/>
      <c r="K531" s="2"/>
      <c r="P531" s="2"/>
    </row>
    <row r="532" ht="12.0" customHeight="1">
      <c r="B532" s="1"/>
      <c r="K532" s="2"/>
      <c r="P532" s="2"/>
    </row>
    <row r="533" ht="12.0" customHeight="1">
      <c r="B533" s="1"/>
      <c r="K533" s="2"/>
      <c r="P533" s="2"/>
    </row>
    <row r="534" ht="12.0" customHeight="1">
      <c r="B534" s="1"/>
      <c r="K534" s="2"/>
      <c r="P534" s="2"/>
    </row>
    <row r="535" ht="12.0" customHeight="1">
      <c r="B535" s="1"/>
      <c r="K535" s="2"/>
      <c r="P535" s="2"/>
    </row>
    <row r="536" ht="12.0" customHeight="1">
      <c r="B536" s="1"/>
      <c r="K536" s="2"/>
      <c r="P536" s="2"/>
    </row>
    <row r="537" ht="12.0" customHeight="1">
      <c r="B537" s="1"/>
      <c r="K537" s="2"/>
      <c r="P537" s="2"/>
    </row>
    <row r="538" ht="12.0" customHeight="1">
      <c r="B538" s="1"/>
      <c r="K538" s="2"/>
      <c r="P538" s="2"/>
    </row>
    <row r="539" ht="12.0" customHeight="1">
      <c r="B539" s="1"/>
      <c r="K539" s="2"/>
      <c r="P539" s="2"/>
    </row>
    <row r="540" ht="12.0" customHeight="1">
      <c r="B540" s="1"/>
      <c r="K540" s="2"/>
      <c r="P540" s="2"/>
    </row>
    <row r="541" ht="12.0" customHeight="1">
      <c r="B541" s="1"/>
      <c r="K541" s="2"/>
      <c r="P541" s="2"/>
    </row>
    <row r="542" ht="12.0" customHeight="1">
      <c r="B542" s="1"/>
      <c r="K542" s="2"/>
      <c r="P542" s="2"/>
    </row>
    <row r="543" ht="12.0" customHeight="1">
      <c r="B543" s="1"/>
      <c r="K543" s="2"/>
      <c r="P543" s="2"/>
    </row>
    <row r="544" ht="12.0" customHeight="1">
      <c r="B544" s="1"/>
      <c r="K544" s="2"/>
      <c r="P544" s="2"/>
    </row>
    <row r="545" ht="12.0" customHeight="1">
      <c r="B545" s="1"/>
      <c r="K545" s="2"/>
      <c r="P545" s="2"/>
    </row>
    <row r="546" ht="12.0" customHeight="1">
      <c r="B546" s="1"/>
      <c r="K546" s="2"/>
      <c r="P546" s="2"/>
    </row>
    <row r="547" ht="12.0" customHeight="1">
      <c r="B547" s="1"/>
      <c r="K547" s="2"/>
      <c r="P547" s="2"/>
    </row>
    <row r="548" ht="12.0" customHeight="1">
      <c r="B548" s="1"/>
      <c r="K548" s="2"/>
      <c r="P548" s="2"/>
    </row>
    <row r="549" ht="12.0" customHeight="1">
      <c r="B549" s="1"/>
      <c r="K549" s="2"/>
      <c r="P549" s="2"/>
    </row>
    <row r="550" ht="12.0" customHeight="1">
      <c r="B550" s="1"/>
      <c r="K550" s="2"/>
      <c r="P550" s="2"/>
    </row>
    <row r="551" ht="12.0" customHeight="1">
      <c r="B551" s="1"/>
      <c r="K551" s="2"/>
      <c r="P551" s="2"/>
    </row>
    <row r="552" ht="12.0" customHeight="1">
      <c r="B552" s="1"/>
      <c r="K552" s="2"/>
      <c r="P552" s="2"/>
    </row>
    <row r="553" ht="12.0" customHeight="1">
      <c r="B553" s="1"/>
      <c r="K553" s="2"/>
      <c r="P553" s="2"/>
    </row>
    <row r="554" ht="12.0" customHeight="1">
      <c r="B554" s="1"/>
      <c r="K554" s="2"/>
      <c r="P554" s="2"/>
    </row>
    <row r="555" ht="12.0" customHeight="1">
      <c r="B555" s="1"/>
      <c r="K555" s="2"/>
      <c r="P555" s="2"/>
    </row>
    <row r="556" ht="12.0" customHeight="1">
      <c r="B556" s="1"/>
      <c r="K556" s="2"/>
      <c r="P556" s="2"/>
    </row>
    <row r="557" ht="12.0" customHeight="1">
      <c r="B557" s="1"/>
      <c r="K557" s="2"/>
      <c r="P557" s="2"/>
    </row>
    <row r="558" ht="12.0" customHeight="1">
      <c r="B558" s="1"/>
      <c r="K558" s="2"/>
      <c r="P558" s="2"/>
    </row>
    <row r="559" ht="12.0" customHeight="1">
      <c r="B559" s="1"/>
      <c r="K559" s="2"/>
      <c r="P559" s="2"/>
    </row>
    <row r="560" ht="12.0" customHeight="1">
      <c r="B560" s="1"/>
      <c r="K560" s="2"/>
      <c r="P560" s="2"/>
    </row>
    <row r="561" ht="12.0" customHeight="1">
      <c r="B561" s="1"/>
      <c r="K561" s="2"/>
      <c r="P561" s="2"/>
    </row>
    <row r="562" ht="12.0" customHeight="1">
      <c r="B562" s="1"/>
      <c r="K562" s="2"/>
      <c r="P562" s="2"/>
    </row>
    <row r="563" ht="12.0" customHeight="1">
      <c r="B563" s="1"/>
      <c r="K563" s="2"/>
      <c r="P563" s="2"/>
    </row>
    <row r="564" ht="12.0" customHeight="1">
      <c r="B564" s="1"/>
      <c r="K564" s="2"/>
      <c r="P564" s="2"/>
    </row>
    <row r="565" ht="12.0" customHeight="1">
      <c r="B565" s="1"/>
      <c r="K565" s="2"/>
      <c r="P565" s="2"/>
    </row>
    <row r="566" ht="12.0" customHeight="1">
      <c r="B566" s="1"/>
      <c r="K566" s="2"/>
      <c r="P566" s="2"/>
    </row>
    <row r="567" ht="12.0" customHeight="1">
      <c r="B567" s="1"/>
      <c r="K567" s="2"/>
      <c r="P567" s="2"/>
    </row>
    <row r="568" ht="12.0" customHeight="1">
      <c r="B568" s="1"/>
      <c r="K568" s="2"/>
      <c r="P568" s="2"/>
    </row>
    <row r="569" ht="12.0" customHeight="1">
      <c r="B569" s="1"/>
      <c r="K569" s="2"/>
      <c r="P569" s="2"/>
    </row>
    <row r="570" ht="12.0" customHeight="1">
      <c r="B570" s="1"/>
      <c r="K570" s="2"/>
      <c r="P570" s="2"/>
    </row>
    <row r="571" ht="12.0" customHeight="1">
      <c r="B571" s="1"/>
      <c r="K571" s="2"/>
      <c r="P571" s="2"/>
    </row>
    <row r="572" ht="12.0" customHeight="1">
      <c r="B572" s="1"/>
      <c r="K572" s="2"/>
      <c r="P572" s="2"/>
    </row>
    <row r="573" ht="12.0" customHeight="1">
      <c r="B573" s="1"/>
      <c r="K573" s="2"/>
      <c r="P573" s="2"/>
    </row>
    <row r="574" ht="12.0" customHeight="1">
      <c r="B574" s="1"/>
      <c r="K574" s="2"/>
      <c r="P574" s="2"/>
    </row>
    <row r="575" ht="12.0" customHeight="1">
      <c r="B575" s="1"/>
      <c r="K575" s="2"/>
      <c r="P575" s="2"/>
    </row>
    <row r="576" ht="12.0" customHeight="1">
      <c r="B576" s="1"/>
      <c r="K576" s="2"/>
      <c r="P576" s="2"/>
    </row>
    <row r="577" ht="12.0" customHeight="1">
      <c r="B577" s="1"/>
      <c r="K577" s="2"/>
      <c r="P577" s="2"/>
    </row>
    <row r="578" ht="12.0" customHeight="1">
      <c r="B578" s="1"/>
      <c r="K578" s="2"/>
      <c r="P578" s="2"/>
    </row>
    <row r="579" ht="12.0" customHeight="1">
      <c r="B579" s="1"/>
      <c r="K579" s="2"/>
      <c r="P579" s="2"/>
    </row>
    <row r="580" ht="12.0" customHeight="1">
      <c r="B580" s="1"/>
      <c r="K580" s="2"/>
      <c r="P580" s="2"/>
    </row>
    <row r="581" ht="12.0" customHeight="1">
      <c r="B581" s="1"/>
      <c r="K581" s="2"/>
      <c r="P581" s="2"/>
    </row>
    <row r="582" ht="12.0" customHeight="1">
      <c r="B582" s="1"/>
      <c r="K582" s="2"/>
      <c r="P582" s="2"/>
    </row>
    <row r="583" ht="12.0" customHeight="1">
      <c r="B583" s="1"/>
      <c r="K583" s="2"/>
      <c r="P583" s="2"/>
    </row>
    <row r="584" ht="12.0" customHeight="1">
      <c r="B584" s="1"/>
      <c r="K584" s="2"/>
      <c r="P584" s="2"/>
    </row>
    <row r="585" ht="12.0" customHeight="1">
      <c r="B585" s="1"/>
      <c r="K585" s="2"/>
      <c r="P585" s="2"/>
    </row>
    <row r="586" ht="12.0" customHeight="1">
      <c r="B586" s="1"/>
      <c r="K586" s="2"/>
      <c r="P586" s="2"/>
    </row>
    <row r="587" ht="12.0" customHeight="1">
      <c r="B587" s="1"/>
      <c r="K587" s="2"/>
      <c r="P587" s="2"/>
    </row>
    <row r="588" ht="12.0" customHeight="1">
      <c r="B588" s="1"/>
      <c r="K588" s="2"/>
      <c r="P588" s="2"/>
    </row>
    <row r="589" ht="12.0" customHeight="1">
      <c r="B589" s="1"/>
      <c r="K589" s="2"/>
      <c r="P589" s="2"/>
    </row>
    <row r="590" ht="12.0" customHeight="1">
      <c r="B590" s="1"/>
      <c r="K590" s="2"/>
      <c r="P590" s="2"/>
    </row>
    <row r="591" ht="12.0" customHeight="1">
      <c r="B591" s="1"/>
      <c r="K591" s="2"/>
      <c r="P591" s="2"/>
    </row>
    <row r="592" ht="12.0" customHeight="1">
      <c r="B592" s="1"/>
      <c r="K592" s="2"/>
      <c r="P592" s="2"/>
    </row>
    <row r="593" ht="12.0" customHeight="1">
      <c r="B593" s="1"/>
      <c r="K593" s="2"/>
      <c r="P593" s="2"/>
    </row>
    <row r="594" ht="12.0" customHeight="1">
      <c r="B594" s="1"/>
      <c r="K594" s="2"/>
      <c r="P594" s="2"/>
    </row>
    <row r="595" ht="12.0" customHeight="1">
      <c r="B595" s="1"/>
      <c r="K595" s="2"/>
      <c r="P595" s="2"/>
    </row>
    <row r="596" ht="12.0" customHeight="1">
      <c r="B596" s="1"/>
      <c r="K596" s="2"/>
      <c r="P596" s="2"/>
    </row>
    <row r="597" ht="12.0" customHeight="1">
      <c r="B597" s="1"/>
      <c r="K597" s="2"/>
      <c r="P597" s="2"/>
    </row>
    <row r="598" ht="12.0" customHeight="1">
      <c r="B598" s="1"/>
      <c r="K598" s="2"/>
      <c r="P598" s="2"/>
    </row>
    <row r="599" ht="12.0" customHeight="1">
      <c r="B599" s="1"/>
      <c r="K599" s="2"/>
      <c r="P599" s="2"/>
    </row>
    <row r="600" ht="12.0" customHeight="1">
      <c r="B600" s="1"/>
      <c r="K600" s="2"/>
      <c r="P600" s="2"/>
    </row>
    <row r="601" ht="12.0" customHeight="1">
      <c r="B601" s="1"/>
      <c r="K601" s="2"/>
      <c r="P601" s="2"/>
    </row>
    <row r="602" ht="12.0" customHeight="1">
      <c r="B602" s="1"/>
      <c r="K602" s="2"/>
      <c r="P602" s="2"/>
    </row>
    <row r="603" ht="12.0" customHeight="1">
      <c r="B603" s="1"/>
      <c r="K603" s="2"/>
      <c r="P603" s="2"/>
    </row>
    <row r="604" ht="12.0" customHeight="1">
      <c r="B604" s="1"/>
      <c r="K604" s="2"/>
      <c r="P604" s="2"/>
    </row>
    <row r="605" ht="12.0" customHeight="1">
      <c r="B605" s="1"/>
      <c r="K605" s="2"/>
      <c r="P605" s="2"/>
    </row>
    <row r="606" ht="12.0" customHeight="1">
      <c r="B606" s="1"/>
      <c r="K606" s="2"/>
      <c r="P606" s="2"/>
    </row>
    <row r="607" ht="12.0" customHeight="1">
      <c r="B607" s="1"/>
      <c r="K607" s="2"/>
      <c r="P607" s="2"/>
    </row>
    <row r="608" ht="12.0" customHeight="1">
      <c r="B608" s="1"/>
      <c r="K608" s="2"/>
      <c r="P608" s="2"/>
    </row>
    <row r="609" ht="12.0" customHeight="1">
      <c r="B609" s="1"/>
      <c r="K609" s="2"/>
      <c r="P609" s="2"/>
    </row>
    <row r="610" ht="12.0" customHeight="1">
      <c r="B610" s="1"/>
      <c r="K610" s="2"/>
      <c r="P610" s="2"/>
    </row>
    <row r="611" ht="12.0" customHeight="1">
      <c r="B611" s="1"/>
      <c r="K611" s="2"/>
      <c r="P611" s="2"/>
    </row>
    <row r="612" ht="12.0" customHeight="1">
      <c r="B612" s="1"/>
      <c r="K612" s="2"/>
      <c r="P612" s="2"/>
    </row>
    <row r="613" ht="12.0" customHeight="1">
      <c r="B613" s="1"/>
      <c r="K613" s="2"/>
      <c r="P613" s="2"/>
    </row>
    <row r="614" ht="12.0" customHeight="1">
      <c r="B614" s="1"/>
      <c r="K614" s="2"/>
      <c r="P614" s="2"/>
    </row>
    <row r="615" ht="12.0" customHeight="1">
      <c r="B615" s="1"/>
      <c r="K615" s="2"/>
      <c r="P615" s="2"/>
    </row>
    <row r="616" ht="12.0" customHeight="1">
      <c r="B616" s="1"/>
      <c r="K616" s="2"/>
      <c r="P616" s="2"/>
    </row>
    <row r="617" ht="12.0" customHeight="1">
      <c r="B617" s="1"/>
      <c r="K617" s="2"/>
      <c r="P617" s="2"/>
    </row>
    <row r="618" ht="12.0" customHeight="1">
      <c r="B618" s="1"/>
      <c r="K618" s="2"/>
      <c r="P618" s="2"/>
    </row>
    <row r="619" ht="12.0" customHeight="1">
      <c r="B619" s="1"/>
      <c r="K619" s="2"/>
      <c r="P619" s="2"/>
    </row>
    <row r="620" ht="12.0" customHeight="1">
      <c r="B620" s="1"/>
      <c r="K620" s="2"/>
      <c r="P620" s="2"/>
    </row>
    <row r="621" ht="12.0" customHeight="1">
      <c r="B621" s="1"/>
      <c r="K621" s="2"/>
      <c r="P621" s="2"/>
    </row>
    <row r="622" ht="12.0" customHeight="1">
      <c r="B622" s="1"/>
      <c r="K622" s="2"/>
      <c r="P622" s="2"/>
    </row>
    <row r="623" ht="12.0" customHeight="1">
      <c r="B623" s="1"/>
      <c r="K623" s="2"/>
      <c r="P623" s="2"/>
    </row>
    <row r="624" ht="12.0" customHeight="1">
      <c r="B624" s="1"/>
      <c r="K624" s="2"/>
      <c r="P624" s="2"/>
    </row>
    <row r="625" ht="12.0" customHeight="1">
      <c r="B625" s="1"/>
      <c r="K625" s="2"/>
      <c r="P625" s="2"/>
    </row>
    <row r="626" ht="12.0" customHeight="1">
      <c r="B626" s="1"/>
      <c r="K626" s="2"/>
      <c r="P626" s="2"/>
    </row>
    <row r="627" ht="12.0" customHeight="1">
      <c r="B627" s="1"/>
      <c r="K627" s="2"/>
      <c r="P627" s="2"/>
    </row>
    <row r="628" ht="12.0" customHeight="1">
      <c r="B628" s="1"/>
      <c r="K628" s="2"/>
      <c r="P628" s="2"/>
    </row>
    <row r="629" ht="12.0" customHeight="1">
      <c r="B629" s="1"/>
      <c r="K629" s="2"/>
      <c r="P629" s="2"/>
    </row>
    <row r="630" ht="12.0" customHeight="1">
      <c r="B630" s="1"/>
      <c r="K630" s="2"/>
      <c r="P630" s="2"/>
    </row>
    <row r="631" ht="12.0" customHeight="1">
      <c r="B631" s="1"/>
      <c r="K631" s="2"/>
      <c r="P631" s="2"/>
    </row>
    <row r="632" ht="12.0" customHeight="1">
      <c r="B632" s="1"/>
      <c r="K632" s="2"/>
      <c r="P632" s="2"/>
    </row>
    <row r="633" ht="12.0" customHeight="1">
      <c r="B633" s="1"/>
      <c r="K633" s="2"/>
      <c r="P633" s="2"/>
    </row>
    <row r="634" ht="12.0" customHeight="1">
      <c r="B634" s="1"/>
      <c r="K634" s="2"/>
      <c r="P634" s="2"/>
    </row>
    <row r="635" ht="12.0" customHeight="1">
      <c r="B635" s="1"/>
      <c r="K635" s="2"/>
      <c r="P635" s="2"/>
    </row>
    <row r="636" ht="12.0" customHeight="1">
      <c r="B636" s="1"/>
      <c r="K636" s="2"/>
      <c r="P636" s="2"/>
    </row>
    <row r="637" ht="12.0" customHeight="1">
      <c r="B637" s="1"/>
      <c r="K637" s="2"/>
      <c r="P637" s="2"/>
    </row>
    <row r="638" ht="12.0" customHeight="1">
      <c r="B638" s="1"/>
      <c r="K638" s="2"/>
      <c r="P638" s="2"/>
    </row>
    <row r="639" ht="12.0" customHeight="1">
      <c r="B639" s="1"/>
      <c r="K639" s="2"/>
      <c r="P639" s="2"/>
    </row>
    <row r="640" ht="12.0" customHeight="1">
      <c r="B640" s="1"/>
      <c r="K640" s="2"/>
      <c r="P640" s="2"/>
    </row>
    <row r="641" ht="12.0" customHeight="1">
      <c r="B641" s="1"/>
      <c r="K641" s="2"/>
      <c r="P641" s="2"/>
    </row>
    <row r="642" ht="12.0" customHeight="1">
      <c r="B642" s="1"/>
      <c r="K642" s="2"/>
      <c r="P642" s="2"/>
    </row>
    <row r="643" ht="12.0" customHeight="1">
      <c r="B643" s="1"/>
      <c r="K643" s="2"/>
      <c r="P643" s="2"/>
    </row>
    <row r="644" ht="12.0" customHeight="1">
      <c r="B644" s="1"/>
      <c r="K644" s="2"/>
      <c r="P644" s="2"/>
    </row>
    <row r="645" ht="12.0" customHeight="1">
      <c r="B645" s="1"/>
      <c r="K645" s="2"/>
      <c r="P645" s="2"/>
    </row>
    <row r="646" ht="12.0" customHeight="1">
      <c r="B646" s="1"/>
      <c r="K646" s="2"/>
      <c r="P646" s="2"/>
    </row>
    <row r="647" ht="12.0" customHeight="1">
      <c r="B647" s="1"/>
      <c r="K647" s="2"/>
      <c r="P647" s="2"/>
    </row>
    <row r="648" ht="12.0" customHeight="1">
      <c r="B648" s="1"/>
      <c r="K648" s="2"/>
      <c r="P648" s="2"/>
    </row>
    <row r="649" ht="12.0" customHeight="1">
      <c r="B649" s="1"/>
      <c r="K649" s="2"/>
      <c r="P649" s="2"/>
    </row>
    <row r="650" ht="12.0" customHeight="1">
      <c r="B650" s="1"/>
      <c r="K650" s="2"/>
      <c r="P650" s="2"/>
    </row>
    <row r="651" ht="12.0" customHeight="1">
      <c r="B651" s="1"/>
      <c r="K651" s="2"/>
      <c r="P651" s="2"/>
    </row>
    <row r="652" ht="12.0" customHeight="1">
      <c r="B652" s="1"/>
      <c r="K652" s="2"/>
      <c r="P652" s="2"/>
    </row>
    <row r="653" ht="12.0" customHeight="1">
      <c r="B653" s="1"/>
      <c r="K653" s="2"/>
      <c r="P653" s="2"/>
    </row>
    <row r="654" ht="12.0" customHeight="1">
      <c r="B654" s="1"/>
      <c r="K654" s="2"/>
      <c r="P654" s="2"/>
    </row>
    <row r="655" ht="12.0" customHeight="1">
      <c r="B655" s="1"/>
      <c r="K655" s="2"/>
      <c r="P655" s="2"/>
    </row>
    <row r="656" ht="12.0" customHeight="1">
      <c r="B656" s="1"/>
      <c r="K656" s="2"/>
      <c r="P656" s="2"/>
    </row>
    <row r="657" ht="12.0" customHeight="1">
      <c r="B657" s="1"/>
      <c r="K657" s="2"/>
      <c r="P657" s="2"/>
    </row>
    <row r="658" ht="12.0" customHeight="1">
      <c r="B658" s="1"/>
      <c r="K658" s="2"/>
      <c r="P658" s="2"/>
    </row>
    <row r="659" ht="12.0" customHeight="1">
      <c r="B659" s="1"/>
      <c r="K659" s="2"/>
      <c r="P659" s="2"/>
    </row>
    <row r="660" ht="12.0" customHeight="1">
      <c r="B660" s="1"/>
      <c r="K660" s="2"/>
      <c r="P660" s="2"/>
    </row>
    <row r="661" ht="12.0" customHeight="1">
      <c r="B661" s="1"/>
      <c r="K661" s="2"/>
      <c r="P661" s="2"/>
    </row>
    <row r="662" ht="12.0" customHeight="1">
      <c r="B662" s="1"/>
      <c r="K662" s="2"/>
      <c r="P662" s="2"/>
    </row>
    <row r="663" ht="12.0" customHeight="1">
      <c r="B663" s="1"/>
      <c r="K663" s="2"/>
      <c r="P663" s="2"/>
    </row>
    <row r="664" ht="12.0" customHeight="1">
      <c r="B664" s="1"/>
      <c r="K664" s="2"/>
      <c r="P664" s="2"/>
    </row>
    <row r="665" ht="12.0" customHeight="1">
      <c r="B665" s="1"/>
      <c r="K665" s="2"/>
      <c r="P665" s="2"/>
    </row>
    <row r="666" ht="12.0" customHeight="1">
      <c r="B666" s="1"/>
      <c r="K666" s="2"/>
      <c r="P666" s="2"/>
    </row>
    <row r="667" ht="12.0" customHeight="1">
      <c r="B667" s="1"/>
      <c r="K667" s="2"/>
      <c r="P667" s="2"/>
    </row>
    <row r="668" ht="12.0" customHeight="1">
      <c r="B668" s="1"/>
      <c r="K668" s="2"/>
      <c r="P668" s="2"/>
    </row>
    <row r="669" ht="12.0" customHeight="1">
      <c r="B669" s="1"/>
      <c r="K669" s="2"/>
      <c r="P669" s="2"/>
    </row>
    <row r="670" ht="12.0" customHeight="1">
      <c r="B670" s="1"/>
      <c r="K670" s="2"/>
      <c r="P670" s="2"/>
    </row>
    <row r="671" ht="12.0" customHeight="1">
      <c r="B671" s="1"/>
      <c r="K671" s="2"/>
      <c r="P671" s="2"/>
    </row>
    <row r="672" ht="12.0" customHeight="1">
      <c r="B672" s="1"/>
      <c r="K672" s="2"/>
      <c r="P672" s="2"/>
    </row>
    <row r="673" ht="12.0" customHeight="1">
      <c r="B673" s="1"/>
      <c r="K673" s="2"/>
      <c r="P673" s="2"/>
    </row>
    <row r="674" ht="12.0" customHeight="1">
      <c r="B674" s="1"/>
      <c r="K674" s="2"/>
      <c r="P674" s="2"/>
    </row>
    <row r="675" ht="12.0" customHeight="1">
      <c r="B675" s="1"/>
      <c r="K675" s="2"/>
      <c r="P675" s="2"/>
    </row>
    <row r="676" ht="12.0" customHeight="1">
      <c r="B676" s="1"/>
      <c r="K676" s="2"/>
      <c r="P676" s="2"/>
    </row>
    <row r="677" ht="12.0" customHeight="1">
      <c r="B677" s="1"/>
      <c r="K677" s="2"/>
      <c r="P677" s="2"/>
    </row>
    <row r="678" ht="12.0" customHeight="1">
      <c r="B678" s="1"/>
      <c r="K678" s="2"/>
      <c r="P678" s="2"/>
    </row>
    <row r="679" ht="12.0" customHeight="1">
      <c r="B679" s="1"/>
      <c r="K679" s="2"/>
      <c r="P679" s="2"/>
    </row>
    <row r="680" ht="12.0" customHeight="1">
      <c r="B680" s="1"/>
      <c r="K680" s="2"/>
      <c r="P680" s="2"/>
    </row>
    <row r="681" ht="12.0" customHeight="1">
      <c r="B681" s="1"/>
      <c r="K681" s="2"/>
      <c r="P681" s="2"/>
    </row>
    <row r="682" ht="12.0" customHeight="1">
      <c r="B682" s="1"/>
      <c r="K682" s="2"/>
      <c r="P682" s="2"/>
    </row>
    <row r="683" ht="12.0" customHeight="1">
      <c r="B683" s="1"/>
      <c r="K683" s="2"/>
      <c r="P683" s="2"/>
    </row>
    <row r="684" ht="12.0" customHeight="1">
      <c r="B684" s="1"/>
      <c r="K684" s="2"/>
      <c r="P684" s="2"/>
    </row>
    <row r="685" ht="12.0" customHeight="1">
      <c r="B685" s="1"/>
      <c r="K685" s="2"/>
      <c r="P685" s="2"/>
    </row>
    <row r="686" ht="12.0" customHeight="1">
      <c r="B686" s="1"/>
      <c r="K686" s="2"/>
      <c r="P686" s="2"/>
    </row>
    <row r="687" ht="12.0" customHeight="1">
      <c r="B687" s="1"/>
      <c r="K687" s="2"/>
      <c r="P687" s="2"/>
    </row>
    <row r="688" ht="12.0" customHeight="1">
      <c r="B688" s="1"/>
      <c r="K688" s="2"/>
      <c r="P688" s="2"/>
    </row>
    <row r="689" ht="12.0" customHeight="1">
      <c r="B689" s="1"/>
      <c r="K689" s="2"/>
      <c r="P689" s="2"/>
    </row>
    <row r="690" ht="12.0" customHeight="1">
      <c r="B690" s="1"/>
      <c r="K690" s="2"/>
      <c r="P690" s="2"/>
    </row>
    <row r="691" ht="12.0" customHeight="1">
      <c r="B691" s="1"/>
      <c r="K691" s="2"/>
      <c r="P691" s="2"/>
    </row>
    <row r="692" ht="12.0" customHeight="1">
      <c r="B692" s="1"/>
      <c r="K692" s="2"/>
      <c r="P692" s="2"/>
    </row>
    <row r="693" ht="12.0" customHeight="1">
      <c r="B693" s="1"/>
      <c r="K693" s="2"/>
      <c r="P693" s="2"/>
    </row>
    <row r="694" ht="12.0" customHeight="1">
      <c r="B694" s="1"/>
      <c r="K694" s="2"/>
      <c r="P694" s="2"/>
    </row>
    <row r="695" ht="12.0" customHeight="1">
      <c r="B695" s="1"/>
      <c r="K695" s="2"/>
      <c r="P695" s="2"/>
    </row>
    <row r="696" ht="12.0" customHeight="1">
      <c r="B696" s="1"/>
      <c r="K696" s="2"/>
      <c r="P696" s="2"/>
    </row>
    <row r="697" ht="12.0" customHeight="1">
      <c r="B697" s="1"/>
      <c r="K697" s="2"/>
      <c r="P697" s="2"/>
    </row>
    <row r="698" ht="12.0" customHeight="1">
      <c r="B698" s="1"/>
      <c r="K698" s="2"/>
      <c r="P698" s="2"/>
    </row>
    <row r="699" ht="12.0" customHeight="1">
      <c r="B699" s="1"/>
      <c r="K699" s="2"/>
      <c r="P699" s="2"/>
    </row>
    <row r="700" ht="12.0" customHeight="1">
      <c r="B700" s="1"/>
      <c r="K700" s="2"/>
      <c r="P700" s="2"/>
    </row>
    <row r="701" ht="12.0" customHeight="1">
      <c r="B701" s="1"/>
      <c r="K701" s="2"/>
      <c r="P701" s="2"/>
    </row>
    <row r="702" ht="12.0" customHeight="1">
      <c r="B702" s="1"/>
      <c r="K702" s="2"/>
      <c r="P702" s="2"/>
    </row>
    <row r="703" ht="12.0" customHeight="1">
      <c r="B703" s="1"/>
      <c r="K703" s="2"/>
      <c r="P703" s="2"/>
    </row>
    <row r="704" ht="12.0" customHeight="1">
      <c r="B704" s="1"/>
      <c r="K704" s="2"/>
      <c r="P704" s="2"/>
    </row>
    <row r="705" ht="12.0" customHeight="1">
      <c r="B705" s="1"/>
      <c r="K705" s="2"/>
      <c r="P705" s="2"/>
    </row>
    <row r="706" ht="12.0" customHeight="1">
      <c r="B706" s="1"/>
      <c r="K706" s="2"/>
      <c r="P706" s="2"/>
    </row>
    <row r="707" ht="12.0" customHeight="1">
      <c r="B707" s="1"/>
      <c r="K707" s="2"/>
      <c r="P707" s="2"/>
    </row>
    <row r="708" ht="12.0" customHeight="1">
      <c r="B708" s="1"/>
      <c r="K708" s="2"/>
      <c r="P708" s="2"/>
    </row>
    <row r="709" ht="12.0" customHeight="1">
      <c r="B709" s="1"/>
      <c r="K709" s="2"/>
      <c r="P709" s="2"/>
    </row>
    <row r="710" ht="12.0" customHeight="1">
      <c r="B710" s="1"/>
      <c r="K710" s="2"/>
      <c r="P710" s="2"/>
    </row>
    <row r="711" ht="12.0" customHeight="1">
      <c r="B711" s="1"/>
      <c r="K711" s="2"/>
      <c r="P711" s="2"/>
    </row>
    <row r="712" ht="12.0" customHeight="1">
      <c r="B712" s="1"/>
      <c r="K712" s="2"/>
      <c r="P712" s="2"/>
    </row>
    <row r="713" ht="12.0" customHeight="1">
      <c r="B713" s="1"/>
      <c r="K713" s="2"/>
      <c r="P713" s="2"/>
    </row>
    <row r="714" ht="12.0" customHeight="1">
      <c r="B714" s="1"/>
      <c r="K714" s="2"/>
      <c r="P714" s="2"/>
    </row>
    <row r="715" ht="12.0" customHeight="1">
      <c r="B715" s="1"/>
      <c r="K715" s="2"/>
      <c r="P715" s="2"/>
    </row>
    <row r="716" ht="12.0" customHeight="1">
      <c r="B716" s="1"/>
      <c r="K716" s="2"/>
      <c r="P716" s="2"/>
    </row>
    <row r="717" ht="12.0" customHeight="1">
      <c r="B717" s="1"/>
      <c r="K717" s="2"/>
      <c r="P717" s="2"/>
    </row>
    <row r="718" ht="12.0" customHeight="1">
      <c r="B718" s="1"/>
      <c r="K718" s="2"/>
      <c r="P718" s="2"/>
    </row>
    <row r="719" ht="12.0" customHeight="1">
      <c r="B719" s="1"/>
      <c r="K719" s="2"/>
      <c r="P719" s="2"/>
    </row>
    <row r="720" ht="12.0" customHeight="1">
      <c r="B720" s="1"/>
      <c r="K720" s="2"/>
      <c r="P720" s="2"/>
    </row>
    <row r="721" ht="12.0" customHeight="1">
      <c r="B721" s="1"/>
      <c r="K721" s="2"/>
      <c r="P721" s="2"/>
    </row>
    <row r="722" ht="12.0" customHeight="1">
      <c r="B722" s="1"/>
      <c r="K722" s="2"/>
      <c r="P722" s="2"/>
    </row>
    <row r="723" ht="12.0" customHeight="1">
      <c r="B723" s="1"/>
      <c r="K723" s="2"/>
      <c r="P723" s="2"/>
    </row>
    <row r="724" ht="12.0" customHeight="1">
      <c r="B724" s="1"/>
      <c r="K724" s="2"/>
      <c r="P724" s="2"/>
    </row>
    <row r="725" ht="12.0" customHeight="1">
      <c r="B725" s="1"/>
      <c r="K725" s="2"/>
      <c r="P725" s="2"/>
    </row>
    <row r="726" ht="12.0" customHeight="1">
      <c r="B726" s="1"/>
      <c r="K726" s="2"/>
      <c r="P726" s="2"/>
    </row>
    <row r="727" ht="12.0" customHeight="1">
      <c r="B727" s="1"/>
      <c r="K727" s="2"/>
      <c r="P727" s="2"/>
    </row>
    <row r="728" ht="12.0" customHeight="1">
      <c r="B728" s="1"/>
      <c r="K728" s="2"/>
      <c r="P728" s="2"/>
    </row>
    <row r="729" ht="12.0" customHeight="1">
      <c r="B729" s="1"/>
      <c r="K729" s="2"/>
      <c r="P729" s="2"/>
    </row>
    <row r="730" ht="12.0" customHeight="1">
      <c r="B730" s="1"/>
      <c r="K730" s="2"/>
      <c r="P730" s="2"/>
    </row>
    <row r="731" ht="12.0" customHeight="1">
      <c r="B731" s="1"/>
      <c r="K731" s="2"/>
      <c r="P731" s="2"/>
    </row>
    <row r="732" ht="12.0" customHeight="1">
      <c r="B732" s="1"/>
      <c r="K732" s="2"/>
      <c r="P732" s="2"/>
    </row>
    <row r="733" ht="12.0" customHeight="1">
      <c r="B733" s="1"/>
      <c r="K733" s="2"/>
      <c r="P733" s="2"/>
    </row>
    <row r="734" ht="12.0" customHeight="1">
      <c r="B734" s="1"/>
      <c r="K734" s="2"/>
      <c r="P734" s="2"/>
    </row>
    <row r="735" ht="12.0" customHeight="1">
      <c r="B735" s="1"/>
      <c r="K735" s="2"/>
      <c r="P735" s="2"/>
    </row>
    <row r="736" ht="12.0" customHeight="1">
      <c r="B736" s="1"/>
      <c r="K736" s="2"/>
      <c r="P736" s="2"/>
    </row>
    <row r="737" ht="12.0" customHeight="1">
      <c r="B737" s="1"/>
      <c r="K737" s="2"/>
      <c r="P737" s="2"/>
    </row>
    <row r="738" ht="12.0" customHeight="1">
      <c r="B738" s="1"/>
      <c r="K738" s="2"/>
      <c r="P738" s="2"/>
    </row>
    <row r="739" ht="12.0" customHeight="1">
      <c r="B739" s="1"/>
      <c r="K739" s="2"/>
      <c r="P739" s="2"/>
    </row>
    <row r="740" ht="12.0" customHeight="1">
      <c r="B740" s="1"/>
      <c r="K740" s="2"/>
      <c r="P740" s="2"/>
    </row>
    <row r="741" ht="12.0" customHeight="1">
      <c r="B741" s="1"/>
      <c r="K741" s="2"/>
      <c r="P741" s="2"/>
    </row>
    <row r="742" ht="12.0" customHeight="1">
      <c r="B742" s="1"/>
      <c r="K742" s="2"/>
      <c r="P742" s="2"/>
    </row>
    <row r="743" ht="12.0" customHeight="1">
      <c r="B743" s="1"/>
      <c r="K743" s="2"/>
      <c r="P743" s="2"/>
    </row>
    <row r="744" ht="12.0" customHeight="1">
      <c r="B744" s="1"/>
      <c r="K744" s="2"/>
      <c r="P744" s="2"/>
    </row>
    <row r="745" ht="12.0" customHeight="1">
      <c r="B745" s="1"/>
      <c r="K745" s="2"/>
      <c r="P745" s="2"/>
    </row>
    <row r="746" ht="12.0" customHeight="1">
      <c r="B746" s="1"/>
      <c r="K746" s="2"/>
      <c r="P746" s="2"/>
    </row>
    <row r="747" ht="12.0" customHeight="1">
      <c r="B747" s="1"/>
      <c r="K747" s="2"/>
      <c r="P747" s="2"/>
    </row>
    <row r="748" ht="12.0" customHeight="1">
      <c r="B748" s="1"/>
      <c r="K748" s="2"/>
      <c r="P748" s="2"/>
    </row>
    <row r="749" ht="12.0" customHeight="1">
      <c r="B749" s="1"/>
      <c r="K749" s="2"/>
      <c r="P749" s="2"/>
    </row>
    <row r="750" ht="12.0" customHeight="1">
      <c r="B750" s="1"/>
      <c r="K750" s="2"/>
      <c r="P750" s="2"/>
    </row>
    <row r="751" ht="12.0" customHeight="1">
      <c r="B751" s="1"/>
      <c r="K751" s="2"/>
      <c r="P751" s="2"/>
    </row>
    <row r="752" ht="12.0" customHeight="1">
      <c r="B752" s="1"/>
      <c r="K752" s="2"/>
      <c r="P752" s="2"/>
    </row>
    <row r="753" ht="12.0" customHeight="1">
      <c r="B753" s="1"/>
      <c r="K753" s="2"/>
      <c r="P753" s="2"/>
    </row>
    <row r="754" ht="12.0" customHeight="1">
      <c r="B754" s="1"/>
      <c r="K754" s="2"/>
      <c r="P754" s="2"/>
    </row>
    <row r="755" ht="12.0" customHeight="1">
      <c r="B755" s="1"/>
      <c r="K755" s="2"/>
      <c r="P755" s="2"/>
    </row>
    <row r="756" ht="12.0" customHeight="1">
      <c r="B756" s="1"/>
      <c r="K756" s="2"/>
      <c r="P756" s="2"/>
    </row>
    <row r="757" ht="12.0" customHeight="1">
      <c r="B757" s="1"/>
      <c r="K757" s="2"/>
      <c r="P757" s="2"/>
    </row>
    <row r="758" ht="12.0" customHeight="1">
      <c r="B758" s="1"/>
      <c r="K758" s="2"/>
      <c r="P758" s="2"/>
    </row>
    <row r="759" ht="12.0" customHeight="1">
      <c r="B759" s="1"/>
      <c r="K759" s="2"/>
      <c r="P759" s="2"/>
    </row>
    <row r="760" ht="12.0" customHeight="1">
      <c r="B760" s="1"/>
      <c r="K760" s="2"/>
      <c r="P760" s="2"/>
    </row>
    <row r="761" ht="12.0" customHeight="1">
      <c r="B761" s="1"/>
      <c r="K761" s="2"/>
      <c r="P761" s="2"/>
    </row>
    <row r="762" ht="12.0" customHeight="1">
      <c r="B762" s="1"/>
      <c r="K762" s="2"/>
      <c r="P762" s="2"/>
    </row>
    <row r="763" ht="12.0" customHeight="1">
      <c r="B763" s="1"/>
      <c r="K763" s="2"/>
      <c r="P763" s="2"/>
    </row>
    <row r="764" ht="12.0" customHeight="1">
      <c r="B764" s="1"/>
      <c r="K764" s="2"/>
      <c r="P764" s="2"/>
    </row>
    <row r="765" ht="12.0" customHeight="1">
      <c r="B765" s="1"/>
      <c r="K765" s="2"/>
      <c r="P765" s="2"/>
    </row>
    <row r="766" ht="12.0" customHeight="1">
      <c r="B766" s="1"/>
      <c r="K766" s="2"/>
      <c r="P766" s="2"/>
    </row>
    <row r="767" ht="12.0" customHeight="1">
      <c r="B767" s="1"/>
      <c r="K767" s="2"/>
      <c r="P767" s="2"/>
    </row>
    <row r="768" ht="12.0" customHeight="1">
      <c r="B768" s="1"/>
      <c r="K768" s="2"/>
      <c r="P768" s="2"/>
    </row>
    <row r="769" ht="12.0" customHeight="1">
      <c r="B769" s="1"/>
      <c r="K769" s="2"/>
      <c r="P769" s="2"/>
    </row>
    <row r="770" ht="12.0" customHeight="1">
      <c r="B770" s="1"/>
      <c r="K770" s="2"/>
      <c r="P770" s="2"/>
    </row>
    <row r="771" ht="12.0" customHeight="1">
      <c r="B771" s="1"/>
      <c r="K771" s="2"/>
      <c r="P771" s="2"/>
    </row>
    <row r="772" ht="12.0" customHeight="1">
      <c r="B772" s="1"/>
      <c r="K772" s="2"/>
      <c r="P772" s="2"/>
    </row>
    <row r="773" ht="12.0" customHeight="1">
      <c r="B773" s="1"/>
      <c r="K773" s="2"/>
      <c r="P773" s="2"/>
    </row>
    <row r="774" ht="12.0" customHeight="1">
      <c r="B774" s="1"/>
      <c r="K774" s="2"/>
      <c r="P774" s="2"/>
    </row>
    <row r="775" ht="12.0" customHeight="1">
      <c r="B775" s="1"/>
      <c r="K775" s="2"/>
      <c r="P775" s="2"/>
    </row>
    <row r="776" ht="12.0" customHeight="1">
      <c r="B776" s="1"/>
      <c r="K776" s="2"/>
      <c r="P776" s="2"/>
    </row>
    <row r="777" ht="12.0" customHeight="1">
      <c r="B777" s="1"/>
      <c r="K777" s="2"/>
      <c r="P777" s="2"/>
    </row>
    <row r="778" ht="12.0" customHeight="1">
      <c r="B778" s="1"/>
      <c r="K778" s="2"/>
      <c r="P778" s="2"/>
    </row>
    <row r="779" ht="12.0" customHeight="1">
      <c r="B779" s="1"/>
      <c r="K779" s="2"/>
      <c r="P779" s="2"/>
    </row>
    <row r="780" ht="12.0" customHeight="1">
      <c r="B780" s="1"/>
      <c r="K780" s="2"/>
      <c r="P780" s="2"/>
    </row>
    <row r="781" ht="12.0" customHeight="1">
      <c r="B781" s="1"/>
      <c r="K781" s="2"/>
      <c r="P781" s="2"/>
    </row>
    <row r="782" ht="12.0" customHeight="1">
      <c r="B782" s="1"/>
      <c r="K782" s="2"/>
      <c r="P782" s="2"/>
    </row>
    <row r="783" ht="12.0" customHeight="1">
      <c r="B783" s="1"/>
      <c r="K783" s="2"/>
      <c r="P783" s="2"/>
    </row>
    <row r="784" ht="12.0" customHeight="1">
      <c r="B784" s="1"/>
      <c r="K784" s="2"/>
      <c r="P784" s="2"/>
    </row>
    <row r="785" ht="12.0" customHeight="1">
      <c r="B785" s="1"/>
      <c r="K785" s="2"/>
      <c r="P785" s="2"/>
    </row>
    <row r="786" ht="12.0" customHeight="1">
      <c r="B786" s="1"/>
      <c r="K786" s="2"/>
      <c r="P786" s="2"/>
    </row>
    <row r="787" ht="12.0" customHeight="1">
      <c r="B787" s="1"/>
      <c r="K787" s="2"/>
      <c r="P787" s="2"/>
    </row>
    <row r="788" ht="12.0" customHeight="1">
      <c r="B788" s="1"/>
      <c r="K788" s="2"/>
      <c r="P788" s="2"/>
    </row>
    <row r="789" ht="12.0" customHeight="1">
      <c r="B789" s="1"/>
      <c r="K789" s="2"/>
      <c r="P789" s="2"/>
    </row>
    <row r="790" ht="12.0" customHeight="1">
      <c r="B790" s="1"/>
      <c r="K790" s="2"/>
      <c r="P790" s="2"/>
    </row>
    <row r="791" ht="12.0" customHeight="1">
      <c r="B791" s="1"/>
      <c r="K791" s="2"/>
      <c r="P791" s="2"/>
    </row>
    <row r="792" ht="12.0" customHeight="1">
      <c r="B792" s="1"/>
      <c r="K792" s="2"/>
      <c r="P792" s="2"/>
    </row>
    <row r="793" ht="12.0" customHeight="1">
      <c r="B793" s="1"/>
      <c r="K793" s="2"/>
      <c r="P793" s="2"/>
    </row>
    <row r="794" ht="12.0" customHeight="1">
      <c r="B794" s="1"/>
      <c r="K794" s="2"/>
      <c r="P794" s="2"/>
    </row>
    <row r="795" ht="12.0" customHeight="1">
      <c r="B795" s="1"/>
      <c r="K795" s="2"/>
      <c r="P795" s="2"/>
    </row>
    <row r="796" ht="12.0" customHeight="1">
      <c r="B796" s="1"/>
      <c r="K796" s="2"/>
      <c r="P796" s="2"/>
    </row>
    <row r="797" ht="12.0" customHeight="1">
      <c r="B797" s="1"/>
      <c r="K797" s="2"/>
      <c r="P797" s="2"/>
    </row>
    <row r="798" ht="12.0" customHeight="1">
      <c r="B798" s="1"/>
      <c r="K798" s="2"/>
      <c r="P798" s="2"/>
    </row>
    <row r="799" ht="12.0" customHeight="1">
      <c r="B799" s="1"/>
      <c r="K799" s="2"/>
      <c r="P799" s="2"/>
    </row>
    <row r="800" ht="12.0" customHeight="1">
      <c r="B800" s="1"/>
      <c r="K800" s="2"/>
      <c r="P800" s="2"/>
    </row>
    <row r="801" ht="12.0" customHeight="1">
      <c r="B801" s="1"/>
      <c r="K801" s="2"/>
      <c r="P801" s="2"/>
    </row>
    <row r="802" ht="12.0" customHeight="1">
      <c r="B802" s="1"/>
      <c r="K802" s="2"/>
      <c r="P802" s="2"/>
    </row>
    <row r="803" ht="12.0" customHeight="1">
      <c r="B803" s="1"/>
      <c r="K803" s="2"/>
      <c r="P803" s="2"/>
    </row>
    <row r="804" ht="12.0" customHeight="1">
      <c r="B804" s="1"/>
      <c r="K804" s="2"/>
      <c r="P804" s="2"/>
    </row>
    <row r="805" ht="12.0" customHeight="1">
      <c r="B805" s="1"/>
      <c r="K805" s="2"/>
      <c r="P805" s="2"/>
    </row>
    <row r="806" ht="12.0" customHeight="1">
      <c r="B806" s="1"/>
      <c r="K806" s="2"/>
      <c r="P806" s="2"/>
    </row>
    <row r="807" ht="12.0" customHeight="1">
      <c r="B807" s="1"/>
      <c r="K807" s="2"/>
      <c r="P807" s="2"/>
    </row>
    <row r="808" ht="12.0" customHeight="1">
      <c r="B808" s="1"/>
      <c r="K808" s="2"/>
      <c r="P808" s="2"/>
    </row>
    <row r="809" ht="12.0" customHeight="1">
      <c r="B809" s="1"/>
      <c r="K809" s="2"/>
      <c r="P809" s="2"/>
    </row>
    <row r="810" ht="12.0" customHeight="1">
      <c r="B810" s="1"/>
      <c r="K810" s="2"/>
      <c r="P810" s="2"/>
    </row>
    <row r="811" ht="12.0" customHeight="1">
      <c r="B811" s="1"/>
      <c r="K811" s="2"/>
      <c r="P811" s="2"/>
    </row>
    <row r="812" ht="12.0" customHeight="1">
      <c r="B812" s="1"/>
      <c r="K812" s="2"/>
      <c r="P812" s="2"/>
    </row>
    <row r="813" ht="12.0" customHeight="1">
      <c r="B813" s="1"/>
      <c r="K813" s="2"/>
      <c r="P813" s="2"/>
    </row>
    <row r="814" ht="12.0" customHeight="1">
      <c r="B814" s="1"/>
      <c r="K814" s="2"/>
      <c r="P814" s="2"/>
    </row>
    <row r="815" ht="12.0" customHeight="1">
      <c r="B815" s="1"/>
      <c r="K815" s="2"/>
      <c r="P815" s="2"/>
    </row>
    <row r="816" ht="12.0" customHeight="1">
      <c r="B816" s="1"/>
      <c r="K816" s="2"/>
      <c r="P816" s="2"/>
    </row>
    <row r="817" ht="12.0" customHeight="1">
      <c r="B817" s="1"/>
      <c r="K817" s="2"/>
      <c r="P817" s="2"/>
    </row>
    <row r="818" ht="12.0" customHeight="1">
      <c r="B818" s="1"/>
      <c r="K818" s="2"/>
      <c r="P818" s="2"/>
    </row>
    <row r="819" ht="12.0" customHeight="1">
      <c r="B819" s="1"/>
      <c r="K819" s="2"/>
      <c r="P819" s="2"/>
    </row>
    <row r="820" ht="12.0" customHeight="1">
      <c r="B820" s="1"/>
      <c r="K820" s="2"/>
      <c r="P820" s="2"/>
    </row>
    <row r="821" ht="12.0" customHeight="1">
      <c r="B821" s="1"/>
      <c r="K821" s="2"/>
      <c r="P821" s="2"/>
    </row>
    <row r="822" ht="12.0" customHeight="1">
      <c r="B822" s="1"/>
      <c r="K822" s="2"/>
      <c r="P822" s="2"/>
    </row>
    <row r="823" ht="12.0" customHeight="1">
      <c r="B823" s="1"/>
      <c r="K823" s="2"/>
      <c r="P823" s="2"/>
    </row>
    <row r="824" ht="12.0" customHeight="1">
      <c r="B824" s="1"/>
      <c r="K824" s="2"/>
      <c r="P824" s="2"/>
    </row>
    <row r="825" ht="12.0" customHeight="1">
      <c r="B825" s="1"/>
      <c r="K825" s="2"/>
      <c r="P825" s="2"/>
    </row>
    <row r="826" ht="12.0" customHeight="1">
      <c r="B826" s="1"/>
      <c r="K826" s="2"/>
      <c r="P826" s="2"/>
    </row>
    <row r="827" ht="12.0" customHeight="1">
      <c r="B827" s="1"/>
      <c r="K827" s="2"/>
      <c r="P827" s="2"/>
    </row>
    <row r="828" ht="12.0" customHeight="1">
      <c r="B828" s="1"/>
      <c r="K828" s="2"/>
      <c r="P828" s="2"/>
    </row>
    <row r="829" ht="12.0" customHeight="1">
      <c r="B829" s="1"/>
      <c r="K829" s="2"/>
      <c r="P829" s="2"/>
    </row>
    <row r="830" ht="12.0" customHeight="1">
      <c r="B830" s="1"/>
      <c r="K830" s="2"/>
      <c r="P830" s="2"/>
    </row>
    <row r="831" ht="12.0" customHeight="1">
      <c r="B831" s="1"/>
      <c r="K831" s="2"/>
      <c r="P831" s="2"/>
    </row>
    <row r="832" ht="12.0" customHeight="1">
      <c r="B832" s="1"/>
      <c r="K832" s="2"/>
      <c r="P832" s="2"/>
    </row>
    <row r="833" ht="12.0" customHeight="1">
      <c r="B833" s="1"/>
      <c r="K833" s="2"/>
      <c r="P833" s="2"/>
    </row>
    <row r="834" ht="12.0" customHeight="1">
      <c r="B834" s="1"/>
      <c r="K834" s="2"/>
      <c r="P834" s="2"/>
    </row>
    <row r="835" ht="12.0" customHeight="1">
      <c r="B835" s="1"/>
      <c r="K835" s="2"/>
      <c r="P835" s="2"/>
    </row>
    <row r="836" ht="12.0" customHeight="1">
      <c r="B836" s="1"/>
      <c r="K836" s="2"/>
      <c r="P836" s="2"/>
    </row>
    <row r="837" ht="12.0" customHeight="1">
      <c r="B837" s="1"/>
      <c r="K837" s="2"/>
      <c r="P837" s="2"/>
    </row>
    <row r="838" ht="12.0" customHeight="1">
      <c r="B838" s="1"/>
      <c r="K838" s="2"/>
      <c r="P838" s="2"/>
    </row>
    <row r="839" ht="12.0" customHeight="1">
      <c r="B839" s="1"/>
      <c r="K839" s="2"/>
      <c r="P839" s="2"/>
    </row>
    <row r="840" ht="12.0" customHeight="1">
      <c r="B840" s="1"/>
      <c r="K840" s="2"/>
      <c r="P840" s="2"/>
    </row>
    <row r="841" ht="12.0" customHeight="1">
      <c r="B841" s="1"/>
      <c r="K841" s="2"/>
      <c r="P841" s="2"/>
    </row>
    <row r="842" ht="12.0" customHeight="1">
      <c r="B842" s="1"/>
      <c r="K842" s="2"/>
      <c r="P842" s="2"/>
    </row>
    <row r="843" ht="12.0" customHeight="1">
      <c r="B843" s="1"/>
      <c r="K843" s="2"/>
      <c r="P843" s="2"/>
    </row>
    <row r="844" ht="12.0" customHeight="1">
      <c r="B844" s="1"/>
      <c r="K844" s="2"/>
      <c r="P844" s="2"/>
    </row>
    <row r="845" ht="12.0" customHeight="1">
      <c r="B845" s="1"/>
      <c r="K845" s="2"/>
      <c r="P845" s="2"/>
    </row>
    <row r="846" ht="12.0" customHeight="1">
      <c r="B846" s="1"/>
      <c r="K846" s="2"/>
      <c r="P846" s="2"/>
    </row>
    <row r="847" ht="12.0" customHeight="1">
      <c r="B847" s="1"/>
      <c r="K847" s="2"/>
      <c r="P847" s="2"/>
    </row>
    <row r="848" ht="12.0" customHeight="1">
      <c r="B848" s="1"/>
      <c r="K848" s="2"/>
      <c r="P848" s="2"/>
    </row>
    <row r="849" ht="12.0" customHeight="1">
      <c r="B849" s="1"/>
      <c r="K849" s="2"/>
      <c r="P849" s="2"/>
    </row>
    <row r="850" ht="12.0" customHeight="1">
      <c r="B850" s="1"/>
      <c r="K850" s="2"/>
      <c r="P850" s="2"/>
    </row>
    <row r="851" ht="12.0" customHeight="1">
      <c r="B851" s="1"/>
      <c r="K851" s="2"/>
      <c r="P851" s="2"/>
    </row>
    <row r="852" ht="12.0" customHeight="1">
      <c r="B852" s="1"/>
      <c r="K852" s="2"/>
      <c r="P852" s="2"/>
    </row>
    <row r="853" ht="12.0" customHeight="1">
      <c r="B853" s="1"/>
      <c r="K853" s="2"/>
      <c r="P853" s="2"/>
    </row>
    <row r="854" ht="12.0" customHeight="1">
      <c r="B854" s="1"/>
      <c r="K854" s="2"/>
      <c r="P854" s="2"/>
    </row>
    <row r="855" ht="12.0" customHeight="1">
      <c r="B855" s="1"/>
      <c r="K855" s="2"/>
      <c r="P855" s="2"/>
    </row>
    <row r="856" ht="12.0" customHeight="1">
      <c r="B856" s="1"/>
      <c r="K856" s="2"/>
      <c r="P856" s="2"/>
    </row>
    <row r="857" ht="12.0" customHeight="1">
      <c r="B857" s="1"/>
      <c r="K857" s="2"/>
      <c r="P857" s="2"/>
    </row>
    <row r="858" ht="12.0" customHeight="1">
      <c r="B858" s="1"/>
      <c r="K858" s="2"/>
      <c r="P858" s="2"/>
    </row>
    <row r="859" ht="12.0" customHeight="1">
      <c r="B859" s="1"/>
      <c r="K859" s="2"/>
      <c r="P859" s="2"/>
    </row>
    <row r="860" ht="12.0" customHeight="1">
      <c r="B860" s="1"/>
      <c r="K860" s="2"/>
      <c r="P860" s="2"/>
    </row>
    <row r="861" ht="12.0" customHeight="1">
      <c r="B861" s="1"/>
      <c r="K861" s="2"/>
      <c r="P861" s="2"/>
    </row>
    <row r="862" ht="12.0" customHeight="1">
      <c r="B862" s="1"/>
      <c r="K862" s="2"/>
      <c r="P862" s="2"/>
    </row>
    <row r="863" ht="12.0" customHeight="1">
      <c r="B863" s="1"/>
      <c r="K863" s="2"/>
      <c r="P863" s="2"/>
    </row>
    <row r="864" ht="12.0" customHeight="1">
      <c r="B864" s="1"/>
      <c r="K864" s="2"/>
      <c r="P864" s="2"/>
    </row>
    <row r="865" ht="12.0" customHeight="1">
      <c r="B865" s="1"/>
      <c r="K865" s="2"/>
      <c r="P865" s="2"/>
    </row>
    <row r="866" ht="12.0" customHeight="1">
      <c r="B866" s="1"/>
      <c r="K866" s="2"/>
      <c r="P866" s="2"/>
    </row>
    <row r="867" ht="12.0" customHeight="1">
      <c r="B867" s="1"/>
      <c r="K867" s="2"/>
      <c r="P867" s="2"/>
    </row>
    <row r="868" ht="12.0" customHeight="1">
      <c r="B868" s="1"/>
      <c r="K868" s="2"/>
      <c r="P868" s="2"/>
    </row>
    <row r="869" ht="12.0" customHeight="1">
      <c r="B869" s="1"/>
      <c r="K869" s="2"/>
      <c r="P869" s="2"/>
    </row>
    <row r="870" ht="12.0" customHeight="1">
      <c r="B870" s="1"/>
      <c r="K870" s="2"/>
      <c r="P870" s="2"/>
    </row>
    <row r="871" ht="12.0" customHeight="1">
      <c r="B871" s="1"/>
      <c r="K871" s="2"/>
      <c r="P871" s="2"/>
    </row>
    <row r="872" ht="12.0" customHeight="1">
      <c r="B872" s="1"/>
      <c r="K872" s="2"/>
      <c r="P872" s="2"/>
    </row>
    <row r="873" ht="12.0" customHeight="1">
      <c r="B873" s="1"/>
      <c r="K873" s="2"/>
      <c r="P873" s="2"/>
    </row>
    <row r="874" ht="12.0" customHeight="1">
      <c r="B874" s="1"/>
      <c r="K874" s="2"/>
      <c r="P874" s="2"/>
    </row>
    <row r="875" ht="12.0" customHeight="1">
      <c r="B875" s="1"/>
      <c r="K875" s="2"/>
      <c r="P875" s="2"/>
    </row>
    <row r="876" ht="12.0" customHeight="1">
      <c r="B876" s="1"/>
      <c r="K876" s="2"/>
      <c r="P876" s="2"/>
    </row>
    <row r="877" ht="12.0" customHeight="1">
      <c r="B877" s="1"/>
      <c r="K877" s="2"/>
      <c r="P877" s="2"/>
    </row>
    <row r="878" ht="12.0" customHeight="1">
      <c r="B878" s="1"/>
      <c r="K878" s="2"/>
      <c r="P878" s="2"/>
    </row>
    <row r="879" ht="12.0" customHeight="1">
      <c r="B879" s="1"/>
      <c r="K879" s="2"/>
      <c r="P879" s="2"/>
    </row>
    <row r="880" ht="12.0" customHeight="1">
      <c r="B880" s="1"/>
      <c r="K880" s="2"/>
      <c r="P880" s="2"/>
    </row>
    <row r="881" ht="12.0" customHeight="1">
      <c r="B881" s="1"/>
      <c r="K881" s="2"/>
      <c r="P881" s="2"/>
    </row>
    <row r="882" ht="12.0" customHeight="1">
      <c r="B882" s="1"/>
      <c r="K882" s="2"/>
      <c r="P882" s="2"/>
    </row>
    <row r="883" ht="12.0" customHeight="1">
      <c r="B883" s="1"/>
      <c r="K883" s="2"/>
      <c r="P883" s="2"/>
    </row>
    <row r="884" ht="12.0" customHeight="1">
      <c r="B884" s="1"/>
      <c r="K884" s="2"/>
      <c r="P884" s="2"/>
    </row>
    <row r="885" ht="12.0" customHeight="1">
      <c r="B885" s="1"/>
      <c r="K885" s="2"/>
      <c r="P885" s="2"/>
    </row>
    <row r="886" ht="12.0" customHeight="1">
      <c r="B886" s="1"/>
      <c r="K886" s="2"/>
      <c r="P886" s="2"/>
    </row>
    <row r="887" ht="12.0" customHeight="1">
      <c r="B887" s="1"/>
      <c r="K887" s="2"/>
      <c r="P887" s="2"/>
    </row>
    <row r="888" ht="12.0" customHeight="1">
      <c r="B888" s="1"/>
      <c r="K888" s="2"/>
      <c r="P888" s="2"/>
    </row>
    <row r="889" ht="12.0" customHeight="1">
      <c r="B889" s="1"/>
      <c r="K889" s="2"/>
      <c r="P889" s="2"/>
    </row>
    <row r="890" ht="12.0" customHeight="1">
      <c r="B890" s="1"/>
      <c r="K890" s="2"/>
      <c r="P890" s="2"/>
    </row>
    <row r="891" ht="12.0" customHeight="1">
      <c r="B891" s="1"/>
      <c r="K891" s="2"/>
      <c r="P891" s="2"/>
    </row>
    <row r="892" ht="12.0" customHeight="1">
      <c r="B892" s="1"/>
      <c r="K892" s="2"/>
      <c r="P892" s="2"/>
    </row>
    <row r="893" ht="12.0" customHeight="1">
      <c r="B893" s="1"/>
      <c r="K893" s="2"/>
      <c r="P893" s="2"/>
    </row>
    <row r="894" ht="12.0" customHeight="1">
      <c r="B894" s="1"/>
      <c r="K894" s="2"/>
      <c r="P894" s="2"/>
    </row>
    <row r="895" ht="12.0" customHeight="1">
      <c r="B895" s="1"/>
      <c r="K895" s="2"/>
      <c r="P895" s="2"/>
    </row>
    <row r="896" ht="12.0" customHeight="1">
      <c r="B896" s="1"/>
      <c r="K896" s="2"/>
      <c r="P896" s="2"/>
    </row>
    <row r="897" ht="12.0" customHeight="1">
      <c r="B897" s="1"/>
      <c r="K897" s="2"/>
      <c r="P897" s="2"/>
    </row>
    <row r="898" ht="12.0" customHeight="1">
      <c r="B898" s="1"/>
      <c r="K898" s="2"/>
      <c r="P898" s="2"/>
    </row>
    <row r="899" ht="12.0" customHeight="1">
      <c r="B899" s="1"/>
      <c r="K899" s="2"/>
      <c r="P899" s="2"/>
    </row>
    <row r="900" ht="12.0" customHeight="1">
      <c r="B900" s="1"/>
      <c r="K900" s="2"/>
      <c r="P900" s="2"/>
    </row>
    <row r="901" ht="12.0" customHeight="1">
      <c r="B901" s="1"/>
      <c r="K901" s="2"/>
      <c r="P901" s="2"/>
    </row>
    <row r="902" ht="12.0" customHeight="1">
      <c r="B902" s="1"/>
      <c r="K902" s="2"/>
      <c r="P902" s="2"/>
    </row>
    <row r="903" ht="12.0" customHeight="1">
      <c r="B903" s="1"/>
      <c r="K903" s="2"/>
      <c r="P903" s="2"/>
    </row>
    <row r="904" ht="12.0" customHeight="1">
      <c r="B904" s="1"/>
      <c r="K904" s="2"/>
      <c r="P904" s="2"/>
    </row>
    <row r="905" ht="12.0" customHeight="1">
      <c r="B905" s="1"/>
      <c r="K905" s="2"/>
      <c r="P905" s="2"/>
    </row>
    <row r="906" ht="12.0" customHeight="1">
      <c r="B906" s="1"/>
      <c r="K906" s="2"/>
      <c r="P906" s="2"/>
    </row>
    <row r="907" ht="12.0" customHeight="1">
      <c r="B907" s="1"/>
      <c r="K907" s="2"/>
      <c r="P907" s="2"/>
    </row>
    <row r="908" ht="12.0" customHeight="1">
      <c r="B908" s="1"/>
      <c r="K908" s="2"/>
      <c r="P908" s="2"/>
    </row>
    <row r="909" ht="12.0" customHeight="1">
      <c r="B909" s="1"/>
      <c r="K909" s="2"/>
      <c r="P909" s="2"/>
    </row>
    <row r="910" ht="12.0" customHeight="1">
      <c r="B910" s="1"/>
      <c r="K910" s="2"/>
      <c r="P910" s="2"/>
    </row>
    <row r="911" ht="12.0" customHeight="1">
      <c r="B911" s="1"/>
      <c r="K911" s="2"/>
      <c r="P911" s="2"/>
    </row>
    <row r="912" ht="12.0" customHeight="1">
      <c r="B912" s="1"/>
      <c r="K912" s="2"/>
      <c r="P912" s="2"/>
    </row>
    <row r="913" ht="12.0" customHeight="1">
      <c r="B913" s="1"/>
      <c r="K913" s="2"/>
      <c r="P913" s="2"/>
    </row>
    <row r="914" ht="12.0" customHeight="1">
      <c r="B914" s="1"/>
      <c r="K914" s="2"/>
      <c r="P914" s="2"/>
    </row>
    <row r="915" ht="12.0" customHeight="1">
      <c r="B915" s="1"/>
      <c r="K915" s="2"/>
      <c r="P915" s="2"/>
    </row>
    <row r="916" ht="12.0" customHeight="1">
      <c r="B916" s="1"/>
      <c r="K916" s="2"/>
      <c r="P916" s="2"/>
    </row>
    <row r="917" ht="12.0" customHeight="1">
      <c r="B917" s="1"/>
      <c r="K917" s="2"/>
      <c r="P917" s="2"/>
    </row>
    <row r="918" ht="12.0" customHeight="1">
      <c r="B918" s="1"/>
      <c r="K918" s="2"/>
      <c r="P918" s="2"/>
    </row>
    <row r="919" ht="12.0" customHeight="1">
      <c r="B919" s="1"/>
      <c r="K919" s="2"/>
      <c r="P919" s="2"/>
    </row>
    <row r="920" ht="12.0" customHeight="1">
      <c r="B920" s="1"/>
      <c r="K920" s="2"/>
      <c r="P920" s="2"/>
    </row>
    <row r="921" ht="12.0" customHeight="1">
      <c r="B921" s="1"/>
      <c r="K921" s="2"/>
      <c r="P921" s="2"/>
    </row>
    <row r="922" ht="12.0" customHeight="1">
      <c r="B922" s="1"/>
      <c r="K922" s="2"/>
      <c r="P922" s="2"/>
    </row>
    <row r="923" ht="12.0" customHeight="1">
      <c r="B923" s="1"/>
      <c r="K923" s="2"/>
      <c r="P923" s="2"/>
    </row>
    <row r="924" ht="12.0" customHeight="1">
      <c r="B924" s="1"/>
      <c r="K924" s="2"/>
      <c r="P924" s="2"/>
    </row>
    <row r="925" ht="12.0" customHeight="1">
      <c r="B925" s="1"/>
      <c r="K925" s="2"/>
      <c r="P925" s="2"/>
    </row>
    <row r="926" ht="12.0" customHeight="1">
      <c r="B926" s="1"/>
      <c r="K926" s="2"/>
      <c r="P926" s="2"/>
    </row>
    <row r="927" ht="12.0" customHeight="1">
      <c r="B927" s="1"/>
      <c r="K927" s="2"/>
      <c r="P927" s="2"/>
    </row>
    <row r="928" ht="12.0" customHeight="1">
      <c r="B928" s="1"/>
      <c r="K928" s="2"/>
      <c r="P928" s="2"/>
    </row>
    <row r="929" ht="12.0" customHeight="1">
      <c r="B929" s="1"/>
      <c r="K929" s="2"/>
      <c r="P929" s="2"/>
    </row>
    <row r="930" ht="12.0" customHeight="1">
      <c r="B930" s="1"/>
      <c r="K930" s="2"/>
      <c r="P930" s="2"/>
    </row>
    <row r="931" ht="12.0" customHeight="1">
      <c r="B931" s="1"/>
      <c r="K931" s="2"/>
      <c r="P931" s="2"/>
    </row>
    <row r="932" ht="12.0" customHeight="1">
      <c r="B932" s="1"/>
      <c r="K932" s="2"/>
      <c r="P932" s="2"/>
    </row>
    <row r="933" ht="12.0" customHeight="1">
      <c r="B933" s="1"/>
      <c r="K933" s="2"/>
      <c r="P933" s="2"/>
    </row>
    <row r="934" ht="12.0" customHeight="1">
      <c r="B934" s="1"/>
      <c r="K934" s="2"/>
      <c r="P934" s="2"/>
    </row>
    <row r="935" ht="12.0" customHeight="1">
      <c r="B935" s="1"/>
      <c r="K935" s="2"/>
      <c r="P935" s="2"/>
    </row>
    <row r="936" ht="12.0" customHeight="1">
      <c r="B936" s="1"/>
      <c r="K936" s="2"/>
      <c r="P936" s="2"/>
    </row>
    <row r="937" ht="12.0" customHeight="1">
      <c r="B937" s="1"/>
      <c r="K937" s="2"/>
      <c r="P937" s="2"/>
    </row>
    <row r="938" ht="12.0" customHeight="1">
      <c r="B938" s="1"/>
      <c r="K938" s="2"/>
      <c r="P938" s="2"/>
    </row>
    <row r="939" ht="12.0" customHeight="1">
      <c r="B939" s="1"/>
      <c r="K939" s="2"/>
      <c r="P939" s="2"/>
    </row>
    <row r="940" ht="12.0" customHeight="1">
      <c r="B940" s="1"/>
      <c r="K940" s="2"/>
      <c r="P940" s="2"/>
    </row>
    <row r="941" ht="12.0" customHeight="1">
      <c r="B941" s="1"/>
      <c r="K941" s="2"/>
      <c r="P941" s="2"/>
    </row>
    <row r="942" ht="12.0" customHeight="1">
      <c r="B942" s="1"/>
      <c r="K942" s="2"/>
      <c r="P942" s="2"/>
    </row>
    <row r="943" ht="12.0" customHeight="1">
      <c r="B943" s="1"/>
      <c r="K943" s="2"/>
      <c r="P943" s="2"/>
    </row>
    <row r="944" ht="12.0" customHeight="1">
      <c r="B944" s="1"/>
      <c r="K944" s="2"/>
      <c r="P944" s="2"/>
    </row>
    <row r="945" ht="12.0" customHeight="1">
      <c r="B945" s="1"/>
      <c r="K945" s="2"/>
      <c r="P945" s="2"/>
    </row>
    <row r="946" ht="12.0" customHeight="1">
      <c r="B946" s="1"/>
      <c r="K946" s="2"/>
      <c r="P946" s="2"/>
    </row>
    <row r="947" ht="12.0" customHeight="1">
      <c r="B947" s="1"/>
      <c r="K947" s="2"/>
      <c r="P947" s="2"/>
    </row>
    <row r="948" ht="12.0" customHeight="1">
      <c r="B948" s="1"/>
      <c r="K948" s="2"/>
      <c r="P948" s="2"/>
    </row>
    <row r="949" ht="12.0" customHeight="1">
      <c r="B949" s="1"/>
      <c r="K949" s="2"/>
      <c r="P949" s="2"/>
    </row>
    <row r="950" ht="12.0" customHeight="1">
      <c r="B950" s="1"/>
      <c r="K950" s="2"/>
      <c r="P950" s="2"/>
    </row>
    <row r="951" ht="12.0" customHeight="1">
      <c r="B951" s="1"/>
      <c r="K951" s="2"/>
      <c r="P951" s="2"/>
    </row>
    <row r="952" ht="12.0" customHeight="1">
      <c r="B952" s="1"/>
      <c r="K952" s="2"/>
      <c r="P952" s="2"/>
    </row>
    <row r="953" ht="12.0" customHeight="1">
      <c r="B953" s="1"/>
      <c r="K953" s="2"/>
      <c r="P953" s="2"/>
    </row>
    <row r="954" ht="12.0" customHeight="1">
      <c r="B954" s="1"/>
      <c r="K954" s="2"/>
      <c r="P954" s="2"/>
    </row>
    <row r="955" ht="12.0" customHeight="1">
      <c r="B955" s="1"/>
      <c r="K955" s="2"/>
      <c r="P955" s="2"/>
    </row>
    <row r="956" ht="12.0" customHeight="1">
      <c r="B956" s="1"/>
      <c r="K956" s="2"/>
      <c r="P956" s="2"/>
    </row>
    <row r="957" ht="12.0" customHeight="1">
      <c r="B957" s="1"/>
      <c r="K957" s="2"/>
      <c r="P957" s="2"/>
    </row>
    <row r="958" ht="12.0" customHeight="1">
      <c r="B958" s="1"/>
      <c r="K958" s="2"/>
      <c r="P958" s="2"/>
    </row>
    <row r="959" ht="12.0" customHeight="1">
      <c r="B959" s="1"/>
      <c r="K959" s="2"/>
      <c r="P959" s="2"/>
    </row>
    <row r="960" ht="12.0" customHeight="1">
      <c r="B960" s="1"/>
      <c r="K960" s="2"/>
      <c r="P960" s="2"/>
    </row>
    <row r="961" ht="12.0" customHeight="1">
      <c r="B961" s="1"/>
      <c r="K961" s="2"/>
      <c r="P961" s="2"/>
    </row>
    <row r="962" ht="12.0" customHeight="1">
      <c r="B962" s="1"/>
      <c r="K962" s="2"/>
      <c r="P962" s="2"/>
    </row>
    <row r="963" ht="12.0" customHeight="1">
      <c r="B963" s="1"/>
      <c r="K963" s="2"/>
      <c r="P963" s="2"/>
    </row>
    <row r="964" ht="12.0" customHeight="1">
      <c r="B964" s="1"/>
      <c r="K964" s="2"/>
      <c r="P964" s="2"/>
    </row>
    <row r="965" ht="12.0" customHeight="1">
      <c r="B965" s="1"/>
      <c r="K965" s="2"/>
      <c r="P965" s="2"/>
    </row>
    <row r="966" ht="12.0" customHeight="1">
      <c r="B966" s="1"/>
      <c r="K966" s="2"/>
      <c r="P966" s="2"/>
    </row>
    <row r="967" ht="12.0" customHeight="1">
      <c r="B967" s="1"/>
      <c r="K967" s="2"/>
      <c r="P967" s="2"/>
    </row>
    <row r="968" ht="12.0" customHeight="1">
      <c r="B968" s="1"/>
      <c r="K968" s="2"/>
      <c r="P968" s="2"/>
    </row>
    <row r="969" ht="12.0" customHeight="1">
      <c r="B969" s="1"/>
      <c r="K969" s="2"/>
      <c r="P969" s="2"/>
    </row>
    <row r="970" ht="12.0" customHeight="1">
      <c r="B970" s="1"/>
      <c r="K970" s="2"/>
      <c r="P970" s="2"/>
    </row>
    <row r="971" ht="12.0" customHeight="1">
      <c r="B971" s="1"/>
      <c r="K971" s="2"/>
      <c r="P971" s="2"/>
    </row>
    <row r="972" ht="12.0" customHeight="1">
      <c r="B972" s="1"/>
      <c r="K972" s="2"/>
      <c r="P972" s="2"/>
    </row>
    <row r="973" ht="12.0" customHeight="1">
      <c r="B973" s="1"/>
      <c r="K973" s="2"/>
      <c r="P973" s="2"/>
    </row>
    <row r="974" ht="12.0" customHeight="1">
      <c r="B974" s="1"/>
      <c r="K974" s="2"/>
      <c r="P974" s="2"/>
    </row>
    <row r="975" ht="12.0" customHeight="1">
      <c r="B975" s="1"/>
      <c r="K975" s="2"/>
      <c r="P975" s="2"/>
    </row>
    <row r="976" ht="12.0" customHeight="1">
      <c r="B976" s="1"/>
      <c r="K976" s="2"/>
      <c r="P976" s="2"/>
    </row>
    <row r="977" ht="12.0" customHeight="1">
      <c r="B977" s="1"/>
      <c r="K977" s="2"/>
      <c r="P977" s="2"/>
    </row>
    <row r="978" ht="12.0" customHeight="1">
      <c r="B978" s="1"/>
      <c r="K978" s="2"/>
      <c r="P978" s="2"/>
    </row>
    <row r="979" ht="12.0" customHeight="1">
      <c r="B979" s="1"/>
      <c r="K979" s="2"/>
      <c r="P979" s="2"/>
    </row>
    <row r="980" ht="12.0" customHeight="1">
      <c r="B980" s="1"/>
      <c r="K980" s="2"/>
      <c r="P980" s="2"/>
    </row>
    <row r="981" ht="12.0" customHeight="1">
      <c r="B981" s="1"/>
      <c r="K981" s="2"/>
      <c r="P981" s="2"/>
    </row>
    <row r="982" ht="12.0" customHeight="1">
      <c r="B982" s="1"/>
      <c r="K982" s="2"/>
      <c r="P982" s="2"/>
    </row>
    <row r="983" ht="12.0" customHeight="1">
      <c r="B983" s="1"/>
      <c r="K983" s="2"/>
      <c r="P983" s="2"/>
    </row>
    <row r="984" ht="12.0" customHeight="1">
      <c r="B984" s="1"/>
      <c r="K984" s="2"/>
      <c r="P984" s="2"/>
    </row>
    <row r="985" ht="12.0" customHeight="1">
      <c r="B985" s="1"/>
      <c r="K985" s="2"/>
      <c r="P985" s="2"/>
    </row>
    <row r="986" ht="12.0" customHeight="1">
      <c r="B986" s="1"/>
      <c r="K986" s="2"/>
      <c r="P986" s="2"/>
    </row>
    <row r="987" ht="12.0" customHeight="1">
      <c r="B987" s="1"/>
      <c r="K987" s="2"/>
      <c r="P987" s="2"/>
    </row>
    <row r="988" ht="12.0" customHeight="1">
      <c r="B988" s="1"/>
      <c r="K988" s="2"/>
      <c r="P988" s="2"/>
    </row>
    <row r="989" ht="12.0" customHeight="1">
      <c r="B989" s="1"/>
      <c r="K989" s="2"/>
      <c r="P989" s="2"/>
    </row>
    <row r="990" ht="12.0" customHeight="1">
      <c r="B990" s="1"/>
      <c r="K990" s="2"/>
      <c r="P990" s="2"/>
    </row>
    <row r="991" ht="12.0" customHeight="1">
      <c r="B991" s="1"/>
      <c r="K991" s="2"/>
      <c r="P991" s="2"/>
    </row>
    <row r="992" ht="12.0" customHeight="1">
      <c r="B992" s="1"/>
      <c r="K992" s="2"/>
      <c r="P992" s="2"/>
    </row>
    <row r="993" ht="12.0" customHeight="1">
      <c r="B993" s="1"/>
      <c r="K993" s="2"/>
      <c r="P993" s="2"/>
    </row>
    <row r="994" ht="12.0" customHeight="1">
      <c r="B994" s="1"/>
      <c r="K994" s="2"/>
      <c r="P994" s="2"/>
    </row>
    <row r="995" ht="12.0" customHeight="1">
      <c r="B995" s="1"/>
      <c r="K995" s="2"/>
      <c r="P995" s="2"/>
    </row>
    <row r="996" ht="12.0" customHeight="1">
      <c r="B996" s="1"/>
      <c r="K996" s="2"/>
      <c r="P996" s="2"/>
    </row>
    <row r="997" ht="12.0" customHeight="1">
      <c r="B997" s="1"/>
      <c r="K997" s="2"/>
      <c r="P997" s="2"/>
    </row>
    <row r="998" ht="12.0" customHeight="1">
      <c r="B998" s="1"/>
      <c r="K998" s="2"/>
      <c r="P998" s="2"/>
    </row>
    <row r="999" ht="12.0" customHeight="1">
      <c r="B999" s="1"/>
      <c r="K999" s="2"/>
      <c r="P999" s="2"/>
    </row>
  </sheetData>
  <mergeCells count="21">
    <mergeCell ref="J5:K5"/>
    <mergeCell ref="L5:M5"/>
    <mergeCell ref="O5:P5"/>
    <mergeCell ref="F6:H6"/>
    <mergeCell ref="I6:K6"/>
    <mergeCell ref="L6:N6"/>
    <mergeCell ref="B18:B20"/>
    <mergeCell ref="B54:B57"/>
    <mergeCell ref="B58:B60"/>
    <mergeCell ref="B61:B63"/>
    <mergeCell ref="B65:B67"/>
    <mergeCell ref="B68:B70"/>
    <mergeCell ref="B71:B73"/>
    <mergeCell ref="B75:B77"/>
    <mergeCell ref="B21:B25"/>
    <mergeCell ref="B26:B30"/>
    <mergeCell ref="B35:B37"/>
    <mergeCell ref="B38:B40"/>
    <mergeCell ref="B42:B44"/>
    <mergeCell ref="B45:B47"/>
    <mergeCell ref="B48:B53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2 J45 J58 J61 J65 J68 J71 J75 J80">
      <formula1>"YES,NO"</formula1>
    </dataValidation>
    <dataValidation type="list" allowBlank="1" showErrorMessage="1" sqref="O17:O18 O21 O26 O31 O35 O38 O42 O45 O48 O54 O58 O61 O65 O68 O71 O75 O80">
      <formula1>"DELAPIDATED,POOR,FAIR,GOOD,VERY GOOD,EXCELLENT,NOT APPLICABLE"</formula1>
    </dataValidation>
    <dataValidation type="list" allowBlank="1" showErrorMessage="1" sqref="J54">
      <formula1>"STEEL WINDOW FRAMES,ALUMINIUM WINDOW FRAMES,NO WINDOWS FITTED"</formula1>
    </dataValidation>
    <dataValidation type="list" allowBlank="1" showErrorMessage="1" sqref="J12">
      <formula1>"2010-2013,2014-2021,2021-2023"</formula1>
    </dataValidation>
    <dataValidation type="list" allowBlank="1" showErrorMessage="1" sqref="J48">
      <formula1>"VINYL FLOORING,TILING FLOORING,TIMBER FLOORING,CARPETS FLOORING,NO FLOORING"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orientation="portrait"/>
  <headerFooter>
    <oddFooter>&amp;C....Making Buildings Work Tel: 310 1353                         Cell: 74712201                    Email: temocs@gmail.com</oddFooter>
  </headerFooter>
  <rowBreaks count="1" manualBreakCount="1">
    <brk id="90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29.38"/>
    <col customWidth="1" hidden="1" min="4" max="5" width="27.38"/>
    <col customWidth="1" hidden="1" min="6" max="9" width="25.38"/>
    <col customWidth="1" min="10" max="10" width="25.0"/>
    <col customWidth="1" min="11" max="11" width="18.5"/>
    <col customWidth="1" hidden="1" min="12" max="12" width="23.13"/>
    <col customWidth="1" hidden="1" min="13" max="13" width="35.38"/>
    <col customWidth="1" hidden="1" min="14" max="14" width="44.63"/>
    <col customWidth="1" min="15" max="15" width="22.13"/>
    <col customWidth="1" min="16" max="16" width="19.0"/>
    <col customWidth="1" min="17" max="26" width="9.13"/>
  </cols>
  <sheetData>
    <row r="1" ht="12.0" customHeight="1">
      <c r="B1" s="1"/>
      <c r="K1" s="2"/>
      <c r="P1" s="2"/>
    </row>
    <row r="2" ht="12.0" customHeight="1">
      <c r="B2" s="1"/>
      <c r="K2" s="2"/>
      <c r="P2" s="2"/>
    </row>
    <row r="3" ht="12.0" customHeight="1">
      <c r="B3" s="1"/>
      <c r="C3" s="4" t="s">
        <v>146</v>
      </c>
      <c r="K3" s="2"/>
      <c r="P3" s="2"/>
    </row>
    <row r="4" ht="12.0" customHeight="1">
      <c r="B4" s="1"/>
      <c r="C4" s="4" t="s">
        <v>134</v>
      </c>
      <c r="K4" s="2"/>
      <c r="P4" s="2"/>
    </row>
    <row r="5" ht="34.5" customHeight="1">
      <c r="B5" s="1"/>
      <c r="C5" s="4"/>
      <c r="K5" s="2"/>
      <c r="P5" s="2"/>
    </row>
    <row r="6" ht="30.75" customHeight="1">
      <c r="B6" s="1"/>
      <c r="C6" s="152"/>
      <c r="J6" s="6" t="s">
        <v>2</v>
      </c>
      <c r="K6" s="7"/>
      <c r="L6" s="8" t="s">
        <v>3</v>
      </c>
      <c r="M6" s="7"/>
      <c r="O6" s="8" t="s">
        <v>3</v>
      </c>
      <c r="P6" s="7"/>
    </row>
    <row r="7" ht="49.5" hidden="1" customHeight="1">
      <c r="B7" s="631"/>
      <c r="C7" s="632"/>
      <c r="D7" s="633"/>
      <c r="E7" s="633"/>
      <c r="F7" s="535" t="s">
        <v>79</v>
      </c>
      <c r="G7" s="274"/>
      <c r="H7" s="7"/>
      <c r="I7" s="536" t="s">
        <v>80</v>
      </c>
      <c r="J7" s="274"/>
      <c r="K7" s="7"/>
      <c r="L7" s="635" t="s">
        <v>91</v>
      </c>
      <c r="M7" s="274"/>
      <c r="N7" s="7"/>
      <c r="O7" s="161"/>
      <c r="P7" s="2"/>
    </row>
    <row r="8" ht="49.5" hidden="1" customHeight="1">
      <c r="B8" s="631"/>
      <c r="C8" s="632" t="s">
        <v>147</v>
      </c>
      <c r="D8" s="633"/>
      <c r="E8" s="633"/>
      <c r="F8" s="636"/>
      <c r="G8" s="636"/>
      <c r="H8" s="636"/>
      <c r="I8" s="636"/>
      <c r="J8" s="636"/>
      <c r="K8" s="669"/>
      <c r="L8" s="729"/>
      <c r="M8" s="159"/>
      <c r="N8" s="160"/>
      <c r="P8" s="2"/>
    </row>
    <row r="9" ht="71.25" customHeight="1">
      <c r="A9" s="20"/>
      <c r="B9" s="649" t="s">
        <v>6</v>
      </c>
      <c r="C9" s="649" t="s">
        <v>7</v>
      </c>
      <c r="D9" s="359"/>
      <c r="E9" s="361" t="s">
        <v>8</v>
      </c>
      <c r="F9" s="362" t="s">
        <v>9</v>
      </c>
      <c r="G9" s="362" t="s">
        <v>10</v>
      </c>
      <c r="H9" s="362" t="s">
        <v>11</v>
      </c>
      <c r="I9" s="363" t="s">
        <v>12</v>
      </c>
      <c r="J9" s="26" t="s">
        <v>13</v>
      </c>
      <c r="K9" s="24" t="s">
        <v>14</v>
      </c>
      <c r="L9" s="641" t="s">
        <v>15</v>
      </c>
      <c r="M9" s="642" t="s">
        <v>16</v>
      </c>
      <c r="N9" s="643" t="s">
        <v>17</v>
      </c>
      <c r="O9" s="31" t="s">
        <v>18</v>
      </c>
      <c r="P9" s="24" t="s">
        <v>14</v>
      </c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0.0" hidden="1" customHeight="1">
      <c r="A10" s="20"/>
      <c r="B10" s="174"/>
      <c r="C10" s="174"/>
      <c r="D10" s="175"/>
      <c r="E10" s="37"/>
      <c r="F10" s="176">
        <v>3.0</v>
      </c>
      <c r="G10" s="176">
        <v>2.0</v>
      </c>
      <c r="H10" s="176">
        <v>1.0</v>
      </c>
      <c r="I10" s="277"/>
      <c r="J10" s="278"/>
      <c r="K10" s="740"/>
      <c r="L10" s="542"/>
      <c r="M10" s="281"/>
      <c r="N10" s="182"/>
      <c r="O10" s="17"/>
      <c r="P10" s="679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30.0" customHeight="1">
      <c r="A11" s="17"/>
      <c r="B11" s="52"/>
      <c r="C11" s="452" t="s">
        <v>19</v>
      </c>
      <c r="D11" s="185"/>
      <c r="E11" s="48"/>
      <c r="F11" s="186"/>
      <c r="G11" s="186"/>
      <c r="H11" s="186"/>
      <c r="I11" s="283"/>
      <c r="J11" s="188">
        <v>500.0</v>
      </c>
      <c r="K11" s="189"/>
      <c r="L11" s="190" t="str">
        <f>AVERAGE(#REF!)</f>
        <v>#REF!</v>
      </c>
      <c r="M11" s="191">
        <v>318.0</v>
      </c>
      <c r="N11" s="380"/>
      <c r="O11" s="193"/>
      <c r="P11" s="19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customHeight="1">
      <c r="A12" s="17"/>
      <c r="B12" s="52"/>
      <c r="C12" s="198" t="s">
        <v>20</v>
      </c>
      <c r="D12" s="185" t="s">
        <v>81</v>
      </c>
      <c r="E12" s="54"/>
      <c r="F12" s="186"/>
      <c r="G12" s="186"/>
      <c r="H12" s="186"/>
      <c r="I12" s="56"/>
      <c r="J12" s="703" t="s">
        <v>9</v>
      </c>
      <c r="K12" s="197"/>
      <c r="L12" s="190"/>
      <c r="M12" s="191"/>
      <c r="N12" s="380"/>
      <c r="O12" s="193"/>
      <c r="P12" s="19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hidden="1" customHeight="1">
      <c r="A13" s="17"/>
      <c r="B13" s="52"/>
      <c r="C13" s="198"/>
      <c r="D13" s="185" t="s">
        <v>11</v>
      </c>
      <c r="E13" s="54"/>
      <c r="F13" s="186"/>
      <c r="G13" s="186"/>
      <c r="H13" s="186"/>
      <c r="I13" s="56"/>
      <c r="J13" s="56"/>
      <c r="K13" s="285"/>
      <c r="L13" s="741"/>
      <c r="M13" s="742"/>
      <c r="N13" s="680"/>
      <c r="O13" s="17"/>
      <c r="P13" s="120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hidden="1" customHeight="1">
      <c r="A14" s="17"/>
      <c r="B14" s="52"/>
      <c r="C14" s="198"/>
      <c r="D14" s="185" t="s">
        <v>10</v>
      </c>
      <c r="E14" s="54"/>
      <c r="F14" s="186"/>
      <c r="G14" s="186"/>
      <c r="H14" s="186"/>
      <c r="I14" s="56"/>
      <c r="J14" s="56"/>
      <c r="K14" s="58"/>
      <c r="L14" s="552"/>
      <c r="M14" s="319"/>
      <c r="N14" s="680"/>
      <c r="O14" s="17"/>
      <c r="P14" s="99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hidden="1" customHeight="1">
      <c r="A15" s="17"/>
      <c r="B15" s="52"/>
      <c r="C15" s="198"/>
      <c r="D15" s="185" t="s">
        <v>9</v>
      </c>
      <c r="E15" s="17"/>
      <c r="F15" s="186"/>
      <c r="G15" s="186"/>
      <c r="H15" s="186"/>
      <c r="I15" s="56"/>
      <c r="J15" s="56"/>
      <c r="K15" s="58"/>
      <c r="L15" s="552"/>
      <c r="M15" s="319"/>
      <c r="N15" s="680"/>
      <c r="O15" s="17"/>
      <c r="P15" s="99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hidden="1" customHeight="1">
      <c r="A16" s="17"/>
      <c r="B16" s="52"/>
      <c r="C16" s="198"/>
      <c r="D16" s="185" t="s">
        <v>21</v>
      </c>
      <c r="E16" s="63">
        <v>1.24</v>
      </c>
      <c r="F16" s="186"/>
      <c r="G16" s="203">
        <v>1.25</v>
      </c>
      <c r="H16" s="203">
        <v>1.32</v>
      </c>
      <c r="I16" s="56"/>
      <c r="J16" s="56"/>
      <c r="K16" s="58"/>
      <c r="L16" s="552"/>
      <c r="M16" s="319"/>
      <c r="N16" s="680"/>
      <c r="O16" s="17"/>
      <c r="P16" s="60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67">
        <f>656.100628930818*E16</f>
        <v>813.5647799</v>
      </c>
      <c r="G17" s="67">
        <f t="shared" ref="G17:G33" si="1">F17/$G$16</f>
        <v>650.8518239</v>
      </c>
      <c r="H17" s="67">
        <f t="shared" ref="H17:H33" si="2">F17/$H$16</f>
        <v>616.3369545</v>
      </c>
      <c r="I17" s="68"/>
      <c r="J17" s="204"/>
      <c r="K17" s="70">
        <f>IF(J12="2010-2013",J11*H17,IF(J12="2014-2021",J11*G17,IF(J12="2021-2023",J11*F17,-2)))</f>
        <v>406782.3899</v>
      </c>
      <c r="L17" s="552" t="str">
        <f t="shared" ref="L17:L18" si="3">AVERAGE(#REF!)</f>
        <v>#REF!</v>
      </c>
      <c r="M17" s="296">
        <v>208640.0</v>
      </c>
      <c r="N17" s="206">
        <f t="shared" ref="N17:N18" si="4">M17/$M$11</f>
        <v>656.1006289</v>
      </c>
      <c r="O17" s="207" t="s">
        <v>23</v>
      </c>
      <c r="P17" s="73">
        <f t="shared" ref="P17:P18" si="5">IF(O17="Delapidated",K17*0.6,IF(O17="Poor",K17*0.7,IF(O17="Fair",K17*0.8,IF(O17="Good",K17*0.85,IF(O17="Very Good",K17*0.9,IF(O17="Excellent",K17*1,IF(O17="Not Applicable",K17*1,0)))))))</f>
        <v>406782.3899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66"/>
      <c r="F18" s="209"/>
      <c r="G18" s="67">
        <f t="shared" si="1"/>
        <v>0</v>
      </c>
      <c r="H18" s="67">
        <f t="shared" si="2"/>
        <v>0</v>
      </c>
      <c r="I18" s="68"/>
      <c r="J18" s="72" t="s">
        <v>25</v>
      </c>
      <c r="K18" s="70">
        <f>IF(J18="YES",IF(J12="2010-2013",H19*$J$11,IF(J12="2014-2021",G19*$J$11,IF(J12="2021-2023",F19*$J$11,0))),0)</f>
        <v>98615.09434</v>
      </c>
      <c r="L18" s="552" t="str">
        <f t="shared" si="3"/>
        <v>#REF!</v>
      </c>
      <c r="M18" s="296">
        <v>50580.0</v>
      </c>
      <c r="N18" s="206">
        <f t="shared" si="4"/>
        <v>159.0566038</v>
      </c>
      <c r="O18" s="207" t="s">
        <v>23</v>
      </c>
      <c r="P18" s="73">
        <f t="shared" si="5"/>
        <v>98615.09434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hidden="1" customHeight="1">
      <c r="A19" s="34"/>
      <c r="B19" s="84"/>
      <c r="C19" s="79" t="s">
        <v>25</v>
      </c>
      <c r="D19" s="66"/>
      <c r="E19" s="66"/>
      <c r="F19" s="67">
        <f>159.056603773585*E16</f>
        <v>197.2301887</v>
      </c>
      <c r="G19" s="67">
        <f t="shared" si="1"/>
        <v>157.7841509</v>
      </c>
      <c r="H19" s="67">
        <f t="shared" si="2"/>
        <v>149.4168096</v>
      </c>
      <c r="I19" s="77">
        <v>1.0</v>
      </c>
      <c r="J19" s="68"/>
      <c r="K19" s="70"/>
      <c r="L19" s="552"/>
      <c r="M19" s="296"/>
      <c r="N19" s="206"/>
      <c r="O19" s="34"/>
      <c r="P19" s="402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hidden="1" customHeight="1">
      <c r="A20" s="34"/>
      <c r="B20" s="85"/>
      <c r="C20" s="79" t="s">
        <v>26</v>
      </c>
      <c r="D20" s="66"/>
      <c r="E20" s="66"/>
      <c r="F20" s="67">
        <v>0.0</v>
      </c>
      <c r="G20" s="67">
        <f t="shared" si="1"/>
        <v>0</v>
      </c>
      <c r="H20" s="67">
        <f t="shared" si="2"/>
        <v>0</v>
      </c>
      <c r="I20" s="77">
        <v>2.0</v>
      </c>
      <c r="J20" s="68"/>
      <c r="K20" s="70"/>
      <c r="L20" s="552"/>
      <c r="M20" s="296"/>
      <c r="N20" s="206"/>
      <c r="O20" s="34"/>
      <c r="P20" s="402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208" t="s">
        <v>27</v>
      </c>
      <c r="D21" s="66"/>
      <c r="E21" s="66"/>
      <c r="F21" s="67"/>
      <c r="G21" s="67">
        <f t="shared" si="1"/>
        <v>0</v>
      </c>
      <c r="H21" s="67">
        <f t="shared" si="2"/>
        <v>0</v>
      </c>
      <c r="I21" s="68"/>
      <c r="J21" s="72" t="s">
        <v>28</v>
      </c>
      <c r="K21" s="70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318851.5723</v>
      </c>
      <c r="L21" s="552" t="str">
        <f>AVERAGE(#REF!)</f>
        <v>#REF!</v>
      </c>
      <c r="M21" s="296">
        <f>158800+4740</f>
        <v>163540</v>
      </c>
      <c r="N21" s="206">
        <f>M21/$M$11</f>
        <v>514.2767296</v>
      </c>
      <c r="O21" s="207" t="s">
        <v>23</v>
      </c>
      <c r="P21" s="73">
        <f>IF(O21="Delapidated",K21*0.6,IF(O21="Poor",K21*0.7,IF(O21="Fair",K21*0.8,IF(O21="Good",K21*0.85,IF(O21="Very Good",K21*0.9,IF(O21="Excellent",K21*1,IF(O21="Not Applicable",K21*1,0)))))))</f>
        <v>318851.5723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hidden="1" customHeight="1">
      <c r="A22" s="34"/>
      <c r="B22" s="84"/>
      <c r="C22" s="79" t="s">
        <v>28</v>
      </c>
      <c r="D22" s="66"/>
      <c r="E22" s="66"/>
      <c r="F22" s="67">
        <f>514.276729559748*E16</f>
        <v>637.7031447</v>
      </c>
      <c r="G22" s="67">
        <f t="shared" si="1"/>
        <v>510.1625157</v>
      </c>
      <c r="H22" s="67">
        <f t="shared" si="2"/>
        <v>483.1084429</v>
      </c>
      <c r="I22" s="77">
        <v>1.0</v>
      </c>
      <c r="J22" s="68"/>
      <c r="K22" s="70"/>
      <c r="L22" s="552"/>
      <c r="M22" s="296"/>
      <c r="N22" s="206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hidden="1" customHeight="1">
      <c r="A23" s="34"/>
      <c r="B23" s="84"/>
      <c r="C23" s="79" t="s">
        <v>29</v>
      </c>
      <c r="D23" s="66"/>
      <c r="E23" s="66"/>
      <c r="F23" s="67">
        <f>F22*0.8</f>
        <v>510.1625157</v>
      </c>
      <c r="G23" s="67">
        <f t="shared" si="1"/>
        <v>408.1300126</v>
      </c>
      <c r="H23" s="67">
        <f t="shared" si="2"/>
        <v>386.4867543</v>
      </c>
      <c r="I23" s="77">
        <v>2.0</v>
      </c>
      <c r="J23" s="68"/>
      <c r="K23" s="70"/>
      <c r="L23" s="552"/>
      <c r="M23" s="296"/>
      <c r="N23" s="206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hidden="1" customHeight="1">
      <c r="A24" s="34"/>
      <c r="B24" s="84"/>
      <c r="C24" s="79" t="s">
        <v>30</v>
      </c>
      <c r="D24" s="66"/>
      <c r="E24" s="66"/>
      <c r="F24" s="67">
        <f>F22*1.3</f>
        <v>829.0140881</v>
      </c>
      <c r="G24" s="67">
        <f t="shared" si="1"/>
        <v>663.2112704</v>
      </c>
      <c r="H24" s="67">
        <f t="shared" si="2"/>
        <v>628.0409758</v>
      </c>
      <c r="I24" s="77">
        <v>3.0</v>
      </c>
      <c r="J24" s="68"/>
      <c r="K24" s="70"/>
      <c r="L24" s="552"/>
      <c r="M24" s="296"/>
      <c r="N24" s="206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hidden="1" customHeight="1">
      <c r="A25" s="34"/>
      <c r="B25" s="85"/>
      <c r="C25" s="79" t="s">
        <v>31</v>
      </c>
      <c r="D25" s="66"/>
      <c r="E25" s="66"/>
      <c r="F25" s="67">
        <v>0.0</v>
      </c>
      <c r="G25" s="67">
        <f t="shared" si="1"/>
        <v>0</v>
      </c>
      <c r="H25" s="67">
        <f t="shared" si="2"/>
        <v>0</v>
      </c>
      <c r="I25" s="77">
        <v>4.0</v>
      </c>
      <c r="J25" s="68"/>
      <c r="K25" s="70"/>
      <c r="L25" s="552"/>
      <c r="M25" s="296"/>
      <c r="N25" s="206"/>
      <c r="O25" s="34"/>
      <c r="P25" s="402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127</v>
      </c>
      <c r="D26" s="66"/>
      <c r="E26" s="66"/>
      <c r="F26" s="67"/>
      <c r="G26" s="67">
        <f t="shared" si="1"/>
        <v>0</v>
      </c>
      <c r="H26" s="67">
        <f t="shared" si="2"/>
        <v>0</v>
      </c>
      <c r="I26" s="68"/>
      <c r="J26" s="72" t="s">
        <v>33</v>
      </c>
      <c r="K26" s="70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80600</v>
      </c>
      <c r="L26" s="552" t="str">
        <f>AVERAGE(#REF!)</f>
        <v>#REF!</v>
      </c>
      <c r="M26" s="296">
        <f>179820+8260</f>
        <v>188080</v>
      </c>
      <c r="N26" s="206">
        <f>M26/$M$11</f>
        <v>591.4465409</v>
      </c>
      <c r="O26" s="207" t="s">
        <v>23</v>
      </c>
      <c r="P26" s="73">
        <f>IF(O26="Delapidated",K26*0.6,IF(O26="Poor",K26*0.7,IF(O26="Fair",K26*0.8,IF(O26="Good",K26*0.85,IF(O26="Very Good",K26*0.9,IF(O26="Excellent",K26*1,IF(O26="Not Applicable",K26*1,0)))))))</f>
        <v>80600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hidden="1" customHeight="1">
      <c r="A27" s="34"/>
      <c r="B27" s="84"/>
      <c r="C27" s="79" t="s">
        <v>33</v>
      </c>
      <c r="D27" s="66"/>
      <c r="E27" s="66"/>
      <c r="F27" s="67">
        <f>130*E16</f>
        <v>161.2</v>
      </c>
      <c r="G27" s="67">
        <f t="shared" si="1"/>
        <v>128.96</v>
      </c>
      <c r="H27" s="67">
        <f t="shared" si="2"/>
        <v>122.1212121</v>
      </c>
      <c r="I27" s="77">
        <v>1.0</v>
      </c>
      <c r="J27" s="68"/>
      <c r="K27" s="70"/>
      <c r="L27" s="552"/>
      <c r="M27" s="296"/>
      <c r="N27" s="206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hidden="1" customHeight="1">
      <c r="A28" s="34"/>
      <c r="B28" s="84"/>
      <c r="C28" s="79" t="s">
        <v>34</v>
      </c>
      <c r="D28" s="66"/>
      <c r="E28" s="66"/>
      <c r="F28" s="67">
        <f>F27*1.6</f>
        <v>257.92</v>
      </c>
      <c r="G28" s="67">
        <f t="shared" si="1"/>
        <v>206.336</v>
      </c>
      <c r="H28" s="67">
        <f t="shared" si="2"/>
        <v>195.3939394</v>
      </c>
      <c r="I28" s="77">
        <v>2.0</v>
      </c>
      <c r="J28" s="68"/>
      <c r="K28" s="70"/>
      <c r="L28" s="552"/>
      <c r="M28" s="296"/>
      <c r="N28" s="206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hidden="1" customHeight="1">
      <c r="A29" s="34"/>
      <c r="B29" s="84"/>
      <c r="C29" s="79" t="s">
        <v>35</v>
      </c>
      <c r="D29" s="66"/>
      <c r="E29" s="66"/>
      <c r="F29" s="67">
        <f>F27*0.6</f>
        <v>96.72</v>
      </c>
      <c r="G29" s="67">
        <f t="shared" si="1"/>
        <v>77.376</v>
      </c>
      <c r="H29" s="67">
        <f t="shared" si="2"/>
        <v>73.27272727</v>
      </c>
      <c r="I29" s="77">
        <v>3.0</v>
      </c>
      <c r="J29" s="68"/>
      <c r="K29" s="70"/>
      <c r="L29" s="552"/>
      <c r="M29" s="296"/>
      <c r="N29" s="206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hidden="1" customHeight="1">
      <c r="A30" s="34"/>
      <c r="B30" s="85"/>
      <c r="C30" s="79" t="s">
        <v>36</v>
      </c>
      <c r="D30" s="66"/>
      <c r="E30" s="66"/>
      <c r="F30" s="67">
        <v>0.0</v>
      </c>
      <c r="G30" s="67">
        <f t="shared" si="1"/>
        <v>0</v>
      </c>
      <c r="H30" s="67">
        <f t="shared" si="2"/>
        <v>0</v>
      </c>
      <c r="I30" s="77">
        <v>4.0</v>
      </c>
      <c r="J30" s="68"/>
      <c r="K30" s="70"/>
      <c r="L30" s="552"/>
      <c r="M30" s="296"/>
      <c r="N30" s="206"/>
      <c r="O30" s="34"/>
      <c r="P30" s="402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4">
        <f>B26+1</f>
        <v>5</v>
      </c>
      <c r="C31" s="74" t="s">
        <v>37</v>
      </c>
      <c r="D31" s="66"/>
      <c r="E31" s="66"/>
      <c r="F31" s="67"/>
      <c r="G31" s="67">
        <f t="shared" si="1"/>
        <v>0</v>
      </c>
      <c r="H31" s="67">
        <f t="shared" si="2"/>
        <v>0</v>
      </c>
      <c r="I31" s="77"/>
      <c r="J31" s="72" t="s">
        <v>38</v>
      </c>
      <c r="K31" s="70">
        <f>IF(J31="TIMBER ROOF TRUSSES",IF(J12="2010-2013",H32*$J$11,IF(J12="2014-2021",G32*$J$11,IF(J12="2021-2023",F32*$J$11,0))),IF(J31="STRUCTURAL STEEL TRUSSES",IF(J12="2010-2013",H33*$J$11,IF(J12="2014-2021",G33*$J$11,IF(J12="2021-2023",F33*$J$11,0))),0))</f>
        <v>217000</v>
      </c>
      <c r="L31" s="59" t="str">
        <f>AVERAGE(#REF!)</f>
        <v>#REF!</v>
      </c>
      <c r="M31" s="43">
        <f>51922.2222222222+844</f>
        <v>52766.22222</v>
      </c>
      <c r="N31" s="71" t="str">
        <f>M31/$Q$10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130200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hidden="1" customHeight="1">
      <c r="A32" s="34"/>
      <c r="B32" s="44"/>
      <c r="C32" s="79" t="s">
        <v>38</v>
      </c>
      <c r="D32" s="66"/>
      <c r="E32" s="66"/>
      <c r="F32" s="67">
        <f>350*E16</f>
        <v>434</v>
      </c>
      <c r="G32" s="67">
        <f t="shared" si="1"/>
        <v>347.2</v>
      </c>
      <c r="H32" s="67">
        <f t="shared" si="2"/>
        <v>328.7878788</v>
      </c>
      <c r="I32" s="77"/>
      <c r="J32" s="68"/>
      <c r="K32" s="70"/>
      <c r="L32" s="552"/>
      <c r="M32" s="296"/>
      <c r="N32" s="206"/>
      <c r="O32" s="34"/>
      <c r="P32" s="402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hidden="1" customHeight="1">
      <c r="A33" s="34"/>
      <c r="B33" s="44"/>
      <c r="C33" s="79" t="s">
        <v>137</v>
      </c>
      <c r="D33" s="66"/>
      <c r="E33" s="66"/>
      <c r="F33" s="67">
        <f>1100*E16</f>
        <v>1364</v>
      </c>
      <c r="G33" s="67">
        <f t="shared" si="1"/>
        <v>1091.2</v>
      </c>
      <c r="H33" s="67">
        <f t="shared" si="2"/>
        <v>1033.333333</v>
      </c>
      <c r="I33" s="77"/>
      <c r="J33" s="68"/>
      <c r="K33" s="70"/>
      <c r="L33" s="552"/>
      <c r="M33" s="296"/>
      <c r="N33" s="206"/>
      <c r="O33" s="34"/>
      <c r="P33" s="402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hidden="1" customHeight="1">
      <c r="A34" s="34"/>
      <c r="B34" s="44"/>
      <c r="C34" s="79" t="s">
        <v>41</v>
      </c>
      <c r="D34" s="66"/>
      <c r="E34" s="66"/>
      <c r="F34" s="67">
        <v>0.0</v>
      </c>
      <c r="G34" s="67" t="str">
        <f>F34/$L$17</f>
        <v>#REF!</v>
      </c>
      <c r="H34" s="67">
        <f>F34/$M$17</f>
        <v>0</v>
      </c>
      <c r="I34" s="77"/>
      <c r="J34" s="68"/>
      <c r="K34" s="70"/>
      <c r="L34" s="552"/>
      <c r="M34" s="296"/>
      <c r="N34" s="206"/>
      <c r="O34" s="34"/>
      <c r="P34" s="402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3">
        <v>6.0</v>
      </c>
      <c r="C35" s="208" t="s">
        <v>148</v>
      </c>
      <c r="D35" s="66"/>
      <c r="E35" s="66"/>
      <c r="F35" s="67"/>
      <c r="G35" s="67"/>
      <c r="H35" s="67"/>
      <c r="I35" s="68"/>
      <c r="J35" s="72" t="s">
        <v>25</v>
      </c>
      <c r="K35" s="70">
        <f>IF(J35="YES",IF(J12="2010-2013",H36*$J$11,IF(J12="2014-2021",G36*$J$11,IF(J12="2021-2023",F36*$J$11,0))),0)</f>
        <v>5646.913208</v>
      </c>
      <c r="L35" s="552" t="str">
        <f>AVERAGE(#REF!)</f>
        <v>#REF!</v>
      </c>
      <c r="M35" s="296">
        <f>17800+15800</f>
        <v>33600</v>
      </c>
      <c r="N35" s="206">
        <f>M35/$M$11</f>
        <v>105.6603774</v>
      </c>
      <c r="O35" s="207" t="s">
        <v>23</v>
      </c>
      <c r="P35" s="73">
        <f>IF(O35="Delapidated",K35*0.6,IF(O35="Poor",K35*0.7,IF(O35="Fair",K35*0.8,IF(O35="Good",K35*0.85,IF(O35="Very Good",K35*0.9,IF(O35="Excellent",K35*1,IF(O35="Not Applicable",K35*1,0)))))))</f>
        <v>5646.913208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hidden="1" customHeight="1">
      <c r="A36" s="34"/>
      <c r="B36" s="84"/>
      <c r="C36" s="79" t="s">
        <v>25</v>
      </c>
      <c r="D36" s="66"/>
      <c r="E36" s="66"/>
      <c r="F36" s="67">
        <f>105.660377358491*8.62%*E16</f>
        <v>11.29382642</v>
      </c>
      <c r="G36" s="67">
        <f t="shared" ref="G36:G37" si="6">F36/$G$16</f>
        <v>9.035061132</v>
      </c>
      <c r="H36" s="67">
        <f t="shared" ref="H36:H37" si="7">F36/$H$16</f>
        <v>8.555929102</v>
      </c>
      <c r="I36" s="77">
        <v>1.0</v>
      </c>
      <c r="J36" s="68"/>
      <c r="K36" s="70"/>
      <c r="L36" s="552"/>
      <c r="M36" s="296"/>
      <c r="N36" s="206"/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hidden="1" customHeight="1">
      <c r="A37" s="34"/>
      <c r="B37" s="85"/>
      <c r="C37" s="79" t="s">
        <v>26</v>
      </c>
      <c r="D37" s="66"/>
      <c r="E37" s="66"/>
      <c r="F37" s="67">
        <v>0.0</v>
      </c>
      <c r="G37" s="67">
        <f t="shared" si="6"/>
        <v>0</v>
      </c>
      <c r="H37" s="67">
        <f t="shared" si="7"/>
        <v>0</v>
      </c>
      <c r="I37" s="77">
        <v>2.0</v>
      </c>
      <c r="J37" s="68"/>
      <c r="K37" s="70"/>
      <c r="L37" s="552"/>
      <c r="M37" s="296"/>
      <c r="N37" s="206"/>
      <c r="O37" s="34"/>
      <c r="P37" s="402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3">
        <f>B35+1</f>
        <v>7</v>
      </c>
      <c r="C38" s="208" t="s">
        <v>45</v>
      </c>
      <c r="D38" s="66"/>
      <c r="E38" s="66"/>
      <c r="F38" s="67"/>
      <c r="G38" s="67"/>
      <c r="H38" s="67"/>
      <c r="I38" s="68"/>
      <c r="J38" s="72" t="s">
        <v>25</v>
      </c>
      <c r="K38" s="70">
        <f>IF(J38="YES",IF(J12="2010-2013",H39*$J$11,IF(J12="2014-2021",G39*$J$11,IF(J12="2021-2023",F39*$J$11,0))),0)</f>
        <v>48568.69434</v>
      </c>
      <c r="L38" s="552"/>
      <c r="M38" s="296"/>
      <c r="N38" s="206"/>
      <c r="O38" s="207" t="s">
        <v>23</v>
      </c>
      <c r="P38" s="73">
        <f>IF(O38="Delapidated",K38*0.6,IF(O38="Poor",K38*0.7,IF(O38="Fair",K38*0.8,IF(O38="Good",K38*0.85,IF(O38="Very Good",K38*0.9,IF(O38="Excellent",K38*1,IF(O38="Not Applicable",K38*1,0)))))))</f>
        <v>48568.69434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hidden="1" customHeight="1">
      <c r="A39" s="34"/>
      <c r="B39" s="84"/>
      <c r="C39" s="79" t="s">
        <v>25</v>
      </c>
      <c r="D39" s="66"/>
      <c r="E39" s="66"/>
      <c r="F39" s="67">
        <f>105.660377358491*74.14%*E16</f>
        <v>97.13738868</v>
      </c>
      <c r="G39" s="67">
        <f t="shared" ref="G39:G40" si="8">F39/$G$16</f>
        <v>77.70991094</v>
      </c>
      <c r="H39" s="67">
        <f t="shared" ref="H39:H40" si="9">F39/$H$16</f>
        <v>73.58893082</v>
      </c>
      <c r="I39" s="77">
        <v>1.0</v>
      </c>
      <c r="J39" s="68"/>
      <c r="K39" s="70"/>
      <c r="L39" s="552"/>
      <c r="M39" s="296"/>
      <c r="N39" s="206"/>
      <c r="O39" s="34"/>
      <c r="P39" s="402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hidden="1" customHeight="1">
      <c r="A40" s="34"/>
      <c r="B40" s="85"/>
      <c r="C40" s="79" t="s">
        <v>26</v>
      </c>
      <c r="D40" s="66"/>
      <c r="E40" s="66"/>
      <c r="F40" s="67">
        <v>0.0</v>
      </c>
      <c r="G40" s="67">
        <f t="shared" si="8"/>
        <v>0</v>
      </c>
      <c r="H40" s="67">
        <f t="shared" si="9"/>
        <v>0</v>
      </c>
      <c r="I40" s="77">
        <v>2.0</v>
      </c>
      <c r="J40" s="68"/>
      <c r="K40" s="70"/>
      <c r="L40" s="552"/>
      <c r="M40" s="296"/>
      <c r="N40" s="206"/>
      <c r="O40" s="34"/>
      <c r="P40" s="402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44"/>
      <c r="C41" s="214" t="s">
        <v>48</v>
      </c>
      <c r="D41" s="66"/>
      <c r="E41" s="66"/>
      <c r="F41" s="67"/>
      <c r="G41" s="67"/>
      <c r="H41" s="67"/>
      <c r="I41" s="77"/>
      <c r="J41" s="227">
        <v>6.0</v>
      </c>
      <c r="K41" s="34"/>
      <c r="L41" s="199"/>
      <c r="M41" s="205"/>
      <c r="N41" s="206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3">
        <f>B38+1</f>
        <v>8</v>
      </c>
      <c r="C42" s="208" t="s">
        <v>49</v>
      </c>
      <c r="D42" s="66"/>
      <c r="E42" s="66"/>
      <c r="F42" s="67"/>
      <c r="G42" s="67"/>
      <c r="H42" s="67"/>
      <c r="I42" s="68"/>
      <c r="J42" s="72" t="s">
        <v>25</v>
      </c>
      <c r="K42" s="70">
        <f>IF(J42="YES",IF($J$13="2010-2013",H43*J41,IF(J12="2014-2021",G43*J41,IF(J12="2021-2023",F43*J41,0))),0)</f>
        <v>24000</v>
      </c>
      <c r="L42" s="552"/>
      <c r="M42" s="296"/>
      <c r="N42" s="206"/>
      <c r="O42" s="207" t="s">
        <v>23</v>
      </c>
      <c r="P42" s="73">
        <f>IF(O42="Delapidated",K42*0.6,IF(O42="Poor",K42*0.7,IF(O42="Fair",K42*0.8,IF(O42="Good",K42*0.85,IF(O42="Very Good",K42*0.9,IF(O42="Excellent",K42*1,IF(O42="Not Applicable",K42*1,0)))))))</f>
        <v>24000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hidden="1" customHeight="1">
      <c r="A43" s="34"/>
      <c r="B43" s="84"/>
      <c r="C43" s="79" t="s">
        <v>25</v>
      </c>
      <c r="D43" s="66"/>
      <c r="E43" s="66"/>
      <c r="F43" s="67">
        <v>4000.0</v>
      </c>
      <c r="G43" s="67">
        <f t="shared" ref="G43:G44" si="10">F43/$G$16</f>
        <v>3200</v>
      </c>
      <c r="H43" s="67">
        <f t="shared" ref="H43:H44" si="11">F43/$H$16</f>
        <v>3030.30303</v>
      </c>
      <c r="I43" s="77">
        <v>1.0</v>
      </c>
      <c r="J43" s="68"/>
      <c r="K43" s="70"/>
      <c r="L43" s="552"/>
      <c r="M43" s="296"/>
      <c r="N43" s="206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hidden="1" customHeight="1">
      <c r="A44" s="34"/>
      <c r="B44" s="85"/>
      <c r="C44" s="79" t="s">
        <v>26</v>
      </c>
      <c r="D44" s="66"/>
      <c r="E44" s="66"/>
      <c r="F44" s="67">
        <v>0.0</v>
      </c>
      <c r="G44" s="67">
        <f t="shared" si="10"/>
        <v>0</v>
      </c>
      <c r="H44" s="67">
        <f t="shared" si="11"/>
        <v>0</v>
      </c>
      <c r="I44" s="77">
        <v>2.0</v>
      </c>
      <c r="J44" s="68"/>
      <c r="K44" s="70"/>
      <c r="L44" s="552"/>
      <c r="M44" s="296"/>
      <c r="N44" s="206"/>
      <c r="O44" s="34"/>
      <c r="P44" s="402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83">
        <f>B42+1</f>
        <v>9</v>
      </c>
      <c r="C45" s="208" t="s">
        <v>50</v>
      </c>
      <c r="D45" s="66"/>
      <c r="E45" s="66"/>
      <c r="F45" s="67"/>
      <c r="G45" s="67"/>
      <c r="H45" s="67"/>
      <c r="I45" s="68"/>
      <c r="J45" s="72" t="s">
        <v>25</v>
      </c>
      <c r="K45" s="70">
        <f>IF(J45="YES",IF(J12="2010-2013",H46*$J$11,IF(J12="2014-2021",G46*$J$11,IF(J12="2021-2023",F46*$J$11,0))),0)</f>
        <v>112886.7925</v>
      </c>
      <c r="L45" s="552" t="str">
        <f>AVERAGE(#REF!)</f>
        <v>#REF!</v>
      </c>
      <c r="M45" s="296">
        <v>57900.0</v>
      </c>
      <c r="N45" s="206">
        <f>M45/$M$11</f>
        <v>182.0754717</v>
      </c>
      <c r="O45" s="207" t="s">
        <v>23</v>
      </c>
      <c r="P45" s="73">
        <f>IF(O45="Delapidated",K45*0.6,IF(O45="Poor",K45*0.7,IF(O45="Fair",K45*0.8,IF(O45="Good",K45*0.85,IF(O45="Very Good",K45*0.9,IF(O45="Excellent",K45*1,IF(O45="Not Applicable",K45*1,0)))))))</f>
        <v>112886.7925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hidden="1" customHeight="1">
      <c r="A46" s="34"/>
      <c r="B46" s="84"/>
      <c r="C46" s="79" t="s">
        <v>25</v>
      </c>
      <c r="D46" s="66"/>
      <c r="E46" s="66"/>
      <c r="F46" s="67">
        <f>182.075471698113*E16</f>
        <v>225.7735849</v>
      </c>
      <c r="G46" s="67">
        <f t="shared" ref="G46:G47" si="12">F46/$G$16</f>
        <v>180.6188679</v>
      </c>
      <c r="H46" s="67">
        <f t="shared" ref="H46:H47" si="13">F46/$H$16</f>
        <v>171.0405946</v>
      </c>
      <c r="I46" s="77">
        <v>1.0</v>
      </c>
      <c r="J46" s="68"/>
      <c r="K46" s="70"/>
      <c r="L46" s="552"/>
      <c r="M46" s="296"/>
      <c r="N46" s="206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hidden="1" customHeight="1">
      <c r="A47" s="34"/>
      <c r="B47" s="85"/>
      <c r="C47" s="79" t="s">
        <v>26</v>
      </c>
      <c r="D47" s="66"/>
      <c r="E47" s="66"/>
      <c r="F47" s="67">
        <v>0.0</v>
      </c>
      <c r="G47" s="67">
        <f t="shared" si="12"/>
        <v>0</v>
      </c>
      <c r="H47" s="67">
        <f t="shared" si="13"/>
        <v>0</v>
      </c>
      <c r="I47" s="77">
        <v>2.0</v>
      </c>
      <c r="J47" s="68"/>
      <c r="K47" s="70"/>
      <c r="L47" s="552"/>
      <c r="M47" s="296"/>
      <c r="N47" s="206"/>
      <c r="O47" s="34"/>
      <c r="P47" s="402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83">
        <v>10.0</v>
      </c>
      <c r="C48" s="92" t="s">
        <v>51</v>
      </c>
      <c r="D48" s="66"/>
      <c r="E48" s="66"/>
      <c r="F48" s="67"/>
      <c r="G48" s="67"/>
      <c r="H48" s="67"/>
      <c r="I48" s="77"/>
      <c r="J48" s="72" t="s">
        <v>52</v>
      </c>
      <c r="K48" s="70">
        <f>IF(J48="VINYL FLOORING",IF(J12="2010-2013",H49*$J$11,IF(J12="2014-2021",G49*$J$11,IF(J12="2021-2023",F49*$J$11,0))),IF(J48="TILING FLOORING",IF(J12="2010-2013",H50*$J$11,IF(J12="2014-2021",G50*$J$11,IF(J12="2021-2023",F50*$J$11,0))),IF(J48="TIMBER FLOORING",IF(J12="2010-2013",H51*$J$11,IF(J12="2014-2021",G51*$J$11,IF(J12="2021-2023",F51*$J$11,0))),IF(J48="CARPETS FLOORING",IF(J12="2010-2013",H52*$J$11,IF(J12="2014-2021",G52*$J$11,IF(J12="2021-2023",F52*$J$11,0))),0))))</f>
        <v>176781.8868</v>
      </c>
      <c r="L48" s="552"/>
      <c r="M48" s="296"/>
      <c r="N48" s="206"/>
      <c r="O48" s="207" t="s">
        <v>23</v>
      </c>
      <c r="P48" s="73">
        <f>IF(O48="Delapidated",K48*0.6,IF(O48="Poor",K48*0.7,IF(O48="Fair",K48*0.8,IF(O48="Good",K48*0.85,IF(O48="Very Good",K48*0.9,IF(O48="Excellent",K48*1,IF(O48="Not Applicable",K48*1,0)))))))</f>
        <v>176781.8868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hidden="1" customHeight="1">
      <c r="A49" s="34"/>
      <c r="B49" s="84"/>
      <c r="C49" s="79" t="s">
        <v>53</v>
      </c>
      <c r="D49" s="66"/>
      <c r="E49" s="66"/>
      <c r="F49" s="67">
        <f>F50*0.7</f>
        <v>247.4946415</v>
      </c>
      <c r="G49" s="67">
        <f t="shared" ref="G49:G53" si="14">F49/$G$16</f>
        <v>197.9957132</v>
      </c>
      <c r="H49" s="67">
        <f t="shared" ref="H49:H53" si="15">F49/$H$16</f>
        <v>187.4959405</v>
      </c>
      <c r="I49" s="77">
        <v>1.0</v>
      </c>
      <c r="J49" s="68"/>
      <c r="K49" s="70"/>
      <c r="L49" s="552"/>
      <c r="M49" s="296"/>
      <c r="N49" s="206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hidden="1" customHeight="1">
      <c r="A50" s="34"/>
      <c r="B50" s="84"/>
      <c r="C50" s="79" t="s">
        <v>52</v>
      </c>
      <c r="D50" s="66"/>
      <c r="E50" s="66"/>
      <c r="F50" s="67">
        <f>356.415094339623*0.8*E16</f>
        <v>353.5637736</v>
      </c>
      <c r="G50" s="67">
        <f t="shared" si="14"/>
        <v>282.8510189</v>
      </c>
      <c r="H50" s="67">
        <f t="shared" si="15"/>
        <v>267.8513436</v>
      </c>
      <c r="I50" s="77">
        <v>2.0</v>
      </c>
      <c r="J50" s="68"/>
      <c r="K50" s="70"/>
      <c r="L50" s="552"/>
      <c r="M50" s="296"/>
      <c r="N50" s="206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hidden="1" customHeight="1">
      <c r="A51" s="34"/>
      <c r="B51" s="84"/>
      <c r="C51" s="79" t="s">
        <v>54</v>
      </c>
      <c r="D51" s="66"/>
      <c r="E51" s="66"/>
      <c r="F51" s="67">
        <f>F50*1.2</f>
        <v>424.2765283</v>
      </c>
      <c r="G51" s="67">
        <f t="shared" si="14"/>
        <v>339.4212226</v>
      </c>
      <c r="H51" s="67">
        <f t="shared" si="15"/>
        <v>321.4216123</v>
      </c>
      <c r="I51" s="77">
        <v>3.0</v>
      </c>
      <c r="J51" s="68"/>
      <c r="K51" s="70"/>
      <c r="L51" s="552"/>
      <c r="M51" s="296"/>
      <c r="N51" s="206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hidden="1" customHeight="1">
      <c r="A52" s="34"/>
      <c r="B52" s="84"/>
      <c r="C52" s="79" t="s">
        <v>55</v>
      </c>
      <c r="D52" s="66"/>
      <c r="E52" s="66"/>
      <c r="F52" s="67">
        <f>F50*1.3</f>
        <v>459.6329057</v>
      </c>
      <c r="G52" s="67">
        <f t="shared" si="14"/>
        <v>367.7063245</v>
      </c>
      <c r="H52" s="67">
        <f t="shared" si="15"/>
        <v>348.2067467</v>
      </c>
      <c r="I52" s="77">
        <v>4.0</v>
      </c>
      <c r="J52" s="68"/>
      <c r="K52" s="70"/>
      <c r="L52" s="552"/>
      <c r="M52" s="296"/>
      <c r="N52" s="206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hidden="1" customHeight="1">
      <c r="A53" s="34"/>
      <c r="B53" s="85"/>
      <c r="C53" s="79" t="s">
        <v>56</v>
      </c>
      <c r="D53" s="66"/>
      <c r="E53" s="66"/>
      <c r="F53" s="67">
        <v>0.0</v>
      </c>
      <c r="G53" s="67">
        <f t="shared" si="14"/>
        <v>0</v>
      </c>
      <c r="H53" s="67">
        <f t="shared" si="15"/>
        <v>0</v>
      </c>
      <c r="I53" s="77">
        <v>5.0</v>
      </c>
      <c r="J53" s="68"/>
      <c r="K53" s="70"/>
      <c r="L53" s="552"/>
      <c r="M53" s="296"/>
      <c r="N53" s="206"/>
      <c r="O53" s="34"/>
      <c r="P53" s="402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34"/>
      <c r="B54" s="83">
        <v>11.0</v>
      </c>
      <c r="C54" s="208" t="s">
        <v>57</v>
      </c>
      <c r="D54" s="66"/>
      <c r="E54" s="66"/>
      <c r="F54" s="67"/>
      <c r="G54" s="67"/>
      <c r="H54" s="67"/>
      <c r="I54" s="68"/>
      <c r="J54" s="72" t="s">
        <v>58</v>
      </c>
      <c r="K54" s="70">
        <f>IF(J54="STEEL WINDOW FRAMES",IF(J12="2010-2013",H55*$J$11,IF(J12="2014-2021",G55*$J$11,IF(J12="2021-2023",F55*$J$11,0))),IF(J54="ALUMINIUM WINDOW FRAMES",IF(J12="2010-2013",H56*$J$11,IF(J12="2014-2021",G56*$J$11,IF(J12="2021-2023",F56*$J$11,0))),0))</f>
        <v>161628.9308</v>
      </c>
      <c r="L54" s="552" t="str">
        <f>AVERAGE(#REF!)</f>
        <v>#REF!</v>
      </c>
      <c r="M54" s="296">
        <v>82900.0</v>
      </c>
      <c r="N54" s="206">
        <f>M54/$M$11</f>
        <v>260.6918239</v>
      </c>
      <c r="O54" s="207" t="s">
        <v>23</v>
      </c>
      <c r="P54" s="73">
        <f>IF(O54="Delapidated",K54*0.6,IF(O54="Poor",K54*0.7,IF(O54="Fair",K54*0.8,IF(O54="Good",K54*0.85,IF(O54="Very Good",K54*0.9,IF(O54="Excellent",K54*1,IF(O54="Not Applicable",K54*1,0)))))))</f>
        <v>161628.9308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hidden="1" customHeight="1">
      <c r="A55" s="34"/>
      <c r="B55" s="84"/>
      <c r="C55" s="79" t="s">
        <v>59</v>
      </c>
      <c r="D55" s="66"/>
      <c r="E55" s="66"/>
      <c r="F55" s="67">
        <f>F56*0.3</f>
        <v>96.97735849</v>
      </c>
      <c r="G55" s="67">
        <f t="shared" ref="G55:G57" si="16">F55/$G$16</f>
        <v>77.58188679</v>
      </c>
      <c r="H55" s="67">
        <f t="shared" ref="H55:H57" si="17">F55/$H$16</f>
        <v>73.46769583</v>
      </c>
      <c r="I55" s="77">
        <v>1.0</v>
      </c>
      <c r="J55" s="68"/>
      <c r="K55" s="70"/>
      <c r="L55" s="552"/>
      <c r="M55" s="296"/>
      <c r="N55" s="206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hidden="1" customHeight="1">
      <c r="A56" s="34"/>
      <c r="B56" s="84"/>
      <c r="C56" s="79" t="s">
        <v>58</v>
      </c>
      <c r="D56" s="66"/>
      <c r="E56" s="66"/>
      <c r="F56" s="67">
        <f>260.691823899371*E16</f>
        <v>323.2578616</v>
      </c>
      <c r="G56" s="67">
        <f t="shared" si="16"/>
        <v>258.6062893</v>
      </c>
      <c r="H56" s="67">
        <f t="shared" si="17"/>
        <v>244.8923194</v>
      </c>
      <c r="I56" s="77">
        <v>2.0</v>
      </c>
      <c r="J56" s="68"/>
      <c r="K56" s="70"/>
      <c r="L56" s="552"/>
      <c r="M56" s="296"/>
      <c r="N56" s="206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hidden="1" customHeight="1">
      <c r="A57" s="34"/>
      <c r="B57" s="85"/>
      <c r="C57" s="79" t="s">
        <v>60</v>
      </c>
      <c r="D57" s="66"/>
      <c r="E57" s="66"/>
      <c r="F57" s="67">
        <v>0.0</v>
      </c>
      <c r="G57" s="67">
        <f t="shared" si="16"/>
        <v>0</v>
      </c>
      <c r="H57" s="67">
        <f t="shared" si="17"/>
        <v>0</v>
      </c>
      <c r="I57" s="77">
        <v>3.0</v>
      </c>
      <c r="J57" s="68"/>
      <c r="K57" s="70"/>
      <c r="L57" s="552"/>
      <c r="M57" s="296"/>
      <c r="N57" s="206"/>
      <c r="O57" s="34"/>
      <c r="P57" s="402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customHeight="1">
      <c r="A58" s="34"/>
      <c r="B58" s="83">
        <f>B54+1</f>
        <v>12</v>
      </c>
      <c r="C58" s="208" t="s">
        <v>61</v>
      </c>
      <c r="D58" s="66"/>
      <c r="E58" s="66"/>
      <c r="F58" s="67"/>
      <c r="G58" s="67"/>
      <c r="H58" s="67"/>
      <c r="I58" s="68"/>
      <c r="J58" s="72" t="s">
        <v>25</v>
      </c>
      <c r="K58" s="70">
        <f>IF(J58="YES",IF(J12="2010-2013",H59*$J$11,IF(J12="2014-2021",G59*$J$11,IF(J12="2021-2023",F59*$J$11,0))),0)</f>
        <v>182412.5786</v>
      </c>
      <c r="L58" s="552" t="str">
        <f>AVERAGE(#REF!)</f>
        <v>#REF!</v>
      </c>
      <c r="M58" s="296">
        <v>93560.0</v>
      </c>
      <c r="N58" s="206">
        <f>M58/$M$11</f>
        <v>294.2138365</v>
      </c>
      <c r="O58" s="207" t="s">
        <v>23</v>
      </c>
      <c r="P58" s="73">
        <f>IF(O58="Delapidated",K58*0.6,IF(O58="Poor",K58*0.7,IF(O58="Fair",K58*0.8,IF(O58="Good",K58*0.85,IF(O58="Very Good",K58*0.9,IF(O58="Excellent",K58*1,IF(O58="Not Applicable",K58*1,0)))))))</f>
        <v>182412.5786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hidden="1" customHeight="1">
      <c r="A59" s="34"/>
      <c r="B59" s="84"/>
      <c r="C59" s="79" t="s">
        <v>25</v>
      </c>
      <c r="D59" s="66"/>
      <c r="E59" s="66"/>
      <c r="F59" s="67">
        <f>294.213836477987*E16</f>
        <v>364.8251572</v>
      </c>
      <c r="G59" s="67">
        <f t="shared" ref="G59:G60" si="18">F59/$G$16</f>
        <v>291.8601258</v>
      </c>
      <c r="H59" s="67">
        <f t="shared" ref="H59:H60" si="19">F59/$H$16</f>
        <v>276.3826949</v>
      </c>
      <c r="I59" s="77">
        <v>1.0</v>
      </c>
      <c r="J59" s="68"/>
      <c r="K59" s="70"/>
      <c r="L59" s="552"/>
      <c r="M59" s="296"/>
      <c r="N59" s="206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hidden="1" customHeight="1">
      <c r="A60" s="34"/>
      <c r="B60" s="85"/>
      <c r="C60" s="79" t="s">
        <v>26</v>
      </c>
      <c r="D60" s="66"/>
      <c r="E60" s="66"/>
      <c r="F60" s="67">
        <v>0.0</v>
      </c>
      <c r="G60" s="67">
        <f t="shared" si="18"/>
        <v>0</v>
      </c>
      <c r="H60" s="67">
        <f t="shared" si="19"/>
        <v>0</v>
      </c>
      <c r="I60" s="77">
        <v>2.0</v>
      </c>
      <c r="J60" s="68"/>
      <c r="K60" s="70"/>
      <c r="L60" s="552"/>
      <c r="M60" s="296"/>
      <c r="N60" s="206"/>
      <c r="O60" s="34"/>
      <c r="P60" s="402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83">
        <f>B58+1</f>
        <v>13</v>
      </c>
      <c r="C61" s="208" t="s">
        <v>62</v>
      </c>
      <c r="D61" s="66"/>
      <c r="E61" s="66"/>
      <c r="F61" s="67"/>
      <c r="G61" s="67"/>
      <c r="H61" s="67"/>
      <c r="I61" s="68"/>
      <c r="J61" s="72" t="s">
        <v>25</v>
      </c>
      <c r="K61" s="70">
        <f>IF(J61="YES",IF(J12="2010-2013",H62*$J$11,IF(J12="2014-2021",G62*$J$11,IF(J12="2021-2023",F62*$J$11,0))),0)</f>
        <v>44195.4717</v>
      </c>
      <c r="L61" s="552" t="str">
        <f>AVERAGE(#REF!)</f>
        <v>#REF!</v>
      </c>
      <c r="M61" s="296">
        <v>113340.0</v>
      </c>
      <c r="N61" s="206">
        <f>M61/$M$11</f>
        <v>356.4150943</v>
      </c>
      <c r="O61" s="207" t="s">
        <v>23</v>
      </c>
      <c r="P61" s="73">
        <f>IF(O61="Delapidated",K61*0.6,IF(O61="Poor",K61*0.7,IF(O61="Fair",K61*0.8,IF(O61="Good",K61*0.85,IF(O61="Very Good",K61*0.9,IF(O61="Excellent",K61*1,IF(O61="Not Applicable",K61*1,0)))))))</f>
        <v>44195.4717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hidden="1" customHeight="1">
      <c r="A62" s="34"/>
      <c r="B62" s="84"/>
      <c r="C62" s="79" t="s">
        <v>25</v>
      </c>
      <c r="D62" s="66"/>
      <c r="E62" s="66"/>
      <c r="F62" s="67">
        <f>356.415094339623*0.2*E16</f>
        <v>88.3909434</v>
      </c>
      <c r="G62" s="67">
        <f t="shared" ref="G62:G63" si="20">F62/$G$16</f>
        <v>70.71275472</v>
      </c>
      <c r="H62" s="67">
        <f t="shared" ref="H62:H63" si="21">F62/$H$16</f>
        <v>66.96283591</v>
      </c>
      <c r="I62" s="77">
        <v>1.0</v>
      </c>
      <c r="J62" s="68"/>
      <c r="K62" s="70"/>
      <c r="L62" s="552"/>
      <c r="M62" s="296"/>
      <c r="N62" s="206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hidden="1" customHeight="1">
      <c r="A63" s="34"/>
      <c r="B63" s="85"/>
      <c r="C63" s="79" t="s">
        <v>26</v>
      </c>
      <c r="D63" s="66"/>
      <c r="E63" s="66"/>
      <c r="F63" s="67">
        <v>0.0</v>
      </c>
      <c r="G63" s="67">
        <f t="shared" si="20"/>
        <v>0</v>
      </c>
      <c r="H63" s="67">
        <f t="shared" si="21"/>
        <v>0</v>
      </c>
      <c r="I63" s="77">
        <v>2.0</v>
      </c>
      <c r="J63" s="68"/>
      <c r="K63" s="70"/>
      <c r="L63" s="552"/>
      <c r="M63" s="296"/>
      <c r="N63" s="206"/>
      <c r="O63" s="34"/>
      <c r="P63" s="402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44"/>
      <c r="C64" s="214" t="s">
        <v>63</v>
      </c>
      <c r="D64" s="66"/>
      <c r="E64" s="66"/>
      <c r="F64" s="67"/>
      <c r="G64" s="67"/>
      <c r="H64" s="67"/>
      <c r="I64" s="77"/>
      <c r="J64" s="227">
        <v>6.0</v>
      </c>
      <c r="K64" s="34"/>
      <c r="L64" s="199"/>
      <c r="M64" s="205"/>
      <c r="N64" s="206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83">
        <f>B61+1</f>
        <v>14</v>
      </c>
      <c r="C65" s="208" t="s">
        <v>93</v>
      </c>
      <c r="D65" s="66"/>
      <c r="E65" s="66"/>
      <c r="F65" s="67"/>
      <c r="G65" s="67"/>
      <c r="H65" s="67"/>
      <c r="I65" s="68"/>
      <c r="J65" s="72" t="s">
        <v>25</v>
      </c>
      <c r="K65" s="70">
        <f>IF(J65="YES",IF(J12="2010-2013",H66*J64,IF(J12="2014-2021",G66*J64,IF(J12="2021-2023",F66*J64,0))),0)</f>
        <v>13800</v>
      </c>
      <c r="L65" s="552" t="str">
        <f>AVERAGE(#REF!)</f>
        <v>#REF!</v>
      </c>
      <c r="M65" s="296">
        <f>186060+7240</f>
        <v>193300</v>
      </c>
      <c r="N65" s="206">
        <f>M65/$M$11</f>
        <v>607.8616352</v>
      </c>
      <c r="O65" s="207" t="s">
        <v>23</v>
      </c>
      <c r="P65" s="73">
        <f>IF(O65="Delapidated",K65*0.6,IF(O65="Poor",K65*0.7,IF(O65="Fair",K65*0.8,IF(O65="Good",K65*0.85,IF(O65="Very Good",K65*0.9,IF(O65="Excellent",K65*1,IF(O65="Not Applicable",K65*1,0)))))))</f>
        <v>13800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hidden="1" customHeight="1">
      <c r="A66" s="34"/>
      <c r="B66" s="84"/>
      <c r="C66" s="79" t="s">
        <v>25</v>
      </c>
      <c r="D66" s="66"/>
      <c r="E66" s="66"/>
      <c r="F66" s="67">
        <v>2300.0</v>
      </c>
      <c r="G66" s="67">
        <f t="shared" ref="G66:G67" si="22">F66/$G$16</f>
        <v>1840</v>
      </c>
      <c r="H66" s="67">
        <f t="shared" ref="H66:H67" si="23">F66/$H$16</f>
        <v>1742.424242</v>
      </c>
      <c r="I66" s="77">
        <v>1.0</v>
      </c>
      <c r="J66" s="68"/>
      <c r="K66" s="70"/>
      <c r="L66" s="552"/>
      <c r="M66" s="296"/>
      <c r="N66" s="206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hidden="1" customHeight="1">
      <c r="A67" s="34"/>
      <c r="B67" s="85"/>
      <c r="C67" s="79" t="s">
        <v>26</v>
      </c>
      <c r="D67" s="66"/>
      <c r="E67" s="66"/>
      <c r="F67" s="67">
        <v>0.0</v>
      </c>
      <c r="G67" s="67">
        <f t="shared" si="22"/>
        <v>0</v>
      </c>
      <c r="H67" s="67">
        <f t="shared" si="23"/>
        <v>0</v>
      </c>
      <c r="I67" s="77">
        <v>2.0</v>
      </c>
      <c r="J67" s="68"/>
      <c r="K67" s="70"/>
      <c r="L67" s="552"/>
      <c r="M67" s="296"/>
      <c r="N67" s="206"/>
      <c r="O67" s="34"/>
      <c r="P67" s="402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83">
        <f>B65+1</f>
        <v>15</v>
      </c>
      <c r="C68" s="208" t="s">
        <v>65</v>
      </c>
      <c r="D68" s="66"/>
      <c r="E68" s="66"/>
      <c r="F68" s="67"/>
      <c r="G68" s="67"/>
      <c r="H68" s="67"/>
      <c r="I68" s="68"/>
      <c r="J68" s="72" t="s">
        <v>25</v>
      </c>
      <c r="K68" s="70">
        <f>IF(J68="YES",IF(J12="2010-2013",H69*$J$11,IF(J12="2014-2021",G69*$J$11,IF(J12="2021-2023",F69*$J$11,0))),0)</f>
        <v>101734.5912</v>
      </c>
      <c r="L68" s="552" t="str">
        <f>AVERAGE(#REF!)</f>
        <v>#REF!</v>
      </c>
      <c r="M68" s="296">
        <v>52180.0</v>
      </c>
      <c r="N68" s="206">
        <f>M68/$M$11</f>
        <v>164.0880503</v>
      </c>
      <c r="O68" s="207" t="s">
        <v>23</v>
      </c>
      <c r="P68" s="73">
        <f>IF(O68="Delapidated",K68*0.6,IF(O68="Poor",K68*0.7,IF(O68="Fair",K68*0.8,IF(O68="Good",K68*0.85,IF(O68="Very Good",K68*0.9,IF(O68="Excellent",K68*1,IF(O68="Not Applicable",K68*1,0)))))))</f>
        <v>101734.5912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hidden="1" customHeight="1">
      <c r="A69" s="34"/>
      <c r="B69" s="84"/>
      <c r="C69" s="79" t="s">
        <v>25</v>
      </c>
      <c r="D69" s="66"/>
      <c r="E69" s="66"/>
      <c r="F69" s="67">
        <f>164.088050314465*E16</f>
        <v>203.4691824</v>
      </c>
      <c r="G69" s="67">
        <f t="shared" ref="G69:G70" si="24">F69/$G$16</f>
        <v>162.7753459</v>
      </c>
      <c r="H69" s="67">
        <f t="shared" ref="H69:H70" si="25">F69/$H$16</f>
        <v>154.14332</v>
      </c>
      <c r="I69" s="77">
        <v>1.0</v>
      </c>
      <c r="J69" s="68"/>
      <c r="K69" s="70"/>
      <c r="L69" s="552"/>
      <c r="M69" s="296"/>
      <c r="N69" s="206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hidden="1" customHeight="1">
      <c r="A70" s="34"/>
      <c r="B70" s="85"/>
      <c r="C70" s="79" t="s">
        <v>26</v>
      </c>
      <c r="D70" s="66"/>
      <c r="E70" s="66"/>
      <c r="F70" s="67">
        <v>0.0</v>
      </c>
      <c r="G70" s="67">
        <f t="shared" si="24"/>
        <v>0</v>
      </c>
      <c r="H70" s="67">
        <f t="shared" si="25"/>
        <v>0</v>
      </c>
      <c r="I70" s="77">
        <v>2.0</v>
      </c>
      <c r="J70" s="68"/>
      <c r="K70" s="70"/>
      <c r="L70" s="552"/>
      <c r="M70" s="296"/>
      <c r="N70" s="206"/>
      <c r="O70" s="34"/>
      <c r="P70" s="402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83">
        <f>B68+1</f>
        <v>16</v>
      </c>
      <c r="C71" s="208" t="s">
        <v>149</v>
      </c>
      <c r="D71" s="66"/>
      <c r="E71" s="66"/>
      <c r="F71" s="67"/>
      <c r="G71" s="67"/>
      <c r="H71" s="67"/>
      <c r="I71" s="68"/>
      <c r="J71" s="72" t="s">
        <v>25</v>
      </c>
      <c r="K71" s="70">
        <f>IF(J71="YES",IF(J12="2010-2013",H72*$J$11,IF(J12="2014-2021",G72*$J$11,IF(J12="2021-2023",F72*$J$11,0))),0)</f>
        <v>370440.2516</v>
      </c>
      <c r="L71" s="552" t="str">
        <f>AVERAGE(#REF!)</f>
        <v>#REF!</v>
      </c>
      <c r="M71" s="296">
        <v>190000.0</v>
      </c>
      <c r="N71" s="206">
        <f>M71/$M$11</f>
        <v>597.4842767</v>
      </c>
      <c r="O71" s="207" t="s">
        <v>23</v>
      </c>
      <c r="P71" s="73">
        <f>IF(O71="Delapidated",K71*0.6,IF(O71="Poor",K71*0.7,IF(O71="Fair",K71*0.8,IF(O71="Good",K71*0.85,IF(O71="Very Good",K71*0.9,IF(O71="Excellent",K71*1,IF(O71="Not Applicable",K71*1,0)))))))</f>
        <v>370440.2516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hidden="1" customHeight="1">
      <c r="A72" s="34"/>
      <c r="B72" s="84"/>
      <c r="C72" s="79" t="s">
        <v>25</v>
      </c>
      <c r="D72" s="66"/>
      <c r="E72" s="66"/>
      <c r="F72" s="67">
        <f>597.48427672956*E16</f>
        <v>740.8805031</v>
      </c>
      <c r="G72" s="67">
        <f t="shared" ref="G72:G73" si="26">F72/$G$16</f>
        <v>592.7044025</v>
      </c>
      <c r="H72" s="67">
        <f t="shared" ref="H72:H73" si="27">F72/$H$16</f>
        <v>561.2731084</v>
      </c>
      <c r="I72" s="77">
        <v>1.0</v>
      </c>
      <c r="J72" s="307"/>
      <c r="K72" s="70"/>
      <c r="L72" s="552"/>
      <c r="M72" s="296"/>
      <c r="N72" s="206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hidden="1" customHeight="1">
      <c r="A73" s="34"/>
      <c r="B73" s="85"/>
      <c r="C73" s="79" t="s">
        <v>26</v>
      </c>
      <c r="D73" s="66"/>
      <c r="E73" s="66"/>
      <c r="F73" s="67">
        <v>0.0</v>
      </c>
      <c r="G73" s="67">
        <f t="shared" si="26"/>
        <v>0</v>
      </c>
      <c r="H73" s="67">
        <f t="shared" si="27"/>
        <v>0</v>
      </c>
      <c r="I73" s="77">
        <v>2.0</v>
      </c>
      <c r="J73" s="307"/>
      <c r="K73" s="70"/>
      <c r="L73" s="552"/>
      <c r="M73" s="296"/>
      <c r="N73" s="206"/>
      <c r="O73" s="34"/>
      <c r="P73" s="402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customHeight="1">
      <c r="A74" s="34"/>
      <c r="B74" s="44"/>
      <c r="C74" s="214" t="s">
        <v>89</v>
      </c>
      <c r="D74" s="66"/>
      <c r="E74" s="66"/>
      <c r="F74" s="67"/>
      <c r="G74" s="67"/>
      <c r="H74" s="67"/>
      <c r="I74" s="77"/>
      <c r="J74" s="227">
        <v>6.0</v>
      </c>
      <c r="K74" s="34"/>
      <c r="L74" s="199"/>
      <c r="M74" s="205"/>
      <c r="N74" s="206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17"/>
      <c r="B75" s="83">
        <f>B71+1</f>
        <v>17</v>
      </c>
      <c r="C75" s="255" t="s">
        <v>68</v>
      </c>
      <c r="D75" s="97"/>
      <c r="E75" s="97"/>
      <c r="F75" s="98"/>
      <c r="G75" s="67"/>
      <c r="H75" s="67"/>
      <c r="I75" s="68"/>
      <c r="J75" s="72" t="s">
        <v>25</v>
      </c>
      <c r="K75" s="58">
        <f>IF(J75="YES",IF(J12="2010-2013",H76*J74,IF(J12="2014-2021",G76*J74,IF(J12="2021-2023",F76*J74,0))),0)</f>
        <v>42000</v>
      </c>
      <c r="L75" s="552"/>
      <c r="M75" s="319"/>
      <c r="N75" s="206"/>
      <c r="O75" s="207" t="s">
        <v>23</v>
      </c>
      <c r="P75" s="73">
        <f>IF(O75="Delapidated",K75*0.6,IF(O75="Poor",K75*0.7,IF(O75="Fair",K75*0.8,IF(O75="Good",K75*0.85,IF(O75="Very Good",K75*0.9,IF(O75="Excellent",K75*1,IF(O75="Not Applicable",K75*1,0)))))))</f>
        <v>42000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30.0" hidden="1" customHeight="1">
      <c r="A76" s="17"/>
      <c r="B76" s="84"/>
      <c r="C76" s="79" t="s">
        <v>25</v>
      </c>
      <c r="D76" s="97"/>
      <c r="E76" s="97"/>
      <c r="F76" s="321">
        <v>7000.0</v>
      </c>
      <c r="G76" s="67">
        <f t="shared" ref="G76:G77" si="28">F76/$G$16</f>
        <v>5600</v>
      </c>
      <c r="H76" s="67">
        <f t="shared" ref="H76:H77" si="29">F76/$H$16</f>
        <v>5303.030303</v>
      </c>
      <c r="I76" s="77">
        <v>1.0</v>
      </c>
      <c r="J76" s="322"/>
      <c r="K76" s="58"/>
      <c r="L76" s="552"/>
      <c r="M76" s="319"/>
      <c r="N76" s="206"/>
      <c r="O76" s="17"/>
      <c r="P76" s="99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30.0" hidden="1" customHeight="1">
      <c r="A77" s="17"/>
      <c r="B77" s="85"/>
      <c r="C77" s="79" t="s">
        <v>26</v>
      </c>
      <c r="D77" s="97"/>
      <c r="E77" s="97"/>
      <c r="F77" s="321">
        <v>0.0</v>
      </c>
      <c r="G77" s="67">
        <f t="shared" si="28"/>
        <v>0</v>
      </c>
      <c r="H77" s="67">
        <f t="shared" si="29"/>
        <v>0</v>
      </c>
      <c r="I77" s="77">
        <v>2.0</v>
      </c>
      <c r="J77" s="322"/>
      <c r="K77" s="123"/>
      <c r="L77" s="558"/>
      <c r="M77" s="311"/>
      <c r="N77" s="206"/>
      <c r="O77" s="250"/>
      <c r="P77" s="125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0.0" customHeight="1">
      <c r="A78" s="250"/>
      <c r="B78" s="219"/>
      <c r="C78" s="220"/>
      <c r="D78" s="314"/>
      <c r="E78" s="314"/>
      <c r="F78" s="743"/>
      <c r="G78" s="67"/>
      <c r="H78" s="67"/>
      <c r="I78" s="222"/>
      <c r="J78" s="480"/>
      <c r="K78" s="197"/>
      <c r="L78" s="190"/>
      <c r="M78" s="191"/>
      <c r="N78" s="225"/>
      <c r="O78" s="193"/>
      <c r="P78" s="197"/>
      <c r="Q78" s="250"/>
      <c r="R78" s="250"/>
      <c r="S78" s="250"/>
      <c r="T78" s="250"/>
      <c r="U78" s="250"/>
      <c r="V78" s="250"/>
      <c r="W78" s="250"/>
      <c r="X78" s="250"/>
      <c r="Y78" s="250"/>
      <c r="Z78" s="250"/>
    </row>
    <row r="79" ht="30.0" customHeight="1">
      <c r="A79" s="17"/>
      <c r="B79" s="219"/>
      <c r="C79" s="483" t="s">
        <v>69</v>
      </c>
      <c r="D79" s="97"/>
      <c r="E79" s="97"/>
      <c r="F79" s="321"/>
      <c r="G79" s="67"/>
      <c r="H79" s="67"/>
      <c r="I79" s="90"/>
      <c r="J79" s="227">
        <v>1.0</v>
      </c>
      <c r="K79" s="189"/>
      <c r="L79" s="190"/>
      <c r="M79" s="191"/>
      <c r="N79" s="225"/>
      <c r="O79" s="193"/>
      <c r="P79" s="610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0.0" customHeight="1">
      <c r="A80" s="17"/>
      <c r="B80" s="44">
        <v>18.0</v>
      </c>
      <c r="C80" s="74" t="s">
        <v>70</v>
      </c>
      <c r="D80" s="97"/>
      <c r="E80" s="97"/>
      <c r="F80" s="321"/>
      <c r="G80" s="67"/>
      <c r="H80" s="67"/>
      <c r="I80" s="77"/>
      <c r="J80" s="229" t="s">
        <v>25</v>
      </c>
      <c r="K80" s="285">
        <f>IF(J80="YES",IF(J12="2010-2013",H81*J79,IF(J12="2014-2021",G81*J79,IF(J12="2021-2023",F81*J79,0))),0)</f>
        <v>3596</v>
      </c>
      <c r="L80" s="741"/>
      <c r="M80" s="742"/>
      <c r="N80" s="206"/>
      <c r="O80" s="231" t="s">
        <v>23</v>
      </c>
      <c r="P80" s="120">
        <f>IF(O80="Delapidated",K80*0.6,IF(O80="Poor",K80*0.7,IF(O80="Fair",K80*0.8,IF(O80="Good",K80*0.85,IF(O80="Very Good",K80*0.9,IF(O80="Excellent",K80*1,IF(O80="Not Applicable",K80*1,0)))))))</f>
        <v>3596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0.0" hidden="1" customHeight="1">
      <c r="A81" s="17"/>
      <c r="B81" s="219"/>
      <c r="C81" s="79" t="s">
        <v>25</v>
      </c>
      <c r="D81" s="97"/>
      <c r="E81" s="97"/>
      <c r="F81" s="321">
        <f>2900*E16</f>
        <v>3596</v>
      </c>
      <c r="G81" s="67">
        <f>F81/$G$16</f>
        <v>2876.8</v>
      </c>
      <c r="H81" s="67">
        <f>F81/$H$16</f>
        <v>2724.242424</v>
      </c>
      <c r="I81" s="77">
        <v>1.0</v>
      </c>
      <c r="J81" s="322"/>
      <c r="K81" s="58"/>
      <c r="L81" s="552"/>
      <c r="M81" s="319"/>
      <c r="N81" s="206"/>
      <c r="O81" s="17"/>
      <c r="P81" s="99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hidden="1" customHeight="1">
      <c r="A82" s="17"/>
      <c r="B82" s="219"/>
      <c r="C82" s="79" t="s">
        <v>26</v>
      </c>
      <c r="D82" s="97"/>
      <c r="E82" s="97"/>
      <c r="F82" s="321">
        <v>0.0</v>
      </c>
      <c r="G82" s="321">
        <v>0.0</v>
      </c>
      <c r="H82" s="321">
        <v>0.0</v>
      </c>
      <c r="I82" s="77">
        <v>2.0</v>
      </c>
      <c r="J82" s="122"/>
      <c r="K82" s="58"/>
      <c r="L82" s="552"/>
      <c r="M82" s="319"/>
      <c r="N82" s="206"/>
      <c r="O82" s="17"/>
      <c r="P82" s="99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17"/>
      <c r="B83" s="219"/>
      <c r="C83" s="483" t="s">
        <v>150</v>
      </c>
      <c r="D83" s="97"/>
      <c r="E83" s="97"/>
      <c r="F83" s="321"/>
      <c r="G83" s="321"/>
      <c r="H83" s="321"/>
      <c r="I83" s="90"/>
      <c r="J83" s="227">
        <v>10.0</v>
      </c>
      <c r="K83" s="189"/>
      <c r="L83" s="644"/>
      <c r="M83" s="191"/>
      <c r="N83" s="249"/>
      <c r="O83" s="218"/>
      <c r="P83" s="45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0.0" customHeight="1">
      <c r="A84" s="17"/>
      <c r="B84" s="44">
        <v>20.0</v>
      </c>
      <c r="C84" s="74" t="s">
        <v>151</v>
      </c>
      <c r="D84" s="97"/>
      <c r="E84" s="97"/>
      <c r="F84" s="321"/>
      <c r="G84" s="321"/>
      <c r="H84" s="321"/>
      <c r="I84" s="77"/>
      <c r="J84" s="229" t="s">
        <v>25</v>
      </c>
      <c r="K84" s="58">
        <f>IF(J84="YES",IF(J12="2010-2013",H85*J83,IF(J12="2014-2021",G85*J83,IF(J12="2021-2023",F85*J83,0))),0)</f>
        <v>620000</v>
      </c>
      <c r="L84" s="552"/>
      <c r="M84" s="319"/>
      <c r="N84" s="206"/>
      <c r="O84" s="207" t="s">
        <v>23</v>
      </c>
      <c r="P84" s="99">
        <f>IF(O84="Delapidated",K84*0.6,IF(O84="Poor",K84*0.7,IF(O84="Fair",K84*0.8,IF(O84="Good",K84*0.85,IF(O84="Very Good",K84*0.9,IF(O84="Excellent",K84*1,IF(O84="Not Applicable",K84*1,0)))))))</f>
        <v>620000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30.0" customHeight="1">
      <c r="A85" s="17"/>
      <c r="B85" s="219"/>
      <c r="C85" s="79" t="s">
        <v>25</v>
      </c>
      <c r="D85" s="97"/>
      <c r="E85" s="97"/>
      <c r="F85" s="321">
        <f>50000*E16</f>
        <v>62000</v>
      </c>
      <c r="G85" s="67">
        <f>F85/$G$16</f>
        <v>49600</v>
      </c>
      <c r="H85" s="67">
        <f>F85/$H$16</f>
        <v>46969.69697</v>
      </c>
      <c r="I85" s="77">
        <v>1.0</v>
      </c>
      <c r="J85" s="322"/>
      <c r="K85" s="58"/>
      <c r="L85" s="552"/>
      <c r="M85" s="319"/>
      <c r="N85" s="206"/>
      <c r="O85" s="17"/>
      <c r="P85" s="99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17"/>
      <c r="B86" s="235"/>
      <c r="C86" s="236" t="s">
        <v>26</v>
      </c>
      <c r="D86" s="103"/>
      <c r="E86" s="103"/>
      <c r="F86" s="744">
        <v>0.0</v>
      </c>
      <c r="G86" s="744">
        <v>0.0</v>
      </c>
      <c r="H86" s="744">
        <v>0.0</v>
      </c>
      <c r="I86" s="651">
        <v>2.0</v>
      </c>
      <c r="J86" s="122"/>
      <c r="K86" s="58"/>
      <c r="L86" s="552"/>
      <c r="M86" s="319"/>
      <c r="N86" s="206"/>
      <c r="O86" s="17"/>
      <c r="P86" s="99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customHeight="1">
      <c r="A87" s="250"/>
      <c r="B87" s="564"/>
      <c r="C87" s="250"/>
      <c r="D87" s="245"/>
      <c r="E87" s="245"/>
      <c r="F87" s="245"/>
      <c r="G87" s="245"/>
      <c r="H87" s="245"/>
      <c r="I87" s="708"/>
      <c r="J87" s="245"/>
      <c r="K87" s="189"/>
      <c r="L87" s="644"/>
      <c r="M87" s="191"/>
      <c r="N87" s="249"/>
      <c r="O87" s="17"/>
      <c r="P87" s="197"/>
      <c r="Q87" s="250"/>
      <c r="R87" s="250"/>
      <c r="S87" s="250"/>
      <c r="T87" s="250"/>
      <c r="U87" s="250"/>
      <c r="V87" s="250"/>
      <c r="W87" s="250"/>
      <c r="X87" s="250"/>
      <c r="Y87" s="250"/>
      <c r="Z87" s="250"/>
    </row>
    <row r="88" ht="30.0" hidden="1" customHeight="1">
      <c r="A88" s="17"/>
      <c r="B88" s="564"/>
      <c r="C88" s="250"/>
      <c r="D88" s="245"/>
      <c r="E88" s="245"/>
      <c r="F88" s="245"/>
      <c r="G88" s="245"/>
      <c r="H88" s="245"/>
      <c r="I88" s="708"/>
      <c r="J88" s="245"/>
      <c r="K88" s="721"/>
      <c r="L88" s="552"/>
      <c r="M88" s="319"/>
      <c r="N88" s="206"/>
      <c r="O88" s="17"/>
      <c r="P88" s="62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0.0" hidden="1" customHeight="1">
      <c r="A89" s="17"/>
      <c r="B89" s="343"/>
      <c r="C89" s="250"/>
      <c r="D89" s="245"/>
      <c r="E89" s="245"/>
      <c r="F89" s="245"/>
      <c r="G89" s="245"/>
      <c r="H89" s="245"/>
      <c r="I89" s="245"/>
      <c r="J89" s="245"/>
      <c r="K89" s="106"/>
      <c r="L89" s="552"/>
      <c r="M89" s="319"/>
      <c r="N89" s="206"/>
      <c r="O89" s="17"/>
      <c r="P89" s="745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0.0" hidden="1" customHeight="1">
      <c r="A90" s="88"/>
      <c r="B90" s="560"/>
      <c r="C90" s="746" t="s">
        <v>71</v>
      </c>
      <c r="D90" s="723"/>
      <c r="E90" s="723"/>
      <c r="F90" s="723">
        <v>4489.37106918239</v>
      </c>
      <c r="G90" s="723"/>
      <c r="H90" s="723"/>
      <c r="I90" s="723"/>
      <c r="J90" s="723"/>
      <c r="K90" s="727"/>
      <c r="L90" s="552" t="str">
        <f>AVERAGE(#REF!)</f>
        <v>#REF!</v>
      </c>
      <c r="M90" s="296">
        <f>SUM(M17:M71)</f>
        <v>1480386.222</v>
      </c>
      <c r="N90" s="206">
        <f>M90/$M$11</f>
        <v>4655.302586</v>
      </c>
      <c r="O90" s="17"/>
      <c r="P90" s="62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30.0" hidden="1" customHeight="1">
      <c r="A91" s="17"/>
      <c r="B91" s="564"/>
      <c r="C91" s="747" t="s">
        <v>72</v>
      </c>
      <c r="D91" s="249"/>
      <c r="E91" s="249"/>
      <c r="F91" s="249"/>
      <c r="G91" s="249"/>
      <c r="H91" s="249"/>
      <c r="I91" s="249"/>
      <c r="J91" s="249"/>
      <c r="K91" s="41"/>
      <c r="L91" s="552"/>
      <c r="M91" s="319"/>
      <c r="N91" s="206"/>
      <c r="O91" s="17"/>
      <c r="P91" s="745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30.0" hidden="1" customHeight="1">
      <c r="A92" s="17"/>
      <c r="B92" s="343"/>
      <c r="C92" s="250"/>
      <c r="D92" s="245"/>
      <c r="E92" s="245"/>
      <c r="F92" s="245"/>
      <c r="G92" s="245"/>
      <c r="H92" s="245"/>
      <c r="I92" s="245"/>
      <c r="J92" s="245"/>
      <c r="K92" s="106"/>
      <c r="L92" s="552"/>
      <c r="M92" s="319"/>
      <c r="N92" s="206"/>
      <c r="O92" s="17"/>
      <c r="P92" s="745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30.0" hidden="1" customHeight="1">
      <c r="A93" s="17"/>
      <c r="B93" s="560"/>
      <c r="C93" s="746" t="s">
        <v>71</v>
      </c>
      <c r="D93" s="723"/>
      <c r="E93" s="723"/>
      <c r="F93" s="723">
        <v>4489.37106918239</v>
      </c>
      <c r="G93" s="723"/>
      <c r="H93" s="723"/>
      <c r="I93" s="723"/>
      <c r="J93" s="723"/>
      <c r="K93" s="727"/>
      <c r="L93" s="552" t="str">
        <f>AVERAGE(#REF!)</f>
        <v>#REF!</v>
      </c>
      <c r="M93" s="319">
        <f>SUM(M90:M92)</f>
        <v>1480386.222</v>
      </c>
      <c r="N93" s="206">
        <f>M93/$M$11</f>
        <v>4655.302586</v>
      </c>
      <c r="O93" s="17"/>
      <c r="P93" s="745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30.0" hidden="1" customHeight="1">
      <c r="A94" s="17"/>
      <c r="B94" s="340"/>
      <c r="C94" s="570" t="s">
        <v>73</v>
      </c>
      <c r="D94" s="342"/>
      <c r="E94" s="342"/>
      <c r="F94" s="342"/>
      <c r="G94" s="342"/>
      <c r="H94" s="342"/>
      <c r="I94" s="342"/>
      <c r="J94" s="342"/>
      <c r="K94" s="663" t="str">
        <f>SUM(K17:N77)</f>
        <v>#REF!</v>
      </c>
      <c r="L94" s="552">
        <v>0.0</v>
      </c>
      <c r="M94" s="319">
        <v>0.0</v>
      </c>
      <c r="N94" s="206"/>
      <c r="O94" s="17"/>
      <c r="P94" s="261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30.0" customHeight="1">
      <c r="A95" s="17"/>
      <c r="B95" s="340"/>
      <c r="C95" s="250"/>
      <c r="D95" s="342"/>
      <c r="E95" s="342"/>
      <c r="F95" s="342">
        <v>4489.37106918239</v>
      </c>
      <c r="G95" s="342"/>
      <c r="H95" s="342"/>
      <c r="I95" s="342"/>
      <c r="J95" s="340" t="s">
        <v>143</v>
      </c>
      <c r="K95" s="265">
        <f>SUM(K17:K84)</f>
        <v>3029541.167</v>
      </c>
      <c r="L95" s="552" t="str">
        <f>AVERAGE(#REF!)</f>
        <v>#REF!</v>
      </c>
      <c r="M95" s="319">
        <f>SUM(M93:M94)</f>
        <v>1480386.222</v>
      </c>
      <c r="N95" s="206">
        <f>M95/$M$11</f>
        <v>4655.302586</v>
      </c>
      <c r="O95" s="17"/>
      <c r="P95" s="266">
        <f>SUM(P17:P86)</f>
        <v>2942741.167</v>
      </c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30.0" customHeight="1">
      <c r="A96" s="250"/>
      <c r="B96" s="340"/>
      <c r="C96" s="250"/>
      <c r="D96" s="342"/>
      <c r="E96" s="342"/>
      <c r="F96" s="342"/>
      <c r="G96" s="342"/>
      <c r="H96" s="342"/>
      <c r="I96" s="342"/>
      <c r="J96" s="340"/>
      <c r="K96" s="714"/>
      <c r="L96" s="644"/>
      <c r="M96" s="191"/>
      <c r="N96" s="249"/>
      <c r="O96" s="250"/>
      <c r="P96" s="738"/>
      <c r="Q96" s="250"/>
      <c r="R96" s="250"/>
      <c r="S96" s="250"/>
      <c r="T96" s="250"/>
      <c r="U96" s="250"/>
      <c r="V96" s="250"/>
      <c r="W96" s="250"/>
      <c r="X96" s="250"/>
      <c r="Y96" s="250"/>
      <c r="Z96" s="250"/>
    </row>
    <row r="97" ht="30.0" customHeight="1">
      <c r="A97" s="147"/>
      <c r="B97" s="343"/>
      <c r="C97" s="250"/>
      <c r="D97" s="748"/>
      <c r="E97" s="748"/>
      <c r="F97" s="748"/>
      <c r="G97" s="748"/>
      <c r="H97" s="748"/>
      <c r="I97" s="748"/>
      <c r="J97" s="749" t="s">
        <v>131</v>
      </c>
      <c r="K97" s="265">
        <f>K95/J11</f>
        <v>6059.082335</v>
      </c>
      <c r="L97" s="552" t="str">
        <f>AVERAGE(#REF!)</f>
        <v>#REF!</v>
      </c>
      <c r="M97" s="319">
        <f>M95/M11</f>
        <v>4655.302586</v>
      </c>
      <c r="N97" s="701"/>
      <c r="O97" s="17"/>
      <c r="P97" s="266">
        <f>P95/J11</f>
        <v>5885.482335</v>
      </c>
      <c r="Q97" s="147"/>
      <c r="R97" s="147"/>
      <c r="S97" s="147"/>
      <c r="T97" s="147"/>
      <c r="U97" s="147"/>
      <c r="V97" s="147"/>
      <c r="W97" s="147"/>
      <c r="X97" s="147"/>
      <c r="Y97" s="147"/>
      <c r="Z97" s="147"/>
    </row>
    <row r="98" ht="12.0" customHeight="1">
      <c r="B98" s="1"/>
      <c r="J98" s="1"/>
      <c r="K98" s="2"/>
      <c r="P98" s="2"/>
    </row>
    <row r="99" ht="45.75" customHeight="1">
      <c r="B99" s="1"/>
      <c r="C99" s="574"/>
      <c r="K99" s="2"/>
      <c r="P99" s="2"/>
    </row>
    <row r="100" ht="12.0" customHeight="1">
      <c r="B100" s="1"/>
      <c r="K100" s="2"/>
      <c r="P100" s="2"/>
    </row>
    <row r="101" ht="12.0" customHeight="1">
      <c r="B101" s="1"/>
      <c r="K101" s="2"/>
      <c r="P101" s="2"/>
    </row>
    <row r="102" ht="12.0" customHeight="1">
      <c r="B102" s="1"/>
      <c r="K102" s="2"/>
      <c r="P102" s="2"/>
    </row>
    <row r="103" ht="12.0" customHeight="1">
      <c r="B103" s="1"/>
      <c r="K103" s="2"/>
      <c r="P103" s="2"/>
    </row>
    <row r="104" ht="12.0" customHeight="1">
      <c r="B104" s="1"/>
      <c r="K104" s="2"/>
      <c r="P104" s="2"/>
    </row>
    <row r="105" ht="12.0" customHeight="1">
      <c r="B105" s="1"/>
      <c r="K105" s="2"/>
      <c r="P105" s="2"/>
    </row>
    <row r="106" ht="12.0" customHeight="1">
      <c r="B106" s="1"/>
      <c r="K106" s="2"/>
      <c r="P106" s="2"/>
    </row>
    <row r="107" ht="12.0" customHeight="1">
      <c r="B107" s="1"/>
      <c r="K107" s="2"/>
      <c r="P107" s="2"/>
    </row>
    <row r="108" ht="12.0" customHeight="1">
      <c r="B108" s="1"/>
      <c r="K108" s="2"/>
      <c r="P108" s="2"/>
    </row>
    <row r="109" ht="12.0" customHeight="1">
      <c r="B109" s="1"/>
      <c r="K109" s="2"/>
      <c r="P109" s="2"/>
    </row>
    <row r="110" ht="12.0" customHeight="1">
      <c r="B110" s="1"/>
      <c r="K110" s="2"/>
      <c r="P110" s="2"/>
    </row>
    <row r="111" ht="12.0" customHeight="1">
      <c r="B111" s="1"/>
      <c r="K111" s="2"/>
      <c r="P111" s="2"/>
    </row>
    <row r="112" ht="12.0" customHeight="1">
      <c r="B112" s="1"/>
      <c r="K112" s="2"/>
      <c r="P112" s="2"/>
    </row>
    <row r="113" ht="12.0" customHeight="1">
      <c r="B113" s="1"/>
      <c r="K113" s="2"/>
      <c r="P113" s="2"/>
    </row>
    <row r="114" ht="12.0" customHeight="1">
      <c r="B114" s="1"/>
      <c r="K114" s="2"/>
      <c r="P114" s="2"/>
    </row>
    <row r="115" ht="12.0" customHeight="1">
      <c r="B115" s="1"/>
      <c r="K115" s="2"/>
      <c r="P115" s="2"/>
    </row>
    <row r="116" ht="12.0" customHeight="1">
      <c r="B116" s="1"/>
      <c r="K116" s="2"/>
      <c r="P116" s="2"/>
    </row>
    <row r="117" ht="12.0" customHeight="1">
      <c r="B117" s="1"/>
      <c r="K117" s="2"/>
      <c r="P117" s="2"/>
    </row>
    <row r="118" ht="12.0" customHeight="1">
      <c r="B118" s="1"/>
      <c r="K118" s="2"/>
      <c r="P118" s="2"/>
    </row>
    <row r="119" ht="12.0" customHeight="1">
      <c r="B119" s="1"/>
      <c r="K119" s="2"/>
      <c r="P119" s="2"/>
    </row>
    <row r="120" ht="12.0" customHeight="1">
      <c r="B120" s="1"/>
      <c r="K120" s="2"/>
      <c r="P120" s="2"/>
    </row>
    <row r="121" ht="12.0" customHeight="1">
      <c r="B121" s="1"/>
      <c r="K121" s="2"/>
      <c r="P121" s="2"/>
    </row>
    <row r="122" ht="12.0" customHeight="1">
      <c r="B122" s="1"/>
      <c r="K122" s="2"/>
      <c r="P122" s="2"/>
    </row>
    <row r="123" ht="12.0" customHeight="1">
      <c r="B123" s="1"/>
      <c r="K123" s="2"/>
      <c r="P123" s="2"/>
    </row>
    <row r="124" ht="12.0" customHeight="1">
      <c r="B124" s="1"/>
      <c r="K124" s="2"/>
      <c r="P124" s="2"/>
    </row>
    <row r="125" ht="12.0" customHeight="1">
      <c r="B125" s="1"/>
      <c r="K125" s="2"/>
      <c r="P125" s="2"/>
    </row>
    <row r="126" ht="12.0" customHeight="1">
      <c r="B126" s="1"/>
      <c r="K126" s="2"/>
      <c r="P126" s="2"/>
    </row>
    <row r="127" ht="12.0" customHeight="1">
      <c r="B127" s="1"/>
      <c r="K127" s="2"/>
      <c r="P127" s="2"/>
    </row>
    <row r="128" ht="12.0" customHeight="1">
      <c r="B128" s="1"/>
      <c r="K128" s="2"/>
      <c r="P128" s="2"/>
    </row>
    <row r="129" ht="12.0" customHeight="1">
      <c r="B129" s="1"/>
      <c r="K129" s="2"/>
      <c r="P129" s="2"/>
    </row>
    <row r="130" ht="12.0" customHeight="1">
      <c r="B130" s="1"/>
      <c r="K130" s="2"/>
      <c r="P130" s="2"/>
    </row>
    <row r="131" ht="12.0" customHeight="1">
      <c r="B131" s="1"/>
      <c r="K131" s="2"/>
      <c r="P131" s="2"/>
    </row>
    <row r="132" ht="12.0" customHeight="1">
      <c r="B132" s="1"/>
      <c r="K132" s="2"/>
      <c r="P132" s="2"/>
    </row>
    <row r="133" ht="12.0" customHeight="1">
      <c r="B133" s="1"/>
      <c r="K133" s="2"/>
      <c r="P133" s="2"/>
    </row>
    <row r="134" ht="12.0" customHeight="1">
      <c r="B134" s="1"/>
      <c r="K134" s="2"/>
      <c r="P134" s="2"/>
    </row>
    <row r="135" ht="12.0" customHeight="1">
      <c r="B135" s="1"/>
      <c r="K135" s="2"/>
      <c r="P135" s="2"/>
    </row>
    <row r="136" ht="12.0" customHeight="1">
      <c r="B136" s="1"/>
      <c r="K136" s="2"/>
      <c r="P136" s="2"/>
    </row>
    <row r="137" ht="12.0" customHeight="1">
      <c r="B137" s="1"/>
      <c r="K137" s="2"/>
      <c r="P137" s="2"/>
    </row>
    <row r="138" ht="12.0" customHeight="1">
      <c r="B138" s="1"/>
      <c r="K138" s="2"/>
      <c r="P138" s="2"/>
    </row>
    <row r="139" ht="12.0" customHeight="1">
      <c r="B139" s="1"/>
      <c r="K139" s="2"/>
      <c r="P139" s="2"/>
    </row>
    <row r="140" ht="12.0" customHeight="1">
      <c r="B140" s="1"/>
      <c r="K140" s="2"/>
      <c r="P140" s="2"/>
    </row>
    <row r="141" ht="12.0" customHeight="1">
      <c r="B141" s="1"/>
      <c r="K141" s="2"/>
      <c r="P141" s="2"/>
    </row>
    <row r="142" ht="12.0" customHeight="1">
      <c r="B142" s="1"/>
      <c r="K142" s="2"/>
      <c r="P142" s="2"/>
    </row>
    <row r="143" ht="12.0" customHeight="1">
      <c r="B143" s="1"/>
      <c r="K143" s="2"/>
      <c r="P143" s="2"/>
    </row>
    <row r="144" ht="12.0" customHeight="1">
      <c r="B144" s="1"/>
      <c r="K144" s="2"/>
      <c r="P144" s="2"/>
    </row>
    <row r="145" ht="12.0" customHeight="1">
      <c r="B145" s="1"/>
      <c r="K145" s="2"/>
      <c r="P145" s="2"/>
    </row>
    <row r="146" ht="12.0" customHeight="1">
      <c r="B146" s="1"/>
      <c r="K146" s="2"/>
      <c r="P146" s="2"/>
    </row>
    <row r="147" ht="12.0" customHeight="1">
      <c r="B147" s="1"/>
      <c r="K147" s="2"/>
      <c r="P147" s="2"/>
    </row>
    <row r="148" ht="12.0" customHeight="1">
      <c r="B148" s="1"/>
      <c r="K148" s="2"/>
      <c r="P148" s="2"/>
    </row>
    <row r="149" ht="12.0" customHeight="1">
      <c r="B149" s="1"/>
      <c r="K149" s="2"/>
      <c r="P149" s="2"/>
    </row>
    <row r="150" ht="12.0" customHeight="1">
      <c r="B150" s="1"/>
      <c r="K150" s="2"/>
      <c r="P150" s="2"/>
    </row>
    <row r="151" ht="12.0" customHeight="1">
      <c r="B151" s="1"/>
      <c r="K151" s="2"/>
      <c r="P151" s="2"/>
    </row>
    <row r="152" ht="12.0" customHeight="1">
      <c r="B152" s="1"/>
      <c r="K152" s="2"/>
      <c r="P152" s="2"/>
    </row>
    <row r="153" ht="12.0" customHeight="1">
      <c r="B153" s="1"/>
      <c r="K153" s="2"/>
      <c r="P153" s="2"/>
    </row>
    <row r="154" ht="12.0" customHeight="1">
      <c r="B154" s="1"/>
      <c r="K154" s="2"/>
      <c r="P154" s="2"/>
    </row>
    <row r="155" ht="12.0" customHeight="1">
      <c r="B155" s="1"/>
      <c r="K155" s="2"/>
      <c r="P155" s="2"/>
    </row>
    <row r="156" ht="12.0" customHeight="1">
      <c r="B156" s="1"/>
      <c r="K156" s="2"/>
      <c r="P156" s="2"/>
    </row>
    <row r="157" ht="12.0" customHeight="1">
      <c r="B157" s="1"/>
      <c r="K157" s="2"/>
      <c r="P157" s="2"/>
    </row>
    <row r="158" ht="12.0" customHeight="1">
      <c r="B158" s="1"/>
      <c r="K158" s="2"/>
      <c r="P158" s="2"/>
    </row>
    <row r="159" ht="12.0" customHeight="1">
      <c r="B159" s="1"/>
      <c r="K159" s="2"/>
      <c r="P159" s="2"/>
    </row>
    <row r="160" ht="12.0" customHeight="1">
      <c r="B160" s="1"/>
      <c r="K160" s="2"/>
      <c r="P160" s="2"/>
    </row>
    <row r="161" ht="12.0" customHeight="1">
      <c r="B161" s="1"/>
      <c r="K161" s="2"/>
      <c r="P161" s="2"/>
    </row>
    <row r="162" ht="12.0" customHeight="1">
      <c r="B162" s="1"/>
      <c r="K162" s="2"/>
      <c r="P162" s="2"/>
    </row>
    <row r="163" ht="12.0" customHeight="1">
      <c r="B163" s="1"/>
      <c r="K163" s="2"/>
      <c r="P163" s="2"/>
    </row>
    <row r="164" ht="12.0" customHeight="1">
      <c r="B164" s="1"/>
      <c r="K164" s="2"/>
      <c r="P164" s="2"/>
    </row>
    <row r="165" ht="12.0" customHeight="1">
      <c r="B165" s="1"/>
      <c r="K165" s="2"/>
      <c r="P165" s="2"/>
    </row>
    <row r="166" ht="12.0" customHeight="1">
      <c r="B166" s="1"/>
      <c r="K166" s="2"/>
      <c r="P166" s="2"/>
    </row>
    <row r="167" ht="12.0" customHeight="1">
      <c r="B167" s="1"/>
      <c r="K167" s="2"/>
      <c r="P167" s="2"/>
    </row>
    <row r="168" ht="12.0" customHeight="1">
      <c r="B168" s="1"/>
      <c r="K168" s="2"/>
      <c r="P168" s="2"/>
    </row>
    <row r="169" ht="12.0" customHeight="1">
      <c r="B169" s="1"/>
      <c r="K169" s="2"/>
      <c r="P169" s="2"/>
    </row>
    <row r="170" ht="12.0" customHeight="1">
      <c r="B170" s="1"/>
      <c r="K170" s="2"/>
      <c r="P170" s="2"/>
    </row>
    <row r="171" ht="12.0" customHeight="1">
      <c r="B171" s="1"/>
      <c r="K171" s="2"/>
      <c r="P171" s="2"/>
    </row>
    <row r="172" ht="12.0" customHeight="1">
      <c r="B172" s="1"/>
      <c r="K172" s="2"/>
      <c r="P172" s="2"/>
    </row>
    <row r="173" ht="12.0" customHeight="1">
      <c r="B173" s="1"/>
      <c r="K173" s="2"/>
      <c r="P173" s="2"/>
    </row>
    <row r="174" ht="12.0" customHeight="1">
      <c r="B174" s="1"/>
      <c r="K174" s="2"/>
      <c r="P174" s="2"/>
    </row>
    <row r="175" ht="12.0" customHeight="1">
      <c r="B175" s="1"/>
      <c r="K175" s="2"/>
      <c r="P175" s="2"/>
    </row>
    <row r="176" ht="12.0" customHeight="1">
      <c r="B176" s="1"/>
      <c r="K176" s="2"/>
      <c r="P176" s="2"/>
    </row>
    <row r="177" ht="12.0" customHeight="1">
      <c r="B177" s="1"/>
      <c r="K177" s="2"/>
      <c r="P177" s="2"/>
    </row>
    <row r="178" ht="12.0" customHeight="1">
      <c r="B178" s="1"/>
      <c r="K178" s="2"/>
      <c r="P178" s="2"/>
    </row>
    <row r="179" ht="12.0" customHeight="1">
      <c r="B179" s="1"/>
      <c r="K179" s="2"/>
      <c r="P179" s="2"/>
    </row>
    <row r="180" ht="12.0" customHeight="1">
      <c r="B180" s="1"/>
      <c r="K180" s="2"/>
      <c r="P180" s="2"/>
    </row>
    <row r="181" ht="12.0" customHeight="1">
      <c r="B181" s="1"/>
      <c r="K181" s="2"/>
      <c r="P181" s="2"/>
    </row>
    <row r="182" ht="12.0" customHeight="1">
      <c r="B182" s="1"/>
      <c r="K182" s="2"/>
      <c r="P182" s="2"/>
    </row>
    <row r="183" ht="12.0" customHeight="1">
      <c r="B183" s="1"/>
      <c r="K183" s="2"/>
      <c r="P183" s="2"/>
    </row>
    <row r="184" ht="12.0" customHeight="1">
      <c r="B184" s="1"/>
      <c r="K184" s="2"/>
      <c r="P184" s="2"/>
    </row>
    <row r="185" ht="12.0" customHeight="1">
      <c r="B185" s="1"/>
      <c r="K185" s="2"/>
      <c r="P185" s="2"/>
    </row>
    <row r="186" ht="12.0" customHeight="1">
      <c r="B186" s="1"/>
      <c r="K186" s="2"/>
      <c r="P186" s="2"/>
    </row>
    <row r="187" ht="12.0" customHeight="1">
      <c r="B187" s="1"/>
      <c r="K187" s="2"/>
      <c r="P187" s="2"/>
    </row>
    <row r="188" ht="12.0" customHeight="1">
      <c r="B188" s="1"/>
      <c r="K188" s="2"/>
      <c r="P188" s="2"/>
    </row>
    <row r="189" ht="12.0" customHeight="1">
      <c r="B189" s="1"/>
      <c r="K189" s="2"/>
      <c r="P189" s="2"/>
    </row>
    <row r="190" ht="12.0" customHeight="1">
      <c r="B190" s="1"/>
      <c r="K190" s="2"/>
      <c r="P190" s="2"/>
    </row>
    <row r="191" ht="12.0" customHeight="1">
      <c r="B191" s="1"/>
      <c r="K191" s="2"/>
      <c r="P191" s="2"/>
    </row>
    <row r="192" ht="12.0" customHeight="1">
      <c r="B192" s="1"/>
      <c r="K192" s="2"/>
      <c r="P192" s="2"/>
    </row>
    <row r="193" ht="12.0" customHeight="1">
      <c r="B193" s="1"/>
      <c r="K193" s="2"/>
      <c r="P193" s="2"/>
    </row>
    <row r="194" ht="12.0" customHeight="1">
      <c r="B194" s="1"/>
      <c r="K194" s="2"/>
      <c r="P194" s="2"/>
    </row>
    <row r="195" ht="12.0" customHeight="1">
      <c r="B195" s="1"/>
      <c r="K195" s="2"/>
      <c r="P195" s="2"/>
    </row>
    <row r="196" ht="12.0" customHeight="1">
      <c r="B196" s="1"/>
      <c r="K196" s="2"/>
      <c r="P196" s="2"/>
    </row>
    <row r="197" ht="12.0" customHeight="1">
      <c r="B197" s="1"/>
      <c r="K197" s="2"/>
      <c r="P197" s="2"/>
    </row>
    <row r="198" ht="12.0" customHeight="1">
      <c r="B198" s="1"/>
      <c r="K198" s="2"/>
      <c r="P198" s="2"/>
    </row>
    <row r="199" ht="12.0" customHeight="1">
      <c r="B199" s="1"/>
      <c r="K199" s="2"/>
      <c r="P199" s="2"/>
    </row>
    <row r="200" ht="12.0" customHeight="1">
      <c r="B200" s="1"/>
      <c r="K200" s="2"/>
      <c r="P200" s="2"/>
    </row>
    <row r="201" ht="12.0" customHeight="1">
      <c r="B201" s="1"/>
      <c r="K201" s="2"/>
      <c r="P201" s="2"/>
    </row>
    <row r="202" ht="12.0" customHeight="1">
      <c r="B202" s="1"/>
      <c r="K202" s="2"/>
      <c r="P202" s="2"/>
    </row>
    <row r="203" ht="12.0" customHeight="1">
      <c r="B203" s="1"/>
      <c r="K203" s="2"/>
      <c r="P203" s="2"/>
    </row>
    <row r="204" ht="12.0" customHeight="1">
      <c r="B204" s="1"/>
      <c r="K204" s="2"/>
      <c r="P204" s="2"/>
    </row>
    <row r="205" ht="12.0" customHeight="1">
      <c r="B205" s="1"/>
      <c r="K205" s="2"/>
      <c r="P205" s="2"/>
    </row>
    <row r="206" ht="12.0" customHeight="1">
      <c r="B206" s="1"/>
      <c r="K206" s="2"/>
      <c r="P206" s="2"/>
    </row>
    <row r="207" ht="12.0" customHeight="1">
      <c r="B207" s="1"/>
      <c r="K207" s="2"/>
      <c r="P207" s="2"/>
    </row>
    <row r="208" ht="12.0" customHeight="1">
      <c r="B208" s="1"/>
      <c r="K208" s="2"/>
      <c r="P208" s="2"/>
    </row>
    <row r="209" ht="12.0" customHeight="1">
      <c r="B209" s="1"/>
      <c r="K209" s="2"/>
      <c r="P209" s="2"/>
    </row>
    <row r="210" ht="12.0" customHeight="1">
      <c r="B210" s="1"/>
      <c r="K210" s="2"/>
      <c r="P210" s="2"/>
    </row>
    <row r="211" ht="12.0" customHeight="1">
      <c r="B211" s="1"/>
      <c r="K211" s="2"/>
      <c r="P211" s="2"/>
    </row>
    <row r="212" ht="12.0" customHeight="1">
      <c r="B212" s="1"/>
      <c r="K212" s="2"/>
      <c r="P212" s="2"/>
    </row>
    <row r="213" ht="12.0" customHeight="1">
      <c r="B213" s="1"/>
      <c r="K213" s="2"/>
      <c r="P213" s="2"/>
    </row>
    <row r="214" ht="12.0" customHeight="1">
      <c r="B214" s="1"/>
      <c r="K214" s="2"/>
      <c r="P214" s="2"/>
    </row>
    <row r="215" ht="12.0" customHeight="1">
      <c r="B215" s="1"/>
      <c r="K215" s="2"/>
      <c r="P215" s="2"/>
    </row>
    <row r="216" ht="12.0" customHeight="1">
      <c r="B216" s="1"/>
      <c r="K216" s="2"/>
      <c r="P216" s="2"/>
    </row>
    <row r="217" ht="12.0" customHeight="1">
      <c r="B217" s="1"/>
      <c r="K217" s="2"/>
      <c r="P217" s="2"/>
    </row>
    <row r="218" ht="12.0" customHeight="1">
      <c r="B218" s="1"/>
      <c r="K218" s="2"/>
      <c r="P218" s="2"/>
    </row>
    <row r="219" ht="12.0" customHeight="1">
      <c r="B219" s="1"/>
      <c r="K219" s="2"/>
      <c r="P219" s="2"/>
    </row>
    <row r="220" ht="12.0" customHeight="1">
      <c r="B220" s="1"/>
      <c r="K220" s="2"/>
      <c r="P220" s="2"/>
    </row>
    <row r="221" ht="12.0" customHeight="1">
      <c r="B221" s="1"/>
      <c r="K221" s="2"/>
      <c r="P221" s="2"/>
    </row>
    <row r="222" ht="12.0" customHeight="1">
      <c r="B222" s="1"/>
      <c r="K222" s="2"/>
      <c r="P222" s="2"/>
    </row>
    <row r="223" ht="12.0" customHeight="1">
      <c r="B223" s="1"/>
      <c r="K223" s="2"/>
      <c r="P223" s="2"/>
    </row>
    <row r="224" ht="12.0" customHeight="1">
      <c r="B224" s="1"/>
      <c r="K224" s="2"/>
      <c r="P224" s="2"/>
    </row>
    <row r="225" ht="12.0" customHeight="1">
      <c r="B225" s="1"/>
      <c r="K225" s="2"/>
      <c r="P225" s="2"/>
    </row>
    <row r="226" ht="12.0" customHeight="1">
      <c r="B226" s="1"/>
      <c r="K226" s="2"/>
      <c r="P226" s="2"/>
    </row>
    <row r="227" ht="12.0" customHeight="1">
      <c r="B227" s="1"/>
      <c r="K227" s="2"/>
      <c r="P227" s="2"/>
    </row>
    <row r="228" ht="12.0" customHeight="1">
      <c r="B228" s="1"/>
      <c r="K228" s="2"/>
      <c r="P228" s="2"/>
    </row>
    <row r="229" ht="12.0" customHeight="1">
      <c r="B229" s="1"/>
      <c r="K229" s="2"/>
      <c r="P229" s="2"/>
    </row>
    <row r="230" ht="12.0" customHeight="1">
      <c r="B230" s="1"/>
      <c r="K230" s="2"/>
      <c r="P230" s="2"/>
    </row>
    <row r="231" ht="12.0" customHeight="1">
      <c r="B231" s="1"/>
      <c r="K231" s="2"/>
      <c r="P231" s="2"/>
    </row>
    <row r="232" ht="12.0" customHeight="1">
      <c r="B232" s="1"/>
      <c r="K232" s="2"/>
      <c r="P232" s="2"/>
    </row>
    <row r="233" ht="12.0" customHeight="1">
      <c r="B233" s="1"/>
      <c r="K233" s="2"/>
      <c r="P233" s="2"/>
    </row>
    <row r="234" ht="12.0" customHeight="1">
      <c r="B234" s="1"/>
      <c r="K234" s="2"/>
      <c r="P234" s="2"/>
    </row>
    <row r="235" ht="12.0" customHeight="1">
      <c r="B235" s="1"/>
      <c r="K235" s="2"/>
      <c r="P235" s="2"/>
    </row>
    <row r="236" ht="12.0" customHeight="1">
      <c r="B236" s="1"/>
      <c r="K236" s="2"/>
      <c r="P236" s="2"/>
    </row>
    <row r="237" ht="12.0" customHeight="1">
      <c r="B237" s="1"/>
      <c r="K237" s="2"/>
      <c r="P237" s="2"/>
    </row>
    <row r="238" ht="12.0" customHeight="1">
      <c r="B238" s="1"/>
      <c r="K238" s="2"/>
      <c r="P238" s="2"/>
    </row>
    <row r="239" ht="12.0" customHeight="1">
      <c r="B239" s="1"/>
      <c r="K239" s="2"/>
      <c r="P239" s="2"/>
    </row>
    <row r="240" ht="12.0" customHeight="1">
      <c r="B240" s="1"/>
      <c r="K240" s="2"/>
      <c r="P240" s="2"/>
    </row>
    <row r="241" ht="12.0" customHeight="1">
      <c r="B241" s="1"/>
      <c r="K241" s="2"/>
      <c r="P241" s="2"/>
    </row>
    <row r="242" ht="12.0" customHeight="1">
      <c r="B242" s="1"/>
      <c r="K242" s="2"/>
      <c r="P242" s="2"/>
    </row>
    <row r="243" ht="12.0" customHeight="1">
      <c r="B243" s="1"/>
      <c r="K243" s="2"/>
      <c r="P243" s="2"/>
    </row>
    <row r="244" ht="12.0" customHeight="1">
      <c r="B244" s="1"/>
      <c r="K244" s="2"/>
      <c r="P244" s="2"/>
    </row>
    <row r="245" ht="12.0" customHeight="1">
      <c r="B245" s="1"/>
      <c r="K245" s="2"/>
      <c r="P245" s="2"/>
    </row>
    <row r="246" ht="12.0" customHeight="1">
      <c r="B246" s="1"/>
      <c r="K246" s="2"/>
      <c r="P246" s="2"/>
    </row>
    <row r="247" ht="12.0" customHeight="1">
      <c r="B247" s="1"/>
      <c r="K247" s="2"/>
      <c r="P247" s="2"/>
    </row>
    <row r="248" ht="12.0" customHeight="1">
      <c r="B248" s="1"/>
      <c r="K248" s="2"/>
      <c r="P248" s="2"/>
    </row>
    <row r="249" ht="12.0" customHeight="1">
      <c r="B249" s="1"/>
      <c r="K249" s="2"/>
      <c r="P249" s="2"/>
    </row>
    <row r="250" ht="12.0" customHeight="1">
      <c r="B250" s="1"/>
      <c r="K250" s="2"/>
      <c r="P250" s="2"/>
    </row>
    <row r="251" ht="12.0" customHeight="1">
      <c r="B251" s="1"/>
      <c r="K251" s="2"/>
      <c r="P251" s="2"/>
    </row>
    <row r="252" ht="12.0" customHeight="1">
      <c r="B252" s="1"/>
      <c r="K252" s="2"/>
      <c r="P252" s="2"/>
    </row>
    <row r="253" ht="12.0" customHeight="1">
      <c r="B253" s="1"/>
      <c r="K253" s="2"/>
      <c r="P253" s="2"/>
    </row>
    <row r="254" ht="12.0" customHeight="1">
      <c r="B254" s="1"/>
      <c r="K254" s="2"/>
      <c r="P254" s="2"/>
    </row>
    <row r="255" ht="12.0" customHeight="1">
      <c r="B255" s="1"/>
      <c r="K255" s="2"/>
      <c r="P255" s="2"/>
    </row>
    <row r="256" ht="12.0" customHeight="1">
      <c r="B256" s="1"/>
      <c r="K256" s="2"/>
      <c r="P256" s="2"/>
    </row>
    <row r="257" ht="12.0" customHeight="1">
      <c r="B257" s="1"/>
      <c r="K257" s="2"/>
      <c r="P257" s="2"/>
    </row>
    <row r="258" ht="12.0" customHeight="1">
      <c r="B258" s="1"/>
      <c r="K258" s="2"/>
      <c r="P258" s="2"/>
    </row>
    <row r="259" ht="12.0" customHeight="1">
      <c r="B259" s="1"/>
      <c r="K259" s="2"/>
      <c r="P259" s="2"/>
    </row>
    <row r="260" ht="12.0" customHeight="1">
      <c r="B260" s="1"/>
      <c r="K260" s="2"/>
      <c r="P260" s="2"/>
    </row>
    <row r="261" ht="12.0" customHeight="1">
      <c r="B261" s="1"/>
      <c r="K261" s="2"/>
      <c r="P261" s="2"/>
    </row>
    <row r="262" ht="12.0" customHeight="1">
      <c r="B262" s="1"/>
      <c r="K262" s="2"/>
      <c r="P262" s="2"/>
    </row>
    <row r="263" ht="12.0" customHeight="1">
      <c r="B263" s="1"/>
      <c r="K263" s="2"/>
      <c r="P263" s="2"/>
    </row>
    <row r="264" ht="12.0" customHeight="1">
      <c r="B264" s="1"/>
      <c r="K264" s="2"/>
      <c r="P264" s="2"/>
    </row>
    <row r="265" ht="12.0" customHeight="1">
      <c r="B265" s="1"/>
      <c r="K265" s="2"/>
      <c r="P265" s="2"/>
    </row>
    <row r="266" ht="12.0" customHeight="1">
      <c r="B266" s="1"/>
      <c r="K266" s="2"/>
      <c r="P266" s="2"/>
    </row>
    <row r="267" ht="12.0" customHeight="1">
      <c r="B267" s="1"/>
      <c r="K267" s="2"/>
      <c r="P267" s="2"/>
    </row>
    <row r="268" ht="12.0" customHeight="1">
      <c r="B268" s="1"/>
      <c r="K268" s="2"/>
      <c r="P268" s="2"/>
    </row>
    <row r="269" ht="12.0" customHeight="1">
      <c r="B269" s="1"/>
      <c r="K269" s="2"/>
      <c r="P269" s="2"/>
    </row>
    <row r="270" ht="12.0" customHeight="1">
      <c r="B270" s="1"/>
      <c r="K270" s="2"/>
      <c r="P270" s="2"/>
    </row>
    <row r="271" ht="12.0" customHeight="1">
      <c r="B271" s="1"/>
      <c r="K271" s="2"/>
      <c r="P271" s="2"/>
    </row>
    <row r="272" ht="12.0" customHeight="1">
      <c r="B272" s="1"/>
      <c r="K272" s="2"/>
      <c r="P272" s="2"/>
    </row>
    <row r="273" ht="12.0" customHeight="1">
      <c r="B273" s="1"/>
      <c r="K273" s="2"/>
      <c r="P273" s="2"/>
    </row>
    <row r="274" ht="12.0" customHeight="1">
      <c r="B274" s="1"/>
      <c r="K274" s="2"/>
      <c r="P274" s="2"/>
    </row>
    <row r="275" ht="12.0" customHeight="1">
      <c r="B275" s="1"/>
      <c r="K275" s="2"/>
      <c r="P275" s="2"/>
    </row>
    <row r="276" ht="12.0" customHeight="1">
      <c r="B276" s="1"/>
      <c r="K276" s="2"/>
      <c r="P276" s="2"/>
    </row>
    <row r="277" ht="12.0" customHeight="1">
      <c r="B277" s="1"/>
      <c r="K277" s="2"/>
      <c r="P277" s="2"/>
    </row>
    <row r="278" ht="12.0" customHeight="1">
      <c r="B278" s="1"/>
      <c r="K278" s="2"/>
      <c r="P278" s="2"/>
    </row>
    <row r="279" ht="12.0" customHeight="1">
      <c r="B279" s="1"/>
      <c r="K279" s="2"/>
      <c r="P279" s="2"/>
    </row>
    <row r="280" ht="12.0" customHeight="1">
      <c r="B280" s="1"/>
      <c r="K280" s="2"/>
      <c r="P280" s="2"/>
    </row>
    <row r="281" ht="12.0" customHeight="1">
      <c r="B281" s="1"/>
      <c r="K281" s="2"/>
      <c r="P281" s="2"/>
    </row>
    <row r="282" ht="12.0" customHeight="1">
      <c r="B282" s="1"/>
      <c r="K282" s="2"/>
      <c r="P282" s="2"/>
    </row>
    <row r="283" ht="12.0" customHeight="1">
      <c r="B283" s="1"/>
      <c r="K283" s="2"/>
      <c r="P283" s="2"/>
    </row>
    <row r="284" ht="12.0" customHeight="1">
      <c r="B284" s="1"/>
      <c r="K284" s="2"/>
      <c r="P284" s="2"/>
    </row>
    <row r="285" ht="12.0" customHeight="1">
      <c r="B285" s="1"/>
      <c r="K285" s="2"/>
      <c r="P285" s="2"/>
    </row>
    <row r="286" ht="12.0" customHeight="1">
      <c r="B286" s="1"/>
      <c r="K286" s="2"/>
      <c r="P286" s="2"/>
    </row>
    <row r="287" ht="12.0" customHeight="1">
      <c r="B287" s="1"/>
      <c r="K287" s="2"/>
      <c r="P287" s="2"/>
    </row>
    <row r="288" ht="12.0" customHeight="1">
      <c r="B288" s="1"/>
      <c r="K288" s="2"/>
      <c r="P288" s="2"/>
    </row>
    <row r="289" ht="12.0" customHeight="1">
      <c r="B289" s="1"/>
      <c r="K289" s="2"/>
      <c r="P289" s="2"/>
    </row>
    <row r="290" ht="12.0" customHeight="1">
      <c r="B290" s="1"/>
      <c r="K290" s="2"/>
      <c r="P290" s="2"/>
    </row>
    <row r="291" ht="12.0" customHeight="1">
      <c r="B291" s="1"/>
      <c r="K291" s="2"/>
      <c r="P291" s="2"/>
    </row>
    <row r="292" ht="12.0" customHeight="1">
      <c r="B292" s="1"/>
      <c r="K292" s="2"/>
      <c r="P292" s="2"/>
    </row>
    <row r="293" ht="12.0" customHeight="1">
      <c r="B293" s="1"/>
      <c r="K293" s="2"/>
      <c r="P293" s="2"/>
    </row>
    <row r="294" ht="12.0" customHeight="1">
      <c r="B294" s="1"/>
      <c r="K294" s="2"/>
      <c r="P294" s="2"/>
    </row>
    <row r="295" ht="12.0" customHeight="1">
      <c r="B295" s="1"/>
      <c r="K295" s="2"/>
      <c r="P295" s="2"/>
    </row>
    <row r="296" ht="12.0" customHeight="1">
      <c r="B296" s="1"/>
      <c r="K296" s="2"/>
      <c r="P296" s="2"/>
    </row>
    <row r="297" ht="12.0" customHeight="1">
      <c r="B297" s="1"/>
      <c r="K297" s="2"/>
      <c r="P297" s="2"/>
    </row>
    <row r="298" ht="12.0" customHeight="1">
      <c r="B298" s="1"/>
      <c r="K298" s="2"/>
      <c r="P298" s="2"/>
    </row>
    <row r="299" ht="12.0" customHeight="1">
      <c r="B299" s="1"/>
      <c r="K299" s="2"/>
      <c r="P299" s="2"/>
    </row>
    <row r="300" ht="12.0" customHeight="1">
      <c r="B300" s="1"/>
      <c r="K300" s="2"/>
      <c r="P300" s="2"/>
    </row>
    <row r="301" ht="12.0" customHeight="1">
      <c r="B301" s="1"/>
      <c r="K301" s="2"/>
      <c r="P301" s="2"/>
    </row>
    <row r="302" ht="12.0" customHeight="1">
      <c r="B302" s="1"/>
      <c r="K302" s="2"/>
      <c r="P302" s="2"/>
    </row>
    <row r="303" ht="12.0" customHeight="1">
      <c r="B303" s="1"/>
      <c r="K303" s="2"/>
      <c r="P303" s="2"/>
    </row>
    <row r="304" ht="12.0" customHeight="1">
      <c r="B304" s="1"/>
      <c r="K304" s="2"/>
      <c r="P304" s="2"/>
    </row>
    <row r="305" ht="12.0" customHeight="1">
      <c r="B305" s="1"/>
      <c r="K305" s="2"/>
      <c r="P305" s="2"/>
    </row>
    <row r="306" ht="12.0" customHeight="1">
      <c r="B306" s="1"/>
      <c r="K306" s="2"/>
      <c r="P306" s="2"/>
    </row>
    <row r="307" ht="12.0" customHeight="1">
      <c r="B307" s="1"/>
      <c r="K307" s="2"/>
      <c r="P307" s="2"/>
    </row>
    <row r="308" ht="12.0" customHeight="1">
      <c r="B308" s="1"/>
      <c r="K308" s="2"/>
      <c r="P308" s="2"/>
    </row>
    <row r="309" ht="12.0" customHeight="1">
      <c r="B309" s="1"/>
      <c r="K309" s="2"/>
      <c r="P309" s="2"/>
    </row>
    <row r="310" ht="12.0" customHeight="1">
      <c r="B310" s="1"/>
      <c r="K310" s="2"/>
      <c r="P310" s="2"/>
    </row>
    <row r="311" ht="12.0" customHeight="1">
      <c r="B311" s="1"/>
      <c r="K311" s="2"/>
      <c r="P311" s="2"/>
    </row>
    <row r="312" ht="12.0" customHeight="1">
      <c r="B312" s="1"/>
      <c r="K312" s="2"/>
      <c r="P312" s="2"/>
    </row>
    <row r="313" ht="12.0" customHeight="1">
      <c r="B313" s="1"/>
      <c r="K313" s="2"/>
      <c r="P313" s="2"/>
    </row>
    <row r="314" ht="12.0" customHeight="1">
      <c r="B314" s="1"/>
      <c r="K314" s="2"/>
      <c r="P314" s="2"/>
    </row>
    <row r="315" ht="12.0" customHeight="1">
      <c r="B315" s="1"/>
      <c r="K315" s="2"/>
      <c r="P315" s="2"/>
    </row>
    <row r="316" ht="12.0" customHeight="1">
      <c r="B316" s="1"/>
      <c r="K316" s="2"/>
      <c r="P316" s="2"/>
    </row>
    <row r="317" ht="12.0" customHeight="1">
      <c r="B317" s="1"/>
      <c r="K317" s="2"/>
      <c r="P317" s="2"/>
    </row>
    <row r="318" ht="12.0" customHeight="1">
      <c r="B318" s="1"/>
      <c r="K318" s="2"/>
      <c r="P318" s="2"/>
    </row>
    <row r="319" ht="12.0" customHeight="1">
      <c r="B319" s="1"/>
      <c r="K319" s="2"/>
      <c r="P319" s="2"/>
    </row>
    <row r="320" ht="12.0" customHeight="1">
      <c r="B320" s="1"/>
      <c r="K320" s="2"/>
      <c r="P320" s="2"/>
    </row>
    <row r="321" ht="12.0" customHeight="1">
      <c r="B321" s="1"/>
      <c r="K321" s="2"/>
      <c r="P321" s="2"/>
    </row>
    <row r="322" ht="12.0" customHeight="1">
      <c r="B322" s="1"/>
      <c r="K322" s="2"/>
      <c r="P322" s="2"/>
    </row>
    <row r="323" ht="12.0" customHeight="1">
      <c r="B323" s="1"/>
      <c r="K323" s="2"/>
      <c r="P323" s="2"/>
    </row>
    <row r="324" ht="12.0" customHeight="1">
      <c r="B324" s="1"/>
      <c r="K324" s="2"/>
      <c r="P324" s="2"/>
    </row>
    <row r="325" ht="12.0" customHeight="1">
      <c r="B325" s="1"/>
      <c r="K325" s="2"/>
      <c r="P325" s="2"/>
    </row>
    <row r="326" ht="12.0" customHeight="1">
      <c r="B326" s="1"/>
      <c r="K326" s="2"/>
      <c r="P326" s="2"/>
    </row>
    <row r="327" ht="12.0" customHeight="1">
      <c r="B327" s="1"/>
      <c r="K327" s="2"/>
      <c r="P327" s="2"/>
    </row>
    <row r="328" ht="12.0" customHeight="1">
      <c r="B328" s="1"/>
      <c r="K328" s="2"/>
      <c r="P328" s="2"/>
    </row>
    <row r="329" ht="12.0" customHeight="1">
      <c r="B329" s="1"/>
      <c r="K329" s="2"/>
      <c r="P329" s="2"/>
    </row>
    <row r="330" ht="12.0" customHeight="1">
      <c r="B330" s="1"/>
      <c r="K330" s="2"/>
      <c r="P330" s="2"/>
    </row>
    <row r="331" ht="12.0" customHeight="1">
      <c r="B331" s="1"/>
      <c r="K331" s="2"/>
      <c r="P331" s="2"/>
    </row>
    <row r="332" ht="12.0" customHeight="1">
      <c r="B332" s="1"/>
      <c r="K332" s="2"/>
      <c r="P332" s="2"/>
    </row>
    <row r="333" ht="12.0" customHeight="1">
      <c r="B333" s="1"/>
      <c r="K333" s="2"/>
      <c r="P333" s="2"/>
    </row>
    <row r="334" ht="12.0" customHeight="1">
      <c r="B334" s="1"/>
      <c r="K334" s="2"/>
      <c r="P334" s="2"/>
    </row>
    <row r="335" ht="12.0" customHeight="1">
      <c r="B335" s="1"/>
      <c r="K335" s="2"/>
      <c r="P335" s="2"/>
    </row>
    <row r="336" ht="12.0" customHeight="1">
      <c r="B336" s="1"/>
      <c r="K336" s="2"/>
      <c r="P336" s="2"/>
    </row>
    <row r="337" ht="12.0" customHeight="1">
      <c r="B337" s="1"/>
      <c r="K337" s="2"/>
      <c r="P337" s="2"/>
    </row>
    <row r="338" ht="12.0" customHeight="1">
      <c r="B338" s="1"/>
      <c r="K338" s="2"/>
      <c r="P338" s="2"/>
    </row>
    <row r="339" ht="12.0" customHeight="1">
      <c r="B339" s="1"/>
      <c r="K339" s="2"/>
      <c r="P339" s="2"/>
    </row>
    <row r="340" ht="12.0" customHeight="1">
      <c r="B340" s="1"/>
      <c r="K340" s="2"/>
      <c r="P340" s="2"/>
    </row>
    <row r="341" ht="12.0" customHeight="1">
      <c r="B341" s="1"/>
      <c r="K341" s="2"/>
      <c r="P341" s="2"/>
    </row>
    <row r="342" ht="12.0" customHeight="1">
      <c r="B342" s="1"/>
      <c r="K342" s="2"/>
      <c r="P342" s="2"/>
    </row>
    <row r="343" ht="12.0" customHeight="1">
      <c r="B343" s="1"/>
      <c r="K343" s="2"/>
      <c r="P343" s="2"/>
    </row>
    <row r="344" ht="12.0" customHeight="1">
      <c r="B344" s="1"/>
      <c r="K344" s="2"/>
      <c r="P344" s="2"/>
    </row>
    <row r="345" ht="12.0" customHeight="1">
      <c r="B345" s="1"/>
      <c r="K345" s="2"/>
      <c r="P345" s="2"/>
    </row>
    <row r="346" ht="12.0" customHeight="1">
      <c r="B346" s="1"/>
      <c r="K346" s="2"/>
      <c r="P346" s="2"/>
    </row>
    <row r="347" ht="12.0" customHeight="1">
      <c r="B347" s="1"/>
      <c r="K347" s="2"/>
      <c r="P347" s="2"/>
    </row>
    <row r="348" ht="12.0" customHeight="1">
      <c r="B348" s="1"/>
      <c r="K348" s="2"/>
      <c r="P348" s="2"/>
    </row>
    <row r="349" ht="12.0" customHeight="1">
      <c r="B349" s="1"/>
      <c r="K349" s="2"/>
      <c r="P349" s="2"/>
    </row>
    <row r="350" ht="12.0" customHeight="1">
      <c r="B350" s="1"/>
      <c r="K350" s="2"/>
      <c r="P350" s="2"/>
    </row>
    <row r="351" ht="12.0" customHeight="1">
      <c r="B351" s="1"/>
      <c r="K351" s="2"/>
      <c r="P351" s="2"/>
    </row>
    <row r="352" ht="12.0" customHeight="1">
      <c r="B352" s="1"/>
      <c r="K352" s="2"/>
      <c r="P352" s="2"/>
    </row>
    <row r="353" ht="12.0" customHeight="1">
      <c r="B353" s="1"/>
      <c r="K353" s="2"/>
      <c r="P353" s="2"/>
    </row>
    <row r="354" ht="12.0" customHeight="1">
      <c r="B354" s="1"/>
      <c r="K354" s="2"/>
      <c r="P354" s="2"/>
    </row>
    <row r="355" ht="12.0" customHeight="1">
      <c r="B355" s="1"/>
      <c r="K355" s="2"/>
      <c r="P355" s="2"/>
    </row>
    <row r="356" ht="12.0" customHeight="1">
      <c r="B356" s="1"/>
      <c r="K356" s="2"/>
      <c r="P356" s="2"/>
    </row>
    <row r="357" ht="12.0" customHeight="1">
      <c r="B357" s="1"/>
      <c r="K357" s="2"/>
      <c r="P357" s="2"/>
    </row>
    <row r="358" ht="12.0" customHeight="1">
      <c r="B358" s="1"/>
      <c r="K358" s="2"/>
      <c r="P358" s="2"/>
    </row>
    <row r="359" ht="12.0" customHeight="1">
      <c r="B359" s="1"/>
      <c r="K359" s="2"/>
      <c r="P359" s="2"/>
    </row>
    <row r="360" ht="12.0" customHeight="1">
      <c r="B360" s="1"/>
      <c r="K360" s="2"/>
      <c r="P360" s="2"/>
    </row>
    <row r="361" ht="12.0" customHeight="1">
      <c r="B361" s="1"/>
      <c r="K361" s="2"/>
      <c r="P361" s="2"/>
    </row>
    <row r="362" ht="12.0" customHeight="1">
      <c r="B362" s="1"/>
      <c r="K362" s="2"/>
      <c r="P362" s="2"/>
    </row>
    <row r="363" ht="12.0" customHeight="1">
      <c r="B363" s="1"/>
      <c r="K363" s="2"/>
      <c r="P363" s="2"/>
    </row>
    <row r="364" ht="12.0" customHeight="1">
      <c r="B364" s="1"/>
      <c r="K364" s="2"/>
      <c r="P364" s="2"/>
    </row>
    <row r="365" ht="12.0" customHeight="1">
      <c r="B365" s="1"/>
      <c r="K365" s="2"/>
      <c r="P365" s="2"/>
    </row>
    <row r="366" ht="12.0" customHeight="1">
      <c r="B366" s="1"/>
      <c r="K366" s="2"/>
      <c r="P366" s="2"/>
    </row>
    <row r="367" ht="12.0" customHeight="1">
      <c r="B367" s="1"/>
      <c r="K367" s="2"/>
      <c r="P367" s="2"/>
    </row>
    <row r="368" ht="12.0" customHeight="1">
      <c r="B368" s="1"/>
      <c r="K368" s="2"/>
      <c r="P368" s="2"/>
    </row>
    <row r="369" ht="12.0" customHeight="1">
      <c r="B369" s="1"/>
      <c r="K369" s="2"/>
      <c r="P369" s="2"/>
    </row>
    <row r="370" ht="12.0" customHeight="1">
      <c r="B370" s="1"/>
      <c r="K370" s="2"/>
      <c r="P370" s="2"/>
    </row>
    <row r="371" ht="12.0" customHeight="1">
      <c r="B371" s="1"/>
      <c r="K371" s="2"/>
      <c r="P371" s="2"/>
    </row>
    <row r="372" ht="12.0" customHeight="1">
      <c r="B372" s="1"/>
      <c r="K372" s="2"/>
      <c r="P372" s="2"/>
    </row>
    <row r="373" ht="12.0" customHeight="1">
      <c r="B373" s="1"/>
      <c r="K373" s="2"/>
      <c r="P373" s="2"/>
    </row>
    <row r="374" ht="12.0" customHeight="1">
      <c r="B374" s="1"/>
      <c r="K374" s="2"/>
      <c r="P374" s="2"/>
    </row>
    <row r="375" ht="12.0" customHeight="1">
      <c r="B375" s="1"/>
      <c r="K375" s="2"/>
      <c r="P375" s="2"/>
    </row>
    <row r="376" ht="12.0" customHeight="1">
      <c r="B376" s="1"/>
      <c r="K376" s="2"/>
      <c r="P376" s="2"/>
    </row>
    <row r="377" ht="12.0" customHeight="1">
      <c r="B377" s="1"/>
      <c r="K377" s="2"/>
      <c r="P377" s="2"/>
    </row>
    <row r="378" ht="12.0" customHeight="1">
      <c r="B378" s="1"/>
      <c r="K378" s="2"/>
      <c r="P378" s="2"/>
    </row>
    <row r="379" ht="12.0" customHeight="1">
      <c r="B379" s="1"/>
      <c r="K379" s="2"/>
      <c r="P379" s="2"/>
    </row>
    <row r="380" ht="12.0" customHeight="1">
      <c r="B380" s="1"/>
      <c r="K380" s="2"/>
      <c r="P380" s="2"/>
    </row>
    <row r="381" ht="12.0" customHeight="1">
      <c r="B381" s="1"/>
      <c r="K381" s="2"/>
      <c r="P381" s="2"/>
    </row>
    <row r="382" ht="12.0" customHeight="1">
      <c r="B382" s="1"/>
      <c r="K382" s="2"/>
      <c r="P382" s="2"/>
    </row>
    <row r="383" ht="12.0" customHeight="1">
      <c r="B383" s="1"/>
      <c r="K383" s="2"/>
      <c r="P383" s="2"/>
    </row>
    <row r="384" ht="12.0" customHeight="1">
      <c r="B384" s="1"/>
      <c r="K384" s="2"/>
      <c r="P384" s="2"/>
    </row>
    <row r="385" ht="12.0" customHeight="1">
      <c r="B385" s="1"/>
      <c r="K385" s="2"/>
      <c r="P385" s="2"/>
    </row>
    <row r="386" ht="12.0" customHeight="1">
      <c r="B386" s="1"/>
      <c r="K386" s="2"/>
      <c r="P386" s="2"/>
    </row>
    <row r="387" ht="12.0" customHeight="1">
      <c r="B387" s="1"/>
      <c r="K387" s="2"/>
      <c r="P387" s="2"/>
    </row>
    <row r="388" ht="12.0" customHeight="1">
      <c r="B388" s="1"/>
      <c r="K388" s="2"/>
      <c r="P388" s="2"/>
    </row>
    <row r="389" ht="12.0" customHeight="1">
      <c r="B389" s="1"/>
      <c r="K389" s="2"/>
      <c r="P389" s="2"/>
    </row>
    <row r="390" ht="12.0" customHeight="1">
      <c r="B390" s="1"/>
      <c r="K390" s="2"/>
      <c r="P390" s="2"/>
    </row>
    <row r="391" ht="12.0" customHeight="1">
      <c r="B391" s="1"/>
      <c r="K391" s="2"/>
      <c r="P391" s="2"/>
    </row>
    <row r="392" ht="12.0" customHeight="1">
      <c r="B392" s="1"/>
      <c r="K392" s="2"/>
      <c r="P392" s="2"/>
    </row>
    <row r="393" ht="12.0" customHeight="1">
      <c r="B393" s="1"/>
      <c r="K393" s="2"/>
      <c r="P393" s="2"/>
    </row>
    <row r="394" ht="12.0" customHeight="1">
      <c r="B394" s="1"/>
      <c r="K394" s="2"/>
      <c r="P394" s="2"/>
    </row>
    <row r="395" ht="12.0" customHeight="1">
      <c r="B395" s="1"/>
      <c r="K395" s="2"/>
      <c r="P395" s="2"/>
    </row>
    <row r="396" ht="12.0" customHeight="1">
      <c r="B396" s="1"/>
      <c r="K396" s="2"/>
      <c r="P396" s="2"/>
    </row>
    <row r="397" ht="12.0" customHeight="1">
      <c r="B397" s="1"/>
      <c r="K397" s="2"/>
      <c r="P397" s="2"/>
    </row>
    <row r="398" ht="12.0" customHeight="1">
      <c r="B398" s="1"/>
      <c r="K398" s="2"/>
      <c r="P398" s="2"/>
    </row>
    <row r="399" ht="12.0" customHeight="1">
      <c r="B399" s="1"/>
      <c r="K399" s="2"/>
      <c r="P399" s="2"/>
    </row>
    <row r="400" ht="12.0" customHeight="1">
      <c r="B400" s="1"/>
      <c r="K400" s="2"/>
      <c r="P400" s="2"/>
    </row>
    <row r="401" ht="12.0" customHeight="1">
      <c r="B401" s="1"/>
      <c r="K401" s="2"/>
      <c r="P401" s="2"/>
    </row>
    <row r="402" ht="12.0" customHeight="1">
      <c r="B402" s="1"/>
      <c r="K402" s="2"/>
      <c r="P402" s="2"/>
    </row>
    <row r="403" ht="12.0" customHeight="1">
      <c r="B403" s="1"/>
      <c r="K403" s="2"/>
      <c r="P403" s="2"/>
    </row>
    <row r="404" ht="12.0" customHeight="1">
      <c r="B404" s="1"/>
      <c r="K404" s="2"/>
      <c r="P404" s="2"/>
    </row>
    <row r="405" ht="12.0" customHeight="1">
      <c r="B405" s="1"/>
      <c r="K405" s="2"/>
      <c r="P405" s="2"/>
    </row>
    <row r="406" ht="12.0" customHeight="1">
      <c r="B406" s="1"/>
      <c r="K406" s="2"/>
      <c r="P406" s="2"/>
    </row>
    <row r="407" ht="12.0" customHeight="1">
      <c r="B407" s="1"/>
      <c r="K407" s="2"/>
      <c r="P407" s="2"/>
    </row>
    <row r="408" ht="12.0" customHeight="1">
      <c r="B408" s="1"/>
      <c r="K408" s="2"/>
      <c r="P408" s="2"/>
    </row>
    <row r="409" ht="12.0" customHeight="1">
      <c r="B409" s="1"/>
      <c r="K409" s="2"/>
      <c r="P409" s="2"/>
    </row>
    <row r="410" ht="12.0" customHeight="1">
      <c r="B410" s="1"/>
      <c r="K410" s="2"/>
      <c r="P410" s="2"/>
    </row>
    <row r="411" ht="12.0" customHeight="1">
      <c r="B411" s="1"/>
      <c r="K411" s="2"/>
      <c r="P411" s="2"/>
    </row>
    <row r="412" ht="12.0" customHeight="1">
      <c r="B412" s="1"/>
      <c r="K412" s="2"/>
      <c r="P412" s="2"/>
    </row>
    <row r="413" ht="12.0" customHeight="1">
      <c r="B413" s="1"/>
      <c r="K413" s="2"/>
      <c r="P413" s="2"/>
    </row>
    <row r="414" ht="12.0" customHeight="1">
      <c r="B414" s="1"/>
      <c r="K414" s="2"/>
      <c r="P414" s="2"/>
    </row>
    <row r="415" ht="12.0" customHeight="1">
      <c r="B415" s="1"/>
      <c r="K415" s="2"/>
      <c r="P415" s="2"/>
    </row>
    <row r="416" ht="12.0" customHeight="1">
      <c r="B416" s="1"/>
      <c r="K416" s="2"/>
      <c r="P416" s="2"/>
    </row>
    <row r="417" ht="12.0" customHeight="1">
      <c r="B417" s="1"/>
      <c r="K417" s="2"/>
      <c r="P417" s="2"/>
    </row>
    <row r="418" ht="12.0" customHeight="1">
      <c r="B418" s="1"/>
      <c r="K418" s="2"/>
      <c r="P418" s="2"/>
    </row>
    <row r="419" ht="12.0" customHeight="1">
      <c r="B419" s="1"/>
      <c r="K419" s="2"/>
      <c r="P419" s="2"/>
    </row>
    <row r="420" ht="12.0" customHeight="1">
      <c r="B420" s="1"/>
      <c r="K420" s="2"/>
      <c r="P420" s="2"/>
    </row>
    <row r="421" ht="12.0" customHeight="1">
      <c r="B421" s="1"/>
      <c r="K421" s="2"/>
      <c r="P421" s="2"/>
    </row>
    <row r="422" ht="12.0" customHeight="1">
      <c r="B422" s="1"/>
      <c r="K422" s="2"/>
      <c r="P422" s="2"/>
    </row>
    <row r="423" ht="12.0" customHeight="1">
      <c r="B423" s="1"/>
      <c r="K423" s="2"/>
      <c r="P423" s="2"/>
    </row>
    <row r="424" ht="12.0" customHeight="1">
      <c r="B424" s="1"/>
      <c r="K424" s="2"/>
      <c r="P424" s="2"/>
    </row>
    <row r="425" ht="12.0" customHeight="1">
      <c r="B425" s="1"/>
      <c r="K425" s="2"/>
      <c r="P425" s="2"/>
    </row>
    <row r="426" ht="12.0" customHeight="1">
      <c r="B426" s="1"/>
      <c r="K426" s="2"/>
      <c r="P426" s="2"/>
    </row>
    <row r="427" ht="12.0" customHeight="1">
      <c r="B427" s="1"/>
      <c r="K427" s="2"/>
      <c r="P427" s="2"/>
    </row>
    <row r="428" ht="12.0" customHeight="1">
      <c r="B428" s="1"/>
      <c r="K428" s="2"/>
      <c r="P428" s="2"/>
    </row>
    <row r="429" ht="12.0" customHeight="1">
      <c r="B429" s="1"/>
      <c r="K429" s="2"/>
      <c r="P429" s="2"/>
    </row>
    <row r="430" ht="12.0" customHeight="1">
      <c r="B430" s="1"/>
      <c r="K430" s="2"/>
      <c r="P430" s="2"/>
    </row>
    <row r="431" ht="12.0" customHeight="1">
      <c r="B431" s="1"/>
      <c r="K431" s="2"/>
      <c r="P431" s="2"/>
    </row>
    <row r="432" ht="12.0" customHeight="1">
      <c r="B432" s="1"/>
      <c r="K432" s="2"/>
      <c r="P432" s="2"/>
    </row>
    <row r="433" ht="12.0" customHeight="1">
      <c r="B433" s="1"/>
      <c r="K433" s="2"/>
      <c r="P433" s="2"/>
    </row>
    <row r="434" ht="12.0" customHeight="1">
      <c r="B434" s="1"/>
      <c r="K434" s="2"/>
      <c r="P434" s="2"/>
    </row>
    <row r="435" ht="12.0" customHeight="1">
      <c r="B435" s="1"/>
      <c r="K435" s="2"/>
      <c r="P435" s="2"/>
    </row>
    <row r="436" ht="12.0" customHeight="1">
      <c r="B436" s="1"/>
      <c r="K436" s="2"/>
      <c r="P436" s="2"/>
    </row>
    <row r="437" ht="12.0" customHeight="1">
      <c r="B437" s="1"/>
      <c r="K437" s="2"/>
      <c r="P437" s="2"/>
    </row>
    <row r="438" ht="12.0" customHeight="1">
      <c r="B438" s="1"/>
      <c r="K438" s="2"/>
      <c r="P438" s="2"/>
    </row>
    <row r="439" ht="12.0" customHeight="1">
      <c r="B439" s="1"/>
      <c r="K439" s="2"/>
      <c r="P439" s="2"/>
    </row>
    <row r="440" ht="12.0" customHeight="1">
      <c r="B440" s="1"/>
      <c r="K440" s="2"/>
      <c r="P440" s="2"/>
    </row>
    <row r="441" ht="12.0" customHeight="1">
      <c r="B441" s="1"/>
      <c r="K441" s="2"/>
      <c r="P441" s="2"/>
    </row>
    <row r="442" ht="12.0" customHeight="1">
      <c r="B442" s="1"/>
      <c r="K442" s="2"/>
      <c r="P442" s="2"/>
    </row>
    <row r="443" ht="12.0" customHeight="1">
      <c r="B443" s="1"/>
      <c r="K443" s="2"/>
      <c r="P443" s="2"/>
    </row>
    <row r="444" ht="12.0" customHeight="1">
      <c r="B444" s="1"/>
      <c r="K444" s="2"/>
      <c r="P444" s="2"/>
    </row>
    <row r="445" ht="12.0" customHeight="1">
      <c r="B445" s="1"/>
      <c r="K445" s="2"/>
      <c r="P445" s="2"/>
    </row>
    <row r="446" ht="12.0" customHeight="1">
      <c r="B446" s="1"/>
      <c r="K446" s="2"/>
      <c r="P446" s="2"/>
    </row>
    <row r="447" ht="12.0" customHeight="1">
      <c r="B447" s="1"/>
      <c r="K447" s="2"/>
      <c r="P447" s="2"/>
    </row>
    <row r="448" ht="12.0" customHeight="1">
      <c r="B448" s="1"/>
      <c r="K448" s="2"/>
      <c r="P448" s="2"/>
    </row>
    <row r="449" ht="12.0" customHeight="1">
      <c r="B449" s="1"/>
      <c r="K449" s="2"/>
      <c r="P449" s="2"/>
    </row>
    <row r="450" ht="12.0" customHeight="1">
      <c r="B450" s="1"/>
      <c r="K450" s="2"/>
      <c r="P450" s="2"/>
    </row>
    <row r="451" ht="12.0" customHeight="1">
      <c r="B451" s="1"/>
      <c r="K451" s="2"/>
      <c r="P451" s="2"/>
    </row>
    <row r="452" ht="12.0" customHeight="1">
      <c r="B452" s="1"/>
      <c r="K452" s="2"/>
      <c r="P452" s="2"/>
    </row>
    <row r="453" ht="12.0" customHeight="1">
      <c r="B453" s="1"/>
      <c r="K453" s="2"/>
      <c r="P453" s="2"/>
    </row>
    <row r="454" ht="12.0" customHeight="1">
      <c r="B454" s="1"/>
      <c r="K454" s="2"/>
      <c r="P454" s="2"/>
    </row>
    <row r="455" ht="12.0" customHeight="1">
      <c r="B455" s="1"/>
      <c r="K455" s="2"/>
      <c r="P455" s="2"/>
    </row>
    <row r="456" ht="12.0" customHeight="1">
      <c r="B456" s="1"/>
      <c r="K456" s="2"/>
      <c r="P456" s="2"/>
    </row>
    <row r="457" ht="12.0" customHeight="1">
      <c r="B457" s="1"/>
      <c r="K457" s="2"/>
      <c r="P457" s="2"/>
    </row>
    <row r="458" ht="12.0" customHeight="1">
      <c r="B458" s="1"/>
      <c r="K458" s="2"/>
      <c r="P458" s="2"/>
    </row>
    <row r="459" ht="12.0" customHeight="1">
      <c r="B459" s="1"/>
      <c r="K459" s="2"/>
      <c r="P459" s="2"/>
    </row>
    <row r="460" ht="12.0" customHeight="1">
      <c r="B460" s="1"/>
      <c r="K460" s="2"/>
      <c r="P460" s="2"/>
    </row>
    <row r="461" ht="12.0" customHeight="1">
      <c r="B461" s="1"/>
      <c r="K461" s="2"/>
      <c r="P461" s="2"/>
    </row>
    <row r="462" ht="12.0" customHeight="1">
      <c r="B462" s="1"/>
      <c r="K462" s="2"/>
      <c r="P462" s="2"/>
    </row>
    <row r="463" ht="12.0" customHeight="1">
      <c r="B463" s="1"/>
      <c r="K463" s="2"/>
      <c r="P463" s="2"/>
    </row>
    <row r="464" ht="12.0" customHeight="1">
      <c r="B464" s="1"/>
      <c r="K464" s="2"/>
      <c r="P464" s="2"/>
    </row>
    <row r="465" ht="12.0" customHeight="1">
      <c r="B465" s="1"/>
      <c r="K465" s="2"/>
      <c r="P465" s="2"/>
    </row>
    <row r="466" ht="12.0" customHeight="1">
      <c r="B466" s="1"/>
      <c r="K466" s="2"/>
      <c r="P466" s="2"/>
    </row>
    <row r="467" ht="12.0" customHeight="1">
      <c r="B467" s="1"/>
      <c r="K467" s="2"/>
      <c r="P467" s="2"/>
    </row>
    <row r="468" ht="12.0" customHeight="1">
      <c r="B468" s="1"/>
      <c r="K468" s="2"/>
      <c r="P468" s="2"/>
    </row>
    <row r="469" ht="12.0" customHeight="1">
      <c r="B469" s="1"/>
      <c r="K469" s="2"/>
      <c r="P469" s="2"/>
    </row>
    <row r="470" ht="12.0" customHeight="1">
      <c r="B470" s="1"/>
      <c r="K470" s="2"/>
      <c r="P470" s="2"/>
    </row>
    <row r="471" ht="12.0" customHeight="1">
      <c r="B471" s="1"/>
      <c r="K471" s="2"/>
      <c r="P471" s="2"/>
    </row>
    <row r="472" ht="12.0" customHeight="1">
      <c r="B472" s="1"/>
      <c r="K472" s="2"/>
      <c r="P472" s="2"/>
    </row>
    <row r="473" ht="12.0" customHeight="1">
      <c r="B473" s="1"/>
      <c r="K473" s="2"/>
      <c r="P473" s="2"/>
    </row>
    <row r="474" ht="12.0" customHeight="1">
      <c r="B474" s="1"/>
      <c r="K474" s="2"/>
      <c r="P474" s="2"/>
    </row>
    <row r="475" ht="12.0" customHeight="1">
      <c r="B475" s="1"/>
      <c r="K475" s="2"/>
      <c r="P475" s="2"/>
    </row>
    <row r="476" ht="12.0" customHeight="1">
      <c r="B476" s="1"/>
      <c r="K476" s="2"/>
      <c r="P476" s="2"/>
    </row>
    <row r="477" ht="12.0" customHeight="1">
      <c r="B477" s="1"/>
      <c r="K477" s="2"/>
      <c r="P477" s="2"/>
    </row>
    <row r="478" ht="12.0" customHeight="1">
      <c r="B478" s="1"/>
      <c r="K478" s="2"/>
      <c r="P478" s="2"/>
    </row>
    <row r="479" ht="12.0" customHeight="1">
      <c r="B479" s="1"/>
      <c r="K479" s="2"/>
      <c r="P479" s="2"/>
    </row>
    <row r="480" ht="12.0" customHeight="1">
      <c r="B480" s="1"/>
      <c r="K480" s="2"/>
      <c r="P480" s="2"/>
    </row>
    <row r="481" ht="12.0" customHeight="1">
      <c r="B481" s="1"/>
      <c r="K481" s="2"/>
      <c r="P481" s="2"/>
    </row>
    <row r="482" ht="12.0" customHeight="1">
      <c r="B482" s="1"/>
      <c r="K482" s="2"/>
      <c r="P482" s="2"/>
    </row>
    <row r="483" ht="12.0" customHeight="1">
      <c r="B483" s="1"/>
      <c r="K483" s="2"/>
      <c r="P483" s="2"/>
    </row>
    <row r="484" ht="12.0" customHeight="1">
      <c r="B484" s="1"/>
      <c r="K484" s="2"/>
      <c r="P484" s="2"/>
    </row>
    <row r="485" ht="12.0" customHeight="1">
      <c r="B485" s="1"/>
      <c r="K485" s="2"/>
      <c r="P485" s="2"/>
    </row>
    <row r="486" ht="12.0" customHeight="1">
      <c r="B486" s="1"/>
      <c r="K486" s="2"/>
      <c r="P486" s="2"/>
    </row>
    <row r="487" ht="12.0" customHeight="1">
      <c r="B487" s="1"/>
      <c r="K487" s="2"/>
      <c r="P487" s="2"/>
    </row>
    <row r="488" ht="12.0" customHeight="1">
      <c r="B488" s="1"/>
      <c r="K488" s="2"/>
      <c r="P488" s="2"/>
    </row>
    <row r="489" ht="12.0" customHeight="1">
      <c r="B489" s="1"/>
      <c r="K489" s="2"/>
      <c r="P489" s="2"/>
    </row>
    <row r="490" ht="12.0" customHeight="1">
      <c r="B490" s="1"/>
      <c r="K490" s="2"/>
      <c r="P490" s="2"/>
    </row>
    <row r="491" ht="12.0" customHeight="1">
      <c r="B491" s="1"/>
      <c r="K491" s="2"/>
      <c r="P491" s="2"/>
    </row>
    <row r="492" ht="12.0" customHeight="1">
      <c r="B492" s="1"/>
      <c r="K492" s="2"/>
      <c r="P492" s="2"/>
    </row>
    <row r="493" ht="12.0" customHeight="1">
      <c r="B493" s="1"/>
      <c r="K493" s="2"/>
      <c r="P493" s="2"/>
    </row>
    <row r="494" ht="12.0" customHeight="1">
      <c r="B494" s="1"/>
      <c r="K494" s="2"/>
      <c r="P494" s="2"/>
    </row>
    <row r="495" ht="12.0" customHeight="1">
      <c r="B495" s="1"/>
      <c r="K495" s="2"/>
      <c r="P495" s="2"/>
    </row>
    <row r="496" ht="12.0" customHeight="1">
      <c r="B496" s="1"/>
      <c r="K496" s="2"/>
      <c r="P496" s="2"/>
    </row>
    <row r="497" ht="12.0" customHeight="1">
      <c r="B497" s="1"/>
      <c r="K497" s="2"/>
      <c r="P497" s="2"/>
    </row>
    <row r="498" ht="12.0" customHeight="1">
      <c r="B498" s="1"/>
      <c r="K498" s="2"/>
      <c r="P498" s="2"/>
    </row>
    <row r="499" ht="12.0" customHeight="1">
      <c r="B499" s="1"/>
      <c r="K499" s="2"/>
      <c r="P499" s="2"/>
    </row>
    <row r="500" ht="12.0" customHeight="1">
      <c r="B500" s="1"/>
      <c r="K500" s="2"/>
      <c r="P500" s="2"/>
    </row>
    <row r="501" ht="12.0" customHeight="1">
      <c r="B501" s="1"/>
      <c r="K501" s="2"/>
      <c r="P501" s="2"/>
    </row>
    <row r="502" ht="12.0" customHeight="1">
      <c r="B502" s="1"/>
      <c r="K502" s="2"/>
      <c r="P502" s="2"/>
    </row>
    <row r="503" ht="12.0" customHeight="1">
      <c r="B503" s="1"/>
      <c r="K503" s="2"/>
      <c r="P503" s="2"/>
    </row>
    <row r="504" ht="12.0" customHeight="1">
      <c r="B504" s="1"/>
      <c r="K504" s="2"/>
      <c r="P504" s="2"/>
    </row>
    <row r="505" ht="12.0" customHeight="1">
      <c r="B505" s="1"/>
      <c r="K505" s="2"/>
      <c r="P505" s="2"/>
    </row>
    <row r="506" ht="12.0" customHeight="1">
      <c r="B506" s="1"/>
      <c r="K506" s="2"/>
      <c r="P506" s="2"/>
    </row>
    <row r="507" ht="12.0" customHeight="1">
      <c r="B507" s="1"/>
      <c r="K507" s="2"/>
      <c r="P507" s="2"/>
    </row>
    <row r="508" ht="12.0" customHeight="1">
      <c r="B508" s="1"/>
      <c r="K508" s="2"/>
      <c r="P508" s="2"/>
    </row>
    <row r="509" ht="12.0" customHeight="1">
      <c r="B509" s="1"/>
      <c r="K509" s="2"/>
      <c r="P509" s="2"/>
    </row>
    <row r="510" ht="12.0" customHeight="1">
      <c r="B510" s="1"/>
      <c r="K510" s="2"/>
      <c r="P510" s="2"/>
    </row>
    <row r="511" ht="12.0" customHeight="1">
      <c r="B511" s="1"/>
      <c r="K511" s="2"/>
      <c r="P511" s="2"/>
    </row>
    <row r="512" ht="12.0" customHeight="1">
      <c r="B512" s="1"/>
      <c r="K512" s="2"/>
      <c r="P512" s="2"/>
    </row>
    <row r="513" ht="12.0" customHeight="1">
      <c r="B513" s="1"/>
      <c r="K513" s="2"/>
      <c r="P513" s="2"/>
    </row>
    <row r="514" ht="12.0" customHeight="1">
      <c r="B514" s="1"/>
      <c r="K514" s="2"/>
      <c r="P514" s="2"/>
    </row>
    <row r="515" ht="12.0" customHeight="1">
      <c r="B515" s="1"/>
      <c r="K515" s="2"/>
      <c r="P515" s="2"/>
    </row>
    <row r="516" ht="12.0" customHeight="1">
      <c r="B516" s="1"/>
      <c r="K516" s="2"/>
      <c r="P516" s="2"/>
    </row>
    <row r="517" ht="12.0" customHeight="1">
      <c r="B517" s="1"/>
      <c r="K517" s="2"/>
      <c r="P517" s="2"/>
    </row>
    <row r="518" ht="12.0" customHeight="1">
      <c r="B518" s="1"/>
      <c r="K518" s="2"/>
      <c r="P518" s="2"/>
    </row>
    <row r="519" ht="12.0" customHeight="1">
      <c r="B519" s="1"/>
      <c r="K519" s="2"/>
      <c r="P519" s="2"/>
    </row>
    <row r="520" ht="12.0" customHeight="1">
      <c r="B520" s="1"/>
      <c r="K520" s="2"/>
      <c r="P520" s="2"/>
    </row>
    <row r="521" ht="12.0" customHeight="1">
      <c r="B521" s="1"/>
      <c r="K521" s="2"/>
      <c r="P521" s="2"/>
    </row>
    <row r="522" ht="12.0" customHeight="1">
      <c r="B522" s="1"/>
      <c r="K522" s="2"/>
      <c r="P522" s="2"/>
    </row>
    <row r="523" ht="12.0" customHeight="1">
      <c r="B523" s="1"/>
      <c r="K523" s="2"/>
      <c r="P523" s="2"/>
    </row>
    <row r="524" ht="12.0" customHeight="1">
      <c r="B524" s="1"/>
      <c r="K524" s="2"/>
      <c r="P524" s="2"/>
    </row>
    <row r="525" ht="12.0" customHeight="1">
      <c r="B525" s="1"/>
      <c r="K525" s="2"/>
      <c r="P525" s="2"/>
    </row>
    <row r="526" ht="12.0" customHeight="1">
      <c r="B526" s="1"/>
      <c r="K526" s="2"/>
      <c r="P526" s="2"/>
    </row>
    <row r="527" ht="12.0" customHeight="1">
      <c r="B527" s="1"/>
      <c r="K527" s="2"/>
      <c r="P527" s="2"/>
    </row>
    <row r="528" ht="12.0" customHeight="1">
      <c r="B528" s="1"/>
      <c r="K528" s="2"/>
      <c r="P528" s="2"/>
    </row>
    <row r="529" ht="12.0" customHeight="1">
      <c r="B529" s="1"/>
      <c r="K529" s="2"/>
      <c r="P529" s="2"/>
    </row>
    <row r="530" ht="12.0" customHeight="1">
      <c r="B530" s="1"/>
      <c r="K530" s="2"/>
      <c r="P530" s="2"/>
    </row>
    <row r="531" ht="12.0" customHeight="1">
      <c r="B531" s="1"/>
      <c r="K531" s="2"/>
      <c r="P531" s="2"/>
    </row>
    <row r="532" ht="12.0" customHeight="1">
      <c r="B532" s="1"/>
      <c r="K532" s="2"/>
      <c r="P532" s="2"/>
    </row>
    <row r="533" ht="12.0" customHeight="1">
      <c r="B533" s="1"/>
      <c r="K533" s="2"/>
      <c r="P533" s="2"/>
    </row>
    <row r="534" ht="12.0" customHeight="1">
      <c r="B534" s="1"/>
      <c r="K534" s="2"/>
      <c r="P534" s="2"/>
    </row>
    <row r="535" ht="12.0" customHeight="1">
      <c r="B535" s="1"/>
      <c r="K535" s="2"/>
      <c r="P535" s="2"/>
    </row>
    <row r="536" ht="12.0" customHeight="1">
      <c r="B536" s="1"/>
      <c r="K536" s="2"/>
      <c r="P536" s="2"/>
    </row>
    <row r="537" ht="12.0" customHeight="1">
      <c r="B537" s="1"/>
      <c r="K537" s="2"/>
      <c r="P537" s="2"/>
    </row>
    <row r="538" ht="12.0" customHeight="1">
      <c r="B538" s="1"/>
      <c r="K538" s="2"/>
      <c r="P538" s="2"/>
    </row>
    <row r="539" ht="12.0" customHeight="1">
      <c r="B539" s="1"/>
      <c r="K539" s="2"/>
      <c r="P539" s="2"/>
    </row>
    <row r="540" ht="12.0" customHeight="1">
      <c r="B540" s="1"/>
      <c r="K540" s="2"/>
      <c r="P540" s="2"/>
    </row>
    <row r="541" ht="12.0" customHeight="1">
      <c r="B541" s="1"/>
      <c r="K541" s="2"/>
      <c r="P541" s="2"/>
    </row>
    <row r="542" ht="12.0" customHeight="1">
      <c r="B542" s="1"/>
      <c r="K542" s="2"/>
      <c r="P542" s="2"/>
    </row>
    <row r="543" ht="12.0" customHeight="1">
      <c r="B543" s="1"/>
      <c r="K543" s="2"/>
      <c r="P543" s="2"/>
    </row>
    <row r="544" ht="12.0" customHeight="1">
      <c r="B544" s="1"/>
      <c r="K544" s="2"/>
      <c r="P544" s="2"/>
    </row>
    <row r="545" ht="12.0" customHeight="1">
      <c r="B545" s="1"/>
      <c r="K545" s="2"/>
      <c r="P545" s="2"/>
    </row>
    <row r="546" ht="12.0" customHeight="1">
      <c r="B546" s="1"/>
      <c r="K546" s="2"/>
      <c r="P546" s="2"/>
    </row>
    <row r="547" ht="12.0" customHeight="1">
      <c r="B547" s="1"/>
      <c r="K547" s="2"/>
      <c r="P547" s="2"/>
    </row>
    <row r="548" ht="12.0" customHeight="1">
      <c r="B548" s="1"/>
      <c r="K548" s="2"/>
      <c r="P548" s="2"/>
    </row>
    <row r="549" ht="12.0" customHeight="1">
      <c r="B549" s="1"/>
      <c r="K549" s="2"/>
      <c r="P549" s="2"/>
    </row>
    <row r="550" ht="12.0" customHeight="1">
      <c r="B550" s="1"/>
      <c r="K550" s="2"/>
      <c r="P550" s="2"/>
    </row>
    <row r="551" ht="12.0" customHeight="1">
      <c r="B551" s="1"/>
      <c r="K551" s="2"/>
      <c r="P551" s="2"/>
    </row>
    <row r="552" ht="12.0" customHeight="1">
      <c r="B552" s="1"/>
      <c r="K552" s="2"/>
      <c r="P552" s="2"/>
    </row>
    <row r="553" ht="12.0" customHeight="1">
      <c r="B553" s="1"/>
      <c r="K553" s="2"/>
      <c r="P553" s="2"/>
    </row>
    <row r="554" ht="12.0" customHeight="1">
      <c r="B554" s="1"/>
      <c r="K554" s="2"/>
      <c r="P554" s="2"/>
    </row>
    <row r="555" ht="12.0" customHeight="1">
      <c r="B555" s="1"/>
      <c r="K555" s="2"/>
      <c r="P555" s="2"/>
    </row>
    <row r="556" ht="12.0" customHeight="1">
      <c r="B556" s="1"/>
      <c r="K556" s="2"/>
      <c r="P556" s="2"/>
    </row>
    <row r="557" ht="12.0" customHeight="1">
      <c r="B557" s="1"/>
      <c r="K557" s="2"/>
      <c r="P557" s="2"/>
    </row>
    <row r="558" ht="12.0" customHeight="1">
      <c r="B558" s="1"/>
      <c r="K558" s="2"/>
      <c r="P558" s="2"/>
    </row>
    <row r="559" ht="12.0" customHeight="1">
      <c r="B559" s="1"/>
      <c r="K559" s="2"/>
      <c r="P559" s="2"/>
    </row>
    <row r="560" ht="12.0" customHeight="1">
      <c r="B560" s="1"/>
      <c r="K560" s="2"/>
      <c r="P560" s="2"/>
    </row>
    <row r="561" ht="12.0" customHeight="1">
      <c r="B561" s="1"/>
      <c r="K561" s="2"/>
      <c r="P561" s="2"/>
    </row>
    <row r="562" ht="12.0" customHeight="1">
      <c r="B562" s="1"/>
      <c r="K562" s="2"/>
      <c r="P562" s="2"/>
    </row>
    <row r="563" ht="12.0" customHeight="1">
      <c r="B563" s="1"/>
      <c r="K563" s="2"/>
      <c r="P563" s="2"/>
    </row>
    <row r="564" ht="12.0" customHeight="1">
      <c r="B564" s="1"/>
      <c r="K564" s="2"/>
      <c r="P564" s="2"/>
    </row>
    <row r="565" ht="12.0" customHeight="1">
      <c r="B565" s="1"/>
      <c r="K565" s="2"/>
      <c r="P565" s="2"/>
    </row>
    <row r="566" ht="12.0" customHeight="1">
      <c r="B566" s="1"/>
      <c r="K566" s="2"/>
      <c r="P566" s="2"/>
    </row>
    <row r="567" ht="12.0" customHeight="1">
      <c r="B567" s="1"/>
      <c r="K567" s="2"/>
      <c r="P567" s="2"/>
    </row>
    <row r="568" ht="12.0" customHeight="1">
      <c r="B568" s="1"/>
      <c r="K568" s="2"/>
      <c r="P568" s="2"/>
    </row>
    <row r="569" ht="12.0" customHeight="1">
      <c r="B569" s="1"/>
      <c r="K569" s="2"/>
      <c r="P569" s="2"/>
    </row>
    <row r="570" ht="12.0" customHeight="1">
      <c r="B570" s="1"/>
      <c r="K570" s="2"/>
      <c r="P570" s="2"/>
    </row>
    <row r="571" ht="12.0" customHeight="1">
      <c r="B571" s="1"/>
      <c r="K571" s="2"/>
      <c r="P571" s="2"/>
    </row>
    <row r="572" ht="12.0" customHeight="1">
      <c r="B572" s="1"/>
      <c r="K572" s="2"/>
      <c r="P572" s="2"/>
    </row>
    <row r="573" ht="12.0" customHeight="1">
      <c r="B573" s="1"/>
      <c r="K573" s="2"/>
      <c r="P573" s="2"/>
    </row>
    <row r="574" ht="12.0" customHeight="1">
      <c r="B574" s="1"/>
      <c r="K574" s="2"/>
      <c r="P574" s="2"/>
    </row>
    <row r="575" ht="12.0" customHeight="1">
      <c r="B575" s="1"/>
      <c r="K575" s="2"/>
      <c r="P575" s="2"/>
    </row>
    <row r="576" ht="12.0" customHeight="1">
      <c r="B576" s="1"/>
      <c r="K576" s="2"/>
      <c r="P576" s="2"/>
    </row>
    <row r="577" ht="12.0" customHeight="1">
      <c r="B577" s="1"/>
      <c r="K577" s="2"/>
      <c r="P577" s="2"/>
    </row>
    <row r="578" ht="12.0" customHeight="1">
      <c r="B578" s="1"/>
      <c r="K578" s="2"/>
      <c r="P578" s="2"/>
    </row>
    <row r="579" ht="12.0" customHeight="1">
      <c r="B579" s="1"/>
      <c r="K579" s="2"/>
      <c r="P579" s="2"/>
    </row>
    <row r="580" ht="12.0" customHeight="1">
      <c r="B580" s="1"/>
      <c r="K580" s="2"/>
      <c r="P580" s="2"/>
    </row>
    <row r="581" ht="12.0" customHeight="1">
      <c r="B581" s="1"/>
      <c r="K581" s="2"/>
      <c r="P581" s="2"/>
    </row>
    <row r="582" ht="12.0" customHeight="1">
      <c r="B582" s="1"/>
      <c r="K582" s="2"/>
      <c r="P582" s="2"/>
    </row>
    <row r="583" ht="12.0" customHeight="1">
      <c r="B583" s="1"/>
      <c r="K583" s="2"/>
      <c r="P583" s="2"/>
    </row>
    <row r="584" ht="12.0" customHeight="1">
      <c r="B584" s="1"/>
      <c r="K584" s="2"/>
      <c r="P584" s="2"/>
    </row>
    <row r="585" ht="12.0" customHeight="1">
      <c r="B585" s="1"/>
      <c r="K585" s="2"/>
      <c r="P585" s="2"/>
    </row>
    <row r="586" ht="12.0" customHeight="1">
      <c r="B586" s="1"/>
      <c r="K586" s="2"/>
      <c r="P586" s="2"/>
    </row>
    <row r="587" ht="12.0" customHeight="1">
      <c r="B587" s="1"/>
      <c r="K587" s="2"/>
      <c r="P587" s="2"/>
    </row>
    <row r="588" ht="12.0" customHeight="1">
      <c r="B588" s="1"/>
      <c r="K588" s="2"/>
      <c r="P588" s="2"/>
    </row>
    <row r="589" ht="12.0" customHeight="1">
      <c r="B589" s="1"/>
      <c r="K589" s="2"/>
      <c r="P589" s="2"/>
    </row>
    <row r="590" ht="12.0" customHeight="1">
      <c r="B590" s="1"/>
      <c r="K590" s="2"/>
      <c r="P590" s="2"/>
    </row>
    <row r="591" ht="12.0" customHeight="1">
      <c r="B591" s="1"/>
      <c r="K591" s="2"/>
      <c r="P591" s="2"/>
    </row>
    <row r="592" ht="12.0" customHeight="1">
      <c r="B592" s="1"/>
      <c r="K592" s="2"/>
      <c r="P592" s="2"/>
    </row>
    <row r="593" ht="12.0" customHeight="1">
      <c r="B593" s="1"/>
      <c r="K593" s="2"/>
      <c r="P593" s="2"/>
    </row>
    <row r="594" ht="12.0" customHeight="1">
      <c r="B594" s="1"/>
      <c r="K594" s="2"/>
      <c r="P594" s="2"/>
    </row>
    <row r="595" ht="12.0" customHeight="1">
      <c r="B595" s="1"/>
      <c r="K595" s="2"/>
      <c r="P595" s="2"/>
    </row>
    <row r="596" ht="12.0" customHeight="1">
      <c r="B596" s="1"/>
      <c r="K596" s="2"/>
      <c r="P596" s="2"/>
    </row>
    <row r="597" ht="12.0" customHeight="1">
      <c r="B597" s="1"/>
      <c r="K597" s="2"/>
      <c r="P597" s="2"/>
    </row>
    <row r="598" ht="12.0" customHeight="1">
      <c r="B598" s="1"/>
      <c r="K598" s="2"/>
      <c r="P598" s="2"/>
    </row>
    <row r="599" ht="12.0" customHeight="1">
      <c r="B599" s="1"/>
      <c r="K599" s="2"/>
      <c r="P599" s="2"/>
    </row>
    <row r="600" ht="12.0" customHeight="1">
      <c r="B600" s="1"/>
      <c r="K600" s="2"/>
      <c r="P600" s="2"/>
    </row>
    <row r="601" ht="12.0" customHeight="1">
      <c r="B601" s="1"/>
      <c r="K601" s="2"/>
      <c r="P601" s="2"/>
    </row>
    <row r="602" ht="12.0" customHeight="1">
      <c r="B602" s="1"/>
      <c r="K602" s="2"/>
      <c r="P602" s="2"/>
    </row>
    <row r="603" ht="12.0" customHeight="1">
      <c r="B603" s="1"/>
      <c r="K603" s="2"/>
      <c r="P603" s="2"/>
    </row>
    <row r="604" ht="12.0" customHeight="1">
      <c r="B604" s="1"/>
      <c r="K604" s="2"/>
      <c r="P604" s="2"/>
    </row>
    <row r="605" ht="12.0" customHeight="1">
      <c r="B605" s="1"/>
      <c r="K605" s="2"/>
      <c r="P605" s="2"/>
    </row>
    <row r="606" ht="12.0" customHeight="1">
      <c r="B606" s="1"/>
      <c r="K606" s="2"/>
      <c r="P606" s="2"/>
    </row>
    <row r="607" ht="12.0" customHeight="1">
      <c r="B607" s="1"/>
      <c r="K607" s="2"/>
      <c r="P607" s="2"/>
    </row>
    <row r="608" ht="12.0" customHeight="1">
      <c r="B608" s="1"/>
      <c r="K608" s="2"/>
      <c r="P608" s="2"/>
    </row>
    <row r="609" ht="12.0" customHeight="1">
      <c r="B609" s="1"/>
      <c r="K609" s="2"/>
      <c r="P609" s="2"/>
    </row>
    <row r="610" ht="12.0" customHeight="1">
      <c r="B610" s="1"/>
      <c r="K610" s="2"/>
      <c r="P610" s="2"/>
    </row>
    <row r="611" ht="12.0" customHeight="1">
      <c r="B611" s="1"/>
      <c r="K611" s="2"/>
      <c r="P611" s="2"/>
    </row>
    <row r="612" ht="12.0" customHeight="1">
      <c r="B612" s="1"/>
      <c r="K612" s="2"/>
      <c r="P612" s="2"/>
    </row>
    <row r="613" ht="12.0" customHeight="1">
      <c r="B613" s="1"/>
      <c r="K613" s="2"/>
      <c r="P613" s="2"/>
    </row>
    <row r="614" ht="12.0" customHeight="1">
      <c r="B614" s="1"/>
      <c r="K614" s="2"/>
      <c r="P614" s="2"/>
    </row>
    <row r="615" ht="12.0" customHeight="1">
      <c r="B615" s="1"/>
      <c r="K615" s="2"/>
      <c r="P615" s="2"/>
    </row>
    <row r="616" ht="12.0" customHeight="1">
      <c r="B616" s="1"/>
      <c r="K616" s="2"/>
      <c r="P616" s="2"/>
    </row>
    <row r="617" ht="12.0" customHeight="1">
      <c r="B617" s="1"/>
      <c r="K617" s="2"/>
      <c r="P617" s="2"/>
    </row>
    <row r="618" ht="12.0" customHeight="1">
      <c r="B618" s="1"/>
      <c r="K618" s="2"/>
      <c r="P618" s="2"/>
    </row>
    <row r="619" ht="12.0" customHeight="1">
      <c r="B619" s="1"/>
      <c r="K619" s="2"/>
      <c r="P619" s="2"/>
    </row>
    <row r="620" ht="12.0" customHeight="1">
      <c r="B620" s="1"/>
      <c r="K620" s="2"/>
      <c r="P620" s="2"/>
    </row>
    <row r="621" ht="12.0" customHeight="1">
      <c r="B621" s="1"/>
      <c r="K621" s="2"/>
      <c r="P621" s="2"/>
    </row>
    <row r="622" ht="12.0" customHeight="1">
      <c r="B622" s="1"/>
      <c r="K622" s="2"/>
      <c r="P622" s="2"/>
    </row>
    <row r="623" ht="12.0" customHeight="1">
      <c r="B623" s="1"/>
      <c r="K623" s="2"/>
      <c r="P623" s="2"/>
    </row>
    <row r="624" ht="12.0" customHeight="1">
      <c r="B624" s="1"/>
      <c r="K624" s="2"/>
      <c r="P624" s="2"/>
    </row>
    <row r="625" ht="12.0" customHeight="1">
      <c r="B625" s="1"/>
      <c r="K625" s="2"/>
      <c r="P625" s="2"/>
    </row>
    <row r="626" ht="12.0" customHeight="1">
      <c r="B626" s="1"/>
      <c r="K626" s="2"/>
      <c r="P626" s="2"/>
    </row>
    <row r="627" ht="12.0" customHeight="1">
      <c r="B627" s="1"/>
      <c r="K627" s="2"/>
      <c r="P627" s="2"/>
    </row>
    <row r="628" ht="12.0" customHeight="1">
      <c r="B628" s="1"/>
      <c r="K628" s="2"/>
      <c r="P628" s="2"/>
    </row>
    <row r="629" ht="12.0" customHeight="1">
      <c r="B629" s="1"/>
      <c r="K629" s="2"/>
      <c r="P629" s="2"/>
    </row>
    <row r="630" ht="12.0" customHeight="1">
      <c r="B630" s="1"/>
      <c r="K630" s="2"/>
      <c r="P630" s="2"/>
    </row>
    <row r="631" ht="12.0" customHeight="1">
      <c r="B631" s="1"/>
      <c r="K631" s="2"/>
      <c r="P631" s="2"/>
    </row>
    <row r="632" ht="12.0" customHeight="1">
      <c r="B632" s="1"/>
      <c r="K632" s="2"/>
      <c r="P632" s="2"/>
    </row>
    <row r="633" ht="12.0" customHeight="1">
      <c r="B633" s="1"/>
      <c r="K633" s="2"/>
      <c r="P633" s="2"/>
    </row>
    <row r="634" ht="12.0" customHeight="1">
      <c r="B634" s="1"/>
      <c r="K634" s="2"/>
      <c r="P634" s="2"/>
    </row>
    <row r="635" ht="12.0" customHeight="1">
      <c r="B635" s="1"/>
      <c r="K635" s="2"/>
      <c r="P635" s="2"/>
    </row>
    <row r="636" ht="12.0" customHeight="1">
      <c r="B636" s="1"/>
      <c r="K636" s="2"/>
      <c r="P636" s="2"/>
    </row>
    <row r="637" ht="12.0" customHeight="1">
      <c r="B637" s="1"/>
      <c r="K637" s="2"/>
      <c r="P637" s="2"/>
    </row>
    <row r="638" ht="12.0" customHeight="1">
      <c r="B638" s="1"/>
      <c r="K638" s="2"/>
      <c r="P638" s="2"/>
    </row>
    <row r="639" ht="12.0" customHeight="1">
      <c r="B639" s="1"/>
      <c r="K639" s="2"/>
      <c r="P639" s="2"/>
    </row>
    <row r="640" ht="12.0" customHeight="1">
      <c r="B640" s="1"/>
      <c r="K640" s="2"/>
      <c r="P640" s="2"/>
    </row>
    <row r="641" ht="12.0" customHeight="1">
      <c r="B641" s="1"/>
      <c r="K641" s="2"/>
      <c r="P641" s="2"/>
    </row>
    <row r="642" ht="12.0" customHeight="1">
      <c r="B642" s="1"/>
      <c r="K642" s="2"/>
      <c r="P642" s="2"/>
    </row>
    <row r="643" ht="12.0" customHeight="1">
      <c r="B643" s="1"/>
      <c r="K643" s="2"/>
      <c r="P643" s="2"/>
    </row>
    <row r="644" ht="12.0" customHeight="1">
      <c r="B644" s="1"/>
      <c r="K644" s="2"/>
      <c r="P644" s="2"/>
    </row>
    <row r="645" ht="12.0" customHeight="1">
      <c r="B645" s="1"/>
      <c r="K645" s="2"/>
      <c r="P645" s="2"/>
    </row>
    <row r="646" ht="12.0" customHeight="1">
      <c r="B646" s="1"/>
      <c r="K646" s="2"/>
      <c r="P646" s="2"/>
    </row>
    <row r="647" ht="12.0" customHeight="1">
      <c r="B647" s="1"/>
      <c r="K647" s="2"/>
      <c r="P647" s="2"/>
    </row>
    <row r="648" ht="12.0" customHeight="1">
      <c r="B648" s="1"/>
      <c r="K648" s="2"/>
      <c r="P648" s="2"/>
    </row>
    <row r="649" ht="12.0" customHeight="1">
      <c r="B649" s="1"/>
      <c r="K649" s="2"/>
      <c r="P649" s="2"/>
    </row>
    <row r="650" ht="12.0" customHeight="1">
      <c r="B650" s="1"/>
      <c r="K650" s="2"/>
      <c r="P650" s="2"/>
    </row>
    <row r="651" ht="12.0" customHeight="1">
      <c r="B651" s="1"/>
      <c r="K651" s="2"/>
      <c r="P651" s="2"/>
    </row>
    <row r="652" ht="12.0" customHeight="1">
      <c r="B652" s="1"/>
      <c r="K652" s="2"/>
      <c r="P652" s="2"/>
    </row>
    <row r="653" ht="12.0" customHeight="1">
      <c r="B653" s="1"/>
      <c r="K653" s="2"/>
      <c r="P653" s="2"/>
    </row>
    <row r="654" ht="12.0" customHeight="1">
      <c r="B654" s="1"/>
      <c r="K654" s="2"/>
      <c r="P654" s="2"/>
    </row>
    <row r="655" ht="12.0" customHeight="1">
      <c r="B655" s="1"/>
      <c r="K655" s="2"/>
      <c r="P655" s="2"/>
    </row>
    <row r="656" ht="12.0" customHeight="1">
      <c r="B656" s="1"/>
      <c r="K656" s="2"/>
      <c r="P656" s="2"/>
    </row>
    <row r="657" ht="12.0" customHeight="1">
      <c r="B657" s="1"/>
      <c r="K657" s="2"/>
      <c r="P657" s="2"/>
    </row>
    <row r="658" ht="12.0" customHeight="1">
      <c r="B658" s="1"/>
      <c r="K658" s="2"/>
      <c r="P658" s="2"/>
    </row>
    <row r="659" ht="12.0" customHeight="1">
      <c r="B659" s="1"/>
      <c r="K659" s="2"/>
      <c r="P659" s="2"/>
    </row>
    <row r="660" ht="12.0" customHeight="1">
      <c r="B660" s="1"/>
      <c r="K660" s="2"/>
      <c r="P660" s="2"/>
    </row>
    <row r="661" ht="12.0" customHeight="1">
      <c r="B661" s="1"/>
      <c r="K661" s="2"/>
      <c r="P661" s="2"/>
    </row>
    <row r="662" ht="12.0" customHeight="1">
      <c r="B662" s="1"/>
      <c r="K662" s="2"/>
      <c r="P662" s="2"/>
    </row>
    <row r="663" ht="12.0" customHeight="1">
      <c r="B663" s="1"/>
      <c r="K663" s="2"/>
      <c r="P663" s="2"/>
    </row>
    <row r="664" ht="12.0" customHeight="1">
      <c r="B664" s="1"/>
      <c r="K664" s="2"/>
      <c r="P664" s="2"/>
    </row>
    <row r="665" ht="12.0" customHeight="1">
      <c r="B665" s="1"/>
      <c r="K665" s="2"/>
      <c r="P665" s="2"/>
    </row>
    <row r="666" ht="12.0" customHeight="1">
      <c r="B666" s="1"/>
      <c r="K666" s="2"/>
      <c r="P666" s="2"/>
    </row>
    <row r="667" ht="12.0" customHeight="1">
      <c r="B667" s="1"/>
      <c r="K667" s="2"/>
      <c r="P667" s="2"/>
    </row>
    <row r="668" ht="12.0" customHeight="1">
      <c r="B668" s="1"/>
      <c r="K668" s="2"/>
      <c r="P668" s="2"/>
    </row>
    <row r="669" ht="12.0" customHeight="1">
      <c r="B669" s="1"/>
      <c r="K669" s="2"/>
      <c r="P669" s="2"/>
    </row>
    <row r="670" ht="12.0" customHeight="1">
      <c r="B670" s="1"/>
      <c r="K670" s="2"/>
      <c r="P670" s="2"/>
    </row>
    <row r="671" ht="12.0" customHeight="1">
      <c r="B671" s="1"/>
      <c r="K671" s="2"/>
      <c r="P671" s="2"/>
    </row>
    <row r="672" ht="12.0" customHeight="1">
      <c r="B672" s="1"/>
      <c r="K672" s="2"/>
      <c r="P672" s="2"/>
    </row>
    <row r="673" ht="12.0" customHeight="1">
      <c r="B673" s="1"/>
      <c r="K673" s="2"/>
      <c r="P673" s="2"/>
    </row>
    <row r="674" ht="12.0" customHeight="1">
      <c r="B674" s="1"/>
      <c r="K674" s="2"/>
      <c r="P674" s="2"/>
    </row>
    <row r="675" ht="12.0" customHeight="1">
      <c r="B675" s="1"/>
      <c r="K675" s="2"/>
      <c r="P675" s="2"/>
    </row>
    <row r="676" ht="12.0" customHeight="1">
      <c r="B676" s="1"/>
      <c r="K676" s="2"/>
      <c r="P676" s="2"/>
    </row>
    <row r="677" ht="12.0" customHeight="1">
      <c r="B677" s="1"/>
      <c r="K677" s="2"/>
      <c r="P677" s="2"/>
    </row>
    <row r="678" ht="12.0" customHeight="1">
      <c r="B678" s="1"/>
      <c r="K678" s="2"/>
      <c r="P678" s="2"/>
    </row>
    <row r="679" ht="12.0" customHeight="1">
      <c r="B679" s="1"/>
      <c r="K679" s="2"/>
      <c r="P679" s="2"/>
    </row>
    <row r="680" ht="12.0" customHeight="1">
      <c r="B680" s="1"/>
      <c r="K680" s="2"/>
      <c r="P680" s="2"/>
    </row>
    <row r="681" ht="12.0" customHeight="1">
      <c r="B681" s="1"/>
      <c r="K681" s="2"/>
      <c r="P681" s="2"/>
    </row>
    <row r="682" ht="12.0" customHeight="1">
      <c r="B682" s="1"/>
      <c r="K682" s="2"/>
      <c r="P682" s="2"/>
    </row>
    <row r="683" ht="12.0" customHeight="1">
      <c r="B683" s="1"/>
      <c r="K683" s="2"/>
      <c r="P683" s="2"/>
    </row>
    <row r="684" ht="12.0" customHeight="1">
      <c r="B684" s="1"/>
      <c r="K684" s="2"/>
      <c r="P684" s="2"/>
    </row>
    <row r="685" ht="12.0" customHeight="1">
      <c r="B685" s="1"/>
      <c r="K685" s="2"/>
      <c r="P685" s="2"/>
    </row>
    <row r="686" ht="12.0" customHeight="1">
      <c r="B686" s="1"/>
      <c r="K686" s="2"/>
      <c r="P686" s="2"/>
    </row>
    <row r="687" ht="12.0" customHeight="1">
      <c r="B687" s="1"/>
      <c r="K687" s="2"/>
      <c r="P687" s="2"/>
    </row>
    <row r="688" ht="12.0" customHeight="1">
      <c r="B688" s="1"/>
      <c r="K688" s="2"/>
      <c r="P688" s="2"/>
    </row>
    <row r="689" ht="12.0" customHeight="1">
      <c r="B689" s="1"/>
      <c r="K689" s="2"/>
      <c r="P689" s="2"/>
    </row>
    <row r="690" ht="12.0" customHeight="1">
      <c r="B690" s="1"/>
      <c r="K690" s="2"/>
      <c r="P690" s="2"/>
    </row>
    <row r="691" ht="12.0" customHeight="1">
      <c r="B691" s="1"/>
      <c r="K691" s="2"/>
      <c r="P691" s="2"/>
    </row>
    <row r="692" ht="12.0" customHeight="1">
      <c r="B692" s="1"/>
      <c r="K692" s="2"/>
      <c r="P692" s="2"/>
    </row>
    <row r="693" ht="12.0" customHeight="1">
      <c r="B693" s="1"/>
      <c r="K693" s="2"/>
      <c r="P693" s="2"/>
    </row>
    <row r="694" ht="12.0" customHeight="1">
      <c r="B694" s="1"/>
      <c r="K694" s="2"/>
      <c r="P694" s="2"/>
    </row>
    <row r="695" ht="12.0" customHeight="1">
      <c r="B695" s="1"/>
      <c r="K695" s="2"/>
      <c r="P695" s="2"/>
    </row>
    <row r="696" ht="12.0" customHeight="1">
      <c r="B696" s="1"/>
      <c r="K696" s="2"/>
      <c r="P696" s="2"/>
    </row>
    <row r="697" ht="12.0" customHeight="1">
      <c r="B697" s="1"/>
      <c r="K697" s="2"/>
      <c r="P697" s="2"/>
    </row>
    <row r="698" ht="12.0" customHeight="1">
      <c r="B698" s="1"/>
      <c r="K698" s="2"/>
      <c r="P698" s="2"/>
    </row>
    <row r="699" ht="12.0" customHeight="1">
      <c r="B699" s="1"/>
      <c r="K699" s="2"/>
      <c r="P699" s="2"/>
    </row>
    <row r="700" ht="12.0" customHeight="1">
      <c r="B700" s="1"/>
      <c r="K700" s="2"/>
      <c r="P700" s="2"/>
    </row>
    <row r="701" ht="12.0" customHeight="1">
      <c r="B701" s="1"/>
      <c r="K701" s="2"/>
      <c r="P701" s="2"/>
    </row>
    <row r="702" ht="12.0" customHeight="1">
      <c r="B702" s="1"/>
      <c r="K702" s="2"/>
      <c r="P702" s="2"/>
    </row>
    <row r="703" ht="12.0" customHeight="1">
      <c r="B703" s="1"/>
      <c r="K703" s="2"/>
      <c r="P703" s="2"/>
    </row>
    <row r="704" ht="12.0" customHeight="1">
      <c r="B704" s="1"/>
      <c r="K704" s="2"/>
      <c r="P704" s="2"/>
    </row>
    <row r="705" ht="12.0" customHeight="1">
      <c r="B705" s="1"/>
      <c r="K705" s="2"/>
      <c r="P705" s="2"/>
    </row>
    <row r="706" ht="12.0" customHeight="1">
      <c r="B706" s="1"/>
      <c r="K706" s="2"/>
      <c r="P706" s="2"/>
    </row>
    <row r="707" ht="12.0" customHeight="1">
      <c r="B707" s="1"/>
      <c r="K707" s="2"/>
      <c r="P707" s="2"/>
    </row>
    <row r="708" ht="12.0" customHeight="1">
      <c r="B708" s="1"/>
      <c r="K708" s="2"/>
      <c r="P708" s="2"/>
    </row>
    <row r="709" ht="12.0" customHeight="1">
      <c r="B709" s="1"/>
      <c r="K709" s="2"/>
      <c r="P709" s="2"/>
    </row>
    <row r="710" ht="12.0" customHeight="1">
      <c r="B710" s="1"/>
      <c r="K710" s="2"/>
      <c r="P710" s="2"/>
    </row>
    <row r="711" ht="12.0" customHeight="1">
      <c r="B711" s="1"/>
      <c r="K711" s="2"/>
      <c r="P711" s="2"/>
    </row>
    <row r="712" ht="12.0" customHeight="1">
      <c r="B712" s="1"/>
      <c r="K712" s="2"/>
      <c r="P712" s="2"/>
    </row>
    <row r="713" ht="12.0" customHeight="1">
      <c r="B713" s="1"/>
      <c r="K713" s="2"/>
      <c r="P713" s="2"/>
    </row>
    <row r="714" ht="12.0" customHeight="1">
      <c r="B714" s="1"/>
      <c r="K714" s="2"/>
      <c r="P714" s="2"/>
    </row>
    <row r="715" ht="12.0" customHeight="1">
      <c r="B715" s="1"/>
      <c r="K715" s="2"/>
      <c r="P715" s="2"/>
    </row>
    <row r="716" ht="12.0" customHeight="1">
      <c r="B716" s="1"/>
      <c r="K716" s="2"/>
      <c r="P716" s="2"/>
    </row>
    <row r="717" ht="12.0" customHeight="1">
      <c r="B717" s="1"/>
      <c r="K717" s="2"/>
      <c r="P717" s="2"/>
    </row>
    <row r="718" ht="12.0" customHeight="1">
      <c r="B718" s="1"/>
      <c r="K718" s="2"/>
      <c r="P718" s="2"/>
    </row>
    <row r="719" ht="12.0" customHeight="1">
      <c r="B719" s="1"/>
      <c r="K719" s="2"/>
      <c r="P719" s="2"/>
    </row>
    <row r="720" ht="12.0" customHeight="1">
      <c r="B720" s="1"/>
      <c r="K720" s="2"/>
      <c r="P720" s="2"/>
    </row>
    <row r="721" ht="12.0" customHeight="1">
      <c r="B721" s="1"/>
      <c r="K721" s="2"/>
      <c r="P721" s="2"/>
    </row>
    <row r="722" ht="12.0" customHeight="1">
      <c r="B722" s="1"/>
      <c r="K722" s="2"/>
      <c r="P722" s="2"/>
    </row>
    <row r="723" ht="12.0" customHeight="1">
      <c r="B723" s="1"/>
      <c r="K723" s="2"/>
      <c r="P723" s="2"/>
    </row>
    <row r="724" ht="12.0" customHeight="1">
      <c r="B724" s="1"/>
      <c r="K724" s="2"/>
      <c r="P724" s="2"/>
    </row>
    <row r="725" ht="12.0" customHeight="1">
      <c r="B725" s="1"/>
      <c r="K725" s="2"/>
      <c r="P725" s="2"/>
    </row>
    <row r="726" ht="12.0" customHeight="1">
      <c r="B726" s="1"/>
      <c r="K726" s="2"/>
      <c r="P726" s="2"/>
    </row>
    <row r="727" ht="12.0" customHeight="1">
      <c r="B727" s="1"/>
      <c r="K727" s="2"/>
      <c r="P727" s="2"/>
    </row>
    <row r="728" ht="12.0" customHeight="1">
      <c r="B728" s="1"/>
      <c r="K728" s="2"/>
      <c r="P728" s="2"/>
    </row>
    <row r="729" ht="12.0" customHeight="1">
      <c r="B729" s="1"/>
      <c r="K729" s="2"/>
      <c r="P729" s="2"/>
    </row>
    <row r="730" ht="12.0" customHeight="1">
      <c r="B730" s="1"/>
      <c r="K730" s="2"/>
      <c r="P730" s="2"/>
    </row>
    <row r="731" ht="12.0" customHeight="1">
      <c r="B731" s="1"/>
      <c r="K731" s="2"/>
      <c r="P731" s="2"/>
    </row>
    <row r="732" ht="12.0" customHeight="1">
      <c r="B732" s="1"/>
      <c r="K732" s="2"/>
      <c r="P732" s="2"/>
    </row>
    <row r="733" ht="12.0" customHeight="1">
      <c r="B733" s="1"/>
      <c r="K733" s="2"/>
      <c r="P733" s="2"/>
    </row>
    <row r="734" ht="12.0" customHeight="1">
      <c r="B734" s="1"/>
      <c r="K734" s="2"/>
      <c r="P734" s="2"/>
    </row>
    <row r="735" ht="12.0" customHeight="1">
      <c r="B735" s="1"/>
      <c r="K735" s="2"/>
      <c r="P735" s="2"/>
    </row>
    <row r="736" ht="12.0" customHeight="1">
      <c r="B736" s="1"/>
      <c r="K736" s="2"/>
      <c r="P736" s="2"/>
    </row>
    <row r="737" ht="12.0" customHeight="1">
      <c r="B737" s="1"/>
      <c r="K737" s="2"/>
      <c r="P737" s="2"/>
    </row>
    <row r="738" ht="12.0" customHeight="1">
      <c r="B738" s="1"/>
      <c r="K738" s="2"/>
      <c r="P738" s="2"/>
    </row>
    <row r="739" ht="12.0" customHeight="1">
      <c r="B739" s="1"/>
      <c r="K739" s="2"/>
      <c r="P739" s="2"/>
    </row>
    <row r="740" ht="12.0" customHeight="1">
      <c r="B740" s="1"/>
      <c r="K740" s="2"/>
      <c r="P740" s="2"/>
    </row>
    <row r="741" ht="12.0" customHeight="1">
      <c r="B741" s="1"/>
      <c r="K741" s="2"/>
      <c r="P741" s="2"/>
    </row>
    <row r="742" ht="12.0" customHeight="1">
      <c r="B742" s="1"/>
      <c r="K742" s="2"/>
      <c r="P742" s="2"/>
    </row>
    <row r="743" ht="12.0" customHeight="1">
      <c r="B743" s="1"/>
      <c r="K743" s="2"/>
      <c r="P743" s="2"/>
    </row>
    <row r="744" ht="12.0" customHeight="1">
      <c r="B744" s="1"/>
      <c r="K744" s="2"/>
      <c r="P744" s="2"/>
    </row>
    <row r="745" ht="12.0" customHeight="1">
      <c r="B745" s="1"/>
      <c r="K745" s="2"/>
      <c r="P745" s="2"/>
    </row>
    <row r="746" ht="12.0" customHeight="1">
      <c r="B746" s="1"/>
      <c r="K746" s="2"/>
      <c r="P746" s="2"/>
    </row>
    <row r="747" ht="12.0" customHeight="1">
      <c r="B747" s="1"/>
      <c r="K747" s="2"/>
      <c r="P747" s="2"/>
    </row>
    <row r="748" ht="12.0" customHeight="1">
      <c r="B748" s="1"/>
      <c r="K748" s="2"/>
      <c r="P748" s="2"/>
    </row>
    <row r="749" ht="12.0" customHeight="1">
      <c r="B749" s="1"/>
      <c r="K749" s="2"/>
      <c r="P749" s="2"/>
    </row>
    <row r="750" ht="12.0" customHeight="1">
      <c r="B750" s="1"/>
      <c r="K750" s="2"/>
      <c r="P750" s="2"/>
    </row>
    <row r="751" ht="12.0" customHeight="1">
      <c r="B751" s="1"/>
      <c r="K751" s="2"/>
      <c r="P751" s="2"/>
    </row>
    <row r="752" ht="12.0" customHeight="1">
      <c r="B752" s="1"/>
      <c r="K752" s="2"/>
      <c r="P752" s="2"/>
    </row>
    <row r="753" ht="12.0" customHeight="1">
      <c r="B753" s="1"/>
      <c r="K753" s="2"/>
      <c r="P753" s="2"/>
    </row>
    <row r="754" ht="12.0" customHeight="1">
      <c r="B754" s="1"/>
      <c r="K754" s="2"/>
      <c r="P754" s="2"/>
    </row>
    <row r="755" ht="12.0" customHeight="1">
      <c r="B755" s="1"/>
      <c r="K755" s="2"/>
      <c r="P755" s="2"/>
    </row>
    <row r="756" ht="12.0" customHeight="1">
      <c r="B756" s="1"/>
      <c r="K756" s="2"/>
      <c r="P756" s="2"/>
    </row>
    <row r="757" ht="12.0" customHeight="1">
      <c r="B757" s="1"/>
      <c r="K757" s="2"/>
      <c r="P757" s="2"/>
    </row>
    <row r="758" ht="12.0" customHeight="1">
      <c r="B758" s="1"/>
      <c r="K758" s="2"/>
      <c r="P758" s="2"/>
    </row>
    <row r="759" ht="12.0" customHeight="1">
      <c r="B759" s="1"/>
      <c r="K759" s="2"/>
      <c r="P759" s="2"/>
    </row>
    <row r="760" ht="12.0" customHeight="1">
      <c r="B760" s="1"/>
      <c r="K760" s="2"/>
      <c r="P760" s="2"/>
    </row>
    <row r="761" ht="12.0" customHeight="1">
      <c r="B761" s="1"/>
      <c r="K761" s="2"/>
      <c r="P761" s="2"/>
    </row>
    <row r="762" ht="12.0" customHeight="1">
      <c r="B762" s="1"/>
      <c r="K762" s="2"/>
      <c r="P762" s="2"/>
    </row>
    <row r="763" ht="12.0" customHeight="1">
      <c r="B763" s="1"/>
      <c r="K763" s="2"/>
      <c r="P763" s="2"/>
    </row>
    <row r="764" ht="12.0" customHeight="1">
      <c r="B764" s="1"/>
      <c r="K764" s="2"/>
      <c r="P764" s="2"/>
    </row>
    <row r="765" ht="12.0" customHeight="1">
      <c r="B765" s="1"/>
      <c r="K765" s="2"/>
      <c r="P765" s="2"/>
    </row>
    <row r="766" ht="12.0" customHeight="1">
      <c r="B766" s="1"/>
      <c r="K766" s="2"/>
      <c r="P766" s="2"/>
    </row>
    <row r="767" ht="12.0" customHeight="1">
      <c r="B767" s="1"/>
      <c r="K767" s="2"/>
      <c r="P767" s="2"/>
    </row>
    <row r="768" ht="12.0" customHeight="1">
      <c r="B768" s="1"/>
      <c r="K768" s="2"/>
      <c r="P768" s="2"/>
    </row>
    <row r="769" ht="12.0" customHeight="1">
      <c r="B769" s="1"/>
      <c r="K769" s="2"/>
      <c r="P769" s="2"/>
    </row>
    <row r="770" ht="12.0" customHeight="1">
      <c r="B770" s="1"/>
      <c r="K770" s="2"/>
      <c r="P770" s="2"/>
    </row>
    <row r="771" ht="12.0" customHeight="1">
      <c r="B771" s="1"/>
      <c r="K771" s="2"/>
      <c r="P771" s="2"/>
    </row>
    <row r="772" ht="12.0" customHeight="1">
      <c r="B772" s="1"/>
      <c r="K772" s="2"/>
      <c r="P772" s="2"/>
    </row>
    <row r="773" ht="12.0" customHeight="1">
      <c r="B773" s="1"/>
      <c r="K773" s="2"/>
      <c r="P773" s="2"/>
    </row>
    <row r="774" ht="12.0" customHeight="1">
      <c r="B774" s="1"/>
      <c r="K774" s="2"/>
      <c r="P774" s="2"/>
    </row>
    <row r="775" ht="12.0" customHeight="1">
      <c r="B775" s="1"/>
      <c r="K775" s="2"/>
      <c r="P775" s="2"/>
    </row>
    <row r="776" ht="12.0" customHeight="1">
      <c r="B776" s="1"/>
      <c r="K776" s="2"/>
      <c r="P776" s="2"/>
    </row>
    <row r="777" ht="12.0" customHeight="1">
      <c r="B777" s="1"/>
      <c r="K777" s="2"/>
      <c r="P777" s="2"/>
    </row>
    <row r="778" ht="12.0" customHeight="1">
      <c r="B778" s="1"/>
      <c r="K778" s="2"/>
      <c r="P778" s="2"/>
    </row>
    <row r="779" ht="12.0" customHeight="1">
      <c r="B779" s="1"/>
      <c r="K779" s="2"/>
      <c r="P779" s="2"/>
    </row>
    <row r="780" ht="12.0" customHeight="1">
      <c r="B780" s="1"/>
      <c r="K780" s="2"/>
      <c r="P780" s="2"/>
    </row>
    <row r="781" ht="12.0" customHeight="1">
      <c r="B781" s="1"/>
      <c r="K781" s="2"/>
      <c r="P781" s="2"/>
    </row>
    <row r="782" ht="12.0" customHeight="1">
      <c r="B782" s="1"/>
      <c r="K782" s="2"/>
      <c r="P782" s="2"/>
    </row>
    <row r="783" ht="12.0" customHeight="1">
      <c r="B783" s="1"/>
      <c r="K783" s="2"/>
      <c r="P783" s="2"/>
    </row>
    <row r="784" ht="12.0" customHeight="1">
      <c r="B784" s="1"/>
      <c r="K784" s="2"/>
      <c r="P784" s="2"/>
    </row>
    <row r="785" ht="12.0" customHeight="1">
      <c r="B785" s="1"/>
      <c r="K785" s="2"/>
      <c r="P785" s="2"/>
    </row>
    <row r="786" ht="12.0" customHeight="1">
      <c r="B786" s="1"/>
      <c r="K786" s="2"/>
      <c r="P786" s="2"/>
    </row>
    <row r="787" ht="12.0" customHeight="1">
      <c r="B787" s="1"/>
      <c r="K787" s="2"/>
      <c r="P787" s="2"/>
    </row>
    <row r="788" ht="12.0" customHeight="1">
      <c r="B788" s="1"/>
      <c r="K788" s="2"/>
      <c r="P788" s="2"/>
    </row>
    <row r="789" ht="12.0" customHeight="1">
      <c r="B789" s="1"/>
      <c r="K789" s="2"/>
      <c r="P789" s="2"/>
    </row>
    <row r="790" ht="12.0" customHeight="1">
      <c r="B790" s="1"/>
      <c r="K790" s="2"/>
      <c r="P790" s="2"/>
    </row>
    <row r="791" ht="12.0" customHeight="1">
      <c r="B791" s="1"/>
      <c r="K791" s="2"/>
      <c r="P791" s="2"/>
    </row>
    <row r="792" ht="12.0" customHeight="1">
      <c r="B792" s="1"/>
      <c r="K792" s="2"/>
      <c r="P792" s="2"/>
    </row>
    <row r="793" ht="12.0" customHeight="1">
      <c r="B793" s="1"/>
      <c r="K793" s="2"/>
      <c r="P793" s="2"/>
    </row>
    <row r="794" ht="12.0" customHeight="1">
      <c r="B794" s="1"/>
      <c r="K794" s="2"/>
      <c r="P794" s="2"/>
    </row>
    <row r="795" ht="12.0" customHeight="1">
      <c r="B795" s="1"/>
      <c r="K795" s="2"/>
      <c r="P795" s="2"/>
    </row>
    <row r="796" ht="12.0" customHeight="1">
      <c r="B796" s="1"/>
      <c r="K796" s="2"/>
      <c r="P796" s="2"/>
    </row>
    <row r="797" ht="12.0" customHeight="1">
      <c r="B797" s="1"/>
      <c r="K797" s="2"/>
      <c r="P797" s="2"/>
    </row>
    <row r="798" ht="12.0" customHeight="1">
      <c r="B798" s="1"/>
      <c r="K798" s="2"/>
      <c r="P798" s="2"/>
    </row>
    <row r="799" ht="12.0" customHeight="1">
      <c r="B799" s="1"/>
      <c r="K799" s="2"/>
      <c r="P799" s="2"/>
    </row>
    <row r="800" ht="12.0" customHeight="1">
      <c r="B800" s="1"/>
      <c r="K800" s="2"/>
      <c r="P800" s="2"/>
    </row>
    <row r="801" ht="12.0" customHeight="1">
      <c r="B801" s="1"/>
      <c r="K801" s="2"/>
      <c r="P801" s="2"/>
    </row>
    <row r="802" ht="12.0" customHeight="1">
      <c r="B802" s="1"/>
      <c r="K802" s="2"/>
      <c r="P802" s="2"/>
    </row>
    <row r="803" ht="12.0" customHeight="1">
      <c r="B803" s="1"/>
      <c r="K803" s="2"/>
      <c r="P803" s="2"/>
    </row>
    <row r="804" ht="12.0" customHeight="1">
      <c r="B804" s="1"/>
      <c r="K804" s="2"/>
      <c r="P804" s="2"/>
    </row>
    <row r="805" ht="12.0" customHeight="1">
      <c r="B805" s="1"/>
      <c r="K805" s="2"/>
      <c r="P805" s="2"/>
    </row>
    <row r="806" ht="12.0" customHeight="1">
      <c r="B806" s="1"/>
      <c r="K806" s="2"/>
      <c r="P806" s="2"/>
    </row>
    <row r="807" ht="12.0" customHeight="1">
      <c r="B807" s="1"/>
      <c r="K807" s="2"/>
      <c r="P807" s="2"/>
    </row>
    <row r="808" ht="12.0" customHeight="1">
      <c r="B808" s="1"/>
      <c r="K808" s="2"/>
      <c r="P808" s="2"/>
    </row>
    <row r="809" ht="12.0" customHeight="1">
      <c r="B809" s="1"/>
      <c r="K809" s="2"/>
      <c r="P809" s="2"/>
    </row>
    <row r="810" ht="12.0" customHeight="1">
      <c r="B810" s="1"/>
      <c r="K810" s="2"/>
      <c r="P810" s="2"/>
    </row>
    <row r="811" ht="12.0" customHeight="1">
      <c r="B811" s="1"/>
      <c r="K811" s="2"/>
      <c r="P811" s="2"/>
    </row>
    <row r="812" ht="12.0" customHeight="1">
      <c r="B812" s="1"/>
      <c r="K812" s="2"/>
      <c r="P812" s="2"/>
    </row>
    <row r="813" ht="12.0" customHeight="1">
      <c r="B813" s="1"/>
      <c r="K813" s="2"/>
      <c r="P813" s="2"/>
    </row>
    <row r="814" ht="12.0" customHeight="1">
      <c r="B814" s="1"/>
      <c r="K814" s="2"/>
      <c r="P814" s="2"/>
    </row>
    <row r="815" ht="12.0" customHeight="1">
      <c r="B815" s="1"/>
      <c r="K815" s="2"/>
      <c r="P815" s="2"/>
    </row>
    <row r="816" ht="12.0" customHeight="1">
      <c r="B816" s="1"/>
      <c r="K816" s="2"/>
      <c r="P816" s="2"/>
    </row>
    <row r="817" ht="12.0" customHeight="1">
      <c r="B817" s="1"/>
      <c r="K817" s="2"/>
      <c r="P817" s="2"/>
    </row>
    <row r="818" ht="12.0" customHeight="1">
      <c r="B818" s="1"/>
      <c r="K818" s="2"/>
      <c r="P818" s="2"/>
    </row>
    <row r="819" ht="12.0" customHeight="1">
      <c r="B819" s="1"/>
      <c r="K819" s="2"/>
      <c r="P819" s="2"/>
    </row>
    <row r="820" ht="12.0" customHeight="1">
      <c r="B820" s="1"/>
      <c r="K820" s="2"/>
      <c r="P820" s="2"/>
    </row>
    <row r="821" ht="12.0" customHeight="1">
      <c r="B821" s="1"/>
      <c r="K821" s="2"/>
      <c r="P821" s="2"/>
    </row>
    <row r="822" ht="12.0" customHeight="1">
      <c r="B822" s="1"/>
      <c r="K822" s="2"/>
      <c r="P822" s="2"/>
    </row>
    <row r="823" ht="12.0" customHeight="1">
      <c r="B823" s="1"/>
      <c r="K823" s="2"/>
      <c r="P823" s="2"/>
    </row>
    <row r="824" ht="12.0" customHeight="1">
      <c r="B824" s="1"/>
      <c r="K824" s="2"/>
      <c r="P824" s="2"/>
    </row>
    <row r="825" ht="12.0" customHeight="1">
      <c r="B825" s="1"/>
      <c r="K825" s="2"/>
      <c r="P825" s="2"/>
    </row>
    <row r="826" ht="12.0" customHeight="1">
      <c r="B826" s="1"/>
      <c r="K826" s="2"/>
      <c r="P826" s="2"/>
    </row>
    <row r="827" ht="12.0" customHeight="1">
      <c r="B827" s="1"/>
      <c r="K827" s="2"/>
      <c r="P827" s="2"/>
    </row>
    <row r="828" ht="12.0" customHeight="1">
      <c r="B828" s="1"/>
      <c r="K828" s="2"/>
      <c r="P828" s="2"/>
    </row>
    <row r="829" ht="12.0" customHeight="1">
      <c r="B829" s="1"/>
      <c r="K829" s="2"/>
      <c r="P829" s="2"/>
    </row>
    <row r="830" ht="12.0" customHeight="1">
      <c r="B830" s="1"/>
      <c r="K830" s="2"/>
      <c r="P830" s="2"/>
    </row>
    <row r="831" ht="12.0" customHeight="1">
      <c r="B831" s="1"/>
      <c r="K831" s="2"/>
      <c r="P831" s="2"/>
    </row>
    <row r="832" ht="12.0" customHeight="1">
      <c r="B832" s="1"/>
      <c r="K832" s="2"/>
      <c r="P832" s="2"/>
    </row>
    <row r="833" ht="12.0" customHeight="1">
      <c r="B833" s="1"/>
      <c r="K833" s="2"/>
      <c r="P833" s="2"/>
    </row>
    <row r="834" ht="12.0" customHeight="1">
      <c r="B834" s="1"/>
      <c r="K834" s="2"/>
      <c r="P834" s="2"/>
    </row>
    <row r="835" ht="12.0" customHeight="1">
      <c r="B835" s="1"/>
      <c r="K835" s="2"/>
      <c r="P835" s="2"/>
    </row>
    <row r="836" ht="12.0" customHeight="1">
      <c r="B836" s="1"/>
      <c r="K836" s="2"/>
      <c r="P836" s="2"/>
    </row>
    <row r="837" ht="12.0" customHeight="1">
      <c r="B837" s="1"/>
      <c r="K837" s="2"/>
      <c r="P837" s="2"/>
    </row>
    <row r="838" ht="12.0" customHeight="1">
      <c r="B838" s="1"/>
      <c r="K838" s="2"/>
      <c r="P838" s="2"/>
    </row>
    <row r="839" ht="12.0" customHeight="1">
      <c r="B839" s="1"/>
      <c r="K839" s="2"/>
      <c r="P839" s="2"/>
    </row>
    <row r="840" ht="12.0" customHeight="1">
      <c r="B840" s="1"/>
      <c r="K840" s="2"/>
      <c r="P840" s="2"/>
    </row>
    <row r="841" ht="12.0" customHeight="1">
      <c r="B841" s="1"/>
      <c r="K841" s="2"/>
      <c r="P841" s="2"/>
    </row>
    <row r="842" ht="12.0" customHeight="1">
      <c r="B842" s="1"/>
      <c r="K842" s="2"/>
      <c r="P842" s="2"/>
    </row>
    <row r="843" ht="12.0" customHeight="1">
      <c r="B843" s="1"/>
      <c r="K843" s="2"/>
      <c r="P843" s="2"/>
    </row>
    <row r="844" ht="12.0" customHeight="1">
      <c r="B844" s="1"/>
      <c r="K844" s="2"/>
      <c r="P844" s="2"/>
    </row>
    <row r="845" ht="12.0" customHeight="1">
      <c r="B845" s="1"/>
      <c r="K845" s="2"/>
      <c r="P845" s="2"/>
    </row>
    <row r="846" ht="12.0" customHeight="1">
      <c r="B846" s="1"/>
      <c r="K846" s="2"/>
      <c r="P846" s="2"/>
    </row>
    <row r="847" ht="12.0" customHeight="1">
      <c r="B847" s="1"/>
      <c r="K847" s="2"/>
      <c r="P847" s="2"/>
    </row>
    <row r="848" ht="12.0" customHeight="1">
      <c r="B848" s="1"/>
      <c r="K848" s="2"/>
      <c r="P848" s="2"/>
    </row>
    <row r="849" ht="12.0" customHeight="1">
      <c r="B849" s="1"/>
      <c r="K849" s="2"/>
      <c r="P849" s="2"/>
    </row>
    <row r="850" ht="12.0" customHeight="1">
      <c r="B850" s="1"/>
      <c r="K850" s="2"/>
      <c r="P850" s="2"/>
    </row>
    <row r="851" ht="12.0" customHeight="1">
      <c r="B851" s="1"/>
      <c r="K851" s="2"/>
      <c r="P851" s="2"/>
    </row>
    <row r="852" ht="12.0" customHeight="1">
      <c r="B852" s="1"/>
      <c r="K852" s="2"/>
      <c r="P852" s="2"/>
    </row>
    <row r="853" ht="12.0" customHeight="1">
      <c r="B853" s="1"/>
      <c r="K853" s="2"/>
      <c r="P853" s="2"/>
    </row>
    <row r="854" ht="12.0" customHeight="1">
      <c r="B854" s="1"/>
      <c r="K854" s="2"/>
      <c r="P854" s="2"/>
    </row>
    <row r="855" ht="12.0" customHeight="1">
      <c r="B855" s="1"/>
      <c r="K855" s="2"/>
      <c r="P855" s="2"/>
    </row>
    <row r="856" ht="12.0" customHeight="1">
      <c r="B856" s="1"/>
      <c r="K856" s="2"/>
      <c r="P856" s="2"/>
    </row>
    <row r="857" ht="12.0" customHeight="1">
      <c r="B857" s="1"/>
      <c r="K857" s="2"/>
      <c r="P857" s="2"/>
    </row>
    <row r="858" ht="12.0" customHeight="1">
      <c r="B858" s="1"/>
      <c r="K858" s="2"/>
      <c r="P858" s="2"/>
    </row>
    <row r="859" ht="12.0" customHeight="1">
      <c r="B859" s="1"/>
      <c r="K859" s="2"/>
      <c r="P859" s="2"/>
    </row>
    <row r="860" ht="12.0" customHeight="1">
      <c r="B860" s="1"/>
      <c r="K860" s="2"/>
      <c r="P860" s="2"/>
    </row>
    <row r="861" ht="12.0" customHeight="1">
      <c r="B861" s="1"/>
      <c r="K861" s="2"/>
      <c r="P861" s="2"/>
    </row>
    <row r="862" ht="12.0" customHeight="1">
      <c r="B862" s="1"/>
      <c r="K862" s="2"/>
      <c r="P862" s="2"/>
    </row>
    <row r="863" ht="12.0" customHeight="1">
      <c r="B863" s="1"/>
      <c r="K863" s="2"/>
      <c r="P863" s="2"/>
    </row>
    <row r="864" ht="12.0" customHeight="1">
      <c r="B864" s="1"/>
      <c r="K864" s="2"/>
      <c r="P864" s="2"/>
    </row>
    <row r="865" ht="12.0" customHeight="1">
      <c r="B865" s="1"/>
      <c r="K865" s="2"/>
      <c r="P865" s="2"/>
    </row>
    <row r="866" ht="12.0" customHeight="1">
      <c r="B866" s="1"/>
      <c r="K866" s="2"/>
      <c r="P866" s="2"/>
    </row>
    <row r="867" ht="12.0" customHeight="1">
      <c r="B867" s="1"/>
      <c r="K867" s="2"/>
      <c r="P867" s="2"/>
    </row>
    <row r="868" ht="12.0" customHeight="1">
      <c r="B868" s="1"/>
      <c r="K868" s="2"/>
      <c r="P868" s="2"/>
    </row>
    <row r="869" ht="12.0" customHeight="1">
      <c r="B869" s="1"/>
      <c r="K869" s="2"/>
      <c r="P869" s="2"/>
    </row>
    <row r="870" ht="12.0" customHeight="1">
      <c r="B870" s="1"/>
      <c r="K870" s="2"/>
      <c r="P870" s="2"/>
    </row>
    <row r="871" ht="12.0" customHeight="1">
      <c r="B871" s="1"/>
      <c r="K871" s="2"/>
      <c r="P871" s="2"/>
    </row>
    <row r="872" ht="12.0" customHeight="1">
      <c r="B872" s="1"/>
      <c r="K872" s="2"/>
      <c r="P872" s="2"/>
    </row>
    <row r="873" ht="12.0" customHeight="1">
      <c r="B873" s="1"/>
      <c r="K873" s="2"/>
      <c r="P873" s="2"/>
    </row>
    <row r="874" ht="12.0" customHeight="1">
      <c r="B874" s="1"/>
      <c r="K874" s="2"/>
      <c r="P874" s="2"/>
    </row>
    <row r="875" ht="12.0" customHeight="1">
      <c r="B875" s="1"/>
      <c r="K875" s="2"/>
      <c r="P875" s="2"/>
    </row>
    <row r="876" ht="12.0" customHeight="1">
      <c r="B876" s="1"/>
      <c r="K876" s="2"/>
      <c r="P876" s="2"/>
    </row>
    <row r="877" ht="12.0" customHeight="1">
      <c r="B877" s="1"/>
      <c r="K877" s="2"/>
      <c r="P877" s="2"/>
    </row>
    <row r="878" ht="12.0" customHeight="1">
      <c r="B878" s="1"/>
      <c r="K878" s="2"/>
      <c r="P878" s="2"/>
    </row>
    <row r="879" ht="12.0" customHeight="1">
      <c r="B879" s="1"/>
      <c r="K879" s="2"/>
      <c r="P879" s="2"/>
    </row>
    <row r="880" ht="12.0" customHeight="1">
      <c r="B880" s="1"/>
      <c r="K880" s="2"/>
      <c r="P880" s="2"/>
    </row>
    <row r="881" ht="12.0" customHeight="1">
      <c r="B881" s="1"/>
      <c r="K881" s="2"/>
      <c r="P881" s="2"/>
    </row>
    <row r="882" ht="12.0" customHeight="1">
      <c r="B882" s="1"/>
      <c r="K882" s="2"/>
      <c r="P882" s="2"/>
    </row>
    <row r="883" ht="12.0" customHeight="1">
      <c r="B883" s="1"/>
      <c r="K883" s="2"/>
      <c r="P883" s="2"/>
    </row>
    <row r="884" ht="12.0" customHeight="1">
      <c r="B884" s="1"/>
      <c r="K884" s="2"/>
      <c r="P884" s="2"/>
    </row>
    <row r="885" ht="12.0" customHeight="1">
      <c r="B885" s="1"/>
      <c r="K885" s="2"/>
      <c r="P885" s="2"/>
    </row>
    <row r="886" ht="12.0" customHeight="1">
      <c r="B886" s="1"/>
      <c r="K886" s="2"/>
      <c r="P886" s="2"/>
    </row>
    <row r="887" ht="12.0" customHeight="1">
      <c r="B887" s="1"/>
      <c r="K887" s="2"/>
      <c r="P887" s="2"/>
    </row>
    <row r="888" ht="12.0" customHeight="1">
      <c r="B888" s="1"/>
      <c r="K888" s="2"/>
      <c r="P888" s="2"/>
    </row>
    <row r="889" ht="12.0" customHeight="1">
      <c r="B889" s="1"/>
      <c r="K889" s="2"/>
      <c r="P889" s="2"/>
    </row>
    <row r="890" ht="12.0" customHeight="1">
      <c r="B890" s="1"/>
      <c r="K890" s="2"/>
      <c r="P890" s="2"/>
    </row>
    <row r="891" ht="12.0" customHeight="1">
      <c r="B891" s="1"/>
      <c r="K891" s="2"/>
      <c r="P891" s="2"/>
    </row>
    <row r="892" ht="12.0" customHeight="1">
      <c r="B892" s="1"/>
      <c r="K892" s="2"/>
      <c r="P892" s="2"/>
    </row>
    <row r="893" ht="12.0" customHeight="1">
      <c r="B893" s="1"/>
      <c r="K893" s="2"/>
      <c r="P893" s="2"/>
    </row>
    <row r="894" ht="12.0" customHeight="1">
      <c r="B894" s="1"/>
      <c r="K894" s="2"/>
      <c r="P894" s="2"/>
    </row>
    <row r="895" ht="12.0" customHeight="1">
      <c r="B895" s="1"/>
      <c r="K895" s="2"/>
      <c r="P895" s="2"/>
    </row>
    <row r="896" ht="12.0" customHeight="1">
      <c r="B896" s="1"/>
      <c r="K896" s="2"/>
      <c r="P896" s="2"/>
    </row>
    <row r="897" ht="12.0" customHeight="1">
      <c r="B897" s="1"/>
      <c r="K897" s="2"/>
      <c r="P897" s="2"/>
    </row>
    <row r="898" ht="12.0" customHeight="1">
      <c r="B898" s="1"/>
      <c r="K898" s="2"/>
      <c r="P898" s="2"/>
    </row>
    <row r="899" ht="12.0" customHeight="1">
      <c r="B899" s="1"/>
      <c r="K899" s="2"/>
      <c r="P899" s="2"/>
    </row>
    <row r="900" ht="12.0" customHeight="1">
      <c r="B900" s="1"/>
      <c r="K900" s="2"/>
      <c r="P900" s="2"/>
    </row>
    <row r="901" ht="12.0" customHeight="1">
      <c r="B901" s="1"/>
      <c r="K901" s="2"/>
      <c r="P901" s="2"/>
    </row>
    <row r="902" ht="12.0" customHeight="1">
      <c r="B902" s="1"/>
      <c r="K902" s="2"/>
      <c r="P902" s="2"/>
    </row>
    <row r="903" ht="12.0" customHeight="1">
      <c r="B903" s="1"/>
      <c r="K903" s="2"/>
      <c r="P903" s="2"/>
    </row>
    <row r="904" ht="12.0" customHeight="1">
      <c r="B904" s="1"/>
      <c r="K904" s="2"/>
      <c r="P904" s="2"/>
    </row>
    <row r="905" ht="12.0" customHeight="1">
      <c r="B905" s="1"/>
      <c r="K905" s="2"/>
      <c r="P905" s="2"/>
    </row>
    <row r="906" ht="12.0" customHeight="1">
      <c r="B906" s="1"/>
      <c r="K906" s="2"/>
      <c r="P906" s="2"/>
    </row>
    <row r="907" ht="12.0" customHeight="1">
      <c r="B907" s="1"/>
      <c r="K907" s="2"/>
      <c r="P907" s="2"/>
    </row>
    <row r="908" ht="12.0" customHeight="1">
      <c r="B908" s="1"/>
      <c r="K908" s="2"/>
      <c r="P908" s="2"/>
    </row>
    <row r="909" ht="12.0" customHeight="1">
      <c r="B909" s="1"/>
      <c r="K909" s="2"/>
      <c r="P909" s="2"/>
    </row>
    <row r="910" ht="12.0" customHeight="1">
      <c r="B910" s="1"/>
      <c r="K910" s="2"/>
      <c r="P910" s="2"/>
    </row>
    <row r="911" ht="12.0" customHeight="1">
      <c r="B911" s="1"/>
      <c r="K911" s="2"/>
      <c r="P911" s="2"/>
    </row>
    <row r="912" ht="12.0" customHeight="1">
      <c r="B912" s="1"/>
      <c r="K912" s="2"/>
      <c r="P912" s="2"/>
    </row>
    <row r="913" ht="12.0" customHeight="1">
      <c r="B913" s="1"/>
      <c r="K913" s="2"/>
      <c r="P913" s="2"/>
    </row>
    <row r="914" ht="12.0" customHeight="1">
      <c r="B914" s="1"/>
      <c r="K914" s="2"/>
      <c r="P914" s="2"/>
    </row>
    <row r="915" ht="12.0" customHeight="1">
      <c r="B915" s="1"/>
      <c r="K915" s="2"/>
      <c r="P915" s="2"/>
    </row>
    <row r="916" ht="12.0" customHeight="1">
      <c r="B916" s="1"/>
      <c r="K916" s="2"/>
      <c r="P916" s="2"/>
    </row>
    <row r="917" ht="12.0" customHeight="1">
      <c r="B917" s="1"/>
      <c r="K917" s="2"/>
      <c r="P917" s="2"/>
    </row>
    <row r="918" ht="12.0" customHeight="1">
      <c r="B918" s="1"/>
      <c r="K918" s="2"/>
      <c r="P918" s="2"/>
    </row>
    <row r="919" ht="12.0" customHeight="1">
      <c r="B919" s="1"/>
      <c r="K919" s="2"/>
      <c r="P919" s="2"/>
    </row>
    <row r="920" ht="12.0" customHeight="1">
      <c r="B920" s="1"/>
      <c r="K920" s="2"/>
      <c r="P920" s="2"/>
    </row>
    <row r="921" ht="12.0" customHeight="1">
      <c r="B921" s="1"/>
      <c r="K921" s="2"/>
      <c r="P921" s="2"/>
    </row>
    <row r="922" ht="12.0" customHeight="1">
      <c r="B922" s="1"/>
      <c r="K922" s="2"/>
      <c r="P922" s="2"/>
    </row>
    <row r="923" ht="12.0" customHeight="1">
      <c r="B923" s="1"/>
      <c r="K923" s="2"/>
      <c r="P923" s="2"/>
    </row>
    <row r="924" ht="12.0" customHeight="1">
      <c r="B924" s="1"/>
      <c r="K924" s="2"/>
      <c r="P924" s="2"/>
    </row>
    <row r="925" ht="12.0" customHeight="1">
      <c r="B925" s="1"/>
      <c r="K925" s="2"/>
      <c r="P925" s="2"/>
    </row>
    <row r="926" ht="12.0" customHeight="1">
      <c r="B926" s="1"/>
      <c r="K926" s="2"/>
      <c r="P926" s="2"/>
    </row>
    <row r="927" ht="12.0" customHeight="1">
      <c r="B927" s="1"/>
      <c r="K927" s="2"/>
      <c r="P927" s="2"/>
    </row>
    <row r="928" ht="12.0" customHeight="1">
      <c r="B928" s="1"/>
      <c r="K928" s="2"/>
      <c r="P928" s="2"/>
    </row>
    <row r="929" ht="12.0" customHeight="1">
      <c r="B929" s="1"/>
      <c r="K929" s="2"/>
      <c r="P929" s="2"/>
    </row>
    <row r="930" ht="12.0" customHeight="1">
      <c r="B930" s="1"/>
      <c r="K930" s="2"/>
      <c r="P930" s="2"/>
    </row>
    <row r="931" ht="12.0" customHeight="1">
      <c r="B931" s="1"/>
      <c r="K931" s="2"/>
      <c r="P931" s="2"/>
    </row>
    <row r="932" ht="12.0" customHeight="1">
      <c r="B932" s="1"/>
      <c r="K932" s="2"/>
      <c r="P932" s="2"/>
    </row>
    <row r="933" ht="12.0" customHeight="1">
      <c r="B933" s="1"/>
      <c r="K933" s="2"/>
      <c r="P933" s="2"/>
    </row>
    <row r="934" ht="12.0" customHeight="1">
      <c r="B934" s="1"/>
      <c r="K934" s="2"/>
      <c r="P934" s="2"/>
    </row>
    <row r="935" ht="12.0" customHeight="1">
      <c r="B935" s="1"/>
      <c r="K935" s="2"/>
      <c r="P935" s="2"/>
    </row>
    <row r="936" ht="12.0" customHeight="1">
      <c r="B936" s="1"/>
      <c r="K936" s="2"/>
      <c r="P936" s="2"/>
    </row>
    <row r="937" ht="12.0" customHeight="1">
      <c r="B937" s="1"/>
      <c r="K937" s="2"/>
      <c r="P937" s="2"/>
    </row>
    <row r="938" ht="12.0" customHeight="1">
      <c r="B938" s="1"/>
      <c r="K938" s="2"/>
      <c r="P938" s="2"/>
    </row>
    <row r="939" ht="12.0" customHeight="1">
      <c r="B939" s="1"/>
      <c r="K939" s="2"/>
      <c r="P939" s="2"/>
    </row>
    <row r="940" ht="12.0" customHeight="1">
      <c r="B940" s="1"/>
      <c r="K940" s="2"/>
      <c r="P940" s="2"/>
    </row>
    <row r="941" ht="12.0" customHeight="1">
      <c r="B941" s="1"/>
      <c r="K941" s="2"/>
      <c r="P941" s="2"/>
    </row>
    <row r="942" ht="12.0" customHeight="1">
      <c r="B942" s="1"/>
      <c r="K942" s="2"/>
      <c r="P942" s="2"/>
    </row>
    <row r="943" ht="12.0" customHeight="1">
      <c r="B943" s="1"/>
      <c r="K943" s="2"/>
      <c r="P943" s="2"/>
    </row>
    <row r="944" ht="12.0" customHeight="1">
      <c r="B944" s="1"/>
      <c r="K944" s="2"/>
      <c r="P944" s="2"/>
    </row>
    <row r="945" ht="12.0" customHeight="1">
      <c r="B945" s="1"/>
      <c r="K945" s="2"/>
      <c r="P945" s="2"/>
    </row>
    <row r="946" ht="12.0" customHeight="1">
      <c r="B946" s="1"/>
      <c r="K946" s="2"/>
      <c r="P946" s="2"/>
    </row>
    <row r="947" ht="12.0" customHeight="1">
      <c r="B947" s="1"/>
      <c r="K947" s="2"/>
      <c r="P947" s="2"/>
    </row>
    <row r="948" ht="12.0" customHeight="1">
      <c r="B948" s="1"/>
      <c r="K948" s="2"/>
      <c r="P948" s="2"/>
    </row>
    <row r="949" ht="12.0" customHeight="1">
      <c r="B949" s="1"/>
      <c r="K949" s="2"/>
      <c r="P949" s="2"/>
    </row>
    <row r="950" ht="12.0" customHeight="1">
      <c r="B950" s="1"/>
      <c r="K950" s="2"/>
      <c r="P950" s="2"/>
    </row>
    <row r="951" ht="12.0" customHeight="1">
      <c r="B951" s="1"/>
      <c r="K951" s="2"/>
      <c r="P951" s="2"/>
    </row>
    <row r="952" ht="12.0" customHeight="1">
      <c r="B952" s="1"/>
      <c r="K952" s="2"/>
      <c r="P952" s="2"/>
    </row>
    <row r="953" ht="12.0" customHeight="1">
      <c r="B953" s="1"/>
      <c r="K953" s="2"/>
      <c r="P953" s="2"/>
    </row>
    <row r="954" ht="12.0" customHeight="1">
      <c r="B954" s="1"/>
      <c r="K954" s="2"/>
      <c r="P954" s="2"/>
    </row>
    <row r="955" ht="12.0" customHeight="1">
      <c r="B955" s="1"/>
      <c r="K955" s="2"/>
      <c r="P955" s="2"/>
    </row>
    <row r="956" ht="12.0" customHeight="1">
      <c r="B956" s="1"/>
      <c r="K956" s="2"/>
      <c r="P956" s="2"/>
    </row>
    <row r="957" ht="12.0" customHeight="1">
      <c r="B957" s="1"/>
      <c r="K957" s="2"/>
      <c r="P957" s="2"/>
    </row>
    <row r="958" ht="12.0" customHeight="1">
      <c r="B958" s="1"/>
      <c r="K958" s="2"/>
      <c r="P958" s="2"/>
    </row>
    <row r="959" ht="12.0" customHeight="1">
      <c r="B959" s="1"/>
      <c r="K959" s="2"/>
      <c r="P959" s="2"/>
    </row>
    <row r="960" ht="12.0" customHeight="1">
      <c r="B960" s="1"/>
      <c r="K960" s="2"/>
      <c r="P960" s="2"/>
    </row>
    <row r="961" ht="12.0" customHeight="1">
      <c r="B961" s="1"/>
      <c r="K961" s="2"/>
      <c r="P961" s="2"/>
    </row>
    <row r="962" ht="12.0" customHeight="1">
      <c r="B962" s="1"/>
      <c r="K962" s="2"/>
      <c r="P962" s="2"/>
    </row>
    <row r="963" ht="12.0" customHeight="1">
      <c r="B963" s="1"/>
      <c r="K963" s="2"/>
      <c r="P963" s="2"/>
    </row>
    <row r="964" ht="12.0" customHeight="1">
      <c r="B964" s="1"/>
      <c r="K964" s="2"/>
      <c r="P964" s="2"/>
    </row>
    <row r="965" ht="12.0" customHeight="1">
      <c r="B965" s="1"/>
      <c r="K965" s="2"/>
      <c r="P965" s="2"/>
    </row>
    <row r="966" ht="12.0" customHeight="1">
      <c r="B966" s="1"/>
      <c r="K966" s="2"/>
      <c r="P966" s="2"/>
    </row>
    <row r="967" ht="12.0" customHeight="1">
      <c r="B967" s="1"/>
      <c r="K967" s="2"/>
      <c r="P967" s="2"/>
    </row>
    <row r="968" ht="12.0" customHeight="1">
      <c r="B968" s="1"/>
      <c r="K968" s="2"/>
      <c r="P968" s="2"/>
    </row>
    <row r="969" ht="12.0" customHeight="1">
      <c r="B969" s="1"/>
      <c r="K969" s="2"/>
      <c r="P969" s="2"/>
    </row>
    <row r="970" ht="12.0" customHeight="1">
      <c r="B970" s="1"/>
      <c r="K970" s="2"/>
      <c r="P970" s="2"/>
    </row>
    <row r="971" ht="12.0" customHeight="1">
      <c r="B971" s="1"/>
      <c r="K971" s="2"/>
      <c r="P971" s="2"/>
    </row>
    <row r="972" ht="12.0" customHeight="1">
      <c r="B972" s="1"/>
      <c r="K972" s="2"/>
      <c r="P972" s="2"/>
    </row>
    <row r="973" ht="12.0" customHeight="1">
      <c r="B973" s="1"/>
      <c r="K973" s="2"/>
      <c r="P973" s="2"/>
    </row>
    <row r="974" ht="12.0" customHeight="1">
      <c r="B974" s="1"/>
      <c r="K974" s="2"/>
      <c r="P974" s="2"/>
    </row>
    <row r="975" ht="12.0" customHeight="1">
      <c r="B975" s="1"/>
      <c r="K975" s="2"/>
      <c r="P975" s="2"/>
    </row>
    <row r="976" ht="12.0" customHeight="1">
      <c r="B976" s="1"/>
      <c r="K976" s="2"/>
      <c r="P976" s="2"/>
    </row>
    <row r="977" ht="12.0" customHeight="1">
      <c r="B977" s="1"/>
      <c r="K977" s="2"/>
      <c r="P977" s="2"/>
    </row>
    <row r="978" ht="12.0" customHeight="1">
      <c r="B978" s="1"/>
      <c r="K978" s="2"/>
      <c r="P978" s="2"/>
    </row>
    <row r="979" ht="12.0" customHeight="1">
      <c r="B979" s="1"/>
      <c r="K979" s="2"/>
      <c r="P979" s="2"/>
    </row>
    <row r="980" ht="12.0" customHeight="1">
      <c r="B980" s="1"/>
      <c r="K980" s="2"/>
      <c r="P980" s="2"/>
    </row>
    <row r="981" ht="12.0" customHeight="1">
      <c r="B981" s="1"/>
      <c r="K981" s="2"/>
      <c r="P981" s="2"/>
    </row>
    <row r="982" ht="12.0" customHeight="1">
      <c r="B982" s="1"/>
      <c r="K982" s="2"/>
      <c r="P982" s="2"/>
    </row>
    <row r="983" ht="12.0" customHeight="1">
      <c r="B983" s="1"/>
      <c r="K983" s="2"/>
      <c r="P983" s="2"/>
    </row>
    <row r="984" ht="12.0" customHeight="1">
      <c r="B984" s="1"/>
      <c r="K984" s="2"/>
      <c r="P984" s="2"/>
    </row>
    <row r="985" ht="12.0" customHeight="1">
      <c r="B985" s="1"/>
      <c r="K985" s="2"/>
      <c r="P985" s="2"/>
    </row>
    <row r="986" ht="12.0" customHeight="1">
      <c r="B986" s="1"/>
      <c r="K986" s="2"/>
      <c r="P986" s="2"/>
    </row>
    <row r="987" ht="12.0" customHeight="1">
      <c r="B987" s="1"/>
      <c r="K987" s="2"/>
      <c r="P987" s="2"/>
    </row>
    <row r="988" ht="12.0" customHeight="1">
      <c r="B988" s="1"/>
      <c r="K988" s="2"/>
      <c r="P988" s="2"/>
    </row>
    <row r="989" ht="12.0" customHeight="1">
      <c r="B989" s="1"/>
      <c r="K989" s="2"/>
      <c r="P989" s="2"/>
    </row>
    <row r="990" ht="12.0" customHeight="1">
      <c r="B990" s="1"/>
      <c r="K990" s="2"/>
      <c r="P990" s="2"/>
    </row>
    <row r="991" ht="12.0" customHeight="1">
      <c r="B991" s="1"/>
      <c r="K991" s="2"/>
      <c r="P991" s="2"/>
    </row>
    <row r="992" ht="12.0" customHeight="1">
      <c r="B992" s="1"/>
      <c r="K992" s="2"/>
      <c r="P992" s="2"/>
    </row>
    <row r="993" ht="12.0" customHeight="1">
      <c r="B993" s="1"/>
      <c r="K993" s="2"/>
      <c r="P993" s="2"/>
    </row>
    <row r="994" ht="12.0" customHeight="1">
      <c r="B994" s="1"/>
      <c r="K994" s="2"/>
      <c r="P994" s="2"/>
    </row>
    <row r="995" ht="12.0" customHeight="1">
      <c r="B995" s="1"/>
      <c r="K995" s="2"/>
      <c r="P995" s="2"/>
    </row>
    <row r="996" ht="12.0" customHeight="1">
      <c r="B996" s="1"/>
      <c r="K996" s="2"/>
      <c r="P996" s="2"/>
    </row>
    <row r="997" ht="12.0" customHeight="1">
      <c r="B997" s="1"/>
      <c r="K997" s="2"/>
      <c r="P997" s="2"/>
    </row>
    <row r="998" ht="12.0" customHeight="1">
      <c r="B998" s="1"/>
      <c r="K998" s="2"/>
      <c r="P998" s="2"/>
    </row>
    <row r="999" ht="12.0" customHeight="1">
      <c r="B999" s="1"/>
      <c r="K999" s="2"/>
      <c r="P999" s="2"/>
    </row>
    <row r="1000" ht="12.0" customHeight="1">
      <c r="B1000" s="1"/>
      <c r="K1000" s="2"/>
      <c r="P1000" s="2"/>
    </row>
  </sheetData>
  <mergeCells count="21">
    <mergeCell ref="J6:K6"/>
    <mergeCell ref="L6:M6"/>
    <mergeCell ref="O6:P6"/>
    <mergeCell ref="F7:H7"/>
    <mergeCell ref="I7:K7"/>
    <mergeCell ref="L7:N7"/>
    <mergeCell ref="B18:B20"/>
    <mergeCell ref="B54:B57"/>
    <mergeCell ref="B58:B60"/>
    <mergeCell ref="B61:B63"/>
    <mergeCell ref="B65:B67"/>
    <mergeCell ref="B68:B70"/>
    <mergeCell ref="B71:B73"/>
    <mergeCell ref="B75:B77"/>
    <mergeCell ref="B21:B25"/>
    <mergeCell ref="B26:B30"/>
    <mergeCell ref="B35:B37"/>
    <mergeCell ref="B38:B40"/>
    <mergeCell ref="B42:B44"/>
    <mergeCell ref="B45:B47"/>
    <mergeCell ref="B48:B53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2 J45 J58 J61 J65 J68 J71 J75 J80 J84">
      <formula1>"YES,NO"</formula1>
    </dataValidation>
    <dataValidation type="list" allowBlank="1" showErrorMessage="1" sqref="O17:O18 O21 O26 O31 O35 O38 O42 O45 O48 O54 O58 O61 O65 O68 O71 O75 O80 O84">
      <formula1>"DELAPIDATED,POOR,FAIR,GOOD,VERY GOOD,EXCELLENT,NOT APPLICABLE"</formula1>
    </dataValidation>
    <dataValidation type="list" allowBlank="1" showErrorMessage="1" sqref="J54">
      <formula1>"STEEL WINDOW FRAMES,ALUMINIUM WINDOW FRAMES,NO WINDOWS FITTED"</formula1>
    </dataValidation>
    <dataValidation type="list" allowBlank="1" showErrorMessage="1" sqref="J12">
      <formula1>"2010-2013,2014-2021,2021-2023"</formula1>
    </dataValidation>
    <dataValidation type="list" allowBlank="1" showErrorMessage="1" sqref="J48">
      <formula1>"VINYL FLOORING,TILING FLOORING,TIMBER FLOORING,CARPETS FLOORING,NO FLOORING"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1.0"/>
    <col customWidth="1" min="3" max="3" width="20.75"/>
    <col customWidth="1" hidden="1" min="4" max="5" width="27.0"/>
    <col customWidth="1" hidden="1" min="6" max="8" width="21.13"/>
    <col customWidth="1" hidden="1" min="9" max="9" width="15.38"/>
    <col customWidth="1" min="10" max="10" width="19.38"/>
    <col customWidth="1" min="11" max="11" width="17.25"/>
    <col customWidth="1" hidden="1" min="12" max="12" width="30.0"/>
    <col customWidth="1" hidden="1" min="13" max="13" width="34.0"/>
    <col customWidth="1" hidden="1" min="14" max="14" width="36.88"/>
    <col customWidth="1" min="15" max="15" width="19.13"/>
    <col customWidth="1" min="16" max="16" width="16.5"/>
    <col customWidth="1" min="17" max="26" width="9.13"/>
  </cols>
  <sheetData>
    <row r="1" ht="12.0" customHeight="1">
      <c r="B1" s="1"/>
      <c r="K1" s="2"/>
      <c r="P1" s="2"/>
    </row>
    <row r="2" ht="12.0" customHeight="1">
      <c r="B2" s="1"/>
      <c r="K2" s="2"/>
      <c r="P2" s="2"/>
    </row>
    <row r="3" ht="12.0" customHeight="1">
      <c r="B3" s="1"/>
      <c r="C3" s="4" t="s">
        <v>152</v>
      </c>
      <c r="K3" s="2"/>
      <c r="P3" s="2"/>
    </row>
    <row r="4" ht="12.0" customHeight="1">
      <c r="B4" s="1"/>
      <c r="C4" s="4" t="s">
        <v>153</v>
      </c>
      <c r="K4" s="2"/>
      <c r="P4" s="2"/>
    </row>
    <row r="5" ht="33.0" customHeight="1">
      <c r="B5" s="1"/>
      <c r="C5" s="4"/>
      <c r="K5" s="2"/>
      <c r="P5" s="2"/>
    </row>
    <row r="6" ht="30.0" customHeight="1">
      <c r="B6" s="1"/>
      <c r="C6" s="5"/>
      <c r="J6" s="6" t="s">
        <v>2</v>
      </c>
      <c r="K6" s="7"/>
      <c r="O6" s="8" t="s">
        <v>3</v>
      </c>
      <c r="P6" s="7"/>
    </row>
    <row r="7" ht="49.5" hidden="1" customHeight="1">
      <c r="B7" s="631"/>
      <c r="C7" s="632"/>
      <c r="D7" s="633"/>
      <c r="E7" s="633"/>
      <c r="F7" s="535" t="s">
        <v>79</v>
      </c>
      <c r="G7" s="274"/>
      <c r="H7" s="7"/>
      <c r="I7" s="536" t="s">
        <v>80</v>
      </c>
      <c r="J7" s="274"/>
      <c r="K7" s="7"/>
      <c r="L7" s="635" t="s">
        <v>91</v>
      </c>
      <c r="M7" s="274"/>
      <c r="N7" s="7"/>
      <c r="O7" s="161"/>
      <c r="P7" s="2"/>
    </row>
    <row r="8" ht="49.5" hidden="1" customHeight="1">
      <c r="B8" s="631"/>
      <c r="C8" s="632" t="s">
        <v>121</v>
      </c>
      <c r="D8" s="633"/>
      <c r="E8" s="633"/>
      <c r="F8" s="636"/>
      <c r="G8" s="636"/>
      <c r="H8" s="636"/>
      <c r="I8" s="636"/>
      <c r="J8" s="636"/>
      <c r="K8" s="669"/>
      <c r="L8" s="729"/>
      <c r="M8" s="159"/>
      <c r="N8" s="160"/>
      <c r="O8" s="161"/>
      <c r="P8" s="2"/>
    </row>
    <row r="9" ht="60.0" customHeight="1">
      <c r="A9" s="20"/>
      <c r="B9" s="649" t="s">
        <v>6</v>
      </c>
      <c r="C9" s="649" t="s">
        <v>7</v>
      </c>
      <c r="D9" s="359"/>
      <c r="E9" s="361" t="s">
        <v>8</v>
      </c>
      <c r="F9" s="362" t="s">
        <v>9</v>
      </c>
      <c r="G9" s="362" t="s">
        <v>10</v>
      </c>
      <c r="H9" s="362" t="s">
        <v>11</v>
      </c>
      <c r="I9" s="363" t="s">
        <v>12</v>
      </c>
      <c r="J9" s="26" t="s">
        <v>13</v>
      </c>
      <c r="K9" s="364" t="s">
        <v>14</v>
      </c>
      <c r="L9" s="542" t="s">
        <v>15</v>
      </c>
      <c r="M9" s="281" t="s">
        <v>16</v>
      </c>
      <c r="N9" s="182" t="s">
        <v>17</v>
      </c>
      <c r="O9" s="366" t="s">
        <v>18</v>
      </c>
      <c r="P9" s="364" t="s">
        <v>14</v>
      </c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0.0" customHeight="1">
      <c r="A10" s="17"/>
      <c r="B10" s="52"/>
      <c r="C10" s="184" t="s">
        <v>19</v>
      </c>
      <c r="D10" s="185"/>
      <c r="E10" s="48"/>
      <c r="F10" s="186"/>
      <c r="G10" s="186"/>
      <c r="H10" s="186"/>
      <c r="I10" s="283"/>
      <c r="J10" s="750">
        <v>500.0</v>
      </c>
      <c r="K10" s="197"/>
      <c r="L10" s="190" t="str">
        <f>AVERAGE(#REF!)</f>
        <v>#REF!</v>
      </c>
      <c r="M10" s="190">
        <v>975.8</v>
      </c>
      <c r="N10" s="193"/>
      <c r="O10" s="193"/>
      <c r="P10" s="19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30.0" customHeight="1">
      <c r="A11" s="17"/>
      <c r="B11" s="52"/>
      <c r="C11" s="194" t="s">
        <v>20</v>
      </c>
      <c r="D11" s="185" t="s">
        <v>81</v>
      </c>
      <c r="E11" s="54"/>
      <c r="F11" s="186"/>
      <c r="G11" s="186"/>
      <c r="H11" s="186"/>
      <c r="I11" s="56"/>
      <c r="J11" s="703" t="s">
        <v>9</v>
      </c>
      <c r="K11" s="197"/>
      <c r="L11" s="190"/>
      <c r="M11" s="190"/>
      <c r="N11" s="193"/>
      <c r="O11" s="193"/>
      <c r="P11" s="19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hidden="1" customHeight="1">
      <c r="A12" s="17"/>
      <c r="B12" s="52"/>
      <c r="C12" s="198"/>
      <c r="D12" s="185" t="s">
        <v>11</v>
      </c>
      <c r="E12" s="54"/>
      <c r="F12" s="186"/>
      <c r="G12" s="186"/>
      <c r="H12" s="186"/>
      <c r="I12" s="56"/>
      <c r="J12" s="56"/>
      <c r="K12" s="285"/>
      <c r="L12" s="741"/>
      <c r="M12" s="751"/>
      <c r="N12" s="701"/>
      <c r="O12" s="17"/>
      <c r="P12" s="120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hidden="1" customHeight="1">
      <c r="A13" s="17"/>
      <c r="B13" s="52"/>
      <c r="C13" s="198"/>
      <c r="D13" s="185"/>
      <c r="E13" s="54"/>
      <c r="F13" s="186"/>
      <c r="G13" s="186"/>
      <c r="H13" s="186"/>
      <c r="I13" s="56"/>
      <c r="J13" s="56"/>
      <c r="K13" s="58"/>
      <c r="L13" s="552"/>
      <c r="M13" s="752"/>
      <c r="N13" s="701"/>
      <c r="O13" s="17"/>
      <c r="P13" s="99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hidden="1" customHeight="1">
      <c r="A14" s="17"/>
      <c r="B14" s="52"/>
      <c r="C14" s="198"/>
      <c r="D14" s="185" t="s">
        <v>10</v>
      </c>
      <c r="E14" s="54"/>
      <c r="F14" s="186"/>
      <c r="G14" s="186"/>
      <c r="H14" s="186"/>
      <c r="I14" s="56"/>
      <c r="J14" s="56"/>
      <c r="K14" s="58"/>
      <c r="L14" s="552"/>
      <c r="M14" s="752"/>
      <c r="N14" s="701"/>
      <c r="O14" s="17"/>
      <c r="P14" s="99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hidden="1" customHeight="1">
      <c r="A15" s="17"/>
      <c r="B15" s="52"/>
      <c r="C15" s="198"/>
      <c r="D15" s="185" t="s">
        <v>9</v>
      </c>
      <c r="E15" s="17"/>
      <c r="F15" s="186"/>
      <c r="G15" s="186"/>
      <c r="H15" s="186"/>
      <c r="I15" s="56"/>
      <c r="J15" s="56"/>
      <c r="K15" s="58"/>
      <c r="L15" s="552"/>
      <c r="M15" s="752"/>
      <c r="N15" s="701"/>
      <c r="O15" s="17"/>
      <c r="P15" s="99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hidden="1" customHeight="1">
      <c r="A16" s="17"/>
      <c r="B16" s="52"/>
      <c r="C16" s="198"/>
      <c r="D16" s="185" t="s">
        <v>21</v>
      </c>
      <c r="E16" s="63">
        <v>1.24</v>
      </c>
      <c r="F16" s="186"/>
      <c r="G16" s="203">
        <v>1.25</v>
      </c>
      <c r="H16" s="203">
        <v>1.32</v>
      </c>
      <c r="I16" s="56"/>
      <c r="J16" s="56"/>
      <c r="K16" s="58"/>
      <c r="L16" s="552"/>
      <c r="M16" s="752"/>
      <c r="N16" s="701"/>
      <c r="O16" s="17"/>
      <c r="P16" s="602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6"/>
      <c r="F17" s="67">
        <f>801.352736216438*E16</f>
        <v>993.6773929</v>
      </c>
      <c r="G17" s="67">
        <f t="shared" ref="G17:G34" si="1">F17/$G$16</f>
        <v>794.9419143</v>
      </c>
      <c r="H17" s="67">
        <f t="shared" ref="H17:H34" si="2">F17/$H$16</f>
        <v>752.7859037</v>
      </c>
      <c r="I17" s="68"/>
      <c r="J17" s="204"/>
      <c r="K17" s="70">
        <f>IF(J11="2010-2013",J10*H17,IF(J11="2014-2021",J10*G17,IF(J11="2021-2023",J10*F17,-2)))</f>
        <v>496838.6965</v>
      </c>
      <c r="L17" s="552" t="str">
        <f t="shared" ref="L17:L18" si="3">AVERAGE(#REF!)</f>
        <v>#REF!</v>
      </c>
      <c r="M17" s="752">
        <v>781960.0</v>
      </c>
      <c r="N17" s="753">
        <f t="shared" ref="N17:N18" si="4">M17/$M$10</f>
        <v>801.3527362</v>
      </c>
      <c r="O17" s="207" t="s">
        <v>23</v>
      </c>
      <c r="P17" s="73">
        <f t="shared" ref="P17:P18" si="5">IF(O17="Delapidated",K17*0.6,IF(O17="Poor",K17*0.7,IF(O17="Fair",K17*0.8,IF(O17="Good",K17*0.85,IF(O17="Very Good",K17*0.9,IF(O17="Excellent",K17*1,IF(O17="Not Applicable",K17*1,0)))))))</f>
        <v>496838.6965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66"/>
      <c r="F18" s="209"/>
      <c r="G18" s="67">
        <f t="shared" si="1"/>
        <v>0</v>
      </c>
      <c r="H18" s="67">
        <f t="shared" si="2"/>
        <v>0</v>
      </c>
      <c r="I18" s="68"/>
      <c r="J18" s="72" t="s">
        <v>25</v>
      </c>
      <c r="K18" s="70">
        <f>IF(J18="YES",IF(J11="2010-2013",H19*$J$10,IF(J11="2014-2021",G19*$J$10,IF(J11="2021-2023",F19*$J$10,0))),0)</f>
        <v>68417.29863</v>
      </c>
      <c r="L18" s="552" t="str">
        <f t="shared" si="3"/>
        <v>#REF!</v>
      </c>
      <c r="M18" s="752">
        <v>107680.0</v>
      </c>
      <c r="N18" s="753">
        <f t="shared" si="4"/>
        <v>110.3504817</v>
      </c>
      <c r="O18" s="207" t="s">
        <v>23</v>
      </c>
      <c r="P18" s="73">
        <f t="shared" si="5"/>
        <v>68417.29863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customHeight="1">
      <c r="A19" s="34"/>
      <c r="B19" s="84"/>
      <c r="C19" s="79" t="s">
        <v>25</v>
      </c>
      <c r="D19" s="66"/>
      <c r="E19" s="66"/>
      <c r="F19" s="67">
        <f>110.350481656077*E16</f>
        <v>136.8345973</v>
      </c>
      <c r="G19" s="67">
        <f t="shared" si="1"/>
        <v>109.4676778</v>
      </c>
      <c r="H19" s="67">
        <f t="shared" si="2"/>
        <v>103.6625737</v>
      </c>
      <c r="I19" s="77">
        <v>1.0</v>
      </c>
      <c r="J19" s="68"/>
      <c r="K19" s="70"/>
      <c r="L19" s="552"/>
      <c r="M19" s="752"/>
      <c r="N19" s="753"/>
      <c r="O19" s="34"/>
      <c r="P19" s="402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customHeight="1">
      <c r="A20" s="34"/>
      <c r="B20" s="85"/>
      <c r="C20" s="79" t="s">
        <v>26</v>
      </c>
      <c r="D20" s="66"/>
      <c r="E20" s="66"/>
      <c r="F20" s="67">
        <v>0.0</v>
      </c>
      <c r="G20" s="67">
        <f t="shared" si="1"/>
        <v>0</v>
      </c>
      <c r="H20" s="67">
        <f t="shared" si="2"/>
        <v>0</v>
      </c>
      <c r="I20" s="77">
        <v>2.0</v>
      </c>
      <c r="J20" s="68"/>
      <c r="K20" s="70"/>
      <c r="L20" s="552"/>
      <c r="M20" s="752"/>
      <c r="N20" s="753"/>
      <c r="O20" s="34"/>
      <c r="P20" s="402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208" t="s">
        <v>27</v>
      </c>
      <c r="D21" s="66"/>
      <c r="E21" s="66"/>
      <c r="F21" s="67"/>
      <c r="G21" s="67">
        <f t="shared" si="1"/>
        <v>0</v>
      </c>
      <c r="H21" s="67">
        <f t="shared" si="2"/>
        <v>0</v>
      </c>
      <c r="I21" s="68"/>
      <c r="J21" s="72" t="s">
        <v>28</v>
      </c>
      <c r="K21" s="70">
        <f>IF(J21="STOCK BRICKS",IF(J11="2010-2013",H22*$J$10,IF(J11="2014-2021",G22*$J$10,IF(J11="2021-2023",F22*$J$10,0))),IF(J21="BLOCKS",IF(J11="2010-2013",H23*$J$10,IF(J11="2014-2021",G23*$J$10,IF(J11="2021-2023",F23*$J$10,0))),IF(J21="FACE BRICKS",IF(J11="2010-2013",H24*$J$10,IF(J11="2014-2021",G24*$J$10,IF(J11="2021-2023",F24*$J$10,0))),0)))</f>
        <v>377807.3376</v>
      </c>
      <c r="L21" s="552" t="str">
        <f>AVERAGE(#REF!)</f>
        <v>#REF!</v>
      </c>
      <c r="M21" s="752">
        <f>587040+7580</f>
        <v>594620</v>
      </c>
      <c r="N21" s="753">
        <f>M21/$M$10</f>
        <v>609.3666735</v>
      </c>
      <c r="O21" s="207" t="s">
        <v>23</v>
      </c>
      <c r="P21" s="73">
        <f>IF(O21="Delapidated",K21*0.6,IF(O21="Poor",K21*0.7,IF(O21="Fair",K21*0.8,IF(O21="Good",K21*0.85,IF(O21="Very Good",K21*0.9,IF(O21="Excellent",K21*1,IF(O21="Not Applicable",K21*1,0)))))))</f>
        <v>377807.3376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customHeight="1">
      <c r="A22" s="34"/>
      <c r="B22" s="84"/>
      <c r="C22" s="79" t="s">
        <v>28</v>
      </c>
      <c r="D22" s="66"/>
      <c r="E22" s="66"/>
      <c r="F22" s="67">
        <f>609.366673498668*E16</f>
        <v>755.6146751</v>
      </c>
      <c r="G22" s="67">
        <f t="shared" si="1"/>
        <v>604.4917401</v>
      </c>
      <c r="H22" s="67">
        <f t="shared" si="2"/>
        <v>572.43536</v>
      </c>
      <c r="I22" s="77">
        <v>1.0</v>
      </c>
      <c r="J22" s="68"/>
      <c r="K22" s="70"/>
      <c r="L22" s="552"/>
      <c r="M22" s="752"/>
      <c r="N22" s="753"/>
      <c r="O22" s="34"/>
      <c r="P22" s="73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customHeight="1">
      <c r="A23" s="34"/>
      <c r="B23" s="84"/>
      <c r="C23" s="79" t="s">
        <v>29</v>
      </c>
      <c r="D23" s="66"/>
      <c r="E23" s="66"/>
      <c r="F23" s="67">
        <f>F22*0.8</f>
        <v>604.4917401</v>
      </c>
      <c r="G23" s="67">
        <f t="shared" si="1"/>
        <v>483.5933921</v>
      </c>
      <c r="H23" s="67">
        <f t="shared" si="2"/>
        <v>457.948288</v>
      </c>
      <c r="I23" s="77">
        <v>2.0</v>
      </c>
      <c r="J23" s="68"/>
      <c r="K23" s="70"/>
      <c r="L23" s="552"/>
      <c r="M23" s="752"/>
      <c r="N23" s="753"/>
      <c r="O23" s="34"/>
      <c r="P23" s="73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customHeight="1">
      <c r="A24" s="34"/>
      <c r="B24" s="84"/>
      <c r="C24" s="79" t="s">
        <v>30</v>
      </c>
      <c r="D24" s="66"/>
      <c r="E24" s="66"/>
      <c r="F24" s="67">
        <f>F22*1.3</f>
        <v>982.2990777</v>
      </c>
      <c r="G24" s="67">
        <f t="shared" si="1"/>
        <v>785.8392621</v>
      </c>
      <c r="H24" s="67">
        <f t="shared" si="2"/>
        <v>744.1659679</v>
      </c>
      <c r="I24" s="77">
        <v>3.0</v>
      </c>
      <c r="J24" s="68"/>
      <c r="K24" s="70"/>
      <c r="L24" s="552"/>
      <c r="M24" s="752"/>
      <c r="N24" s="753"/>
      <c r="O24" s="34"/>
      <c r="P24" s="73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customHeight="1">
      <c r="A25" s="34"/>
      <c r="B25" s="85"/>
      <c r="C25" s="79" t="s">
        <v>31</v>
      </c>
      <c r="D25" s="66"/>
      <c r="E25" s="66"/>
      <c r="F25" s="67">
        <v>0.0</v>
      </c>
      <c r="G25" s="67">
        <f t="shared" si="1"/>
        <v>0</v>
      </c>
      <c r="H25" s="67">
        <f t="shared" si="2"/>
        <v>0</v>
      </c>
      <c r="I25" s="77">
        <v>4.0</v>
      </c>
      <c r="J25" s="68"/>
      <c r="K25" s="70"/>
      <c r="L25" s="552"/>
      <c r="M25" s="752"/>
      <c r="N25" s="753"/>
      <c r="O25" s="34"/>
      <c r="P25" s="402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32</v>
      </c>
      <c r="D26" s="66"/>
      <c r="E26" s="66"/>
      <c r="F26" s="67"/>
      <c r="G26" s="67">
        <f t="shared" si="1"/>
        <v>0</v>
      </c>
      <c r="H26" s="67">
        <f t="shared" si="2"/>
        <v>0</v>
      </c>
      <c r="I26" s="68"/>
      <c r="J26" s="72" t="s">
        <v>35</v>
      </c>
      <c r="K26" s="70">
        <f>IF(J26="CONCRETE ROOF TILES",IF(J11="2010-2013",H27*$J$10,IF(J11="2014-2021",G27*$J$10,IF(J11="2021-2023",F27*$J$10,0))),IF(J26="IBR",IF(J11="2010-2013",H28*$J$10,IF(J11="2014-2021",G28*$J$10,IF(J11="2021-2023",F28*$J$10,0))),IF(J26="CORRUGATED ROOFING SHEETS",IF(J11="2010-2013",H29*$J$10,IF(J11="2014-2021",G29*$J$10,IF(J11="2021-2023",F29*$J$10,0))),0)))</f>
        <v>48360</v>
      </c>
      <c r="L26" s="552" t="str">
        <f>AVERAGE(#REF!)</f>
        <v>#REF!</v>
      </c>
      <c r="M26" s="752">
        <f>745760+9740</f>
        <v>755500</v>
      </c>
      <c r="N26" s="753">
        <f>M26/$M$10</f>
        <v>774.2365239</v>
      </c>
      <c r="O26" s="207" t="s">
        <v>23</v>
      </c>
      <c r="P26" s="73">
        <f>IF(O26="Delapidated",K26*0.6,IF(O26="Poor",K26*0.7,IF(O26="Fair",K26*0.8,IF(O26="Good",K26*0.85,IF(O26="Very Good",K26*0.9,IF(O26="Excellent",K26*1,IF(O26="Not Applicable",K26*1,0)))))))</f>
        <v>48360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customHeight="1">
      <c r="A27" s="34"/>
      <c r="B27" s="84"/>
      <c r="C27" s="79" t="s">
        <v>33</v>
      </c>
      <c r="D27" s="66"/>
      <c r="E27" s="66"/>
      <c r="F27" s="67">
        <f>130*E16</f>
        <v>161.2</v>
      </c>
      <c r="G27" s="67">
        <f t="shared" si="1"/>
        <v>128.96</v>
      </c>
      <c r="H27" s="67">
        <f t="shared" si="2"/>
        <v>122.1212121</v>
      </c>
      <c r="I27" s="77">
        <v>1.0</v>
      </c>
      <c r="J27" s="68"/>
      <c r="K27" s="70"/>
      <c r="L27" s="552"/>
      <c r="M27" s="752"/>
      <c r="N27" s="753"/>
      <c r="O27" s="34"/>
      <c r="P27" s="73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customHeight="1">
      <c r="A28" s="34"/>
      <c r="B28" s="84"/>
      <c r="C28" s="79" t="s">
        <v>34</v>
      </c>
      <c r="D28" s="66"/>
      <c r="E28" s="66"/>
      <c r="F28" s="67">
        <f>F27*1.6</f>
        <v>257.92</v>
      </c>
      <c r="G28" s="67">
        <f t="shared" si="1"/>
        <v>206.336</v>
      </c>
      <c r="H28" s="67">
        <f t="shared" si="2"/>
        <v>195.3939394</v>
      </c>
      <c r="I28" s="77">
        <v>2.0</v>
      </c>
      <c r="J28" s="68"/>
      <c r="K28" s="70"/>
      <c r="L28" s="552"/>
      <c r="M28" s="752"/>
      <c r="N28" s="753"/>
      <c r="O28" s="34"/>
      <c r="P28" s="73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customHeight="1">
      <c r="A29" s="34"/>
      <c r="B29" s="84"/>
      <c r="C29" s="79" t="s">
        <v>35</v>
      </c>
      <c r="D29" s="66"/>
      <c r="E29" s="66"/>
      <c r="F29" s="67">
        <f>F27*0.6</f>
        <v>96.72</v>
      </c>
      <c r="G29" s="67">
        <f t="shared" si="1"/>
        <v>77.376</v>
      </c>
      <c r="H29" s="67">
        <f t="shared" si="2"/>
        <v>73.27272727</v>
      </c>
      <c r="I29" s="77">
        <v>3.0</v>
      </c>
      <c r="J29" s="68"/>
      <c r="K29" s="70"/>
      <c r="L29" s="552"/>
      <c r="M29" s="752"/>
      <c r="N29" s="753"/>
      <c r="O29" s="34"/>
      <c r="P29" s="73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customHeight="1">
      <c r="A30" s="34"/>
      <c r="B30" s="85"/>
      <c r="C30" s="79" t="s">
        <v>36</v>
      </c>
      <c r="D30" s="66"/>
      <c r="E30" s="66"/>
      <c r="F30" s="67">
        <v>0.0</v>
      </c>
      <c r="G30" s="67">
        <f t="shared" si="1"/>
        <v>0</v>
      </c>
      <c r="H30" s="67">
        <f t="shared" si="2"/>
        <v>0</v>
      </c>
      <c r="I30" s="77">
        <v>4.0</v>
      </c>
      <c r="J30" s="68"/>
      <c r="K30" s="70"/>
      <c r="L30" s="552"/>
      <c r="M30" s="752"/>
      <c r="N30" s="753"/>
      <c r="O30" s="34"/>
      <c r="P30" s="402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4">
        <f>B26+1</f>
        <v>5</v>
      </c>
      <c r="C31" s="74" t="s">
        <v>37</v>
      </c>
      <c r="D31" s="66"/>
      <c r="E31" s="66"/>
      <c r="F31" s="67"/>
      <c r="G31" s="67">
        <f t="shared" si="1"/>
        <v>0</v>
      </c>
      <c r="H31" s="67">
        <f t="shared" si="2"/>
        <v>0</v>
      </c>
      <c r="I31" s="77"/>
      <c r="J31" s="72" t="s">
        <v>38</v>
      </c>
      <c r="K31" s="70">
        <f>IF(J31="TIMBER ROOF TRUSSES",IF(J11="2010-2013",H32*$J$10,IF(J11="2014-2021",G32*$J$10,IF(J11="2021-2023",F32*$J$10,0))),IF(J31="STRUCTURAL STEEL TRUSSES",IF(J11="2010-2013",H33*$J$10,IF(J11="2014-2021",G33*$J$10,IF(J11="2021-2023",F33*$J$10,0))),0))</f>
        <v>217000</v>
      </c>
      <c r="L31" s="59" t="str">
        <f>AVERAGE(#REF!)</f>
        <v>#REF!</v>
      </c>
      <c r="M31" s="43">
        <f>51922.2222222222+844</f>
        <v>52766.22222</v>
      </c>
      <c r="N31" s="71" t="str">
        <f>M31/$Q$11</f>
        <v>#DIV/0!</v>
      </c>
      <c r="O31" s="72" t="s">
        <v>87</v>
      </c>
      <c r="P31" s="211">
        <f>IF(O31="Delapidated",K31*0.6,IF(O31="Poor",K31*0.7,IF(O31="Fair",K31*0.8,IF(O31="Good",K31*0.85,IF(O31="Very Good",K31*0.9,IF(O31="Excellent",K31*1,IF(O31="Not Applicable",K31*1,0)))))))</f>
        <v>130200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customHeight="1">
      <c r="A32" s="34"/>
      <c r="B32" s="44"/>
      <c r="C32" s="79" t="s">
        <v>38</v>
      </c>
      <c r="D32" s="66"/>
      <c r="E32" s="66"/>
      <c r="F32" s="67">
        <f>350*E16</f>
        <v>434</v>
      </c>
      <c r="G32" s="67">
        <f t="shared" si="1"/>
        <v>347.2</v>
      </c>
      <c r="H32" s="67">
        <f t="shared" si="2"/>
        <v>328.7878788</v>
      </c>
      <c r="I32" s="77"/>
      <c r="J32" s="68"/>
      <c r="K32" s="70"/>
      <c r="L32" s="552"/>
      <c r="M32" s="752"/>
      <c r="N32" s="753"/>
      <c r="O32" s="34"/>
      <c r="P32" s="402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customHeight="1">
      <c r="A33" s="34"/>
      <c r="B33" s="44"/>
      <c r="C33" s="79" t="s">
        <v>137</v>
      </c>
      <c r="D33" s="66"/>
      <c r="E33" s="66"/>
      <c r="F33" s="67">
        <f>1100*E16</f>
        <v>1364</v>
      </c>
      <c r="G33" s="67">
        <f t="shared" si="1"/>
        <v>1091.2</v>
      </c>
      <c r="H33" s="67">
        <f t="shared" si="2"/>
        <v>1033.333333</v>
      </c>
      <c r="I33" s="77"/>
      <c r="J33" s="68"/>
      <c r="K33" s="70"/>
      <c r="L33" s="552"/>
      <c r="M33" s="752"/>
      <c r="N33" s="753"/>
      <c r="O33" s="34"/>
      <c r="P33" s="402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customHeight="1">
      <c r="A34" s="34"/>
      <c r="B34" s="44"/>
      <c r="C34" s="79" t="s">
        <v>41</v>
      </c>
      <c r="D34" s="66"/>
      <c r="E34" s="66"/>
      <c r="F34" s="67">
        <v>0.0</v>
      </c>
      <c r="G34" s="67">
        <f t="shared" si="1"/>
        <v>0</v>
      </c>
      <c r="H34" s="67">
        <f t="shared" si="2"/>
        <v>0</v>
      </c>
      <c r="I34" s="77"/>
      <c r="J34" s="68"/>
      <c r="K34" s="70"/>
      <c r="L34" s="552"/>
      <c r="M34" s="752"/>
      <c r="N34" s="753"/>
      <c r="O34" s="34"/>
      <c r="P34" s="402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3">
        <v>6.0</v>
      </c>
      <c r="C35" s="208" t="s">
        <v>154</v>
      </c>
      <c r="D35" s="66"/>
      <c r="E35" s="66"/>
      <c r="F35" s="67"/>
      <c r="G35" s="67"/>
      <c r="H35" s="67"/>
      <c r="I35" s="68"/>
      <c r="J35" s="72" t="s">
        <v>25</v>
      </c>
      <c r="K35" s="70">
        <f>IF(J35="YES",IF(J11="2010-2013",H36*$J$10,IF(J11="2014-2021",G36*$J$10,IF(J11="2021-2023",F36*$J$10,0))),0)</f>
        <v>26769.1017</v>
      </c>
      <c r="L35" s="552" t="str">
        <f>AVERAGE(#REF!)</f>
        <v>#REF!</v>
      </c>
      <c r="M35" s="752">
        <f>416160+72600</f>
        <v>488760</v>
      </c>
      <c r="N35" s="753">
        <f>M35/$M$10</f>
        <v>500.8813281</v>
      </c>
      <c r="O35" s="207" t="s">
        <v>23</v>
      </c>
      <c r="P35" s="73">
        <f>IF(O35="Delapidated",K35*0.6,IF(O35="Poor",K35*0.7,IF(O35="Fair",K35*0.8,IF(O35="Good",K35*0.85,IF(O35="Very Good",K35*0.9,IF(O35="Excellent",K35*1,IF(O35="Not Applicable",K35*1,0)))))))</f>
        <v>26769.1017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customHeight="1">
      <c r="A36" s="34"/>
      <c r="B36" s="84"/>
      <c r="C36" s="79" t="s">
        <v>25</v>
      </c>
      <c r="D36" s="66"/>
      <c r="E36" s="66"/>
      <c r="F36" s="67">
        <f>500.881328141013*8.62%*E16</f>
        <v>53.5382034</v>
      </c>
      <c r="G36" s="67">
        <f t="shared" ref="G36:G37" si="6">F36/$G$16</f>
        <v>42.83056272</v>
      </c>
      <c r="H36" s="67">
        <f t="shared" ref="H36:H37" si="7">F36/$H$16</f>
        <v>40.559245</v>
      </c>
      <c r="I36" s="77">
        <v>1.0</v>
      </c>
      <c r="J36" s="68"/>
      <c r="K36" s="70"/>
      <c r="L36" s="552"/>
      <c r="M36" s="752"/>
      <c r="N36" s="753"/>
      <c r="O36" s="34"/>
      <c r="P36" s="73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customHeight="1">
      <c r="A37" s="34"/>
      <c r="B37" s="85"/>
      <c r="C37" s="79" t="s">
        <v>26</v>
      </c>
      <c r="D37" s="66"/>
      <c r="E37" s="66"/>
      <c r="F37" s="67">
        <v>0.0</v>
      </c>
      <c r="G37" s="67">
        <f t="shared" si="6"/>
        <v>0</v>
      </c>
      <c r="H37" s="67">
        <f t="shared" si="7"/>
        <v>0</v>
      </c>
      <c r="I37" s="77">
        <v>2.0</v>
      </c>
      <c r="J37" s="68"/>
      <c r="K37" s="70"/>
      <c r="L37" s="552"/>
      <c r="M37" s="752"/>
      <c r="N37" s="753"/>
      <c r="O37" s="34"/>
      <c r="P37" s="402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3">
        <f>B35+1</f>
        <v>7</v>
      </c>
      <c r="C38" s="208" t="s">
        <v>45</v>
      </c>
      <c r="D38" s="66"/>
      <c r="E38" s="66"/>
      <c r="F38" s="67"/>
      <c r="G38" s="67"/>
      <c r="H38" s="67"/>
      <c r="I38" s="68"/>
      <c r="J38" s="72" t="s">
        <v>25</v>
      </c>
      <c r="K38" s="70">
        <f>IF(J38="YES",IF(J11="2010-2013",H39*$J$10,IF(J11="2014-2021",G39*$J$10,IF(J11="2021-2023",F39*$J$10,0))),0)</f>
        <v>230239.1183</v>
      </c>
      <c r="L38" s="552"/>
      <c r="M38" s="752"/>
      <c r="N38" s="753">
        <f>M38/$M$10</f>
        <v>0</v>
      </c>
      <c r="O38" s="207" t="s">
        <v>23</v>
      </c>
      <c r="P38" s="73">
        <f>IF(O38="Delapidated",K38*0.6,IF(O38="Poor",K38*0.7,IF(O38="Fair",K38*0.8,IF(O38="Good",K38*0.85,IF(O38="Very Good",K38*0.9,IF(O38="Excellent",K38*1,IF(O38="Not Applicable",K38*1,0)))))))</f>
        <v>230239.1183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customHeight="1">
      <c r="A39" s="34"/>
      <c r="B39" s="84"/>
      <c r="C39" s="79" t="s">
        <v>25</v>
      </c>
      <c r="D39" s="66"/>
      <c r="E39" s="66"/>
      <c r="F39" s="67">
        <f>500.881328141013*74.14%*E16</f>
        <v>460.4782367</v>
      </c>
      <c r="G39" s="67">
        <f t="shared" ref="G39:G40" si="8">F39/$G$16</f>
        <v>368.3825894</v>
      </c>
      <c r="H39" s="67">
        <f t="shared" ref="H39:H40" si="9">F39/$H$16</f>
        <v>348.847149</v>
      </c>
      <c r="I39" s="77">
        <v>1.0</v>
      </c>
      <c r="J39" s="68"/>
      <c r="K39" s="70"/>
      <c r="L39" s="552"/>
      <c r="M39" s="752"/>
      <c r="N39" s="753"/>
      <c r="O39" s="34"/>
      <c r="P39" s="402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customHeight="1">
      <c r="A40" s="34"/>
      <c r="B40" s="85"/>
      <c r="C40" s="79" t="s">
        <v>26</v>
      </c>
      <c r="D40" s="66"/>
      <c r="E40" s="66"/>
      <c r="F40" s="67">
        <v>0.0</v>
      </c>
      <c r="G40" s="67">
        <f t="shared" si="8"/>
        <v>0</v>
      </c>
      <c r="H40" s="67">
        <f t="shared" si="9"/>
        <v>0</v>
      </c>
      <c r="I40" s="77">
        <v>2.0</v>
      </c>
      <c r="J40" s="68"/>
      <c r="K40" s="70"/>
      <c r="L40" s="552"/>
      <c r="M40" s="752"/>
      <c r="N40" s="753"/>
      <c r="O40" s="34"/>
      <c r="P40" s="402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44"/>
      <c r="C41" s="214" t="s">
        <v>48</v>
      </c>
      <c r="D41" s="66"/>
      <c r="E41" s="66"/>
      <c r="F41" s="67"/>
      <c r="G41" s="67"/>
      <c r="H41" s="67"/>
      <c r="I41" s="77"/>
      <c r="J41" s="754">
        <v>10.0</v>
      </c>
      <c r="K41" s="34"/>
      <c r="L41" s="199"/>
      <c r="M41" s="205"/>
      <c r="N41" s="206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3">
        <f>B38+1</f>
        <v>8</v>
      </c>
      <c r="C42" s="208" t="s">
        <v>49</v>
      </c>
      <c r="D42" s="66"/>
      <c r="E42" s="66"/>
      <c r="F42" s="67"/>
      <c r="G42" s="67"/>
      <c r="H42" s="67"/>
      <c r="I42" s="68"/>
      <c r="J42" s="72" t="s">
        <v>25</v>
      </c>
      <c r="K42" s="70">
        <f>IF(J42="YES",IF($J$11="2010-2013",H43*J41,IF(J11="2014-2021",G43*J41,IF(J11="2021-2023",F43*J41,0))),0)</f>
        <v>40000</v>
      </c>
      <c r="L42" s="552"/>
      <c r="M42" s="752"/>
      <c r="N42" s="753">
        <f>M42/$M$10</f>
        <v>0</v>
      </c>
      <c r="O42" s="207" t="s">
        <v>23</v>
      </c>
      <c r="P42" s="73">
        <f>IF(O42="Delapidated",K42*0.6,IF(O42="Poor",K42*0.7,IF(O42="Fair",K42*0.8,IF(O42="Good",K42*0.85,IF(O42="Very Good",K42*0.9,IF(O42="Excellent",K42*1,IF(O42="Not Applicable",K42*1,0)))))))</f>
        <v>40000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customHeight="1">
      <c r="A43" s="34"/>
      <c r="B43" s="84"/>
      <c r="C43" s="79" t="s">
        <v>25</v>
      </c>
      <c r="D43" s="66"/>
      <c r="E43" s="66"/>
      <c r="F43" s="67">
        <v>4000.0</v>
      </c>
      <c r="G43" s="67">
        <f t="shared" ref="G43:G44" si="10">F43/$G$16</f>
        <v>3200</v>
      </c>
      <c r="H43" s="67">
        <f t="shared" ref="H43:H44" si="11">F43/$H$16</f>
        <v>3030.30303</v>
      </c>
      <c r="I43" s="77">
        <v>1.0</v>
      </c>
      <c r="J43" s="68"/>
      <c r="K43" s="70"/>
      <c r="L43" s="552"/>
      <c r="M43" s="752"/>
      <c r="N43" s="753"/>
      <c r="O43" s="34"/>
      <c r="P43" s="73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5"/>
      <c r="C44" s="79" t="s">
        <v>26</v>
      </c>
      <c r="D44" s="66"/>
      <c r="E44" s="66"/>
      <c r="F44" s="67">
        <v>0.0</v>
      </c>
      <c r="G44" s="67">
        <f t="shared" si="10"/>
        <v>0</v>
      </c>
      <c r="H44" s="67">
        <f t="shared" si="11"/>
        <v>0</v>
      </c>
      <c r="I44" s="77">
        <v>2.0</v>
      </c>
      <c r="J44" s="68"/>
      <c r="K44" s="70"/>
      <c r="L44" s="552"/>
      <c r="M44" s="752"/>
      <c r="N44" s="753"/>
      <c r="O44" s="34"/>
      <c r="P44" s="402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83">
        <f>B42+1</f>
        <v>9</v>
      </c>
      <c r="C45" s="208" t="s">
        <v>50</v>
      </c>
      <c r="D45" s="66"/>
      <c r="E45" s="66"/>
      <c r="F45" s="67"/>
      <c r="G45" s="67"/>
      <c r="H45" s="67"/>
      <c r="I45" s="68"/>
      <c r="J45" s="72" t="s">
        <v>25</v>
      </c>
      <c r="K45" s="70">
        <f>IF(J45="YES",IF(J11="2010-2013",H46*$J$10,IF(J11="2014-2021",G46*$J$10,IF(J11="2021-2023",F46*$J$10,0))),0)</f>
        <v>139693.7897</v>
      </c>
      <c r="L45" s="552" t="str">
        <f>AVERAGE(#REF!)</f>
        <v>#REF!</v>
      </c>
      <c r="M45" s="752">
        <v>219860.0</v>
      </c>
      <c r="N45" s="753">
        <f>M45/$M$10</f>
        <v>225.3125641</v>
      </c>
      <c r="O45" s="207" t="s">
        <v>23</v>
      </c>
      <c r="P45" s="73">
        <f>IF(O45="Delapidated",K45*0.6,IF(O45="Poor",K45*0.7,IF(O45="Fair",K45*0.8,IF(O45="Good",K45*0.85,IF(O45="Very Good",K45*0.9,IF(O45="Excellent",K45*1,IF(O45="Not Applicable",K45*1,0)))))))</f>
        <v>139693.7897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customHeight="1">
      <c r="A46" s="34"/>
      <c r="B46" s="84"/>
      <c r="C46" s="79" t="s">
        <v>25</v>
      </c>
      <c r="D46" s="66"/>
      <c r="E46" s="66"/>
      <c r="F46" s="67">
        <f>225.31256405001*E16</f>
        <v>279.3875794</v>
      </c>
      <c r="G46" s="67">
        <f t="shared" ref="G46:G47" si="12">F46/$G$16</f>
        <v>223.5100635</v>
      </c>
      <c r="H46" s="67">
        <f t="shared" ref="H46:H47" si="13">F46/$H$16</f>
        <v>211.6572571</v>
      </c>
      <c r="I46" s="77">
        <v>1.0</v>
      </c>
      <c r="J46" s="68"/>
      <c r="K46" s="70"/>
      <c r="L46" s="552"/>
      <c r="M46" s="752"/>
      <c r="N46" s="753"/>
      <c r="O46" s="34"/>
      <c r="P46" s="73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85"/>
      <c r="C47" s="79" t="s">
        <v>26</v>
      </c>
      <c r="D47" s="66"/>
      <c r="E47" s="66"/>
      <c r="F47" s="67">
        <v>0.0</v>
      </c>
      <c r="G47" s="67">
        <f t="shared" si="12"/>
        <v>0</v>
      </c>
      <c r="H47" s="67">
        <f t="shared" si="13"/>
        <v>0</v>
      </c>
      <c r="I47" s="77">
        <v>2.0</v>
      </c>
      <c r="J47" s="68"/>
      <c r="K47" s="70"/>
      <c r="L47" s="552"/>
      <c r="M47" s="752"/>
      <c r="N47" s="753"/>
      <c r="O47" s="34"/>
      <c r="P47" s="402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83">
        <v>10.0</v>
      </c>
      <c r="C48" s="92" t="s">
        <v>51</v>
      </c>
      <c r="D48" s="66"/>
      <c r="E48" s="66"/>
      <c r="F48" s="67"/>
      <c r="G48" s="67"/>
      <c r="H48" s="67"/>
      <c r="I48" s="77"/>
      <c r="J48" s="72" t="s">
        <v>52</v>
      </c>
      <c r="K48" s="70">
        <f>IF(J48="VINYL FLOORING",IF(J11="2010-2013",H49*$J$10,IF(J11="2014-2021",G49*$J$10,IF(J11="2021-2023",F49*$J$10,0))),IF(J48="TILING FLOORING",IF(J11="2010-2013",H50*$J$10,IF(J11="2014-2021",G50*$J$10,IF(J11="2021-2023",F50*$J$10,0))),IF(J48="TIMBER FLOORING",IF(J11="2010-2013",H51*$J$10,IF(J11="2014-2021",G51*$J$10,IF(J11="2021-2023",F51*$J$10,0))),IF(J48="CARPETS FLOORING",IF(J11="2010-2013",H52*$J$10,IF(J11="2014-2021",G52*$J$10,IF(J11="2021-2023",F52*$J$10,0))),0))))</f>
        <v>148332.3632</v>
      </c>
      <c r="L48" s="552"/>
      <c r="M48" s="752"/>
      <c r="N48" s="753"/>
      <c r="O48" s="207" t="s">
        <v>23</v>
      </c>
      <c r="P48" s="73">
        <f>IF(O48="Delapidated",K48*0.6,IF(O48="Poor",K48*0.7,IF(O48="Fair",K48*0.8,IF(O48="Good",K48*0.85,IF(O48="Very Good",K48*0.9,IF(O48="Excellent",K48*1,IF(O48="Not Applicable",K48*1,0)))))))</f>
        <v>148332.3632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customHeight="1">
      <c r="A49" s="34"/>
      <c r="B49" s="84"/>
      <c r="C49" s="79" t="s">
        <v>53</v>
      </c>
      <c r="D49" s="66"/>
      <c r="E49" s="66"/>
      <c r="F49" s="67">
        <f>F50*0.7</f>
        <v>207.6653085</v>
      </c>
      <c r="G49" s="67">
        <f t="shared" ref="G49:G53" si="14">F49/$G$16</f>
        <v>166.1322468</v>
      </c>
      <c r="H49" s="67">
        <f t="shared" ref="H49:H53" si="15">F49/$H$16</f>
        <v>157.3222034</v>
      </c>
      <c r="I49" s="77">
        <v>1.0</v>
      </c>
      <c r="J49" s="68"/>
      <c r="K49" s="70"/>
      <c r="L49" s="552"/>
      <c r="M49" s="752"/>
      <c r="N49" s="753"/>
      <c r="O49" s="34"/>
      <c r="P49" s="73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customHeight="1">
      <c r="A50" s="34"/>
      <c r="B50" s="84"/>
      <c r="C50" s="79" t="s">
        <v>52</v>
      </c>
      <c r="D50" s="66"/>
      <c r="E50" s="66"/>
      <c r="F50" s="67">
        <f>299.057183849149*0.8*E16</f>
        <v>296.6647264</v>
      </c>
      <c r="G50" s="67">
        <f t="shared" si="14"/>
        <v>237.3317811</v>
      </c>
      <c r="H50" s="67">
        <f t="shared" si="15"/>
        <v>224.7460048</v>
      </c>
      <c r="I50" s="77">
        <v>2.0</v>
      </c>
      <c r="J50" s="68"/>
      <c r="K50" s="70"/>
      <c r="L50" s="552"/>
      <c r="M50" s="752"/>
      <c r="N50" s="753"/>
      <c r="O50" s="34"/>
      <c r="P50" s="73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customHeight="1">
      <c r="A51" s="34"/>
      <c r="B51" s="84"/>
      <c r="C51" s="79" t="s">
        <v>155</v>
      </c>
      <c r="D51" s="66"/>
      <c r="E51" s="66"/>
      <c r="F51" s="67">
        <f>F50*1.2</f>
        <v>355.9976717</v>
      </c>
      <c r="G51" s="67">
        <f t="shared" si="14"/>
        <v>284.7981373</v>
      </c>
      <c r="H51" s="67">
        <f t="shared" si="15"/>
        <v>269.6952058</v>
      </c>
      <c r="I51" s="77">
        <v>3.0</v>
      </c>
      <c r="J51" s="68"/>
      <c r="K51" s="70"/>
      <c r="L51" s="552"/>
      <c r="M51" s="752"/>
      <c r="N51" s="753"/>
      <c r="O51" s="34"/>
      <c r="P51" s="73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customHeight="1">
      <c r="A52" s="34"/>
      <c r="B52" s="84"/>
      <c r="C52" s="79" t="s">
        <v>55</v>
      </c>
      <c r="D52" s="66"/>
      <c r="E52" s="66"/>
      <c r="F52" s="67">
        <f>F50*1.3</f>
        <v>385.6641443</v>
      </c>
      <c r="G52" s="67">
        <f t="shared" si="14"/>
        <v>308.5313154</v>
      </c>
      <c r="H52" s="67">
        <f t="shared" si="15"/>
        <v>292.1698063</v>
      </c>
      <c r="I52" s="77">
        <v>4.0</v>
      </c>
      <c r="J52" s="68"/>
      <c r="K52" s="70"/>
      <c r="L52" s="552"/>
      <c r="M52" s="752"/>
      <c r="N52" s="753"/>
      <c r="O52" s="34"/>
      <c r="P52" s="73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customHeight="1">
      <c r="A53" s="34"/>
      <c r="B53" s="85"/>
      <c r="C53" s="79" t="s">
        <v>56</v>
      </c>
      <c r="D53" s="66"/>
      <c r="E53" s="66"/>
      <c r="F53" s="67">
        <v>0.0</v>
      </c>
      <c r="G53" s="67">
        <f t="shared" si="14"/>
        <v>0</v>
      </c>
      <c r="H53" s="67">
        <f t="shared" si="15"/>
        <v>0</v>
      </c>
      <c r="I53" s="77">
        <v>5.0</v>
      </c>
      <c r="J53" s="68"/>
      <c r="K53" s="70"/>
      <c r="L53" s="552"/>
      <c r="M53" s="752"/>
      <c r="N53" s="753"/>
      <c r="O53" s="34"/>
      <c r="P53" s="402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customHeight="1">
      <c r="A54" s="34"/>
      <c r="B54" s="83">
        <v>11.0</v>
      </c>
      <c r="C54" s="208" t="s">
        <v>57</v>
      </c>
      <c r="D54" s="66"/>
      <c r="E54" s="66"/>
      <c r="F54" s="67"/>
      <c r="G54" s="67"/>
      <c r="H54" s="67"/>
      <c r="I54" s="68"/>
      <c r="J54" s="72" t="s">
        <v>58</v>
      </c>
      <c r="K54" s="70">
        <f>IF(J54="STEEL WINDOW FRAMES",IF(J11="2010-2013",H55*$J$10,IF(J11="2014-2021",G55*$J$10,IF(J11="2021-2023",F55*$J$10,0))),IF(J54="ALUMINIUM WINDOW FRAMES",IF(J11="2010-2013",H56*$J$10,IF(J11="2014-2021",G56*$J$10,IF(J11="2021-2023",F56*$J$10,0))),0))</f>
        <v>111546.6284</v>
      </c>
      <c r="L54" s="552" t="str">
        <f>AVERAGE(#REF!)</f>
        <v>#REF!</v>
      </c>
      <c r="M54" s="752">
        <v>175560.0</v>
      </c>
      <c r="N54" s="753">
        <f>M54/$M$10</f>
        <v>179.9139168</v>
      </c>
      <c r="O54" s="207" t="s">
        <v>23</v>
      </c>
      <c r="P54" s="73">
        <f>IF(O54="Delapidated",K54*0.6,IF(O54="Poor",K54*0.7,IF(O54="Fair",K54*0.8,IF(O54="Good",K54*0.85,IF(O54="Very Good",K54*0.9,IF(O54="Excellent",K54*1,IF(O54="Not Applicable",K54*1,0)))))))</f>
        <v>111546.6284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customHeight="1">
      <c r="A55" s="34"/>
      <c r="B55" s="84"/>
      <c r="C55" s="79" t="s">
        <v>59</v>
      </c>
      <c r="D55" s="66"/>
      <c r="E55" s="66"/>
      <c r="F55" s="67">
        <f>F56*0.3</f>
        <v>66.92797704</v>
      </c>
      <c r="G55" s="67">
        <f t="shared" ref="G55:G57" si="16">F55/$G$16</f>
        <v>53.54238164</v>
      </c>
      <c r="H55" s="67">
        <f t="shared" ref="H55:H57" si="17">F55/$H$16</f>
        <v>50.70301291</v>
      </c>
      <c r="I55" s="77">
        <v>1.0</v>
      </c>
      <c r="J55" s="68"/>
      <c r="K55" s="70"/>
      <c r="L55" s="552"/>
      <c r="M55" s="752"/>
      <c r="N55" s="753"/>
      <c r="O55" s="34"/>
      <c r="P55" s="73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34"/>
      <c r="B56" s="84"/>
      <c r="C56" s="79" t="s">
        <v>58</v>
      </c>
      <c r="D56" s="66"/>
      <c r="E56" s="66"/>
      <c r="F56" s="67">
        <f>179.913916786227*E16</f>
        <v>223.0932568</v>
      </c>
      <c r="G56" s="67">
        <f t="shared" si="16"/>
        <v>178.4746055</v>
      </c>
      <c r="H56" s="67">
        <f t="shared" si="17"/>
        <v>169.010043</v>
      </c>
      <c r="I56" s="77">
        <v>2.0</v>
      </c>
      <c r="J56" s="68"/>
      <c r="K56" s="70"/>
      <c r="L56" s="552"/>
      <c r="M56" s="752"/>
      <c r="N56" s="753"/>
      <c r="O56" s="34"/>
      <c r="P56" s="73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customHeight="1">
      <c r="A57" s="34"/>
      <c r="B57" s="85"/>
      <c r="C57" s="79" t="s">
        <v>60</v>
      </c>
      <c r="D57" s="66"/>
      <c r="E57" s="66"/>
      <c r="F57" s="67">
        <v>0.0</v>
      </c>
      <c r="G57" s="67">
        <f t="shared" si="16"/>
        <v>0</v>
      </c>
      <c r="H57" s="67">
        <f t="shared" si="17"/>
        <v>0</v>
      </c>
      <c r="I57" s="77">
        <v>3.0</v>
      </c>
      <c r="J57" s="68"/>
      <c r="K57" s="70"/>
      <c r="L57" s="552"/>
      <c r="M57" s="752"/>
      <c r="N57" s="753"/>
      <c r="O57" s="34"/>
      <c r="P57" s="402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customHeight="1">
      <c r="A58" s="34"/>
      <c r="B58" s="83">
        <f>B54+1</f>
        <v>12</v>
      </c>
      <c r="C58" s="208" t="s">
        <v>61</v>
      </c>
      <c r="D58" s="66"/>
      <c r="E58" s="66"/>
      <c r="F58" s="67"/>
      <c r="G58" s="67"/>
      <c r="H58" s="67"/>
      <c r="I58" s="68"/>
      <c r="J58" s="72" t="s">
        <v>25</v>
      </c>
      <c r="K58" s="70">
        <f>IF(J58="YES",IF(J11="2010-2013",H59*$J$10,IF(J11="2014-2021",G59*$J$10,IF(J11="2021-2023",F59*$J$10,0))),0)</f>
        <v>205988.9322</v>
      </c>
      <c r="L58" s="552" t="str">
        <f>AVERAGE(#REF!)</f>
        <v>#REF!</v>
      </c>
      <c r="M58" s="752">
        <v>324200.0</v>
      </c>
      <c r="N58" s="753">
        <f>M58/$M$10</f>
        <v>332.2402132</v>
      </c>
      <c r="O58" s="207" t="s">
        <v>23</v>
      </c>
      <c r="P58" s="73">
        <f>IF(O58="Delapidated",K58*0.6,IF(O58="Poor",K58*0.7,IF(O58="Fair",K58*0.8,IF(O58="Good",K58*0.85,IF(O58="Very Good",K58*0.9,IF(O58="Excellent",K58*1,IF(O58="Not Applicable",K58*1,0)))))))</f>
        <v>205988.9322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customHeight="1">
      <c r="A59" s="34"/>
      <c r="B59" s="84"/>
      <c r="C59" s="79" t="s">
        <v>25</v>
      </c>
      <c r="D59" s="66"/>
      <c r="E59" s="66"/>
      <c r="F59" s="67">
        <f>332.240213158434*E16</f>
        <v>411.9778643</v>
      </c>
      <c r="G59" s="67">
        <f t="shared" ref="G59:G60" si="18">F59/$G$16</f>
        <v>329.5822915</v>
      </c>
      <c r="H59" s="67">
        <f t="shared" ref="H59:H60" si="19">F59/$H$16</f>
        <v>312.1044427</v>
      </c>
      <c r="I59" s="77">
        <v>1.0</v>
      </c>
      <c r="J59" s="68"/>
      <c r="K59" s="70"/>
      <c r="L59" s="552"/>
      <c r="M59" s="752"/>
      <c r="N59" s="753"/>
      <c r="O59" s="34"/>
      <c r="P59" s="73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5"/>
      <c r="C60" s="79" t="s">
        <v>26</v>
      </c>
      <c r="D60" s="66"/>
      <c r="E60" s="66"/>
      <c r="F60" s="67">
        <v>0.0</v>
      </c>
      <c r="G60" s="67">
        <f t="shared" si="18"/>
        <v>0</v>
      </c>
      <c r="H60" s="67">
        <f t="shared" si="19"/>
        <v>0</v>
      </c>
      <c r="I60" s="77">
        <v>2.0</v>
      </c>
      <c r="J60" s="68"/>
      <c r="K60" s="70"/>
      <c r="L60" s="552"/>
      <c r="M60" s="752"/>
      <c r="N60" s="753"/>
      <c r="O60" s="34"/>
      <c r="P60" s="402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83">
        <f>B58+1</f>
        <v>13</v>
      </c>
      <c r="C61" s="208" t="s">
        <v>62</v>
      </c>
      <c r="D61" s="66"/>
      <c r="E61" s="66"/>
      <c r="F61" s="67"/>
      <c r="G61" s="67"/>
      <c r="H61" s="67"/>
      <c r="I61" s="68"/>
      <c r="J61" s="72" t="s">
        <v>25</v>
      </c>
      <c r="K61" s="70">
        <f>IF(J61="YES",IF(J11="2010-2013",H62*$J$10,IF(J11="2014-2021",G62*$J$10,IF(J11="2021-2023",F62*$J$10,0))),0)</f>
        <v>37083.0908</v>
      </c>
      <c r="L61" s="552" t="str">
        <f>AVERAGE(#REF!)</f>
        <v>#REF!</v>
      </c>
      <c r="M61" s="752">
        <v>291820.0</v>
      </c>
      <c r="N61" s="753">
        <f>M61/$M$10</f>
        <v>299.0571838</v>
      </c>
      <c r="O61" s="207" t="s">
        <v>23</v>
      </c>
      <c r="P61" s="73">
        <f>IF(O61="Delapidated",K61*0.6,IF(O61="Poor",K61*0.7,IF(O61="Fair",K61*0.8,IF(O61="Good",K61*0.85,IF(O61="Very Good",K61*0.9,IF(O61="Excellent",K61*1,IF(O61="Not Applicable",K61*1,0)))))))</f>
        <v>37083.0908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customHeight="1">
      <c r="A62" s="34"/>
      <c r="B62" s="84"/>
      <c r="C62" s="79" t="s">
        <v>25</v>
      </c>
      <c r="D62" s="66"/>
      <c r="E62" s="66"/>
      <c r="F62" s="67">
        <f>299.057183849149*0.2*E16</f>
        <v>74.16618159</v>
      </c>
      <c r="G62" s="67">
        <f t="shared" ref="G62:G63" si="20">F62/$G$16</f>
        <v>59.33294528</v>
      </c>
      <c r="H62" s="67">
        <f t="shared" ref="H62:H63" si="21">F62/$H$16</f>
        <v>56.18650121</v>
      </c>
      <c r="I62" s="77">
        <v>1.0</v>
      </c>
      <c r="J62" s="68"/>
      <c r="K62" s="70"/>
      <c r="L62" s="552"/>
      <c r="M62" s="752"/>
      <c r="N62" s="753"/>
      <c r="O62" s="34"/>
      <c r="P62" s="73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34"/>
      <c r="B63" s="85"/>
      <c r="C63" s="79" t="s">
        <v>26</v>
      </c>
      <c r="D63" s="66"/>
      <c r="E63" s="66"/>
      <c r="F63" s="67">
        <v>0.0</v>
      </c>
      <c r="G63" s="67">
        <f t="shared" si="20"/>
        <v>0</v>
      </c>
      <c r="H63" s="67">
        <f t="shared" si="21"/>
        <v>0</v>
      </c>
      <c r="I63" s="77">
        <v>2.0</v>
      </c>
      <c r="J63" s="68"/>
      <c r="K63" s="70"/>
      <c r="L63" s="552"/>
      <c r="M63" s="752"/>
      <c r="N63" s="753"/>
      <c r="O63" s="34"/>
      <c r="P63" s="402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44"/>
      <c r="C64" s="214" t="s">
        <v>63</v>
      </c>
      <c r="D64" s="66"/>
      <c r="E64" s="66"/>
      <c r="F64" s="67"/>
      <c r="G64" s="67"/>
      <c r="H64" s="67"/>
      <c r="I64" s="77"/>
      <c r="J64" s="754">
        <v>10.0</v>
      </c>
      <c r="K64" s="34"/>
      <c r="L64" s="199"/>
      <c r="M64" s="205"/>
      <c r="N64" s="206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83">
        <f>B61+1</f>
        <v>14</v>
      </c>
      <c r="C65" s="208" t="s">
        <v>93</v>
      </c>
      <c r="D65" s="66"/>
      <c r="E65" s="66"/>
      <c r="F65" s="67"/>
      <c r="G65" s="67"/>
      <c r="H65" s="67"/>
      <c r="I65" s="68"/>
      <c r="J65" s="72" t="s">
        <v>25</v>
      </c>
      <c r="K65" s="70">
        <f>IF(J65="YES",IF(J11="2010-2013",H66*J64,IF(J11="2014-2021",G66*J64,IF(J11="2021-2023",F66*J64,0))),0)</f>
        <v>23000</v>
      </c>
      <c r="L65" s="552" t="str">
        <f>AVERAGE(#REF!)</f>
        <v>#REF!</v>
      </c>
      <c r="M65" s="752">
        <f>570460+21120</f>
        <v>591580</v>
      </c>
      <c r="N65" s="753">
        <f>M65/$M$10</f>
        <v>606.251281</v>
      </c>
      <c r="O65" s="207" t="s">
        <v>23</v>
      </c>
      <c r="P65" s="73">
        <f>IF(O65="Delapidated",K65*0.6,IF(O65="Poor",K65*0.7,IF(O65="Fair",K65*0.8,IF(O65="Good",K65*0.85,IF(O65="Very Good",K65*0.9,IF(O65="Excellent",K65*1,IF(O65="Not Applicable",K65*1,0)))))))</f>
        <v>23000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34"/>
      <c r="B66" s="84"/>
      <c r="C66" s="79" t="s">
        <v>25</v>
      </c>
      <c r="D66" s="66"/>
      <c r="E66" s="66"/>
      <c r="F66" s="67">
        <v>2300.0</v>
      </c>
      <c r="G66" s="67">
        <f t="shared" ref="G66:G67" si="22">F66/$G$16</f>
        <v>1840</v>
      </c>
      <c r="H66" s="67">
        <f t="shared" ref="H66:H67" si="23">F66/$H$16</f>
        <v>1742.424242</v>
      </c>
      <c r="I66" s="77">
        <v>1.0</v>
      </c>
      <c r="J66" s="68"/>
      <c r="K66" s="70"/>
      <c r="L66" s="552"/>
      <c r="M66" s="752"/>
      <c r="N66" s="753"/>
      <c r="O66" s="34"/>
      <c r="P66" s="73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85"/>
      <c r="C67" s="79" t="s">
        <v>26</v>
      </c>
      <c r="D67" s="66"/>
      <c r="E67" s="66"/>
      <c r="F67" s="67">
        <v>0.0</v>
      </c>
      <c r="G67" s="67">
        <f t="shared" si="22"/>
        <v>0</v>
      </c>
      <c r="H67" s="67">
        <f t="shared" si="23"/>
        <v>0</v>
      </c>
      <c r="I67" s="77">
        <v>2.0</v>
      </c>
      <c r="J67" s="68"/>
      <c r="K67" s="70"/>
      <c r="L67" s="552"/>
      <c r="M67" s="752"/>
      <c r="N67" s="753"/>
      <c r="O67" s="34"/>
      <c r="P67" s="402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44">
        <f>B65+1</f>
        <v>15</v>
      </c>
      <c r="C68" s="208" t="s">
        <v>65</v>
      </c>
      <c r="D68" s="66"/>
      <c r="E68" s="66"/>
      <c r="F68" s="67"/>
      <c r="G68" s="67"/>
      <c r="H68" s="67"/>
      <c r="I68" s="68"/>
      <c r="J68" s="72" t="s">
        <v>25</v>
      </c>
      <c r="K68" s="70">
        <f>IF(J68="YES",IF(J11="2010-2013",H69*$J$10,IF(J11="2014-2021",G69*$J$10,IF(J11="2021-2023",F69*$J$10,0))),0)</f>
        <v>128739.9057</v>
      </c>
      <c r="L68" s="552" t="str">
        <f>AVERAGE(#REF!)</f>
        <v>#REF!</v>
      </c>
      <c r="M68" s="752">
        <v>202620.0</v>
      </c>
      <c r="N68" s="753">
        <f>M68/$M$10</f>
        <v>207.6450092</v>
      </c>
      <c r="O68" s="207" t="s">
        <v>23</v>
      </c>
      <c r="P68" s="73">
        <f>IF(O68="Delapidated",K68*0.6,IF(O68="Poor",K68*0.7,IF(O68="Fair",K68*0.8,IF(O68="Good",K68*0.85,IF(O68="Very Good",K68*0.9,IF(O68="Excellent",K68*1,IF(O68="Not Applicable",K68*1,0)))))))</f>
        <v>128739.9057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3.75" customHeight="1">
      <c r="A69" s="34"/>
      <c r="B69" s="44"/>
      <c r="C69" s="79" t="s">
        <v>25</v>
      </c>
      <c r="D69" s="66"/>
      <c r="E69" s="66"/>
      <c r="F69" s="67">
        <f>207.645009223201*E16</f>
        <v>257.4798114</v>
      </c>
      <c r="G69" s="67">
        <f t="shared" ref="G69:G70" si="24">F69/$G$16</f>
        <v>205.9838491</v>
      </c>
      <c r="H69" s="67">
        <f t="shared" ref="H69:H70" si="25">F69/$H$16</f>
        <v>195.0604632</v>
      </c>
      <c r="I69" s="77">
        <v>1.0</v>
      </c>
      <c r="J69" s="68"/>
      <c r="K69" s="70"/>
      <c r="L69" s="552"/>
      <c r="M69" s="752"/>
      <c r="N69" s="753"/>
      <c r="O69" s="34"/>
      <c r="P69" s="73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44"/>
      <c r="C70" s="79" t="s">
        <v>26</v>
      </c>
      <c r="D70" s="66"/>
      <c r="E70" s="66"/>
      <c r="F70" s="67">
        <v>0.0</v>
      </c>
      <c r="G70" s="67">
        <f t="shared" si="24"/>
        <v>0</v>
      </c>
      <c r="H70" s="67">
        <f t="shared" si="25"/>
        <v>0</v>
      </c>
      <c r="I70" s="77">
        <v>2.0</v>
      </c>
      <c r="J70" s="68"/>
      <c r="K70" s="70"/>
      <c r="L70" s="552"/>
      <c r="M70" s="752"/>
      <c r="N70" s="753"/>
      <c r="O70" s="34"/>
      <c r="P70" s="402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83">
        <f>B68+1</f>
        <v>16</v>
      </c>
      <c r="C71" s="208" t="s">
        <v>66</v>
      </c>
      <c r="D71" s="66"/>
      <c r="E71" s="66"/>
      <c r="F71" s="67"/>
      <c r="G71" s="67"/>
      <c r="H71" s="67"/>
      <c r="I71" s="68"/>
      <c r="J71" s="72" t="s">
        <v>25</v>
      </c>
      <c r="K71" s="70">
        <f>IF(J71="YES",IF(J11="2010-2013",H72*$J$10,IF(J11="2014-2021",G72*$J$10,IF(J11="2021-2023",F72*$J$10,0))),0)</f>
        <v>482313.9988</v>
      </c>
      <c r="L71" s="552" t="str">
        <f>AVERAGE(#REF!)</f>
        <v>#REF!</v>
      </c>
      <c r="M71" s="752">
        <v>759100.0</v>
      </c>
      <c r="N71" s="753">
        <f>M71/$M$10</f>
        <v>777.9258045</v>
      </c>
      <c r="O71" s="207" t="s">
        <v>23</v>
      </c>
      <c r="P71" s="73">
        <f>IF(O71="Delapidated",K71*0.6,IF(O71="Poor",K71*0.7,IF(O71="Fair",K71*0.8,IF(O71="Good",K71*0.85,IF(O71="Very Good",K71*0.9,IF(O71="Excellent",K71*1,IF(O71="Not Applicable",K71*1,0)))))))</f>
        <v>482313.9988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customHeight="1">
      <c r="A72" s="34"/>
      <c r="B72" s="84"/>
      <c r="C72" s="79" t="s">
        <v>25</v>
      </c>
      <c r="D72" s="66"/>
      <c r="E72" s="66"/>
      <c r="F72" s="67">
        <f>777.925804468129*E16</f>
        <v>964.6279975</v>
      </c>
      <c r="G72" s="67">
        <f t="shared" ref="G72:G73" si="26">F72/$G$16</f>
        <v>771.702398</v>
      </c>
      <c r="H72" s="67">
        <f t="shared" ref="H72:H73" si="27">F72/$H$16</f>
        <v>730.778786</v>
      </c>
      <c r="I72" s="77">
        <v>1.0</v>
      </c>
      <c r="J72" s="307"/>
      <c r="K72" s="70"/>
      <c r="L72" s="552"/>
      <c r="M72" s="752"/>
      <c r="N72" s="753"/>
      <c r="O72" s="34"/>
      <c r="P72" s="73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34"/>
      <c r="B73" s="85"/>
      <c r="C73" s="79" t="s">
        <v>26</v>
      </c>
      <c r="D73" s="66"/>
      <c r="E73" s="66"/>
      <c r="F73" s="67">
        <v>0.0</v>
      </c>
      <c r="G73" s="67">
        <f t="shared" si="26"/>
        <v>0</v>
      </c>
      <c r="H73" s="67">
        <f t="shared" si="27"/>
        <v>0</v>
      </c>
      <c r="I73" s="77">
        <v>2.0</v>
      </c>
      <c r="J73" s="307"/>
      <c r="K73" s="70"/>
      <c r="L73" s="552"/>
      <c r="M73" s="752"/>
      <c r="N73" s="753"/>
      <c r="O73" s="34"/>
      <c r="P73" s="402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customHeight="1">
      <c r="A74" s="34"/>
      <c r="B74" s="44"/>
      <c r="C74" s="214" t="s">
        <v>89</v>
      </c>
      <c r="D74" s="66"/>
      <c r="E74" s="66"/>
      <c r="F74" s="67"/>
      <c r="G74" s="67"/>
      <c r="H74" s="67"/>
      <c r="I74" s="77"/>
      <c r="J74" s="754">
        <v>2.0</v>
      </c>
      <c r="K74" s="34"/>
      <c r="L74" s="199"/>
      <c r="M74" s="205"/>
      <c r="N74" s="206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34"/>
      <c r="B75" s="83">
        <v>17.0</v>
      </c>
      <c r="C75" s="208" t="s">
        <v>68</v>
      </c>
      <c r="D75" s="66"/>
      <c r="E75" s="66"/>
      <c r="F75" s="67"/>
      <c r="G75" s="67"/>
      <c r="H75" s="67"/>
      <c r="I75" s="68"/>
      <c r="J75" s="72" t="s">
        <v>25</v>
      </c>
      <c r="K75" s="58">
        <f>IF(J75="YES",IF(J11="2010-2013",H76*J74,IF(J11="2014-2021",G76*J74,IF(J11="2021-2023",F76*J74,0))),0)</f>
        <v>14000</v>
      </c>
      <c r="L75" s="552"/>
      <c r="M75" s="752"/>
      <c r="N75" s="753"/>
      <c r="O75" s="207" t="s">
        <v>23</v>
      </c>
      <c r="P75" s="73">
        <f>IF(O75="Delapidated",K75*0.6,IF(O75="Poor",K75*0.7,IF(O75="Fair",K75*0.8,IF(O75="Good",K75*0.85,IF(O75="Very Good",K75*0.9,IF(O75="Excellent",K75*1,IF(O75="Not Applicable",K75*1,0)))))))</f>
        <v>14000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51.75" customHeight="1">
      <c r="A76" s="34"/>
      <c r="B76" s="84"/>
      <c r="C76" s="79" t="s">
        <v>25</v>
      </c>
      <c r="D76" s="66"/>
      <c r="E76" s="66"/>
      <c r="F76" s="67">
        <v>7000.0</v>
      </c>
      <c r="G76" s="67">
        <f t="shared" ref="G76:G78" si="28">F76/$G$16</f>
        <v>5600</v>
      </c>
      <c r="H76" s="67">
        <f t="shared" ref="H76:H78" si="29">F76/$H$16</f>
        <v>5303.030303</v>
      </c>
      <c r="I76" s="77">
        <v>1.0</v>
      </c>
      <c r="J76" s="322"/>
      <c r="K76" s="58"/>
      <c r="L76" s="552"/>
      <c r="M76" s="752"/>
      <c r="N76" s="753"/>
      <c r="O76" s="17"/>
      <c r="P76" s="99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customHeight="1">
      <c r="A77" s="17"/>
      <c r="B77" s="85"/>
      <c r="C77" s="79" t="s">
        <v>26</v>
      </c>
      <c r="D77" s="97"/>
      <c r="E77" s="97"/>
      <c r="F77" s="98">
        <v>0.0</v>
      </c>
      <c r="G77" s="67">
        <f t="shared" si="28"/>
        <v>0</v>
      </c>
      <c r="H77" s="67">
        <f t="shared" si="29"/>
        <v>0</v>
      </c>
      <c r="I77" s="77">
        <v>2.0</v>
      </c>
      <c r="J77" s="322"/>
      <c r="K77" s="123"/>
      <c r="L77" s="558"/>
      <c r="M77" s="755"/>
      <c r="N77" s="753"/>
      <c r="O77" s="250"/>
      <c r="P77" s="125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0.0" customHeight="1">
      <c r="A78" s="17"/>
      <c r="B78" s="219"/>
      <c r="C78" s="105"/>
      <c r="D78" s="97"/>
      <c r="E78" s="97"/>
      <c r="F78" s="98"/>
      <c r="G78" s="67">
        <f t="shared" si="28"/>
        <v>0</v>
      </c>
      <c r="H78" s="67">
        <f t="shared" si="29"/>
        <v>0</v>
      </c>
      <c r="I78" s="77"/>
      <c r="J78" s="718"/>
      <c r="K78" s="197"/>
      <c r="L78" s="190"/>
      <c r="M78" s="190"/>
      <c r="N78" s="612"/>
      <c r="O78" s="193"/>
      <c r="P78" s="19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30.0" customHeight="1">
      <c r="A79" s="17"/>
      <c r="B79" s="219"/>
      <c r="C79" s="214" t="s">
        <v>69</v>
      </c>
      <c r="D79" s="97"/>
      <c r="E79" s="97"/>
      <c r="F79" s="98"/>
      <c r="G79" s="67"/>
      <c r="H79" s="67"/>
      <c r="I79" s="90"/>
      <c r="J79" s="754">
        <v>44.0</v>
      </c>
      <c r="K79" s="197"/>
      <c r="L79" s="190"/>
      <c r="M79" s="190"/>
      <c r="N79" s="612"/>
      <c r="O79" s="193"/>
      <c r="P79" s="610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0.0" customHeight="1">
      <c r="A80" s="17"/>
      <c r="B80" s="44">
        <v>18.0</v>
      </c>
      <c r="C80" s="74" t="s">
        <v>156</v>
      </c>
      <c r="D80" s="97"/>
      <c r="E80" s="97"/>
      <c r="F80" s="98"/>
      <c r="G80" s="67"/>
      <c r="H80" s="67"/>
      <c r="I80" s="77"/>
      <c r="J80" s="229" t="s">
        <v>25</v>
      </c>
      <c r="K80" s="285">
        <f>IF(J80="YES",IF(J11="2010-2013",H81*J79,IF(J11="2014-2021",G81*J79,IF(J11="2021-2023",F81*J79,0))),0)</f>
        <v>158224</v>
      </c>
      <c r="L80" s="741"/>
      <c r="M80" s="751"/>
      <c r="N80" s="753"/>
      <c r="O80" s="231" t="s">
        <v>23</v>
      </c>
      <c r="P80" s="120">
        <f>IF(O80="Delapidated",K80*0.6,IF(O80="Poor",K80*0.7,IF(O80="Fair",K80*0.8,IF(O80="Good",K80*0.85,IF(O80="Very Good",K80*0.9,IF(O80="Excellent",K80*1,IF(O80="Not Applicable",K80*1,0)))))))</f>
        <v>158224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0.0" customHeight="1">
      <c r="A81" s="17"/>
      <c r="B81" s="219"/>
      <c r="C81" s="79" t="s">
        <v>25</v>
      </c>
      <c r="D81" s="97"/>
      <c r="E81" s="97"/>
      <c r="F81" s="98">
        <f>2900*E16</f>
        <v>3596</v>
      </c>
      <c r="G81" s="67">
        <f>F81/$G$16</f>
        <v>2876.8</v>
      </c>
      <c r="H81" s="67">
        <f>F81/$H$16</f>
        <v>2724.242424</v>
      </c>
      <c r="I81" s="77">
        <v>1.0</v>
      </c>
      <c r="J81" s="322"/>
      <c r="K81" s="58"/>
      <c r="L81" s="552"/>
      <c r="M81" s="752"/>
      <c r="N81" s="753"/>
      <c r="O81" s="17"/>
      <c r="P81" s="99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customHeight="1">
      <c r="A82" s="17"/>
      <c r="B82" s="219"/>
      <c r="C82" s="79" t="s">
        <v>26</v>
      </c>
      <c r="D82" s="97"/>
      <c r="E82" s="97"/>
      <c r="F82" s="98">
        <v>0.0</v>
      </c>
      <c r="G82" s="98">
        <v>0.0</v>
      </c>
      <c r="H82" s="98">
        <v>0.0</v>
      </c>
      <c r="I82" s="77">
        <v>2.0</v>
      </c>
      <c r="J82" s="122"/>
      <c r="K82" s="58"/>
      <c r="L82" s="552"/>
      <c r="M82" s="752"/>
      <c r="N82" s="753"/>
      <c r="O82" s="17"/>
      <c r="P82" s="99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17"/>
      <c r="B83" s="219"/>
      <c r="C83" s="214" t="s">
        <v>150</v>
      </c>
      <c r="D83" s="97"/>
      <c r="E83" s="97"/>
      <c r="F83" s="321"/>
      <c r="G83" s="321"/>
      <c r="H83" s="321"/>
      <c r="I83" s="90"/>
      <c r="J83" s="756">
        <v>10.0</v>
      </c>
      <c r="K83" s="721"/>
      <c r="L83" s="552"/>
      <c r="M83" s="319"/>
      <c r="N83" s="206"/>
      <c r="O83" s="34"/>
      <c r="P83" s="73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0.0" customHeight="1">
      <c r="A84" s="17"/>
      <c r="B84" s="44">
        <v>19.0</v>
      </c>
      <c r="C84" s="74" t="s">
        <v>151</v>
      </c>
      <c r="D84" s="97"/>
      <c r="E84" s="97"/>
      <c r="F84" s="321"/>
      <c r="G84" s="321"/>
      <c r="H84" s="321"/>
      <c r="I84" s="77"/>
      <c r="J84" s="229" t="s">
        <v>25</v>
      </c>
      <c r="K84" s="58">
        <f>IF(J84="YES",IF(J11="2010-2013",H85*J83,IF(J11="2014-2021",G85*J83,IF(J11="2021-2023",F85*J83,0))),0)</f>
        <v>1178000</v>
      </c>
      <c r="L84" s="552"/>
      <c r="M84" s="319"/>
      <c r="N84" s="206"/>
      <c r="O84" s="207" t="s">
        <v>23</v>
      </c>
      <c r="P84" s="99">
        <f>IF(O84="Delapidated",K84*0.6,IF(O84="Poor",K84*0.7,IF(O84="Fair",K84*0.8,IF(O84="Good",K84*0.85,IF(O84="Very Good",K84*0.9,IF(O84="Excellent",K84*1,IF(O84="Not Applicable",K84*1,0)))))))</f>
        <v>1178000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30.0" customHeight="1">
      <c r="A85" s="17"/>
      <c r="B85" s="219"/>
      <c r="C85" s="79" t="s">
        <v>25</v>
      </c>
      <c r="D85" s="97"/>
      <c r="E85" s="97"/>
      <c r="F85" s="321">
        <f>95000*E16</f>
        <v>117800</v>
      </c>
      <c r="G85" s="67">
        <f>F85/$G$16</f>
        <v>94240</v>
      </c>
      <c r="H85" s="67">
        <f>F85/$H$16</f>
        <v>89242.42424</v>
      </c>
      <c r="I85" s="77">
        <v>1.0</v>
      </c>
      <c r="J85" s="322"/>
      <c r="K85" s="58"/>
      <c r="L85" s="552"/>
      <c r="M85" s="319"/>
      <c r="N85" s="206"/>
      <c r="O85" s="17"/>
      <c r="P85" s="99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17"/>
      <c r="B86" s="219"/>
      <c r="C86" s="79" t="s">
        <v>26</v>
      </c>
      <c r="D86" s="97"/>
      <c r="E86" s="97"/>
      <c r="F86" s="98">
        <v>0.0</v>
      </c>
      <c r="G86" s="98">
        <v>0.0</v>
      </c>
      <c r="H86" s="98">
        <v>0.0</v>
      </c>
      <c r="I86" s="77">
        <v>2.0</v>
      </c>
      <c r="J86" s="322"/>
      <c r="K86" s="58"/>
      <c r="L86" s="552"/>
      <c r="M86" s="319"/>
      <c r="N86" s="206"/>
      <c r="O86" s="17"/>
      <c r="P86" s="99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customHeight="1">
      <c r="A87" s="17"/>
      <c r="B87" s="219"/>
      <c r="C87" s="79"/>
      <c r="D87" s="97"/>
      <c r="E87" s="97"/>
      <c r="F87" s="321"/>
      <c r="G87" s="321"/>
      <c r="H87" s="321"/>
      <c r="I87" s="77"/>
      <c r="J87" s="322"/>
      <c r="K87" s="58"/>
      <c r="L87" s="552"/>
      <c r="M87" s="319"/>
      <c r="N87" s="206"/>
      <c r="O87" s="17"/>
      <c r="P87" s="99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customHeight="1">
      <c r="A88" s="88"/>
      <c r="B88" s="656"/>
      <c r="C88" s="657" t="s">
        <v>71</v>
      </c>
      <c r="D88" s="562"/>
      <c r="E88" s="562"/>
      <c r="F88" s="658">
        <v>5424.53371592539</v>
      </c>
      <c r="G88" s="658"/>
      <c r="H88" s="658"/>
      <c r="I88" s="77"/>
      <c r="J88" s="322"/>
      <c r="K88" s="58"/>
      <c r="L88" s="552" t="str">
        <f>AVERAGE(#REF!)</f>
        <v>#REF!</v>
      </c>
      <c r="M88" s="752">
        <f>SUM(M17:M77)</f>
        <v>5346026.222</v>
      </c>
      <c r="N88" s="753">
        <f>M88/$M$10</f>
        <v>5478.608549</v>
      </c>
      <c r="O88" s="17"/>
      <c r="P88" s="99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30.0" customHeight="1">
      <c r="A89" s="17"/>
      <c r="B89" s="44"/>
      <c r="C89" s="254" t="s">
        <v>72</v>
      </c>
      <c r="D89" s="71"/>
      <c r="E89" s="71"/>
      <c r="F89" s="303"/>
      <c r="G89" s="303"/>
      <c r="H89" s="303"/>
      <c r="I89" s="71"/>
      <c r="J89" s="71"/>
      <c r="K89" s="51"/>
      <c r="L89" s="552"/>
      <c r="M89" s="752"/>
      <c r="N89" s="753"/>
      <c r="O89" s="17"/>
      <c r="P89" s="602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0.0" customHeight="1">
      <c r="A90" s="17"/>
      <c r="B90" s="61"/>
      <c r="C90" s="255"/>
      <c r="D90" s="97"/>
      <c r="E90" s="97"/>
      <c r="F90" s="98"/>
      <c r="G90" s="98"/>
      <c r="H90" s="98"/>
      <c r="I90" s="97"/>
      <c r="J90" s="97"/>
      <c r="K90" s="102"/>
      <c r="L90" s="552"/>
      <c r="M90" s="752"/>
      <c r="N90" s="753"/>
      <c r="O90" s="17"/>
      <c r="P90" s="99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0.0" customHeight="1">
      <c r="A91" s="17"/>
      <c r="B91" s="656"/>
      <c r="C91" s="657" t="s">
        <v>71</v>
      </c>
      <c r="D91" s="562"/>
      <c r="E91" s="562"/>
      <c r="F91" s="658">
        <v>5424.53371592539</v>
      </c>
      <c r="G91" s="658"/>
      <c r="H91" s="658"/>
      <c r="I91" s="562"/>
      <c r="J91" s="562"/>
      <c r="K91" s="563"/>
      <c r="L91" s="552" t="str">
        <f>AVERAGE(#REF!)</f>
        <v>#REF!</v>
      </c>
      <c r="M91" s="752">
        <f>SUM(M88:M90)</f>
        <v>5346026.222</v>
      </c>
      <c r="N91" s="753">
        <f>M91/$M$10</f>
        <v>5478.608549</v>
      </c>
      <c r="O91" s="17"/>
      <c r="P91" s="602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30.0" customHeight="1">
      <c r="A92" s="17"/>
      <c r="B92" s="659"/>
      <c r="C92" s="660" t="s">
        <v>73</v>
      </c>
      <c r="D92" s="338"/>
      <c r="E92" s="338"/>
      <c r="F92" s="80"/>
      <c r="G92" s="80"/>
      <c r="H92" s="80"/>
      <c r="I92" s="338"/>
      <c r="J92" s="568"/>
      <c r="K92" s="661"/>
      <c r="L92" s="552"/>
      <c r="M92" s="752"/>
      <c r="N92" s="753"/>
      <c r="O92" s="17"/>
      <c r="P92" s="602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30.0" customHeight="1">
      <c r="A93" s="17"/>
      <c r="B93" s="139"/>
      <c r="C93" s="570"/>
      <c r="D93" s="728"/>
      <c r="E93" s="728"/>
      <c r="F93" s="728"/>
      <c r="G93" s="728"/>
      <c r="H93" s="728"/>
      <c r="I93" s="339"/>
      <c r="J93" s="342"/>
      <c r="K93" s="663"/>
      <c r="L93" s="552"/>
      <c r="M93" s="752"/>
      <c r="N93" s="753"/>
      <c r="O93" s="17"/>
      <c r="P93" s="738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30.0" customHeight="1">
      <c r="A94" s="17"/>
      <c r="B94" s="340"/>
      <c r="C94" s="17"/>
      <c r="D94" s="341"/>
      <c r="E94" s="341"/>
      <c r="F94" s="80">
        <v>5424.53371592539</v>
      </c>
      <c r="G94" s="80"/>
      <c r="H94" s="80"/>
      <c r="I94" s="664"/>
      <c r="J94" s="340" t="s">
        <v>143</v>
      </c>
      <c r="K94" s="265">
        <f>SUM(K17:K84)</f>
        <v>4132354.261</v>
      </c>
      <c r="L94" s="552" t="str">
        <f>AVERAGE(#REF!)</f>
        <v>#REF!</v>
      </c>
      <c r="M94" s="752">
        <f>SUM(M91:M92)</f>
        <v>5346026.222</v>
      </c>
      <c r="N94" s="753">
        <f>M94/$M$10</f>
        <v>5478.608549</v>
      </c>
      <c r="O94" s="17"/>
      <c r="P94" s="266">
        <f>SUM(P17:P87)</f>
        <v>4045554.261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30.0" customHeight="1">
      <c r="A95" s="17"/>
      <c r="B95" s="340"/>
      <c r="C95" s="17"/>
      <c r="D95" s="341"/>
      <c r="E95" s="341"/>
      <c r="F95" s="80"/>
      <c r="G95" s="80"/>
      <c r="H95" s="80"/>
      <c r="I95" s="664"/>
      <c r="J95" s="340"/>
      <c r="K95" s="739"/>
      <c r="L95" s="552"/>
      <c r="M95" s="752"/>
      <c r="N95" s="753"/>
      <c r="O95" s="17"/>
      <c r="P95" s="261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30.0" customHeight="1">
      <c r="A96" s="147"/>
      <c r="B96" s="119"/>
      <c r="C96" s="17"/>
      <c r="D96" s="344"/>
      <c r="E96" s="344"/>
      <c r="F96" s="344"/>
      <c r="G96" s="344"/>
      <c r="H96" s="344"/>
      <c r="I96" s="345"/>
      <c r="J96" s="138" t="s">
        <v>131</v>
      </c>
      <c r="K96" s="265">
        <f>K94/J10</f>
        <v>8264.708523</v>
      </c>
      <c r="L96" s="552" t="str">
        <f>AVERAGE(#REF!)</f>
        <v>#REF!</v>
      </c>
      <c r="M96" s="752">
        <f>M94/M10</f>
        <v>5478.608549</v>
      </c>
      <c r="N96" s="753">
        <f>M96/$M$10</f>
        <v>5.614478939</v>
      </c>
      <c r="O96" s="17"/>
      <c r="P96" s="266">
        <f>P94/J10</f>
        <v>8091.108523</v>
      </c>
      <c r="Q96" s="147"/>
      <c r="R96" s="147"/>
      <c r="S96" s="147"/>
      <c r="T96" s="147"/>
      <c r="U96" s="147"/>
      <c r="V96" s="147"/>
      <c r="W96" s="147"/>
      <c r="X96" s="147"/>
      <c r="Y96" s="147"/>
      <c r="Z96" s="147"/>
    </row>
    <row r="97" ht="12.0" customHeight="1">
      <c r="B97" s="1"/>
      <c r="K97" s="2"/>
      <c r="O97" s="250"/>
      <c r="P97" s="738"/>
    </row>
    <row r="98" ht="45.75" customHeight="1">
      <c r="B98" s="1"/>
      <c r="C98" s="574"/>
      <c r="K98" s="2"/>
      <c r="O98" s="147"/>
      <c r="P98" s="2"/>
    </row>
    <row r="99" ht="12.0" customHeight="1">
      <c r="B99" s="1"/>
      <c r="K99" s="2"/>
      <c r="P99" s="2"/>
    </row>
    <row r="100" ht="12.0" customHeight="1">
      <c r="B100" s="1"/>
      <c r="K100" s="2"/>
      <c r="P100" s="2"/>
    </row>
    <row r="101" ht="12.0" customHeight="1">
      <c r="B101" s="1"/>
      <c r="K101" s="2"/>
      <c r="P101" s="2"/>
    </row>
    <row r="102" ht="12.0" customHeight="1">
      <c r="B102" s="1"/>
      <c r="K102" s="2"/>
      <c r="P102" s="2"/>
    </row>
    <row r="103" ht="12.0" customHeight="1">
      <c r="B103" s="1"/>
      <c r="K103" s="2"/>
      <c r="P103" s="2"/>
    </row>
    <row r="104" ht="12.0" customHeight="1">
      <c r="B104" s="1"/>
      <c r="K104" s="2"/>
      <c r="P104" s="2"/>
    </row>
    <row r="105" ht="12.0" customHeight="1">
      <c r="B105" s="1"/>
      <c r="K105" s="2"/>
      <c r="P105" s="2"/>
    </row>
    <row r="106" ht="12.0" customHeight="1">
      <c r="B106" s="1"/>
      <c r="K106" s="2"/>
      <c r="P106" s="2"/>
    </row>
    <row r="107" ht="12.0" customHeight="1">
      <c r="B107" s="1"/>
      <c r="K107" s="2"/>
      <c r="P107" s="2"/>
    </row>
    <row r="108" ht="12.0" customHeight="1">
      <c r="B108" s="1"/>
      <c r="K108" s="2"/>
      <c r="P108" s="2"/>
    </row>
    <row r="109" ht="12.0" customHeight="1">
      <c r="B109" s="1"/>
      <c r="K109" s="2"/>
      <c r="P109" s="2"/>
    </row>
    <row r="110" ht="12.0" customHeight="1">
      <c r="B110" s="1"/>
      <c r="K110" s="2"/>
      <c r="P110" s="2"/>
    </row>
    <row r="111" ht="12.0" customHeight="1">
      <c r="B111" s="1"/>
      <c r="K111" s="2"/>
      <c r="P111" s="2"/>
    </row>
    <row r="112" ht="12.0" customHeight="1">
      <c r="B112" s="1"/>
      <c r="K112" s="2"/>
      <c r="P112" s="2"/>
    </row>
    <row r="113" ht="12.0" customHeight="1">
      <c r="B113" s="1"/>
      <c r="K113" s="2"/>
      <c r="P113" s="2"/>
    </row>
    <row r="114" ht="12.0" customHeight="1">
      <c r="B114" s="1"/>
      <c r="K114" s="2"/>
      <c r="P114" s="2"/>
    </row>
    <row r="115" ht="12.0" customHeight="1">
      <c r="B115" s="1"/>
      <c r="K115" s="2"/>
      <c r="P115" s="2"/>
    </row>
    <row r="116" ht="12.0" customHeight="1">
      <c r="B116" s="1"/>
      <c r="K116" s="2"/>
      <c r="P116" s="2"/>
    </row>
    <row r="117" ht="12.0" customHeight="1">
      <c r="B117" s="1"/>
      <c r="K117" s="2"/>
      <c r="P117" s="2"/>
    </row>
    <row r="118" ht="12.0" customHeight="1">
      <c r="B118" s="1"/>
      <c r="K118" s="2"/>
      <c r="P118" s="2"/>
    </row>
    <row r="119" ht="12.0" customHeight="1">
      <c r="B119" s="1"/>
      <c r="K119" s="2"/>
      <c r="P119" s="2"/>
    </row>
    <row r="120" ht="12.0" customHeight="1">
      <c r="B120" s="1"/>
      <c r="K120" s="2"/>
      <c r="P120" s="2"/>
    </row>
    <row r="121" ht="12.0" customHeight="1">
      <c r="B121" s="1"/>
      <c r="K121" s="2"/>
      <c r="P121" s="2"/>
    </row>
    <row r="122" ht="12.0" customHeight="1">
      <c r="B122" s="1"/>
      <c r="K122" s="2"/>
      <c r="P122" s="2"/>
    </row>
    <row r="123" ht="12.0" customHeight="1">
      <c r="B123" s="1"/>
      <c r="K123" s="2"/>
      <c r="P123" s="2"/>
    </row>
    <row r="124" ht="12.0" customHeight="1">
      <c r="B124" s="1"/>
      <c r="K124" s="2"/>
      <c r="P124" s="2"/>
    </row>
    <row r="125" ht="12.0" customHeight="1">
      <c r="B125" s="1"/>
      <c r="K125" s="2"/>
      <c r="P125" s="2"/>
    </row>
    <row r="126" ht="12.0" customHeight="1">
      <c r="B126" s="1"/>
      <c r="K126" s="2"/>
      <c r="P126" s="2"/>
    </row>
    <row r="127" ht="12.0" customHeight="1">
      <c r="B127" s="1"/>
      <c r="K127" s="2"/>
      <c r="P127" s="2"/>
    </row>
    <row r="128" ht="12.0" customHeight="1">
      <c r="B128" s="1"/>
      <c r="K128" s="2"/>
      <c r="P128" s="2"/>
    </row>
    <row r="129" ht="12.0" customHeight="1">
      <c r="B129" s="1"/>
      <c r="K129" s="2"/>
      <c r="P129" s="2"/>
    </row>
    <row r="130" ht="12.0" customHeight="1">
      <c r="B130" s="1"/>
      <c r="K130" s="2"/>
      <c r="P130" s="2"/>
    </row>
    <row r="131" ht="12.0" customHeight="1">
      <c r="B131" s="1"/>
      <c r="K131" s="2"/>
      <c r="P131" s="2"/>
    </row>
    <row r="132" ht="12.0" customHeight="1">
      <c r="B132" s="1"/>
      <c r="K132" s="2"/>
      <c r="P132" s="2"/>
    </row>
    <row r="133" ht="12.0" customHeight="1">
      <c r="B133" s="1"/>
      <c r="K133" s="2"/>
      <c r="P133" s="2"/>
    </row>
    <row r="134" ht="12.0" customHeight="1">
      <c r="B134" s="1"/>
      <c r="K134" s="2"/>
      <c r="P134" s="2"/>
    </row>
    <row r="135" ht="12.0" customHeight="1">
      <c r="B135" s="1"/>
      <c r="K135" s="2"/>
      <c r="P135" s="2"/>
    </row>
    <row r="136" ht="12.0" customHeight="1">
      <c r="B136" s="1"/>
      <c r="K136" s="2"/>
      <c r="P136" s="2"/>
    </row>
    <row r="137" ht="12.0" customHeight="1">
      <c r="B137" s="1"/>
      <c r="K137" s="2"/>
      <c r="P137" s="2"/>
    </row>
    <row r="138" ht="12.0" customHeight="1">
      <c r="B138" s="1"/>
      <c r="K138" s="2"/>
      <c r="P138" s="2"/>
    </row>
    <row r="139" ht="12.0" customHeight="1">
      <c r="B139" s="1"/>
      <c r="K139" s="2"/>
      <c r="P139" s="2"/>
    </row>
    <row r="140" ht="12.0" customHeight="1">
      <c r="B140" s="1"/>
      <c r="K140" s="2"/>
      <c r="P140" s="2"/>
    </row>
    <row r="141" ht="12.0" customHeight="1">
      <c r="B141" s="1"/>
      <c r="K141" s="2"/>
      <c r="P141" s="2"/>
    </row>
    <row r="142" ht="12.0" customHeight="1">
      <c r="B142" s="1"/>
      <c r="K142" s="2"/>
      <c r="P142" s="2"/>
    </row>
    <row r="143" ht="12.0" customHeight="1">
      <c r="B143" s="1"/>
      <c r="K143" s="2"/>
      <c r="P143" s="2"/>
    </row>
    <row r="144" ht="12.0" customHeight="1">
      <c r="B144" s="1"/>
      <c r="K144" s="2"/>
      <c r="P144" s="2"/>
    </row>
    <row r="145" ht="12.0" customHeight="1">
      <c r="B145" s="1"/>
      <c r="K145" s="2"/>
      <c r="P145" s="2"/>
    </row>
    <row r="146" ht="12.0" customHeight="1">
      <c r="B146" s="1"/>
      <c r="K146" s="2"/>
      <c r="P146" s="2"/>
    </row>
    <row r="147" ht="12.0" customHeight="1">
      <c r="B147" s="1"/>
      <c r="K147" s="2"/>
      <c r="P147" s="2"/>
    </row>
    <row r="148" ht="12.0" customHeight="1">
      <c r="B148" s="1"/>
      <c r="K148" s="2"/>
      <c r="P148" s="2"/>
    </row>
    <row r="149" ht="12.0" customHeight="1">
      <c r="B149" s="1"/>
      <c r="K149" s="2"/>
      <c r="P149" s="2"/>
    </row>
    <row r="150" ht="12.0" customHeight="1">
      <c r="B150" s="1"/>
      <c r="K150" s="2"/>
      <c r="P150" s="2"/>
    </row>
    <row r="151" ht="12.0" customHeight="1">
      <c r="B151" s="1"/>
      <c r="K151" s="2"/>
      <c r="P151" s="2"/>
    </row>
    <row r="152" ht="12.0" customHeight="1">
      <c r="B152" s="1"/>
      <c r="K152" s="2"/>
      <c r="P152" s="2"/>
    </row>
    <row r="153" ht="12.0" customHeight="1">
      <c r="B153" s="1"/>
      <c r="K153" s="2"/>
      <c r="P153" s="2"/>
    </row>
    <row r="154" ht="12.0" customHeight="1">
      <c r="B154" s="1"/>
      <c r="K154" s="2"/>
      <c r="P154" s="2"/>
    </row>
    <row r="155" ht="12.0" customHeight="1">
      <c r="B155" s="1"/>
      <c r="K155" s="2"/>
      <c r="P155" s="2"/>
    </row>
    <row r="156" ht="12.0" customHeight="1">
      <c r="B156" s="1"/>
      <c r="K156" s="2"/>
      <c r="P156" s="2"/>
    </row>
    <row r="157" ht="12.0" customHeight="1">
      <c r="B157" s="1"/>
      <c r="K157" s="2"/>
      <c r="P157" s="2"/>
    </row>
    <row r="158" ht="12.0" customHeight="1">
      <c r="B158" s="1"/>
      <c r="K158" s="2"/>
      <c r="P158" s="2"/>
    </row>
    <row r="159" ht="12.0" customHeight="1">
      <c r="B159" s="1"/>
      <c r="K159" s="2"/>
      <c r="P159" s="2"/>
    </row>
    <row r="160" ht="12.0" customHeight="1">
      <c r="B160" s="1"/>
      <c r="K160" s="2"/>
      <c r="P160" s="2"/>
    </row>
    <row r="161" ht="12.0" customHeight="1">
      <c r="B161" s="1"/>
      <c r="K161" s="2"/>
      <c r="P161" s="2"/>
    </row>
    <row r="162" ht="12.0" customHeight="1">
      <c r="B162" s="1"/>
      <c r="K162" s="2"/>
      <c r="P162" s="2"/>
    </row>
    <row r="163" ht="12.0" customHeight="1">
      <c r="B163" s="1"/>
      <c r="K163" s="2"/>
      <c r="P163" s="2"/>
    </row>
    <row r="164" ht="12.0" customHeight="1">
      <c r="B164" s="1"/>
      <c r="K164" s="2"/>
      <c r="P164" s="2"/>
    </row>
    <row r="165" ht="12.0" customHeight="1">
      <c r="B165" s="1"/>
      <c r="K165" s="2"/>
      <c r="P165" s="2"/>
    </row>
    <row r="166" ht="12.0" customHeight="1">
      <c r="B166" s="1"/>
      <c r="K166" s="2"/>
      <c r="P166" s="2"/>
    </row>
    <row r="167" ht="12.0" customHeight="1">
      <c r="B167" s="1"/>
      <c r="K167" s="2"/>
      <c r="P167" s="2"/>
    </row>
    <row r="168" ht="12.0" customHeight="1">
      <c r="B168" s="1"/>
      <c r="K168" s="2"/>
      <c r="P168" s="2"/>
    </row>
    <row r="169" ht="12.0" customHeight="1">
      <c r="B169" s="1"/>
      <c r="K169" s="2"/>
      <c r="P169" s="2"/>
    </row>
    <row r="170" ht="12.0" customHeight="1">
      <c r="B170" s="1"/>
      <c r="K170" s="2"/>
      <c r="P170" s="2"/>
    </row>
    <row r="171" ht="12.0" customHeight="1">
      <c r="B171" s="1"/>
      <c r="K171" s="2"/>
      <c r="P171" s="2"/>
    </row>
    <row r="172" ht="12.0" customHeight="1">
      <c r="B172" s="1"/>
      <c r="K172" s="2"/>
      <c r="P172" s="2"/>
    </row>
    <row r="173" ht="12.0" customHeight="1">
      <c r="B173" s="1"/>
      <c r="K173" s="2"/>
      <c r="P173" s="2"/>
    </row>
    <row r="174" ht="12.0" customHeight="1">
      <c r="B174" s="1"/>
      <c r="K174" s="2"/>
      <c r="P174" s="2"/>
    </row>
    <row r="175" ht="12.0" customHeight="1">
      <c r="B175" s="1"/>
      <c r="K175" s="2"/>
      <c r="P175" s="2"/>
    </row>
    <row r="176" ht="12.0" customHeight="1">
      <c r="B176" s="1"/>
      <c r="K176" s="2"/>
      <c r="P176" s="2"/>
    </row>
    <row r="177" ht="12.0" customHeight="1">
      <c r="B177" s="1"/>
      <c r="K177" s="2"/>
      <c r="P177" s="2"/>
    </row>
    <row r="178" ht="12.0" customHeight="1">
      <c r="B178" s="1"/>
      <c r="K178" s="2"/>
      <c r="P178" s="2"/>
    </row>
    <row r="179" ht="12.0" customHeight="1">
      <c r="B179" s="1"/>
      <c r="K179" s="2"/>
      <c r="P179" s="2"/>
    </row>
    <row r="180" ht="12.0" customHeight="1">
      <c r="B180" s="1"/>
      <c r="K180" s="2"/>
      <c r="P180" s="2"/>
    </row>
    <row r="181" ht="12.0" customHeight="1">
      <c r="B181" s="1"/>
      <c r="K181" s="2"/>
      <c r="P181" s="2"/>
    </row>
    <row r="182" ht="12.0" customHeight="1">
      <c r="B182" s="1"/>
      <c r="K182" s="2"/>
      <c r="P182" s="2"/>
    </row>
    <row r="183" ht="12.0" customHeight="1">
      <c r="B183" s="1"/>
      <c r="K183" s="2"/>
      <c r="P183" s="2"/>
    </row>
    <row r="184" ht="12.0" customHeight="1">
      <c r="B184" s="1"/>
      <c r="K184" s="2"/>
      <c r="P184" s="2"/>
    </row>
    <row r="185" ht="12.0" customHeight="1">
      <c r="B185" s="1"/>
      <c r="K185" s="2"/>
      <c r="P185" s="2"/>
    </row>
    <row r="186" ht="12.0" customHeight="1">
      <c r="B186" s="1"/>
      <c r="K186" s="2"/>
      <c r="P186" s="2"/>
    </row>
    <row r="187" ht="12.0" customHeight="1">
      <c r="B187" s="1"/>
      <c r="K187" s="2"/>
      <c r="P187" s="2"/>
    </row>
    <row r="188" ht="12.0" customHeight="1">
      <c r="B188" s="1"/>
      <c r="K188" s="2"/>
      <c r="P188" s="2"/>
    </row>
    <row r="189" ht="12.0" customHeight="1">
      <c r="B189" s="1"/>
      <c r="K189" s="2"/>
      <c r="P189" s="2"/>
    </row>
    <row r="190" ht="12.0" customHeight="1">
      <c r="B190" s="1"/>
      <c r="K190" s="2"/>
      <c r="P190" s="2"/>
    </row>
    <row r="191" ht="12.0" customHeight="1">
      <c r="B191" s="1"/>
      <c r="K191" s="2"/>
      <c r="P191" s="2"/>
    </row>
    <row r="192" ht="12.0" customHeight="1">
      <c r="B192" s="1"/>
      <c r="K192" s="2"/>
      <c r="P192" s="2"/>
    </row>
    <row r="193" ht="12.0" customHeight="1">
      <c r="B193" s="1"/>
      <c r="K193" s="2"/>
      <c r="P193" s="2"/>
    </row>
    <row r="194" ht="12.0" customHeight="1">
      <c r="B194" s="1"/>
      <c r="K194" s="2"/>
      <c r="P194" s="2"/>
    </row>
    <row r="195" ht="12.0" customHeight="1">
      <c r="B195" s="1"/>
      <c r="K195" s="2"/>
      <c r="P195" s="2"/>
    </row>
    <row r="196" ht="12.0" customHeight="1">
      <c r="B196" s="1"/>
      <c r="K196" s="2"/>
      <c r="P196" s="2"/>
    </row>
    <row r="197" ht="12.0" customHeight="1">
      <c r="B197" s="1"/>
      <c r="K197" s="2"/>
      <c r="P197" s="2"/>
    </row>
    <row r="198" ht="12.0" customHeight="1">
      <c r="B198" s="1"/>
      <c r="K198" s="2"/>
      <c r="P198" s="2"/>
    </row>
    <row r="199" ht="12.0" customHeight="1">
      <c r="B199" s="1"/>
      <c r="K199" s="2"/>
      <c r="P199" s="2"/>
    </row>
    <row r="200" ht="12.0" customHeight="1">
      <c r="B200" s="1"/>
      <c r="K200" s="2"/>
      <c r="P200" s="2"/>
    </row>
    <row r="201" ht="12.0" customHeight="1">
      <c r="B201" s="1"/>
      <c r="K201" s="2"/>
      <c r="P201" s="2"/>
    </row>
    <row r="202" ht="12.0" customHeight="1">
      <c r="B202" s="1"/>
      <c r="K202" s="2"/>
      <c r="P202" s="2"/>
    </row>
    <row r="203" ht="12.0" customHeight="1">
      <c r="B203" s="1"/>
      <c r="K203" s="2"/>
      <c r="P203" s="2"/>
    </row>
    <row r="204" ht="12.0" customHeight="1">
      <c r="B204" s="1"/>
      <c r="K204" s="2"/>
      <c r="P204" s="2"/>
    </row>
    <row r="205" ht="12.0" customHeight="1">
      <c r="B205" s="1"/>
      <c r="K205" s="2"/>
      <c r="P205" s="2"/>
    </row>
    <row r="206" ht="12.0" customHeight="1">
      <c r="B206" s="1"/>
      <c r="K206" s="2"/>
      <c r="P206" s="2"/>
    </row>
    <row r="207" ht="12.0" customHeight="1">
      <c r="B207" s="1"/>
      <c r="K207" s="2"/>
      <c r="P207" s="2"/>
    </row>
    <row r="208" ht="12.0" customHeight="1">
      <c r="B208" s="1"/>
      <c r="K208" s="2"/>
      <c r="P208" s="2"/>
    </row>
    <row r="209" ht="12.0" customHeight="1">
      <c r="B209" s="1"/>
      <c r="K209" s="2"/>
      <c r="P209" s="2"/>
    </row>
    <row r="210" ht="12.0" customHeight="1">
      <c r="B210" s="1"/>
      <c r="K210" s="2"/>
      <c r="P210" s="2"/>
    </row>
    <row r="211" ht="12.0" customHeight="1">
      <c r="B211" s="1"/>
      <c r="K211" s="2"/>
      <c r="P211" s="2"/>
    </row>
    <row r="212" ht="12.0" customHeight="1">
      <c r="B212" s="1"/>
      <c r="K212" s="2"/>
      <c r="P212" s="2"/>
    </row>
    <row r="213" ht="12.0" customHeight="1">
      <c r="B213" s="1"/>
      <c r="K213" s="2"/>
      <c r="P213" s="2"/>
    </row>
    <row r="214" ht="12.0" customHeight="1">
      <c r="B214" s="1"/>
      <c r="K214" s="2"/>
      <c r="P214" s="2"/>
    </row>
    <row r="215" ht="12.0" customHeight="1">
      <c r="B215" s="1"/>
      <c r="K215" s="2"/>
      <c r="P215" s="2"/>
    </row>
    <row r="216" ht="12.0" customHeight="1">
      <c r="B216" s="1"/>
      <c r="K216" s="2"/>
      <c r="P216" s="2"/>
    </row>
    <row r="217" ht="12.0" customHeight="1">
      <c r="B217" s="1"/>
      <c r="K217" s="2"/>
      <c r="P217" s="2"/>
    </row>
    <row r="218" ht="12.0" customHeight="1">
      <c r="B218" s="1"/>
      <c r="K218" s="2"/>
      <c r="P218" s="2"/>
    </row>
    <row r="219" ht="12.0" customHeight="1">
      <c r="B219" s="1"/>
      <c r="K219" s="2"/>
      <c r="P219" s="2"/>
    </row>
    <row r="220" ht="12.0" customHeight="1">
      <c r="B220" s="1"/>
      <c r="K220" s="2"/>
      <c r="P220" s="2"/>
    </row>
    <row r="221" ht="12.0" customHeight="1">
      <c r="B221" s="1"/>
      <c r="K221" s="2"/>
      <c r="P221" s="2"/>
    </row>
    <row r="222" ht="12.0" customHeight="1">
      <c r="B222" s="1"/>
      <c r="K222" s="2"/>
      <c r="P222" s="2"/>
    </row>
    <row r="223" ht="12.0" customHeight="1">
      <c r="B223" s="1"/>
      <c r="K223" s="2"/>
      <c r="P223" s="2"/>
    </row>
    <row r="224" ht="12.0" customHeight="1">
      <c r="B224" s="1"/>
      <c r="K224" s="2"/>
      <c r="P224" s="2"/>
    </row>
    <row r="225" ht="12.0" customHeight="1">
      <c r="B225" s="1"/>
      <c r="K225" s="2"/>
      <c r="P225" s="2"/>
    </row>
    <row r="226" ht="12.0" customHeight="1">
      <c r="B226" s="1"/>
      <c r="K226" s="2"/>
      <c r="P226" s="2"/>
    </row>
    <row r="227" ht="12.0" customHeight="1">
      <c r="B227" s="1"/>
      <c r="K227" s="2"/>
      <c r="P227" s="2"/>
    </row>
    <row r="228" ht="12.0" customHeight="1">
      <c r="B228" s="1"/>
      <c r="K228" s="2"/>
      <c r="P228" s="2"/>
    </row>
    <row r="229" ht="12.0" customHeight="1">
      <c r="B229" s="1"/>
      <c r="K229" s="2"/>
      <c r="P229" s="2"/>
    </row>
    <row r="230" ht="12.0" customHeight="1">
      <c r="B230" s="1"/>
      <c r="K230" s="2"/>
      <c r="P230" s="2"/>
    </row>
    <row r="231" ht="12.0" customHeight="1">
      <c r="B231" s="1"/>
      <c r="K231" s="2"/>
      <c r="P231" s="2"/>
    </row>
    <row r="232" ht="12.0" customHeight="1">
      <c r="B232" s="1"/>
      <c r="K232" s="2"/>
      <c r="P232" s="2"/>
    </row>
    <row r="233" ht="12.0" customHeight="1">
      <c r="B233" s="1"/>
      <c r="K233" s="2"/>
      <c r="P233" s="2"/>
    </row>
    <row r="234" ht="12.0" customHeight="1">
      <c r="B234" s="1"/>
      <c r="K234" s="2"/>
      <c r="P234" s="2"/>
    </row>
    <row r="235" ht="12.0" customHeight="1">
      <c r="B235" s="1"/>
      <c r="K235" s="2"/>
      <c r="P235" s="2"/>
    </row>
    <row r="236" ht="12.0" customHeight="1">
      <c r="B236" s="1"/>
      <c r="K236" s="2"/>
      <c r="P236" s="2"/>
    </row>
    <row r="237" ht="12.0" customHeight="1">
      <c r="B237" s="1"/>
      <c r="K237" s="2"/>
      <c r="P237" s="2"/>
    </row>
    <row r="238" ht="12.0" customHeight="1">
      <c r="B238" s="1"/>
      <c r="K238" s="2"/>
      <c r="P238" s="2"/>
    </row>
    <row r="239" ht="12.0" customHeight="1">
      <c r="B239" s="1"/>
      <c r="K239" s="2"/>
      <c r="P239" s="2"/>
    </row>
    <row r="240" ht="12.0" customHeight="1">
      <c r="B240" s="1"/>
      <c r="K240" s="2"/>
      <c r="P240" s="2"/>
    </row>
    <row r="241" ht="12.0" customHeight="1">
      <c r="B241" s="1"/>
      <c r="K241" s="2"/>
      <c r="P241" s="2"/>
    </row>
    <row r="242" ht="12.0" customHeight="1">
      <c r="B242" s="1"/>
      <c r="K242" s="2"/>
      <c r="P242" s="2"/>
    </row>
    <row r="243" ht="12.0" customHeight="1">
      <c r="B243" s="1"/>
      <c r="K243" s="2"/>
      <c r="P243" s="2"/>
    </row>
    <row r="244" ht="12.0" customHeight="1">
      <c r="B244" s="1"/>
      <c r="K244" s="2"/>
      <c r="P244" s="2"/>
    </row>
    <row r="245" ht="12.0" customHeight="1">
      <c r="B245" s="1"/>
      <c r="K245" s="2"/>
      <c r="P245" s="2"/>
    </row>
    <row r="246" ht="12.0" customHeight="1">
      <c r="B246" s="1"/>
      <c r="K246" s="2"/>
      <c r="P246" s="2"/>
    </row>
    <row r="247" ht="12.0" customHeight="1">
      <c r="B247" s="1"/>
      <c r="K247" s="2"/>
      <c r="P247" s="2"/>
    </row>
    <row r="248" ht="12.0" customHeight="1">
      <c r="B248" s="1"/>
      <c r="K248" s="2"/>
      <c r="P248" s="2"/>
    </row>
    <row r="249" ht="12.0" customHeight="1">
      <c r="B249" s="1"/>
      <c r="K249" s="2"/>
      <c r="P249" s="2"/>
    </row>
    <row r="250" ht="12.0" customHeight="1">
      <c r="B250" s="1"/>
      <c r="K250" s="2"/>
      <c r="P250" s="2"/>
    </row>
    <row r="251" ht="12.0" customHeight="1">
      <c r="B251" s="1"/>
      <c r="K251" s="2"/>
      <c r="P251" s="2"/>
    </row>
    <row r="252" ht="12.0" customHeight="1">
      <c r="B252" s="1"/>
      <c r="K252" s="2"/>
      <c r="P252" s="2"/>
    </row>
    <row r="253" ht="12.0" customHeight="1">
      <c r="B253" s="1"/>
      <c r="K253" s="2"/>
      <c r="P253" s="2"/>
    </row>
    <row r="254" ht="12.0" customHeight="1">
      <c r="B254" s="1"/>
      <c r="K254" s="2"/>
      <c r="P254" s="2"/>
    </row>
    <row r="255" ht="12.0" customHeight="1">
      <c r="B255" s="1"/>
      <c r="K255" s="2"/>
      <c r="P255" s="2"/>
    </row>
    <row r="256" ht="12.0" customHeight="1">
      <c r="B256" s="1"/>
      <c r="K256" s="2"/>
      <c r="P256" s="2"/>
    </row>
    <row r="257" ht="12.0" customHeight="1">
      <c r="B257" s="1"/>
      <c r="K257" s="2"/>
      <c r="P257" s="2"/>
    </row>
    <row r="258" ht="12.0" customHeight="1">
      <c r="B258" s="1"/>
      <c r="K258" s="2"/>
      <c r="P258" s="2"/>
    </row>
    <row r="259" ht="12.0" customHeight="1">
      <c r="B259" s="1"/>
      <c r="K259" s="2"/>
      <c r="P259" s="2"/>
    </row>
    <row r="260" ht="12.0" customHeight="1">
      <c r="B260" s="1"/>
      <c r="K260" s="2"/>
      <c r="P260" s="2"/>
    </row>
    <row r="261" ht="12.0" customHeight="1">
      <c r="B261" s="1"/>
      <c r="K261" s="2"/>
      <c r="P261" s="2"/>
    </row>
    <row r="262" ht="12.0" customHeight="1">
      <c r="B262" s="1"/>
      <c r="K262" s="2"/>
      <c r="P262" s="2"/>
    </row>
    <row r="263" ht="12.0" customHeight="1">
      <c r="B263" s="1"/>
      <c r="K263" s="2"/>
      <c r="P263" s="2"/>
    </row>
    <row r="264" ht="12.0" customHeight="1">
      <c r="B264" s="1"/>
      <c r="K264" s="2"/>
      <c r="P264" s="2"/>
    </row>
    <row r="265" ht="12.0" customHeight="1">
      <c r="B265" s="1"/>
      <c r="K265" s="2"/>
      <c r="P265" s="2"/>
    </row>
    <row r="266" ht="12.0" customHeight="1">
      <c r="B266" s="1"/>
      <c r="K266" s="2"/>
      <c r="P266" s="2"/>
    </row>
    <row r="267" ht="12.0" customHeight="1">
      <c r="B267" s="1"/>
      <c r="K267" s="2"/>
      <c r="P267" s="2"/>
    </row>
    <row r="268" ht="12.0" customHeight="1">
      <c r="B268" s="1"/>
      <c r="K268" s="2"/>
      <c r="P268" s="2"/>
    </row>
    <row r="269" ht="12.0" customHeight="1">
      <c r="B269" s="1"/>
      <c r="K269" s="2"/>
      <c r="P269" s="2"/>
    </row>
    <row r="270" ht="12.0" customHeight="1">
      <c r="B270" s="1"/>
      <c r="K270" s="2"/>
      <c r="P270" s="2"/>
    </row>
    <row r="271" ht="12.0" customHeight="1">
      <c r="B271" s="1"/>
      <c r="K271" s="2"/>
      <c r="P271" s="2"/>
    </row>
    <row r="272" ht="12.0" customHeight="1">
      <c r="B272" s="1"/>
      <c r="K272" s="2"/>
      <c r="P272" s="2"/>
    </row>
    <row r="273" ht="12.0" customHeight="1">
      <c r="B273" s="1"/>
      <c r="K273" s="2"/>
      <c r="P273" s="2"/>
    </row>
    <row r="274" ht="12.0" customHeight="1">
      <c r="B274" s="1"/>
      <c r="K274" s="2"/>
      <c r="P274" s="2"/>
    </row>
    <row r="275" ht="12.0" customHeight="1">
      <c r="B275" s="1"/>
      <c r="K275" s="2"/>
      <c r="P275" s="2"/>
    </row>
    <row r="276" ht="12.0" customHeight="1">
      <c r="B276" s="1"/>
      <c r="K276" s="2"/>
      <c r="P276" s="2"/>
    </row>
    <row r="277" ht="12.0" customHeight="1">
      <c r="B277" s="1"/>
      <c r="K277" s="2"/>
      <c r="P277" s="2"/>
    </row>
    <row r="278" ht="12.0" customHeight="1">
      <c r="B278" s="1"/>
      <c r="K278" s="2"/>
      <c r="P278" s="2"/>
    </row>
    <row r="279" ht="12.0" customHeight="1">
      <c r="B279" s="1"/>
      <c r="K279" s="2"/>
      <c r="P279" s="2"/>
    </row>
    <row r="280" ht="12.0" customHeight="1">
      <c r="B280" s="1"/>
      <c r="K280" s="2"/>
      <c r="P280" s="2"/>
    </row>
    <row r="281" ht="12.0" customHeight="1">
      <c r="B281" s="1"/>
      <c r="K281" s="2"/>
      <c r="P281" s="2"/>
    </row>
    <row r="282" ht="12.0" customHeight="1">
      <c r="B282" s="1"/>
      <c r="K282" s="2"/>
      <c r="P282" s="2"/>
    </row>
    <row r="283" ht="12.0" customHeight="1">
      <c r="B283" s="1"/>
      <c r="K283" s="2"/>
      <c r="P283" s="2"/>
    </row>
    <row r="284" ht="12.0" customHeight="1">
      <c r="B284" s="1"/>
      <c r="K284" s="2"/>
      <c r="P284" s="2"/>
    </row>
    <row r="285" ht="12.0" customHeight="1">
      <c r="B285" s="1"/>
      <c r="K285" s="2"/>
      <c r="P285" s="2"/>
    </row>
    <row r="286" ht="12.0" customHeight="1">
      <c r="B286" s="1"/>
      <c r="K286" s="2"/>
      <c r="P286" s="2"/>
    </row>
    <row r="287" ht="12.0" customHeight="1">
      <c r="B287" s="1"/>
      <c r="K287" s="2"/>
      <c r="P287" s="2"/>
    </row>
    <row r="288" ht="12.0" customHeight="1">
      <c r="B288" s="1"/>
      <c r="K288" s="2"/>
      <c r="P288" s="2"/>
    </row>
    <row r="289" ht="12.0" customHeight="1">
      <c r="B289" s="1"/>
      <c r="K289" s="2"/>
      <c r="P289" s="2"/>
    </row>
    <row r="290" ht="12.0" customHeight="1">
      <c r="B290" s="1"/>
      <c r="K290" s="2"/>
      <c r="P290" s="2"/>
    </row>
    <row r="291" ht="12.0" customHeight="1">
      <c r="B291" s="1"/>
      <c r="K291" s="2"/>
      <c r="P291" s="2"/>
    </row>
    <row r="292" ht="12.0" customHeight="1">
      <c r="B292" s="1"/>
      <c r="K292" s="2"/>
      <c r="P292" s="2"/>
    </row>
    <row r="293" ht="12.0" customHeight="1">
      <c r="B293" s="1"/>
      <c r="K293" s="2"/>
      <c r="P293" s="2"/>
    </row>
    <row r="294" ht="12.0" customHeight="1">
      <c r="B294" s="1"/>
      <c r="K294" s="2"/>
      <c r="P294" s="2"/>
    </row>
    <row r="295" ht="12.0" customHeight="1">
      <c r="B295" s="1"/>
      <c r="K295" s="2"/>
      <c r="P295" s="2"/>
    </row>
    <row r="296" ht="12.0" customHeight="1">
      <c r="B296" s="1"/>
      <c r="K296" s="2"/>
      <c r="P296" s="2"/>
    </row>
    <row r="297" ht="12.0" customHeight="1">
      <c r="B297" s="1"/>
      <c r="K297" s="2"/>
      <c r="P297" s="2"/>
    </row>
    <row r="298" ht="12.0" customHeight="1">
      <c r="B298" s="1"/>
      <c r="K298" s="2"/>
      <c r="P298" s="2"/>
    </row>
    <row r="299" ht="12.0" customHeight="1">
      <c r="B299" s="1"/>
      <c r="K299" s="2"/>
      <c r="P299" s="2"/>
    </row>
    <row r="300" ht="12.0" customHeight="1">
      <c r="B300" s="1"/>
      <c r="K300" s="2"/>
      <c r="P300" s="2"/>
    </row>
    <row r="301" ht="12.0" customHeight="1">
      <c r="B301" s="1"/>
      <c r="K301" s="2"/>
      <c r="P301" s="2"/>
    </row>
    <row r="302" ht="12.0" customHeight="1">
      <c r="B302" s="1"/>
      <c r="K302" s="2"/>
      <c r="P302" s="2"/>
    </row>
    <row r="303" ht="12.0" customHeight="1">
      <c r="B303" s="1"/>
      <c r="K303" s="2"/>
      <c r="P303" s="2"/>
    </row>
    <row r="304" ht="12.0" customHeight="1">
      <c r="B304" s="1"/>
      <c r="K304" s="2"/>
      <c r="P304" s="2"/>
    </row>
    <row r="305" ht="12.0" customHeight="1">
      <c r="B305" s="1"/>
      <c r="K305" s="2"/>
      <c r="P305" s="2"/>
    </row>
    <row r="306" ht="12.0" customHeight="1">
      <c r="B306" s="1"/>
      <c r="K306" s="2"/>
      <c r="P306" s="2"/>
    </row>
    <row r="307" ht="12.0" customHeight="1">
      <c r="B307" s="1"/>
      <c r="K307" s="2"/>
      <c r="P307" s="2"/>
    </row>
    <row r="308" ht="12.0" customHeight="1">
      <c r="B308" s="1"/>
      <c r="K308" s="2"/>
      <c r="P308" s="2"/>
    </row>
    <row r="309" ht="12.0" customHeight="1">
      <c r="B309" s="1"/>
      <c r="K309" s="2"/>
      <c r="P309" s="2"/>
    </row>
    <row r="310" ht="12.0" customHeight="1">
      <c r="B310" s="1"/>
      <c r="K310" s="2"/>
      <c r="P310" s="2"/>
    </row>
    <row r="311" ht="12.0" customHeight="1">
      <c r="B311" s="1"/>
      <c r="K311" s="2"/>
      <c r="P311" s="2"/>
    </row>
    <row r="312" ht="12.0" customHeight="1">
      <c r="B312" s="1"/>
      <c r="K312" s="2"/>
      <c r="P312" s="2"/>
    </row>
    <row r="313" ht="12.0" customHeight="1">
      <c r="B313" s="1"/>
      <c r="K313" s="2"/>
      <c r="P313" s="2"/>
    </row>
    <row r="314" ht="12.0" customHeight="1">
      <c r="B314" s="1"/>
      <c r="K314" s="2"/>
      <c r="P314" s="2"/>
    </row>
    <row r="315" ht="12.0" customHeight="1">
      <c r="B315" s="1"/>
      <c r="K315" s="2"/>
      <c r="P315" s="2"/>
    </row>
    <row r="316" ht="12.0" customHeight="1">
      <c r="B316" s="1"/>
      <c r="K316" s="2"/>
      <c r="P316" s="2"/>
    </row>
    <row r="317" ht="12.0" customHeight="1">
      <c r="B317" s="1"/>
      <c r="K317" s="2"/>
      <c r="P317" s="2"/>
    </row>
    <row r="318" ht="12.0" customHeight="1">
      <c r="B318" s="1"/>
      <c r="K318" s="2"/>
      <c r="P318" s="2"/>
    </row>
    <row r="319" ht="12.0" customHeight="1">
      <c r="B319" s="1"/>
      <c r="K319" s="2"/>
      <c r="P319" s="2"/>
    </row>
    <row r="320" ht="12.0" customHeight="1">
      <c r="B320" s="1"/>
      <c r="K320" s="2"/>
      <c r="P320" s="2"/>
    </row>
    <row r="321" ht="12.0" customHeight="1">
      <c r="B321" s="1"/>
      <c r="K321" s="2"/>
      <c r="P321" s="2"/>
    </row>
    <row r="322" ht="12.0" customHeight="1">
      <c r="B322" s="1"/>
      <c r="K322" s="2"/>
      <c r="P322" s="2"/>
    </row>
    <row r="323" ht="12.0" customHeight="1">
      <c r="B323" s="1"/>
      <c r="K323" s="2"/>
      <c r="P323" s="2"/>
    </row>
    <row r="324" ht="12.0" customHeight="1">
      <c r="B324" s="1"/>
      <c r="K324" s="2"/>
      <c r="P324" s="2"/>
    </row>
    <row r="325" ht="12.0" customHeight="1">
      <c r="B325" s="1"/>
      <c r="K325" s="2"/>
      <c r="P325" s="2"/>
    </row>
    <row r="326" ht="12.0" customHeight="1">
      <c r="B326" s="1"/>
      <c r="K326" s="2"/>
      <c r="P326" s="2"/>
    </row>
    <row r="327" ht="12.0" customHeight="1">
      <c r="B327" s="1"/>
      <c r="K327" s="2"/>
      <c r="P327" s="2"/>
    </row>
    <row r="328" ht="12.0" customHeight="1">
      <c r="B328" s="1"/>
      <c r="K328" s="2"/>
      <c r="P328" s="2"/>
    </row>
    <row r="329" ht="12.0" customHeight="1">
      <c r="B329" s="1"/>
      <c r="K329" s="2"/>
      <c r="P329" s="2"/>
    </row>
    <row r="330" ht="12.0" customHeight="1">
      <c r="B330" s="1"/>
      <c r="K330" s="2"/>
      <c r="P330" s="2"/>
    </row>
    <row r="331" ht="12.0" customHeight="1">
      <c r="B331" s="1"/>
      <c r="K331" s="2"/>
      <c r="P331" s="2"/>
    </row>
    <row r="332" ht="12.0" customHeight="1">
      <c r="B332" s="1"/>
      <c r="K332" s="2"/>
      <c r="P332" s="2"/>
    </row>
    <row r="333" ht="12.0" customHeight="1">
      <c r="B333" s="1"/>
      <c r="K333" s="2"/>
      <c r="P333" s="2"/>
    </row>
    <row r="334" ht="12.0" customHeight="1">
      <c r="B334" s="1"/>
      <c r="K334" s="2"/>
      <c r="P334" s="2"/>
    </row>
    <row r="335" ht="12.0" customHeight="1">
      <c r="B335" s="1"/>
      <c r="K335" s="2"/>
      <c r="P335" s="2"/>
    </row>
    <row r="336" ht="12.0" customHeight="1">
      <c r="B336" s="1"/>
      <c r="K336" s="2"/>
      <c r="P336" s="2"/>
    </row>
    <row r="337" ht="12.0" customHeight="1">
      <c r="B337" s="1"/>
      <c r="K337" s="2"/>
      <c r="P337" s="2"/>
    </row>
    <row r="338" ht="12.0" customHeight="1">
      <c r="B338" s="1"/>
      <c r="K338" s="2"/>
      <c r="P338" s="2"/>
    </row>
    <row r="339" ht="12.0" customHeight="1">
      <c r="B339" s="1"/>
      <c r="K339" s="2"/>
      <c r="P339" s="2"/>
    </row>
    <row r="340" ht="12.0" customHeight="1">
      <c r="B340" s="1"/>
      <c r="K340" s="2"/>
      <c r="P340" s="2"/>
    </row>
    <row r="341" ht="12.0" customHeight="1">
      <c r="B341" s="1"/>
      <c r="K341" s="2"/>
      <c r="P341" s="2"/>
    </row>
    <row r="342" ht="12.0" customHeight="1">
      <c r="B342" s="1"/>
      <c r="K342" s="2"/>
      <c r="P342" s="2"/>
    </row>
    <row r="343" ht="12.0" customHeight="1">
      <c r="B343" s="1"/>
      <c r="K343" s="2"/>
      <c r="P343" s="2"/>
    </row>
    <row r="344" ht="12.0" customHeight="1">
      <c r="B344" s="1"/>
      <c r="K344" s="2"/>
      <c r="P344" s="2"/>
    </row>
    <row r="345" ht="12.0" customHeight="1">
      <c r="B345" s="1"/>
      <c r="K345" s="2"/>
      <c r="P345" s="2"/>
    </row>
    <row r="346" ht="12.0" customHeight="1">
      <c r="B346" s="1"/>
      <c r="K346" s="2"/>
      <c r="P346" s="2"/>
    </row>
    <row r="347" ht="12.0" customHeight="1">
      <c r="B347" s="1"/>
      <c r="K347" s="2"/>
      <c r="P347" s="2"/>
    </row>
    <row r="348" ht="12.0" customHeight="1">
      <c r="B348" s="1"/>
      <c r="K348" s="2"/>
      <c r="P348" s="2"/>
    </row>
    <row r="349" ht="12.0" customHeight="1">
      <c r="B349" s="1"/>
      <c r="K349" s="2"/>
      <c r="P349" s="2"/>
    </row>
    <row r="350" ht="12.0" customHeight="1">
      <c r="B350" s="1"/>
      <c r="K350" s="2"/>
      <c r="P350" s="2"/>
    </row>
    <row r="351" ht="12.0" customHeight="1">
      <c r="B351" s="1"/>
      <c r="K351" s="2"/>
      <c r="P351" s="2"/>
    </row>
    <row r="352" ht="12.0" customHeight="1">
      <c r="B352" s="1"/>
      <c r="K352" s="2"/>
      <c r="P352" s="2"/>
    </row>
    <row r="353" ht="12.0" customHeight="1">
      <c r="B353" s="1"/>
      <c r="K353" s="2"/>
      <c r="P353" s="2"/>
    </row>
    <row r="354" ht="12.0" customHeight="1">
      <c r="B354" s="1"/>
      <c r="K354" s="2"/>
      <c r="P354" s="2"/>
    </row>
    <row r="355" ht="12.0" customHeight="1">
      <c r="B355" s="1"/>
      <c r="K355" s="2"/>
      <c r="P355" s="2"/>
    </row>
    <row r="356" ht="12.0" customHeight="1">
      <c r="B356" s="1"/>
      <c r="K356" s="2"/>
      <c r="P356" s="2"/>
    </row>
    <row r="357" ht="12.0" customHeight="1">
      <c r="B357" s="1"/>
      <c r="K357" s="2"/>
      <c r="P357" s="2"/>
    </row>
    <row r="358" ht="12.0" customHeight="1">
      <c r="B358" s="1"/>
      <c r="K358" s="2"/>
      <c r="P358" s="2"/>
    </row>
    <row r="359" ht="12.0" customHeight="1">
      <c r="B359" s="1"/>
      <c r="K359" s="2"/>
      <c r="P359" s="2"/>
    </row>
    <row r="360" ht="12.0" customHeight="1">
      <c r="B360" s="1"/>
      <c r="K360" s="2"/>
      <c r="P360" s="2"/>
    </row>
    <row r="361" ht="12.0" customHeight="1">
      <c r="B361" s="1"/>
      <c r="K361" s="2"/>
      <c r="P361" s="2"/>
    </row>
    <row r="362" ht="12.0" customHeight="1">
      <c r="B362" s="1"/>
      <c r="K362" s="2"/>
      <c r="P362" s="2"/>
    </row>
    <row r="363" ht="12.0" customHeight="1">
      <c r="B363" s="1"/>
      <c r="K363" s="2"/>
      <c r="P363" s="2"/>
    </row>
    <row r="364" ht="12.0" customHeight="1">
      <c r="B364" s="1"/>
      <c r="K364" s="2"/>
      <c r="P364" s="2"/>
    </row>
    <row r="365" ht="12.0" customHeight="1">
      <c r="B365" s="1"/>
      <c r="K365" s="2"/>
      <c r="P365" s="2"/>
    </row>
    <row r="366" ht="12.0" customHeight="1">
      <c r="B366" s="1"/>
      <c r="K366" s="2"/>
      <c r="P366" s="2"/>
    </row>
    <row r="367" ht="12.0" customHeight="1">
      <c r="B367" s="1"/>
      <c r="K367" s="2"/>
      <c r="P367" s="2"/>
    </row>
    <row r="368" ht="12.0" customHeight="1">
      <c r="B368" s="1"/>
      <c r="K368" s="2"/>
      <c r="P368" s="2"/>
    </row>
    <row r="369" ht="12.0" customHeight="1">
      <c r="B369" s="1"/>
      <c r="K369" s="2"/>
      <c r="P369" s="2"/>
    </row>
    <row r="370" ht="12.0" customHeight="1">
      <c r="B370" s="1"/>
      <c r="K370" s="2"/>
      <c r="P370" s="2"/>
    </row>
    <row r="371" ht="12.0" customHeight="1">
      <c r="B371" s="1"/>
      <c r="K371" s="2"/>
      <c r="P371" s="2"/>
    </row>
    <row r="372" ht="12.0" customHeight="1">
      <c r="B372" s="1"/>
      <c r="K372" s="2"/>
      <c r="P372" s="2"/>
    </row>
    <row r="373" ht="12.0" customHeight="1">
      <c r="B373" s="1"/>
      <c r="K373" s="2"/>
      <c r="P373" s="2"/>
    </row>
    <row r="374" ht="12.0" customHeight="1">
      <c r="B374" s="1"/>
      <c r="K374" s="2"/>
      <c r="P374" s="2"/>
    </row>
    <row r="375" ht="12.0" customHeight="1">
      <c r="B375" s="1"/>
      <c r="K375" s="2"/>
      <c r="P375" s="2"/>
    </row>
    <row r="376" ht="12.0" customHeight="1">
      <c r="B376" s="1"/>
      <c r="K376" s="2"/>
      <c r="P376" s="2"/>
    </row>
    <row r="377" ht="12.0" customHeight="1">
      <c r="B377" s="1"/>
      <c r="K377" s="2"/>
      <c r="P377" s="2"/>
    </row>
    <row r="378" ht="12.0" customHeight="1">
      <c r="B378" s="1"/>
      <c r="K378" s="2"/>
      <c r="P378" s="2"/>
    </row>
    <row r="379" ht="12.0" customHeight="1">
      <c r="B379" s="1"/>
      <c r="K379" s="2"/>
      <c r="P379" s="2"/>
    </row>
    <row r="380" ht="12.0" customHeight="1">
      <c r="B380" s="1"/>
      <c r="K380" s="2"/>
      <c r="P380" s="2"/>
    </row>
    <row r="381" ht="12.0" customHeight="1">
      <c r="B381" s="1"/>
      <c r="K381" s="2"/>
      <c r="P381" s="2"/>
    </row>
    <row r="382" ht="12.0" customHeight="1">
      <c r="B382" s="1"/>
      <c r="K382" s="2"/>
      <c r="P382" s="2"/>
    </row>
    <row r="383" ht="12.0" customHeight="1">
      <c r="B383" s="1"/>
      <c r="K383" s="2"/>
      <c r="P383" s="2"/>
    </row>
    <row r="384" ht="12.0" customHeight="1">
      <c r="B384" s="1"/>
      <c r="K384" s="2"/>
      <c r="P384" s="2"/>
    </row>
    <row r="385" ht="12.0" customHeight="1">
      <c r="B385" s="1"/>
      <c r="K385" s="2"/>
      <c r="P385" s="2"/>
    </row>
    <row r="386" ht="12.0" customHeight="1">
      <c r="B386" s="1"/>
      <c r="K386" s="2"/>
      <c r="P386" s="2"/>
    </row>
    <row r="387" ht="12.0" customHeight="1">
      <c r="B387" s="1"/>
      <c r="K387" s="2"/>
      <c r="P387" s="2"/>
    </row>
    <row r="388" ht="12.0" customHeight="1">
      <c r="B388" s="1"/>
      <c r="K388" s="2"/>
      <c r="P388" s="2"/>
    </row>
    <row r="389" ht="12.0" customHeight="1">
      <c r="B389" s="1"/>
      <c r="K389" s="2"/>
      <c r="P389" s="2"/>
    </row>
    <row r="390" ht="12.0" customHeight="1">
      <c r="B390" s="1"/>
      <c r="K390" s="2"/>
      <c r="P390" s="2"/>
    </row>
    <row r="391" ht="12.0" customHeight="1">
      <c r="B391" s="1"/>
      <c r="K391" s="2"/>
      <c r="P391" s="2"/>
    </row>
    <row r="392" ht="12.0" customHeight="1">
      <c r="B392" s="1"/>
      <c r="K392" s="2"/>
      <c r="P392" s="2"/>
    </row>
    <row r="393" ht="12.0" customHeight="1">
      <c r="B393" s="1"/>
      <c r="K393" s="2"/>
      <c r="P393" s="2"/>
    </row>
    <row r="394" ht="12.0" customHeight="1">
      <c r="B394" s="1"/>
      <c r="K394" s="2"/>
      <c r="P394" s="2"/>
    </row>
    <row r="395" ht="12.0" customHeight="1">
      <c r="B395" s="1"/>
      <c r="K395" s="2"/>
      <c r="P395" s="2"/>
    </row>
    <row r="396" ht="12.0" customHeight="1">
      <c r="B396" s="1"/>
      <c r="K396" s="2"/>
      <c r="P396" s="2"/>
    </row>
    <row r="397" ht="12.0" customHeight="1">
      <c r="B397" s="1"/>
      <c r="K397" s="2"/>
      <c r="P397" s="2"/>
    </row>
    <row r="398" ht="12.0" customHeight="1">
      <c r="B398" s="1"/>
      <c r="K398" s="2"/>
      <c r="P398" s="2"/>
    </row>
    <row r="399" ht="12.0" customHeight="1">
      <c r="B399" s="1"/>
      <c r="K399" s="2"/>
      <c r="P399" s="2"/>
    </row>
    <row r="400" ht="12.0" customHeight="1">
      <c r="B400" s="1"/>
      <c r="K400" s="2"/>
      <c r="P400" s="2"/>
    </row>
    <row r="401" ht="12.0" customHeight="1">
      <c r="B401" s="1"/>
      <c r="K401" s="2"/>
      <c r="P401" s="2"/>
    </row>
    <row r="402" ht="12.0" customHeight="1">
      <c r="B402" s="1"/>
      <c r="K402" s="2"/>
      <c r="P402" s="2"/>
    </row>
    <row r="403" ht="12.0" customHeight="1">
      <c r="B403" s="1"/>
      <c r="K403" s="2"/>
      <c r="P403" s="2"/>
    </row>
    <row r="404" ht="12.0" customHeight="1">
      <c r="B404" s="1"/>
      <c r="K404" s="2"/>
      <c r="P404" s="2"/>
    </row>
    <row r="405" ht="12.0" customHeight="1">
      <c r="B405" s="1"/>
      <c r="K405" s="2"/>
      <c r="P405" s="2"/>
    </row>
    <row r="406" ht="12.0" customHeight="1">
      <c r="B406" s="1"/>
      <c r="K406" s="2"/>
      <c r="P406" s="2"/>
    </row>
    <row r="407" ht="12.0" customHeight="1">
      <c r="B407" s="1"/>
      <c r="K407" s="2"/>
      <c r="P407" s="2"/>
    </row>
    <row r="408" ht="12.0" customHeight="1">
      <c r="B408" s="1"/>
      <c r="K408" s="2"/>
      <c r="P408" s="2"/>
    </row>
    <row r="409" ht="12.0" customHeight="1">
      <c r="B409" s="1"/>
      <c r="K409" s="2"/>
      <c r="P409" s="2"/>
    </row>
    <row r="410" ht="12.0" customHeight="1">
      <c r="B410" s="1"/>
      <c r="K410" s="2"/>
      <c r="P410" s="2"/>
    </row>
    <row r="411" ht="12.0" customHeight="1">
      <c r="B411" s="1"/>
      <c r="K411" s="2"/>
      <c r="P411" s="2"/>
    </row>
    <row r="412" ht="12.0" customHeight="1">
      <c r="B412" s="1"/>
      <c r="K412" s="2"/>
      <c r="P412" s="2"/>
    </row>
    <row r="413" ht="12.0" customHeight="1">
      <c r="B413" s="1"/>
      <c r="K413" s="2"/>
      <c r="P413" s="2"/>
    </row>
    <row r="414" ht="12.0" customHeight="1">
      <c r="B414" s="1"/>
      <c r="K414" s="2"/>
      <c r="P414" s="2"/>
    </row>
    <row r="415" ht="12.0" customHeight="1">
      <c r="B415" s="1"/>
      <c r="K415" s="2"/>
      <c r="P415" s="2"/>
    </row>
    <row r="416" ht="12.0" customHeight="1">
      <c r="B416" s="1"/>
      <c r="K416" s="2"/>
      <c r="P416" s="2"/>
    </row>
    <row r="417" ht="12.0" customHeight="1">
      <c r="B417" s="1"/>
      <c r="K417" s="2"/>
      <c r="P417" s="2"/>
    </row>
    <row r="418" ht="12.0" customHeight="1">
      <c r="B418" s="1"/>
      <c r="K418" s="2"/>
      <c r="P418" s="2"/>
    </row>
    <row r="419" ht="12.0" customHeight="1">
      <c r="B419" s="1"/>
      <c r="K419" s="2"/>
      <c r="P419" s="2"/>
    </row>
    <row r="420" ht="12.0" customHeight="1">
      <c r="B420" s="1"/>
      <c r="K420" s="2"/>
      <c r="P420" s="2"/>
    </row>
    <row r="421" ht="12.0" customHeight="1">
      <c r="B421" s="1"/>
      <c r="K421" s="2"/>
      <c r="P421" s="2"/>
    </row>
    <row r="422" ht="12.0" customHeight="1">
      <c r="B422" s="1"/>
      <c r="K422" s="2"/>
      <c r="P422" s="2"/>
    </row>
    <row r="423" ht="12.0" customHeight="1">
      <c r="B423" s="1"/>
      <c r="K423" s="2"/>
      <c r="P423" s="2"/>
    </row>
    <row r="424" ht="12.0" customHeight="1">
      <c r="B424" s="1"/>
      <c r="K424" s="2"/>
      <c r="P424" s="2"/>
    </row>
    <row r="425" ht="12.0" customHeight="1">
      <c r="B425" s="1"/>
      <c r="K425" s="2"/>
      <c r="P425" s="2"/>
    </row>
    <row r="426" ht="12.0" customHeight="1">
      <c r="B426" s="1"/>
      <c r="K426" s="2"/>
      <c r="P426" s="2"/>
    </row>
    <row r="427" ht="12.0" customHeight="1">
      <c r="B427" s="1"/>
      <c r="K427" s="2"/>
      <c r="P427" s="2"/>
    </row>
    <row r="428" ht="12.0" customHeight="1">
      <c r="B428" s="1"/>
      <c r="K428" s="2"/>
      <c r="P428" s="2"/>
    </row>
    <row r="429" ht="12.0" customHeight="1">
      <c r="B429" s="1"/>
      <c r="K429" s="2"/>
      <c r="P429" s="2"/>
    </row>
    <row r="430" ht="12.0" customHeight="1">
      <c r="B430" s="1"/>
      <c r="K430" s="2"/>
      <c r="P430" s="2"/>
    </row>
    <row r="431" ht="12.0" customHeight="1">
      <c r="B431" s="1"/>
      <c r="K431" s="2"/>
      <c r="P431" s="2"/>
    </row>
    <row r="432" ht="12.0" customHeight="1">
      <c r="B432" s="1"/>
      <c r="K432" s="2"/>
      <c r="P432" s="2"/>
    </row>
    <row r="433" ht="12.0" customHeight="1">
      <c r="B433" s="1"/>
      <c r="K433" s="2"/>
      <c r="P433" s="2"/>
    </row>
    <row r="434" ht="12.0" customHeight="1">
      <c r="B434" s="1"/>
      <c r="K434" s="2"/>
      <c r="P434" s="2"/>
    </row>
    <row r="435" ht="12.0" customHeight="1">
      <c r="B435" s="1"/>
      <c r="K435" s="2"/>
      <c r="P435" s="2"/>
    </row>
    <row r="436" ht="12.0" customHeight="1">
      <c r="B436" s="1"/>
      <c r="K436" s="2"/>
      <c r="P436" s="2"/>
    </row>
    <row r="437" ht="12.0" customHeight="1">
      <c r="B437" s="1"/>
      <c r="K437" s="2"/>
      <c r="P437" s="2"/>
    </row>
    <row r="438" ht="12.0" customHeight="1">
      <c r="B438" s="1"/>
      <c r="K438" s="2"/>
      <c r="P438" s="2"/>
    </row>
    <row r="439" ht="12.0" customHeight="1">
      <c r="B439" s="1"/>
      <c r="K439" s="2"/>
      <c r="P439" s="2"/>
    </row>
    <row r="440" ht="12.0" customHeight="1">
      <c r="B440" s="1"/>
      <c r="K440" s="2"/>
      <c r="P440" s="2"/>
    </row>
    <row r="441" ht="12.0" customHeight="1">
      <c r="B441" s="1"/>
      <c r="K441" s="2"/>
      <c r="P441" s="2"/>
    </row>
    <row r="442" ht="12.0" customHeight="1">
      <c r="B442" s="1"/>
      <c r="K442" s="2"/>
      <c r="P442" s="2"/>
    </row>
    <row r="443" ht="12.0" customHeight="1">
      <c r="B443" s="1"/>
      <c r="K443" s="2"/>
      <c r="P443" s="2"/>
    </row>
    <row r="444" ht="12.0" customHeight="1">
      <c r="B444" s="1"/>
      <c r="K444" s="2"/>
      <c r="P444" s="2"/>
    </row>
    <row r="445" ht="12.0" customHeight="1">
      <c r="B445" s="1"/>
      <c r="K445" s="2"/>
      <c r="P445" s="2"/>
    </row>
    <row r="446" ht="12.0" customHeight="1">
      <c r="B446" s="1"/>
      <c r="K446" s="2"/>
      <c r="P446" s="2"/>
    </row>
    <row r="447" ht="12.0" customHeight="1">
      <c r="B447" s="1"/>
      <c r="K447" s="2"/>
      <c r="P447" s="2"/>
    </row>
    <row r="448" ht="12.0" customHeight="1">
      <c r="B448" s="1"/>
      <c r="K448" s="2"/>
      <c r="P448" s="2"/>
    </row>
    <row r="449" ht="12.0" customHeight="1">
      <c r="B449" s="1"/>
      <c r="K449" s="2"/>
      <c r="P449" s="2"/>
    </row>
    <row r="450" ht="12.0" customHeight="1">
      <c r="B450" s="1"/>
      <c r="K450" s="2"/>
      <c r="P450" s="2"/>
    </row>
    <row r="451" ht="12.0" customHeight="1">
      <c r="B451" s="1"/>
      <c r="K451" s="2"/>
      <c r="P451" s="2"/>
    </row>
    <row r="452" ht="12.0" customHeight="1">
      <c r="B452" s="1"/>
      <c r="K452" s="2"/>
      <c r="P452" s="2"/>
    </row>
    <row r="453" ht="12.0" customHeight="1">
      <c r="B453" s="1"/>
      <c r="K453" s="2"/>
      <c r="P453" s="2"/>
    </row>
    <row r="454" ht="12.0" customHeight="1">
      <c r="B454" s="1"/>
      <c r="K454" s="2"/>
      <c r="P454" s="2"/>
    </row>
    <row r="455" ht="12.0" customHeight="1">
      <c r="B455" s="1"/>
      <c r="K455" s="2"/>
      <c r="P455" s="2"/>
    </row>
    <row r="456" ht="12.0" customHeight="1">
      <c r="B456" s="1"/>
      <c r="K456" s="2"/>
      <c r="P456" s="2"/>
    </row>
    <row r="457" ht="12.0" customHeight="1">
      <c r="B457" s="1"/>
      <c r="K457" s="2"/>
      <c r="P457" s="2"/>
    </row>
    <row r="458" ht="12.0" customHeight="1">
      <c r="B458" s="1"/>
      <c r="K458" s="2"/>
      <c r="P458" s="2"/>
    </row>
    <row r="459" ht="12.0" customHeight="1">
      <c r="B459" s="1"/>
      <c r="K459" s="2"/>
      <c r="P459" s="2"/>
    </row>
    <row r="460" ht="12.0" customHeight="1">
      <c r="B460" s="1"/>
      <c r="K460" s="2"/>
      <c r="P460" s="2"/>
    </row>
    <row r="461" ht="12.0" customHeight="1">
      <c r="B461" s="1"/>
      <c r="K461" s="2"/>
      <c r="P461" s="2"/>
    </row>
    <row r="462" ht="12.0" customHeight="1">
      <c r="B462" s="1"/>
      <c r="K462" s="2"/>
      <c r="P462" s="2"/>
    </row>
    <row r="463" ht="12.0" customHeight="1">
      <c r="B463" s="1"/>
      <c r="K463" s="2"/>
      <c r="P463" s="2"/>
    </row>
    <row r="464" ht="12.0" customHeight="1">
      <c r="B464" s="1"/>
      <c r="K464" s="2"/>
      <c r="P464" s="2"/>
    </row>
    <row r="465" ht="12.0" customHeight="1">
      <c r="B465" s="1"/>
      <c r="K465" s="2"/>
      <c r="P465" s="2"/>
    </row>
    <row r="466" ht="12.0" customHeight="1">
      <c r="B466" s="1"/>
      <c r="K466" s="2"/>
      <c r="P466" s="2"/>
    </row>
    <row r="467" ht="12.0" customHeight="1">
      <c r="B467" s="1"/>
      <c r="K467" s="2"/>
      <c r="P467" s="2"/>
    </row>
    <row r="468" ht="12.0" customHeight="1">
      <c r="B468" s="1"/>
      <c r="K468" s="2"/>
      <c r="P468" s="2"/>
    </row>
    <row r="469" ht="12.0" customHeight="1">
      <c r="B469" s="1"/>
      <c r="K469" s="2"/>
      <c r="P469" s="2"/>
    </row>
    <row r="470" ht="12.0" customHeight="1">
      <c r="B470" s="1"/>
      <c r="K470" s="2"/>
      <c r="P470" s="2"/>
    </row>
    <row r="471" ht="12.0" customHeight="1">
      <c r="B471" s="1"/>
      <c r="K471" s="2"/>
      <c r="P471" s="2"/>
    </row>
    <row r="472" ht="12.0" customHeight="1">
      <c r="B472" s="1"/>
      <c r="K472" s="2"/>
      <c r="P472" s="2"/>
    </row>
    <row r="473" ht="12.0" customHeight="1">
      <c r="B473" s="1"/>
      <c r="K473" s="2"/>
      <c r="P473" s="2"/>
    </row>
    <row r="474" ht="12.0" customHeight="1">
      <c r="B474" s="1"/>
      <c r="K474" s="2"/>
      <c r="P474" s="2"/>
    </row>
    <row r="475" ht="12.0" customHeight="1">
      <c r="B475" s="1"/>
      <c r="K475" s="2"/>
      <c r="P475" s="2"/>
    </row>
    <row r="476" ht="12.0" customHeight="1">
      <c r="B476" s="1"/>
      <c r="K476" s="2"/>
      <c r="P476" s="2"/>
    </row>
    <row r="477" ht="12.0" customHeight="1">
      <c r="B477" s="1"/>
      <c r="K477" s="2"/>
      <c r="P477" s="2"/>
    </row>
    <row r="478" ht="12.0" customHeight="1">
      <c r="B478" s="1"/>
      <c r="K478" s="2"/>
      <c r="P478" s="2"/>
    </row>
    <row r="479" ht="12.0" customHeight="1">
      <c r="B479" s="1"/>
      <c r="K479" s="2"/>
      <c r="P479" s="2"/>
    </row>
    <row r="480" ht="12.0" customHeight="1">
      <c r="B480" s="1"/>
      <c r="K480" s="2"/>
      <c r="P480" s="2"/>
    </row>
    <row r="481" ht="12.0" customHeight="1">
      <c r="B481" s="1"/>
      <c r="K481" s="2"/>
      <c r="P481" s="2"/>
    </row>
    <row r="482" ht="12.0" customHeight="1">
      <c r="B482" s="1"/>
      <c r="K482" s="2"/>
      <c r="P482" s="2"/>
    </row>
    <row r="483" ht="12.0" customHeight="1">
      <c r="B483" s="1"/>
      <c r="K483" s="2"/>
      <c r="P483" s="2"/>
    </row>
    <row r="484" ht="12.0" customHeight="1">
      <c r="B484" s="1"/>
      <c r="K484" s="2"/>
      <c r="P484" s="2"/>
    </row>
    <row r="485" ht="12.0" customHeight="1">
      <c r="B485" s="1"/>
      <c r="K485" s="2"/>
      <c r="P485" s="2"/>
    </row>
    <row r="486" ht="12.0" customHeight="1">
      <c r="B486" s="1"/>
      <c r="K486" s="2"/>
      <c r="P486" s="2"/>
    </row>
    <row r="487" ht="12.0" customHeight="1">
      <c r="B487" s="1"/>
      <c r="K487" s="2"/>
      <c r="P487" s="2"/>
    </row>
    <row r="488" ht="12.0" customHeight="1">
      <c r="B488" s="1"/>
      <c r="K488" s="2"/>
      <c r="P488" s="2"/>
    </row>
    <row r="489" ht="12.0" customHeight="1">
      <c r="B489" s="1"/>
      <c r="K489" s="2"/>
      <c r="P489" s="2"/>
    </row>
    <row r="490" ht="12.0" customHeight="1">
      <c r="B490" s="1"/>
      <c r="K490" s="2"/>
      <c r="P490" s="2"/>
    </row>
    <row r="491" ht="12.0" customHeight="1">
      <c r="B491" s="1"/>
      <c r="K491" s="2"/>
      <c r="P491" s="2"/>
    </row>
    <row r="492" ht="12.0" customHeight="1">
      <c r="B492" s="1"/>
      <c r="K492" s="2"/>
      <c r="P492" s="2"/>
    </row>
    <row r="493" ht="12.0" customHeight="1">
      <c r="B493" s="1"/>
      <c r="K493" s="2"/>
      <c r="P493" s="2"/>
    </row>
    <row r="494" ht="12.0" customHeight="1">
      <c r="B494" s="1"/>
      <c r="K494" s="2"/>
      <c r="P494" s="2"/>
    </row>
    <row r="495" ht="12.0" customHeight="1">
      <c r="B495" s="1"/>
      <c r="K495" s="2"/>
      <c r="P495" s="2"/>
    </row>
    <row r="496" ht="12.0" customHeight="1">
      <c r="B496" s="1"/>
      <c r="K496" s="2"/>
      <c r="P496" s="2"/>
    </row>
    <row r="497" ht="12.0" customHeight="1">
      <c r="B497" s="1"/>
      <c r="K497" s="2"/>
      <c r="P497" s="2"/>
    </row>
    <row r="498" ht="12.0" customHeight="1">
      <c r="B498" s="1"/>
      <c r="K498" s="2"/>
      <c r="P498" s="2"/>
    </row>
    <row r="499" ht="12.0" customHeight="1">
      <c r="B499" s="1"/>
      <c r="K499" s="2"/>
      <c r="P499" s="2"/>
    </row>
    <row r="500" ht="12.0" customHeight="1">
      <c r="B500" s="1"/>
      <c r="K500" s="2"/>
      <c r="P500" s="2"/>
    </row>
    <row r="501" ht="12.0" customHeight="1">
      <c r="B501" s="1"/>
      <c r="K501" s="2"/>
      <c r="P501" s="2"/>
    </row>
    <row r="502" ht="12.0" customHeight="1">
      <c r="B502" s="1"/>
      <c r="K502" s="2"/>
      <c r="P502" s="2"/>
    </row>
    <row r="503" ht="12.0" customHeight="1">
      <c r="B503" s="1"/>
      <c r="K503" s="2"/>
      <c r="P503" s="2"/>
    </row>
    <row r="504" ht="12.0" customHeight="1">
      <c r="B504" s="1"/>
      <c r="K504" s="2"/>
      <c r="P504" s="2"/>
    </row>
    <row r="505" ht="12.0" customHeight="1">
      <c r="B505" s="1"/>
      <c r="K505" s="2"/>
      <c r="P505" s="2"/>
    </row>
    <row r="506" ht="12.0" customHeight="1">
      <c r="B506" s="1"/>
      <c r="K506" s="2"/>
      <c r="P506" s="2"/>
    </row>
    <row r="507" ht="12.0" customHeight="1">
      <c r="B507" s="1"/>
      <c r="K507" s="2"/>
      <c r="P507" s="2"/>
    </row>
    <row r="508" ht="12.0" customHeight="1">
      <c r="B508" s="1"/>
      <c r="K508" s="2"/>
      <c r="P508" s="2"/>
    </row>
    <row r="509" ht="12.0" customHeight="1">
      <c r="B509" s="1"/>
      <c r="K509" s="2"/>
      <c r="P509" s="2"/>
    </row>
    <row r="510" ht="12.0" customHeight="1">
      <c r="B510" s="1"/>
      <c r="K510" s="2"/>
      <c r="P510" s="2"/>
    </row>
    <row r="511" ht="12.0" customHeight="1">
      <c r="B511" s="1"/>
      <c r="K511" s="2"/>
      <c r="P511" s="2"/>
    </row>
    <row r="512" ht="12.0" customHeight="1">
      <c r="B512" s="1"/>
      <c r="K512" s="2"/>
      <c r="P512" s="2"/>
    </row>
    <row r="513" ht="12.0" customHeight="1">
      <c r="B513" s="1"/>
      <c r="K513" s="2"/>
      <c r="P513" s="2"/>
    </row>
    <row r="514" ht="12.0" customHeight="1">
      <c r="B514" s="1"/>
      <c r="K514" s="2"/>
      <c r="P514" s="2"/>
    </row>
    <row r="515" ht="12.0" customHeight="1">
      <c r="B515" s="1"/>
      <c r="K515" s="2"/>
      <c r="P515" s="2"/>
    </row>
    <row r="516" ht="12.0" customHeight="1">
      <c r="B516" s="1"/>
      <c r="K516" s="2"/>
      <c r="P516" s="2"/>
    </row>
    <row r="517" ht="12.0" customHeight="1">
      <c r="B517" s="1"/>
      <c r="K517" s="2"/>
      <c r="P517" s="2"/>
    </row>
    <row r="518" ht="12.0" customHeight="1">
      <c r="B518" s="1"/>
      <c r="K518" s="2"/>
      <c r="P518" s="2"/>
    </row>
    <row r="519" ht="12.0" customHeight="1">
      <c r="B519" s="1"/>
      <c r="K519" s="2"/>
      <c r="P519" s="2"/>
    </row>
    <row r="520" ht="12.0" customHeight="1">
      <c r="B520" s="1"/>
      <c r="K520" s="2"/>
      <c r="P520" s="2"/>
    </row>
    <row r="521" ht="12.0" customHeight="1">
      <c r="B521" s="1"/>
      <c r="K521" s="2"/>
      <c r="P521" s="2"/>
    </row>
    <row r="522" ht="12.0" customHeight="1">
      <c r="B522" s="1"/>
      <c r="K522" s="2"/>
      <c r="P522" s="2"/>
    </row>
    <row r="523" ht="12.0" customHeight="1">
      <c r="B523" s="1"/>
      <c r="K523" s="2"/>
      <c r="P523" s="2"/>
    </row>
    <row r="524" ht="12.0" customHeight="1">
      <c r="B524" s="1"/>
      <c r="K524" s="2"/>
      <c r="P524" s="2"/>
    </row>
    <row r="525" ht="12.0" customHeight="1">
      <c r="B525" s="1"/>
      <c r="K525" s="2"/>
      <c r="P525" s="2"/>
    </row>
    <row r="526" ht="12.0" customHeight="1">
      <c r="B526" s="1"/>
      <c r="K526" s="2"/>
      <c r="P526" s="2"/>
    </row>
    <row r="527" ht="12.0" customHeight="1">
      <c r="B527" s="1"/>
      <c r="K527" s="2"/>
      <c r="P527" s="2"/>
    </row>
    <row r="528" ht="12.0" customHeight="1">
      <c r="B528" s="1"/>
      <c r="K528" s="2"/>
      <c r="P528" s="2"/>
    </row>
    <row r="529" ht="12.0" customHeight="1">
      <c r="B529" s="1"/>
      <c r="K529" s="2"/>
      <c r="P529" s="2"/>
    </row>
    <row r="530" ht="12.0" customHeight="1">
      <c r="B530" s="1"/>
      <c r="K530" s="2"/>
      <c r="P530" s="2"/>
    </row>
    <row r="531" ht="12.0" customHeight="1">
      <c r="B531" s="1"/>
      <c r="K531" s="2"/>
      <c r="P531" s="2"/>
    </row>
    <row r="532" ht="12.0" customHeight="1">
      <c r="B532" s="1"/>
      <c r="K532" s="2"/>
      <c r="P532" s="2"/>
    </row>
    <row r="533" ht="12.0" customHeight="1">
      <c r="B533" s="1"/>
      <c r="K533" s="2"/>
      <c r="P533" s="2"/>
    </row>
    <row r="534" ht="12.0" customHeight="1">
      <c r="B534" s="1"/>
      <c r="K534" s="2"/>
      <c r="P534" s="2"/>
    </row>
    <row r="535" ht="12.0" customHeight="1">
      <c r="B535" s="1"/>
      <c r="K535" s="2"/>
      <c r="P535" s="2"/>
    </row>
    <row r="536" ht="12.0" customHeight="1">
      <c r="B536" s="1"/>
      <c r="K536" s="2"/>
      <c r="P536" s="2"/>
    </row>
    <row r="537" ht="12.0" customHeight="1">
      <c r="B537" s="1"/>
      <c r="K537" s="2"/>
      <c r="P537" s="2"/>
    </row>
    <row r="538" ht="12.0" customHeight="1">
      <c r="B538" s="1"/>
      <c r="K538" s="2"/>
      <c r="P538" s="2"/>
    </row>
    <row r="539" ht="12.0" customHeight="1">
      <c r="B539" s="1"/>
      <c r="K539" s="2"/>
      <c r="P539" s="2"/>
    </row>
    <row r="540" ht="12.0" customHeight="1">
      <c r="B540" s="1"/>
      <c r="K540" s="2"/>
      <c r="P540" s="2"/>
    </row>
    <row r="541" ht="12.0" customHeight="1">
      <c r="B541" s="1"/>
      <c r="K541" s="2"/>
      <c r="P541" s="2"/>
    </row>
    <row r="542" ht="12.0" customHeight="1">
      <c r="B542" s="1"/>
      <c r="K542" s="2"/>
      <c r="P542" s="2"/>
    </row>
    <row r="543" ht="12.0" customHeight="1">
      <c r="B543" s="1"/>
      <c r="K543" s="2"/>
      <c r="P543" s="2"/>
    </row>
    <row r="544" ht="12.0" customHeight="1">
      <c r="B544" s="1"/>
      <c r="K544" s="2"/>
      <c r="P544" s="2"/>
    </row>
    <row r="545" ht="12.0" customHeight="1">
      <c r="B545" s="1"/>
      <c r="K545" s="2"/>
      <c r="P545" s="2"/>
    </row>
    <row r="546" ht="12.0" customHeight="1">
      <c r="B546" s="1"/>
      <c r="K546" s="2"/>
      <c r="P546" s="2"/>
    </row>
    <row r="547" ht="12.0" customHeight="1">
      <c r="B547" s="1"/>
      <c r="K547" s="2"/>
      <c r="P547" s="2"/>
    </row>
    <row r="548" ht="12.0" customHeight="1">
      <c r="B548" s="1"/>
      <c r="K548" s="2"/>
      <c r="P548" s="2"/>
    </row>
    <row r="549" ht="12.0" customHeight="1">
      <c r="B549" s="1"/>
      <c r="K549" s="2"/>
      <c r="P549" s="2"/>
    </row>
    <row r="550" ht="12.0" customHeight="1">
      <c r="B550" s="1"/>
      <c r="K550" s="2"/>
      <c r="P550" s="2"/>
    </row>
    <row r="551" ht="12.0" customHeight="1">
      <c r="B551" s="1"/>
      <c r="K551" s="2"/>
      <c r="P551" s="2"/>
    </row>
    <row r="552" ht="12.0" customHeight="1">
      <c r="B552" s="1"/>
      <c r="K552" s="2"/>
      <c r="P552" s="2"/>
    </row>
    <row r="553" ht="12.0" customHeight="1">
      <c r="B553" s="1"/>
      <c r="K553" s="2"/>
      <c r="P553" s="2"/>
    </row>
    <row r="554" ht="12.0" customHeight="1">
      <c r="B554" s="1"/>
      <c r="K554" s="2"/>
      <c r="P554" s="2"/>
    </row>
    <row r="555" ht="12.0" customHeight="1">
      <c r="B555" s="1"/>
      <c r="K555" s="2"/>
      <c r="P555" s="2"/>
    </row>
    <row r="556" ht="12.0" customHeight="1">
      <c r="B556" s="1"/>
      <c r="K556" s="2"/>
      <c r="P556" s="2"/>
    </row>
    <row r="557" ht="12.0" customHeight="1">
      <c r="B557" s="1"/>
      <c r="K557" s="2"/>
      <c r="P557" s="2"/>
    </row>
    <row r="558" ht="12.0" customHeight="1">
      <c r="B558" s="1"/>
      <c r="K558" s="2"/>
      <c r="P558" s="2"/>
    </row>
    <row r="559" ht="12.0" customHeight="1">
      <c r="B559" s="1"/>
      <c r="K559" s="2"/>
      <c r="P559" s="2"/>
    </row>
    <row r="560" ht="12.0" customHeight="1">
      <c r="B560" s="1"/>
      <c r="K560" s="2"/>
      <c r="P560" s="2"/>
    </row>
    <row r="561" ht="12.0" customHeight="1">
      <c r="B561" s="1"/>
      <c r="K561" s="2"/>
      <c r="P561" s="2"/>
    </row>
    <row r="562" ht="12.0" customHeight="1">
      <c r="B562" s="1"/>
      <c r="K562" s="2"/>
      <c r="P562" s="2"/>
    </row>
    <row r="563" ht="12.0" customHeight="1">
      <c r="B563" s="1"/>
      <c r="K563" s="2"/>
      <c r="P563" s="2"/>
    </row>
    <row r="564" ht="12.0" customHeight="1">
      <c r="B564" s="1"/>
      <c r="K564" s="2"/>
      <c r="P564" s="2"/>
    </row>
    <row r="565" ht="12.0" customHeight="1">
      <c r="B565" s="1"/>
      <c r="K565" s="2"/>
      <c r="P565" s="2"/>
    </row>
    <row r="566" ht="12.0" customHeight="1">
      <c r="B566" s="1"/>
      <c r="K566" s="2"/>
      <c r="P566" s="2"/>
    </row>
    <row r="567" ht="12.0" customHeight="1">
      <c r="B567" s="1"/>
      <c r="K567" s="2"/>
      <c r="P567" s="2"/>
    </row>
    <row r="568" ht="12.0" customHeight="1">
      <c r="B568" s="1"/>
      <c r="K568" s="2"/>
      <c r="P568" s="2"/>
    </row>
    <row r="569" ht="12.0" customHeight="1">
      <c r="B569" s="1"/>
      <c r="K569" s="2"/>
      <c r="P569" s="2"/>
    </row>
    <row r="570" ht="12.0" customHeight="1">
      <c r="B570" s="1"/>
      <c r="K570" s="2"/>
      <c r="P570" s="2"/>
    </row>
    <row r="571" ht="12.0" customHeight="1">
      <c r="B571" s="1"/>
      <c r="K571" s="2"/>
      <c r="P571" s="2"/>
    </row>
    <row r="572" ht="12.0" customHeight="1">
      <c r="B572" s="1"/>
      <c r="K572" s="2"/>
      <c r="P572" s="2"/>
    </row>
    <row r="573" ht="12.0" customHeight="1">
      <c r="B573" s="1"/>
      <c r="K573" s="2"/>
      <c r="P573" s="2"/>
    </row>
    <row r="574" ht="12.0" customHeight="1">
      <c r="B574" s="1"/>
      <c r="K574" s="2"/>
      <c r="P574" s="2"/>
    </row>
    <row r="575" ht="12.0" customHeight="1">
      <c r="B575" s="1"/>
      <c r="K575" s="2"/>
      <c r="P575" s="2"/>
    </row>
    <row r="576" ht="12.0" customHeight="1">
      <c r="B576" s="1"/>
      <c r="K576" s="2"/>
      <c r="P576" s="2"/>
    </row>
    <row r="577" ht="12.0" customHeight="1">
      <c r="B577" s="1"/>
      <c r="K577" s="2"/>
      <c r="P577" s="2"/>
    </row>
    <row r="578" ht="12.0" customHeight="1">
      <c r="B578" s="1"/>
      <c r="K578" s="2"/>
      <c r="P578" s="2"/>
    </row>
    <row r="579" ht="12.0" customHeight="1">
      <c r="B579" s="1"/>
      <c r="K579" s="2"/>
      <c r="P579" s="2"/>
    </row>
    <row r="580" ht="12.0" customHeight="1">
      <c r="B580" s="1"/>
      <c r="K580" s="2"/>
      <c r="P580" s="2"/>
    </row>
    <row r="581" ht="12.0" customHeight="1">
      <c r="B581" s="1"/>
      <c r="K581" s="2"/>
      <c r="P581" s="2"/>
    </row>
    <row r="582" ht="12.0" customHeight="1">
      <c r="B582" s="1"/>
      <c r="K582" s="2"/>
      <c r="P582" s="2"/>
    </row>
    <row r="583" ht="12.0" customHeight="1">
      <c r="B583" s="1"/>
      <c r="K583" s="2"/>
      <c r="P583" s="2"/>
    </row>
    <row r="584" ht="12.0" customHeight="1">
      <c r="B584" s="1"/>
      <c r="K584" s="2"/>
      <c r="P584" s="2"/>
    </row>
    <row r="585" ht="12.0" customHeight="1">
      <c r="B585" s="1"/>
      <c r="K585" s="2"/>
      <c r="P585" s="2"/>
    </row>
    <row r="586" ht="12.0" customHeight="1">
      <c r="B586" s="1"/>
      <c r="K586" s="2"/>
      <c r="P586" s="2"/>
    </row>
    <row r="587" ht="12.0" customHeight="1">
      <c r="B587" s="1"/>
      <c r="K587" s="2"/>
      <c r="P587" s="2"/>
    </row>
    <row r="588" ht="12.0" customHeight="1">
      <c r="B588" s="1"/>
      <c r="K588" s="2"/>
      <c r="P588" s="2"/>
    </row>
    <row r="589" ht="12.0" customHeight="1">
      <c r="B589" s="1"/>
      <c r="K589" s="2"/>
      <c r="P589" s="2"/>
    </row>
    <row r="590" ht="12.0" customHeight="1">
      <c r="B590" s="1"/>
      <c r="K590" s="2"/>
      <c r="P590" s="2"/>
    </row>
    <row r="591" ht="12.0" customHeight="1">
      <c r="B591" s="1"/>
      <c r="K591" s="2"/>
      <c r="P591" s="2"/>
    </row>
    <row r="592" ht="12.0" customHeight="1">
      <c r="B592" s="1"/>
      <c r="K592" s="2"/>
      <c r="P592" s="2"/>
    </row>
    <row r="593" ht="12.0" customHeight="1">
      <c r="B593" s="1"/>
      <c r="K593" s="2"/>
      <c r="P593" s="2"/>
    </row>
    <row r="594" ht="12.0" customHeight="1">
      <c r="B594" s="1"/>
      <c r="K594" s="2"/>
      <c r="P594" s="2"/>
    </row>
    <row r="595" ht="12.0" customHeight="1">
      <c r="B595" s="1"/>
      <c r="K595" s="2"/>
      <c r="P595" s="2"/>
    </row>
    <row r="596" ht="12.0" customHeight="1">
      <c r="B596" s="1"/>
      <c r="K596" s="2"/>
      <c r="P596" s="2"/>
    </row>
    <row r="597" ht="12.0" customHeight="1">
      <c r="B597" s="1"/>
      <c r="K597" s="2"/>
      <c r="P597" s="2"/>
    </row>
    <row r="598" ht="12.0" customHeight="1">
      <c r="B598" s="1"/>
      <c r="K598" s="2"/>
      <c r="P598" s="2"/>
    </row>
    <row r="599" ht="12.0" customHeight="1">
      <c r="B599" s="1"/>
      <c r="K599" s="2"/>
      <c r="P599" s="2"/>
    </row>
    <row r="600" ht="12.0" customHeight="1">
      <c r="B600" s="1"/>
      <c r="K600" s="2"/>
      <c r="P600" s="2"/>
    </row>
    <row r="601" ht="12.0" customHeight="1">
      <c r="B601" s="1"/>
      <c r="K601" s="2"/>
      <c r="P601" s="2"/>
    </row>
    <row r="602" ht="12.0" customHeight="1">
      <c r="B602" s="1"/>
      <c r="K602" s="2"/>
      <c r="P602" s="2"/>
    </row>
    <row r="603" ht="12.0" customHeight="1">
      <c r="B603" s="1"/>
      <c r="K603" s="2"/>
      <c r="P603" s="2"/>
    </row>
    <row r="604" ht="12.0" customHeight="1">
      <c r="B604" s="1"/>
      <c r="K604" s="2"/>
      <c r="P604" s="2"/>
    </row>
    <row r="605" ht="12.0" customHeight="1">
      <c r="B605" s="1"/>
      <c r="K605" s="2"/>
      <c r="P605" s="2"/>
    </row>
    <row r="606" ht="12.0" customHeight="1">
      <c r="B606" s="1"/>
      <c r="K606" s="2"/>
      <c r="P606" s="2"/>
    </row>
    <row r="607" ht="12.0" customHeight="1">
      <c r="B607" s="1"/>
      <c r="K607" s="2"/>
      <c r="P607" s="2"/>
    </row>
    <row r="608" ht="12.0" customHeight="1">
      <c r="B608" s="1"/>
      <c r="K608" s="2"/>
      <c r="P608" s="2"/>
    </row>
    <row r="609" ht="12.0" customHeight="1">
      <c r="B609" s="1"/>
      <c r="K609" s="2"/>
      <c r="P609" s="2"/>
    </row>
    <row r="610" ht="12.0" customHeight="1">
      <c r="B610" s="1"/>
      <c r="K610" s="2"/>
      <c r="P610" s="2"/>
    </row>
    <row r="611" ht="12.0" customHeight="1">
      <c r="B611" s="1"/>
      <c r="K611" s="2"/>
      <c r="P611" s="2"/>
    </row>
    <row r="612" ht="12.0" customHeight="1">
      <c r="B612" s="1"/>
      <c r="K612" s="2"/>
      <c r="P612" s="2"/>
    </row>
    <row r="613" ht="12.0" customHeight="1">
      <c r="B613" s="1"/>
      <c r="K613" s="2"/>
      <c r="P613" s="2"/>
    </row>
    <row r="614" ht="12.0" customHeight="1">
      <c r="B614" s="1"/>
      <c r="K614" s="2"/>
      <c r="P614" s="2"/>
    </row>
    <row r="615" ht="12.0" customHeight="1">
      <c r="B615" s="1"/>
      <c r="K615" s="2"/>
      <c r="P615" s="2"/>
    </row>
    <row r="616" ht="12.0" customHeight="1">
      <c r="B616" s="1"/>
      <c r="K616" s="2"/>
      <c r="P616" s="2"/>
    </row>
    <row r="617" ht="12.0" customHeight="1">
      <c r="B617" s="1"/>
      <c r="K617" s="2"/>
      <c r="P617" s="2"/>
    </row>
    <row r="618" ht="12.0" customHeight="1">
      <c r="B618" s="1"/>
      <c r="K618" s="2"/>
      <c r="P618" s="2"/>
    </row>
    <row r="619" ht="12.0" customHeight="1">
      <c r="B619" s="1"/>
      <c r="K619" s="2"/>
      <c r="P619" s="2"/>
    </row>
    <row r="620" ht="12.0" customHeight="1">
      <c r="B620" s="1"/>
      <c r="K620" s="2"/>
      <c r="P620" s="2"/>
    </row>
    <row r="621" ht="12.0" customHeight="1">
      <c r="B621" s="1"/>
      <c r="K621" s="2"/>
      <c r="P621" s="2"/>
    </row>
    <row r="622" ht="12.0" customHeight="1">
      <c r="B622" s="1"/>
      <c r="K622" s="2"/>
      <c r="P622" s="2"/>
    </row>
    <row r="623" ht="12.0" customHeight="1">
      <c r="B623" s="1"/>
      <c r="K623" s="2"/>
      <c r="P623" s="2"/>
    </row>
    <row r="624" ht="12.0" customHeight="1">
      <c r="B624" s="1"/>
      <c r="K624" s="2"/>
      <c r="P624" s="2"/>
    </row>
    <row r="625" ht="12.0" customHeight="1">
      <c r="B625" s="1"/>
      <c r="K625" s="2"/>
      <c r="P625" s="2"/>
    </row>
    <row r="626" ht="12.0" customHeight="1">
      <c r="B626" s="1"/>
      <c r="K626" s="2"/>
      <c r="P626" s="2"/>
    </row>
    <row r="627" ht="12.0" customHeight="1">
      <c r="B627" s="1"/>
      <c r="K627" s="2"/>
      <c r="P627" s="2"/>
    </row>
    <row r="628" ht="12.0" customHeight="1">
      <c r="B628" s="1"/>
      <c r="K628" s="2"/>
      <c r="P628" s="2"/>
    </row>
    <row r="629" ht="12.0" customHeight="1">
      <c r="B629" s="1"/>
      <c r="K629" s="2"/>
      <c r="P629" s="2"/>
    </row>
    <row r="630" ht="12.0" customHeight="1">
      <c r="B630" s="1"/>
      <c r="K630" s="2"/>
      <c r="P630" s="2"/>
    </row>
    <row r="631" ht="12.0" customHeight="1">
      <c r="B631" s="1"/>
      <c r="K631" s="2"/>
      <c r="P631" s="2"/>
    </row>
    <row r="632" ht="12.0" customHeight="1">
      <c r="B632" s="1"/>
      <c r="K632" s="2"/>
      <c r="P632" s="2"/>
    </row>
    <row r="633" ht="12.0" customHeight="1">
      <c r="B633" s="1"/>
      <c r="K633" s="2"/>
      <c r="P633" s="2"/>
    </row>
    <row r="634" ht="12.0" customHeight="1">
      <c r="B634" s="1"/>
      <c r="K634" s="2"/>
      <c r="P634" s="2"/>
    </row>
    <row r="635" ht="12.0" customHeight="1">
      <c r="B635" s="1"/>
      <c r="K635" s="2"/>
      <c r="P635" s="2"/>
    </row>
    <row r="636" ht="12.0" customHeight="1">
      <c r="B636" s="1"/>
      <c r="K636" s="2"/>
      <c r="P636" s="2"/>
    </row>
    <row r="637" ht="12.0" customHeight="1">
      <c r="B637" s="1"/>
      <c r="K637" s="2"/>
      <c r="P637" s="2"/>
    </row>
    <row r="638" ht="12.0" customHeight="1">
      <c r="B638" s="1"/>
      <c r="K638" s="2"/>
      <c r="P638" s="2"/>
    </row>
    <row r="639" ht="12.0" customHeight="1">
      <c r="B639" s="1"/>
      <c r="K639" s="2"/>
      <c r="P639" s="2"/>
    </row>
    <row r="640" ht="12.0" customHeight="1">
      <c r="B640" s="1"/>
      <c r="K640" s="2"/>
      <c r="P640" s="2"/>
    </row>
    <row r="641" ht="12.0" customHeight="1">
      <c r="B641" s="1"/>
      <c r="K641" s="2"/>
      <c r="P641" s="2"/>
    </row>
    <row r="642" ht="12.0" customHeight="1">
      <c r="B642" s="1"/>
      <c r="K642" s="2"/>
      <c r="P642" s="2"/>
    </row>
    <row r="643" ht="12.0" customHeight="1">
      <c r="B643" s="1"/>
      <c r="K643" s="2"/>
      <c r="P643" s="2"/>
    </row>
    <row r="644" ht="12.0" customHeight="1">
      <c r="B644" s="1"/>
      <c r="K644" s="2"/>
      <c r="P644" s="2"/>
    </row>
    <row r="645" ht="12.0" customHeight="1">
      <c r="B645" s="1"/>
      <c r="K645" s="2"/>
      <c r="P645" s="2"/>
    </row>
    <row r="646" ht="12.0" customHeight="1">
      <c r="B646" s="1"/>
      <c r="K646" s="2"/>
      <c r="P646" s="2"/>
    </row>
    <row r="647" ht="12.0" customHeight="1">
      <c r="B647" s="1"/>
      <c r="K647" s="2"/>
      <c r="P647" s="2"/>
    </row>
    <row r="648" ht="12.0" customHeight="1">
      <c r="B648" s="1"/>
      <c r="K648" s="2"/>
      <c r="P648" s="2"/>
    </row>
    <row r="649" ht="12.0" customHeight="1">
      <c r="B649" s="1"/>
      <c r="K649" s="2"/>
      <c r="P649" s="2"/>
    </row>
    <row r="650" ht="12.0" customHeight="1">
      <c r="B650" s="1"/>
      <c r="K650" s="2"/>
      <c r="P650" s="2"/>
    </row>
    <row r="651" ht="12.0" customHeight="1">
      <c r="B651" s="1"/>
      <c r="K651" s="2"/>
      <c r="P651" s="2"/>
    </row>
    <row r="652" ht="12.0" customHeight="1">
      <c r="B652" s="1"/>
      <c r="K652" s="2"/>
      <c r="P652" s="2"/>
    </row>
    <row r="653" ht="12.0" customHeight="1">
      <c r="B653" s="1"/>
      <c r="K653" s="2"/>
      <c r="P653" s="2"/>
    </row>
    <row r="654" ht="12.0" customHeight="1">
      <c r="B654" s="1"/>
      <c r="K654" s="2"/>
      <c r="P654" s="2"/>
    </row>
    <row r="655" ht="12.0" customHeight="1">
      <c r="B655" s="1"/>
      <c r="K655" s="2"/>
      <c r="P655" s="2"/>
    </row>
    <row r="656" ht="12.0" customHeight="1">
      <c r="B656" s="1"/>
      <c r="K656" s="2"/>
      <c r="P656" s="2"/>
    </row>
    <row r="657" ht="12.0" customHeight="1">
      <c r="B657" s="1"/>
      <c r="K657" s="2"/>
      <c r="P657" s="2"/>
    </row>
    <row r="658" ht="12.0" customHeight="1">
      <c r="B658" s="1"/>
      <c r="K658" s="2"/>
      <c r="P658" s="2"/>
    </row>
    <row r="659" ht="12.0" customHeight="1">
      <c r="B659" s="1"/>
      <c r="K659" s="2"/>
      <c r="P659" s="2"/>
    </row>
    <row r="660" ht="12.0" customHeight="1">
      <c r="B660" s="1"/>
      <c r="K660" s="2"/>
      <c r="P660" s="2"/>
    </row>
    <row r="661" ht="12.0" customHeight="1">
      <c r="B661" s="1"/>
      <c r="K661" s="2"/>
      <c r="P661" s="2"/>
    </row>
    <row r="662" ht="12.0" customHeight="1">
      <c r="B662" s="1"/>
      <c r="K662" s="2"/>
      <c r="P662" s="2"/>
    </row>
    <row r="663" ht="12.0" customHeight="1">
      <c r="B663" s="1"/>
      <c r="K663" s="2"/>
      <c r="P663" s="2"/>
    </row>
    <row r="664" ht="12.0" customHeight="1">
      <c r="B664" s="1"/>
      <c r="K664" s="2"/>
      <c r="P664" s="2"/>
    </row>
    <row r="665" ht="12.0" customHeight="1">
      <c r="B665" s="1"/>
      <c r="K665" s="2"/>
      <c r="P665" s="2"/>
    </row>
    <row r="666" ht="12.0" customHeight="1">
      <c r="B666" s="1"/>
      <c r="K666" s="2"/>
      <c r="P666" s="2"/>
    </row>
    <row r="667" ht="12.0" customHeight="1">
      <c r="B667" s="1"/>
      <c r="K667" s="2"/>
      <c r="P667" s="2"/>
    </row>
    <row r="668" ht="12.0" customHeight="1">
      <c r="B668" s="1"/>
      <c r="K668" s="2"/>
      <c r="P668" s="2"/>
    </row>
    <row r="669" ht="12.0" customHeight="1">
      <c r="B669" s="1"/>
      <c r="K669" s="2"/>
      <c r="P669" s="2"/>
    </row>
    <row r="670" ht="12.0" customHeight="1">
      <c r="B670" s="1"/>
      <c r="K670" s="2"/>
      <c r="P670" s="2"/>
    </row>
    <row r="671" ht="12.0" customHeight="1">
      <c r="B671" s="1"/>
      <c r="K671" s="2"/>
      <c r="P671" s="2"/>
    </row>
    <row r="672" ht="12.0" customHeight="1">
      <c r="B672" s="1"/>
      <c r="K672" s="2"/>
      <c r="P672" s="2"/>
    </row>
    <row r="673" ht="12.0" customHeight="1">
      <c r="B673" s="1"/>
      <c r="K673" s="2"/>
      <c r="P673" s="2"/>
    </row>
    <row r="674" ht="12.0" customHeight="1">
      <c r="B674" s="1"/>
      <c r="K674" s="2"/>
      <c r="P674" s="2"/>
    </row>
    <row r="675" ht="12.0" customHeight="1">
      <c r="B675" s="1"/>
      <c r="K675" s="2"/>
      <c r="P675" s="2"/>
    </row>
    <row r="676" ht="12.0" customHeight="1">
      <c r="B676" s="1"/>
      <c r="K676" s="2"/>
      <c r="P676" s="2"/>
    </row>
    <row r="677" ht="12.0" customHeight="1">
      <c r="B677" s="1"/>
      <c r="K677" s="2"/>
      <c r="P677" s="2"/>
    </row>
    <row r="678" ht="12.0" customHeight="1">
      <c r="B678" s="1"/>
      <c r="K678" s="2"/>
      <c r="P678" s="2"/>
    </row>
    <row r="679" ht="12.0" customHeight="1">
      <c r="B679" s="1"/>
      <c r="K679" s="2"/>
      <c r="P679" s="2"/>
    </row>
    <row r="680" ht="12.0" customHeight="1">
      <c r="B680" s="1"/>
      <c r="K680" s="2"/>
      <c r="P680" s="2"/>
    </row>
    <row r="681" ht="12.0" customHeight="1">
      <c r="B681" s="1"/>
      <c r="K681" s="2"/>
      <c r="P681" s="2"/>
    </row>
    <row r="682" ht="12.0" customHeight="1">
      <c r="B682" s="1"/>
      <c r="K682" s="2"/>
      <c r="P682" s="2"/>
    </row>
    <row r="683" ht="12.0" customHeight="1">
      <c r="B683" s="1"/>
      <c r="K683" s="2"/>
      <c r="P683" s="2"/>
    </row>
    <row r="684" ht="12.0" customHeight="1">
      <c r="B684" s="1"/>
      <c r="K684" s="2"/>
      <c r="P684" s="2"/>
    </row>
    <row r="685" ht="12.0" customHeight="1">
      <c r="B685" s="1"/>
      <c r="K685" s="2"/>
      <c r="P685" s="2"/>
    </row>
    <row r="686" ht="12.0" customHeight="1">
      <c r="B686" s="1"/>
      <c r="K686" s="2"/>
      <c r="P686" s="2"/>
    </row>
    <row r="687" ht="12.0" customHeight="1">
      <c r="B687" s="1"/>
      <c r="K687" s="2"/>
      <c r="P687" s="2"/>
    </row>
    <row r="688" ht="12.0" customHeight="1">
      <c r="B688" s="1"/>
      <c r="K688" s="2"/>
      <c r="P688" s="2"/>
    </row>
    <row r="689" ht="12.0" customHeight="1">
      <c r="B689" s="1"/>
      <c r="K689" s="2"/>
      <c r="P689" s="2"/>
    </row>
    <row r="690" ht="12.0" customHeight="1">
      <c r="B690" s="1"/>
      <c r="K690" s="2"/>
      <c r="P690" s="2"/>
    </row>
    <row r="691" ht="12.0" customHeight="1">
      <c r="B691" s="1"/>
      <c r="K691" s="2"/>
      <c r="P691" s="2"/>
    </row>
    <row r="692" ht="12.0" customHeight="1">
      <c r="B692" s="1"/>
      <c r="K692" s="2"/>
      <c r="P692" s="2"/>
    </row>
    <row r="693" ht="12.0" customHeight="1">
      <c r="B693" s="1"/>
      <c r="K693" s="2"/>
      <c r="P693" s="2"/>
    </row>
    <row r="694" ht="12.0" customHeight="1">
      <c r="B694" s="1"/>
      <c r="K694" s="2"/>
      <c r="P694" s="2"/>
    </row>
    <row r="695" ht="12.0" customHeight="1">
      <c r="B695" s="1"/>
      <c r="K695" s="2"/>
      <c r="P695" s="2"/>
    </row>
    <row r="696" ht="12.0" customHeight="1">
      <c r="B696" s="1"/>
      <c r="K696" s="2"/>
      <c r="P696" s="2"/>
    </row>
    <row r="697" ht="12.0" customHeight="1">
      <c r="B697" s="1"/>
      <c r="K697" s="2"/>
      <c r="P697" s="2"/>
    </row>
    <row r="698" ht="12.0" customHeight="1">
      <c r="B698" s="1"/>
      <c r="K698" s="2"/>
      <c r="P698" s="2"/>
    </row>
    <row r="699" ht="12.0" customHeight="1">
      <c r="B699" s="1"/>
      <c r="K699" s="2"/>
      <c r="P699" s="2"/>
    </row>
    <row r="700" ht="12.0" customHeight="1">
      <c r="B700" s="1"/>
      <c r="K700" s="2"/>
      <c r="P700" s="2"/>
    </row>
    <row r="701" ht="12.0" customHeight="1">
      <c r="B701" s="1"/>
      <c r="K701" s="2"/>
      <c r="P701" s="2"/>
    </row>
    <row r="702" ht="12.0" customHeight="1">
      <c r="B702" s="1"/>
      <c r="K702" s="2"/>
      <c r="P702" s="2"/>
    </row>
    <row r="703" ht="12.0" customHeight="1">
      <c r="B703" s="1"/>
      <c r="K703" s="2"/>
      <c r="P703" s="2"/>
    </row>
    <row r="704" ht="12.0" customHeight="1">
      <c r="B704" s="1"/>
      <c r="K704" s="2"/>
      <c r="P704" s="2"/>
    </row>
    <row r="705" ht="12.0" customHeight="1">
      <c r="B705" s="1"/>
      <c r="K705" s="2"/>
      <c r="P705" s="2"/>
    </row>
    <row r="706" ht="12.0" customHeight="1">
      <c r="B706" s="1"/>
      <c r="K706" s="2"/>
      <c r="P706" s="2"/>
    </row>
    <row r="707" ht="12.0" customHeight="1">
      <c r="B707" s="1"/>
      <c r="K707" s="2"/>
      <c r="P707" s="2"/>
    </row>
    <row r="708" ht="12.0" customHeight="1">
      <c r="B708" s="1"/>
      <c r="K708" s="2"/>
      <c r="P708" s="2"/>
    </row>
    <row r="709" ht="12.0" customHeight="1">
      <c r="B709" s="1"/>
      <c r="K709" s="2"/>
      <c r="P709" s="2"/>
    </row>
    <row r="710" ht="12.0" customHeight="1">
      <c r="B710" s="1"/>
      <c r="K710" s="2"/>
      <c r="P710" s="2"/>
    </row>
    <row r="711" ht="12.0" customHeight="1">
      <c r="B711" s="1"/>
      <c r="K711" s="2"/>
      <c r="P711" s="2"/>
    </row>
    <row r="712" ht="12.0" customHeight="1">
      <c r="B712" s="1"/>
      <c r="K712" s="2"/>
      <c r="P712" s="2"/>
    </row>
    <row r="713" ht="12.0" customHeight="1">
      <c r="B713" s="1"/>
      <c r="K713" s="2"/>
      <c r="P713" s="2"/>
    </row>
    <row r="714" ht="12.0" customHeight="1">
      <c r="B714" s="1"/>
      <c r="K714" s="2"/>
      <c r="P714" s="2"/>
    </row>
    <row r="715" ht="12.0" customHeight="1">
      <c r="B715" s="1"/>
      <c r="K715" s="2"/>
      <c r="P715" s="2"/>
    </row>
    <row r="716" ht="12.0" customHeight="1">
      <c r="B716" s="1"/>
      <c r="K716" s="2"/>
      <c r="P716" s="2"/>
    </row>
    <row r="717" ht="12.0" customHeight="1">
      <c r="B717" s="1"/>
      <c r="K717" s="2"/>
      <c r="P717" s="2"/>
    </row>
    <row r="718" ht="12.0" customHeight="1">
      <c r="B718" s="1"/>
      <c r="K718" s="2"/>
      <c r="P718" s="2"/>
    </row>
    <row r="719" ht="12.0" customHeight="1">
      <c r="B719" s="1"/>
      <c r="K719" s="2"/>
      <c r="P719" s="2"/>
    </row>
    <row r="720" ht="12.0" customHeight="1">
      <c r="B720" s="1"/>
      <c r="K720" s="2"/>
      <c r="P720" s="2"/>
    </row>
    <row r="721" ht="12.0" customHeight="1">
      <c r="B721" s="1"/>
      <c r="K721" s="2"/>
      <c r="P721" s="2"/>
    </row>
    <row r="722" ht="12.0" customHeight="1">
      <c r="B722" s="1"/>
      <c r="K722" s="2"/>
      <c r="P722" s="2"/>
    </row>
    <row r="723" ht="12.0" customHeight="1">
      <c r="B723" s="1"/>
      <c r="K723" s="2"/>
      <c r="P723" s="2"/>
    </row>
    <row r="724" ht="12.0" customHeight="1">
      <c r="B724" s="1"/>
      <c r="K724" s="2"/>
      <c r="P724" s="2"/>
    </row>
    <row r="725" ht="12.0" customHeight="1">
      <c r="B725" s="1"/>
      <c r="K725" s="2"/>
      <c r="P725" s="2"/>
    </row>
    <row r="726" ht="12.0" customHeight="1">
      <c r="B726" s="1"/>
      <c r="K726" s="2"/>
      <c r="P726" s="2"/>
    </row>
    <row r="727" ht="12.0" customHeight="1">
      <c r="B727" s="1"/>
      <c r="K727" s="2"/>
      <c r="P727" s="2"/>
    </row>
    <row r="728" ht="12.0" customHeight="1">
      <c r="B728" s="1"/>
      <c r="K728" s="2"/>
      <c r="P728" s="2"/>
    </row>
    <row r="729" ht="12.0" customHeight="1">
      <c r="B729" s="1"/>
      <c r="K729" s="2"/>
      <c r="P729" s="2"/>
    </row>
    <row r="730" ht="12.0" customHeight="1">
      <c r="B730" s="1"/>
      <c r="K730" s="2"/>
      <c r="P730" s="2"/>
    </row>
    <row r="731" ht="12.0" customHeight="1">
      <c r="B731" s="1"/>
      <c r="K731" s="2"/>
      <c r="P731" s="2"/>
    </row>
    <row r="732" ht="12.0" customHeight="1">
      <c r="B732" s="1"/>
      <c r="K732" s="2"/>
      <c r="P732" s="2"/>
    </row>
    <row r="733" ht="12.0" customHeight="1">
      <c r="B733" s="1"/>
      <c r="K733" s="2"/>
      <c r="P733" s="2"/>
    </row>
    <row r="734" ht="12.0" customHeight="1">
      <c r="B734" s="1"/>
      <c r="K734" s="2"/>
      <c r="P734" s="2"/>
    </row>
    <row r="735" ht="12.0" customHeight="1">
      <c r="B735" s="1"/>
      <c r="K735" s="2"/>
      <c r="P735" s="2"/>
    </row>
    <row r="736" ht="12.0" customHeight="1">
      <c r="B736" s="1"/>
      <c r="K736" s="2"/>
      <c r="P736" s="2"/>
    </row>
    <row r="737" ht="12.0" customHeight="1">
      <c r="B737" s="1"/>
      <c r="K737" s="2"/>
      <c r="P737" s="2"/>
    </row>
    <row r="738" ht="12.0" customHeight="1">
      <c r="B738" s="1"/>
      <c r="K738" s="2"/>
      <c r="P738" s="2"/>
    </row>
    <row r="739" ht="12.0" customHeight="1">
      <c r="B739" s="1"/>
      <c r="K739" s="2"/>
      <c r="P739" s="2"/>
    </row>
    <row r="740" ht="12.0" customHeight="1">
      <c r="B740" s="1"/>
      <c r="K740" s="2"/>
      <c r="P740" s="2"/>
    </row>
    <row r="741" ht="12.0" customHeight="1">
      <c r="B741" s="1"/>
      <c r="K741" s="2"/>
      <c r="P741" s="2"/>
    </row>
    <row r="742" ht="12.0" customHeight="1">
      <c r="B742" s="1"/>
      <c r="K742" s="2"/>
      <c r="P742" s="2"/>
    </row>
    <row r="743" ht="12.0" customHeight="1">
      <c r="B743" s="1"/>
      <c r="K743" s="2"/>
      <c r="P743" s="2"/>
    </row>
    <row r="744" ht="12.0" customHeight="1">
      <c r="B744" s="1"/>
      <c r="K744" s="2"/>
      <c r="P744" s="2"/>
    </row>
    <row r="745" ht="12.0" customHeight="1">
      <c r="B745" s="1"/>
      <c r="K745" s="2"/>
      <c r="P745" s="2"/>
    </row>
    <row r="746" ht="12.0" customHeight="1">
      <c r="B746" s="1"/>
      <c r="K746" s="2"/>
      <c r="P746" s="2"/>
    </row>
    <row r="747" ht="12.0" customHeight="1">
      <c r="B747" s="1"/>
      <c r="K747" s="2"/>
      <c r="P747" s="2"/>
    </row>
    <row r="748" ht="12.0" customHeight="1">
      <c r="B748" s="1"/>
      <c r="K748" s="2"/>
      <c r="P748" s="2"/>
    </row>
    <row r="749" ht="12.0" customHeight="1">
      <c r="B749" s="1"/>
      <c r="K749" s="2"/>
      <c r="P749" s="2"/>
    </row>
    <row r="750" ht="12.0" customHeight="1">
      <c r="B750" s="1"/>
      <c r="K750" s="2"/>
      <c r="P750" s="2"/>
    </row>
    <row r="751" ht="12.0" customHeight="1">
      <c r="B751" s="1"/>
      <c r="K751" s="2"/>
      <c r="P751" s="2"/>
    </row>
    <row r="752" ht="12.0" customHeight="1">
      <c r="B752" s="1"/>
      <c r="K752" s="2"/>
      <c r="P752" s="2"/>
    </row>
    <row r="753" ht="12.0" customHeight="1">
      <c r="B753" s="1"/>
      <c r="K753" s="2"/>
      <c r="P753" s="2"/>
    </row>
    <row r="754" ht="12.0" customHeight="1">
      <c r="B754" s="1"/>
      <c r="K754" s="2"/>
      <c r="P754" s="2"/>
    </row>
    <row r="755" ht="12.0" customHeight="1">
      <c r="B755" s="1"/>
      <c r="K755" s="2"/>
      <c r="P755" s="2"/>
    </row>
    <row r="756" ht="12.0" customHeight="1">
      <c r="B756" s="1"/>
      <c r="K756" s="2"/>
      <c r="P756" s="2"/>
    </row>
    <row r="757" ht="12.0" customHeight="1">
      <c r="B757" s="1"/>
      <c r="K757" s="2"/>
      <c r="P757" s="2"/>
    </row>
    <row r="758" ht="12.0" customHeight="1">
      <c r="B758" s="1"/>
      <c r="K758" s="2"/>
      <c r="P758" s="2"/>
    </row>
    <row r="759" ht="12.0" customHeight="1">
      <c r="B759" s="1"/>
      <c r="K759" s="2"/>
      <c r="P759" s="2"/>
    </row>
    <row r="760" ht="12.0" customHeight="1">
      <c r="B760" s="1"/>
      <c r="K760" s="2"/>
      <c r="P760" s="2"/>
    </row>
    <row r="761" ht="12.0" customHeight="1">
      <c r="B761" s="1"/>
      <c r="K761" s="2"/>
      <c r="P761" s="2"/>
    </row>
    <row r="762" ht="12.0" customHeight="1">
      <c r="B762" s="1"/>
      <c r="K762" s="2"/>
      <c r="P762" s="2"/>
    </row>
    <row r="763" ht="12.0" customHeight="1">
      <c r="B763" s="1"/>
      <c r="K763" s="2"/>
      <c r="P763" s="2"/>
    </row>
    <row r="764" ht="12.0" customHeight="1">
      <c r="B764" s="1"/>
      <c r="K764" s="2"/>
      <c r="P764" s="2"/>
    </row>
    <row r="765" ht="12.0" customHeight="1">
      <c r="B765" s="1"/>
      <c r="K765" s="2"/>
      <c r="P765" s="2"/>
    </row>
    <row r="766" ht="12.0" customHeight="1">
      <c r="B766" s="1"/>
      <c r="K766" s="2"/>
      <c r="P766" s="2"/>
    </row>
    <row r="767" ht="12.0" customHeight="1">
      <c r="B767" s="1"/>
      <c r="K767" s="2"/>
      <c r="P767" s="2"/>
    </row>
    <row r="768" ht="12.0" customHeight="1">
      <c r="B768" s="1"/>
      <c r="K768" s="2"/>
      <c r="P768" s="2"/>
    </row>
    <row r="769" ht="12.0" customHeight="1">
      <c r="B769" s="1"/>
      <c r="K769" s="2"/>
      <c r="P769" s="2"/>
    </row>
    <row r="770" ht="12.0" customHeight="1">
      <c r="B770" s="1"/>
      <c r="K770" s="2"/>
      <c r="P770" s="2"/>
    </row>
    <row r="771" ht="12.0" customHeight="1">
      <c r="B771" s="1"/>
      <c r="K771" s="2"/>
      <c r="P771" s="2"/>
    </row>
    <row r="772" ht="12.0" customHeight="1">
      <c r="B772" s="1"/>
      <c r="K772" s="2"/>
      <c r="P772" s="2"/>
    </row>
    <row r="773" ht="12.0" customHeight="1">
      <c r="B773" s="1"/>
      <c r="K773" s="2"/>
      <c r="P773" s="2"/>
    </row>
    <row r="774" ht="12.0" customHeight="1">
      <c r="B774" s="1"/>
      <c r="K774" s="2"/>
      <c r="P774" s="2"/>
    </row>
    <row r="775" ht="12.0" customHeight="1">
      <c r="B775" s="1"/>
      <c r="K775" s="2"/>
      <c r="P775" s="2"/>
    </row>
    <row r="776" ht="12.0" customHeight="1">
      <c r="B776" s="1"/>
      <c r="K776" s="2"/>
      <c r="P776" s="2"/>
    </row>
    <row r="777" ht="12.0" customHeight="1">
      <c r="B777" s="1"/>
      <c r="K777" s="2"/>
      <c r="P777" s="2"/>
    </row>
    <row r="778" ht="12.0" customHeight="1">
      <c r="B778" s="1"/>
      <c r="K778" s="2"/>
      <c r="P778" s="2"/>
    </row>
    <row r="779" ht="12.0" customHeight="1">
      <c r="B779" s="1"/>
      <c r="K779" s="2"/>
      <c r="P779" s="2"/>
    </row>
    <row r="780" ht="12.0" customHeight="1">
      <c r="B780" s="1"/>
      <c r="K780" s="2"/>
      <c r="P780" s="2"/>
    </row>
    <row r="781" ht="12.0" customHeight="1">
      <c r="B781" s="1"/>
      <c r="K781" s="2"/>
      <c r="P781" s="2"/>
    </row>
    <row r="782" ht="12.0" customHeight="1">
      <c r="B782" s="1"/>
      <c r="K782" s="2"/>
      <c r="P782" s="2"/>
    </row>
    <row r="783" ht="12.0" customHeight="1">
      <c r="B783" s="1"/>
      <c r="K783" s="2"/>
      <c r="P783" s="2"/>
    </row>
    <row r="784" ht="12.0" customHeight="1">
      <c r="B784" s="1"/>
      <c r="K784" s="2"/>
      <c r="P784" s="2"/>
    </row>
    <row r="785" ht="12.0" customHeight="1">
      <c r="B785" s="1"/>
      <c r="K785" s="2"/>
      <c r="P785" s="2"/>
    </row>
    <row r="786" ht="12.0" customHeight="1">
      <c r="B786" s="1"/>
      <c r="K786" s="2"/>
      <c r="P786" s="2"/>
    </row>
    <row r="787" ht="12.0" customHeight="1">
      <c r="B787" s="1"/>
      <c r="K787" s="2"/>
      <c r="P787" s="2"/>
    </row>
    <row r="788" ht="12.0" customHeight="1">
      <c r="B788" s="1"/>
      <c r="K788" s="2"/>
      <c r="P788" s="2"/>
    </row>
    <row r="789" ht="12.0" customHeight="1">
      <c r="B789" s="1"/>
      <c r="K789" s="2"/>
      <c r="P789" s="2"/>
    </row>
    <row r="790" ht="12.0" customHeight="1">
      <c r="B790" s="1"/>
      <c r="K790" s="2"/>
      <c r="P790" s="2"/>
    </row>
    <row r="791" ht="12.0" customHeight="1">
      <c r="B791" s="1"/>
      <c r="K791" s="2"/>
      <c r="P791" s="2"/>
    </row>
    <row r="792" ht="12.0" customHeight="1">
      <c r="B792" s="1"/>
      <c r="K792" s="2"/>
      <c r="P792" s="2"/>
    </row>
    <row r="793" ht="12.0" customHeight="1">
      <c r="B793" s="1"/>
      <c r="K793" s="2"/>
      <c r="P793" s="2"/>
    </row>
    <row r="794" ht="12.0" customHeight="1">
      <c r="B794" s="1"/>
      <c r="K794" s="2"/>
      <c r="P794" s="2"/>
    </row>
    <row r="795" ht="12.0" customHeight="1">
      <c r="B795" s="1"/>
      <c r="K795" s="2"/>
      <c r="P795" s="2"/>
    </row>
    <row r="796" ht="12.0" customHeight="1">
      <c r="B796" s="1"/>
      <c r="K796" s="2"/>
      <c r="P796" s="2"/>
    </row>
    <row r="797" ht="12.0" customHeight="1">
      <c r="B797" s="1"/>
      <c r="K797" s="2"/>
      <c r="P797" s="2"/>
    </row>
    <row r="798" ht="12.0" customHeight="1">
      <c r="B798" s="1"/>
      <c r="K798" s="2"/>
      <c r="P798" s="2"/>
    </row>
    <row r="799" ht="12.0" customHeight="1">
      <c r="B799" s="1"/>
      <c r="K799" s="2"/>
      <c r="P799" s="2"/>
    </row>
    <row r="800" ht="12.0" customHeight="1">
      <c r="B800" s="1"/>
      <c r="K800" s="2"/>
      <c r="P800" s="2"/>
    </row>
    <row r="801" ht="12.0" customHeight="1">
      <c r="B801" s="1"/>
      <c r="K801" s="2"/>
      <c r="P801" s="2"/>
    </row>
    <row r="802" ht="12.0" customHeight="1">
      <c r="B802" s="1"/>
      <c r="K802" s="2"/>
      <c r="P802" s="2"/>
    </row>
    <row r="803" ht="12.0" customHeight="1">
      <c r="B803" s="1"/>
      <c r="K803" s="2"/>
      <c r="P803" s="2"/>
    </row>
    <row r="804" ht="12.0" customHeight="1">
      <c r="B804" s="1"/>
      <c r="K804" s="2"/>
      <c r="P804" s="2"/>
    </row>
    <row r="805" ht="12.0" customHeight="1">
      <c r="B805" s="1"/>
      <c r="K805" s="2"/>
      <c r="P805" s="2"/>
    </row>
    <row r="806" ht="12.0" customHeight="1">
      <c r="B806" s="1"/>
      <c r="K806" s="2"/>
      <c r="P806" s="2"/>
    </row>
    <row r="807" ht="12.0" customHeight="1">
      <c r="B807" s="1"/>
      <c r="K807" s="2"/>
      <c r="P807" s="2"/>
    </row>
    <row r="808" ht="12.0" customHeight="1">
      <c r="B808" s="1"/>
      <c r="K808" s="2"/>
      <c r="P808" s="2"/>
    </row>
    <row r="809" ht="12.0" customHeight="1">
      <c r="B809" s="1"/>
      <c r="K809" s="2"/>
      <c r="P809" s="2"/>
    </row>
    <row r="810" ht="12.0" customHeight="1">
      <c r="B810" s="1"/>
      <c r="K810" s="2"/>
      <c r="P810" s="2"/>
    </row>
    <row r="811" ht="12.0" customHeight="1">
      <c r="B811" s="1"/>
      <c r="K811" s="2"/>
      <c r="P811" s="2"/>
    </row>
    <row r="812" ht="12.0" customHeight="1">
      <c r="B812" s="1"/>
      <c r="K812" s="2"/>
      <c r="P812" s="2"/>
    </row>
    <row r="813" ht="12.0" customHeight="1">
      <c r="B813" s="1"/>
      <c r="K813" s="2"/>
      <c r="P813" s="2"/>
    </row>
    <row r="814" ht="12.0" customHeight="1">
      <c r="B814" s="1"/>
      <c r="K814" s="2"/>
      <c r="P814" s="2"/>
    </row>
    <row r="815" ht="12.0" customHeight="1">
      <c r="B815" s="1"/>
      <c r="K815" s="2"/>
      <c r="P815" s="2"/>
    </row>
    <row r="816" ht="12.0" customHeight="1">
      <c r="B816" s="1"/>
      <c r="K816" s="2"/>
      <c r="P816" s="2"/>
    </row>
    <row r="817" ht="12.0" customHeight="1">
      <c r="B817" s="1"/>
      <c r="K817" s="2"/>
      <c r="P817" s="2"/>
    </row>
    <row r="818" ht="12.0" customHeight="1">
      <c r="B818" s="1"/>
      <c r="K818" s="2"/>
      <c r="P818" s="2"/>
    </row>
    <row r="819" ht="12.0" customHeight="1">
      <c r="B819" s="1"/>
      <c r="K819" s="2"/>
      <c r="P819" s="2"/>
    </row>
    <row r="820" ht="12.0" customHeight="1">
      <c r="B820" s="1"/>
      <c r="K820" s="2"/>
      <c r="P820" s="2"/>
    </row>
    <row r="821" ht="12.0" customHeight="1">
      <c r="B821" s="1"/>
      <c r="K821" s="2"/>
      <c r="P821" s="2"/>
    </row>
    <row r="822" ht="12.0" customHeight="1">
      <c r="B822" s="1"/>
      <c r="K822" s="2"/>
      <c r="P822" s="2"/>
    </row>
    <row r="823" ht="12.0" customHeight="1">
      <c r="B823" s="1"/>
      <c r="K823" s="2"/>
      <c r="P823" s="2"/>
    </row>
    <row r="824" ht="12.0" customHeight="1">
      <c r="B824" s="1"/>
      <c r="K824" s="2"/>
      <c r="P824" s="2"/>
    </row>
    <row r="825" ht="12.0" customHeight="1">
      <c r="B825" s="1"/>
      <c r="K825" s="2"/>
      <c r="P825" s="2"/>
    </row>
    <row r="826" ht="12.0" customHeight="1">
      <c r="B826" s="1"/>
      <c r="K826" s="2"/>
      <c r="P826" s="2"/>
    </row>
    <row r="827" ht="12.0" customHeight="1">
      <c r="B827" s="1"/>
      <c r="K827" s="2"/>
      <c r="P827" s="2"/>
    </row>
    <row r="828" ht="12.0" customHeight="1">
      <c r="B828" s="1"/>
      <c r="K828" s="2"/>
      <c r="P828" s="2"/>
    </row>
    <row r="829" ht="12.0" customHeight="1">
      <c r="B829" s="1"/>
      <c r="K829" s="2"/>
      <c r="P829" s="2"/>
    </row>
    <row r="830" ht="12.0" customHeight="1">
      <c r="B830" s="1"/>
      <c r="K830" s="2"/>
      <c r="P830" s="2"/>
    </row>
    <row r="831" ht="12.0" customHeight="1">
      <c r="B831" s="1"/>
      <c r="K831" s="2"/>
      <c r="P831" s="2"/>
    </row>
    <row r="832" ht="12.0" customHeight="1">
      <c r="B832" s="1"/>
      <c r="K832" s="2"/>
      <c r="P832" s="2"/>
    </row>
    <row r="833" ht="12.0" customHeight="1">
      <c r="B833" s="1"/>
      <c r="K833" s="2"/>
      <c r="P833" s="2"/>
    </row>
    <row r="834" ht="12.0" customHeight="1">
      <c r="B834" s="1"/>
      <c r="K834" s="2"/>
      <c r="P834" s="2"/>
    </row>
    <row r="835" ht="12.0" customHeight="1">
      <c r="B835" s="1"/>
      <c r="K835" s="2"/>
      <c r="P835" s="2"/>
    </row>
    <row r="836" ht="12.0" customHeight="1">
      <c r="B836" s="1"/>
      <c r="K836" s="2"/>
      <c r="P836" s="2"/>
    </row>
    <row r="837" ht="12.0" customHeight="1">
      <c r="B837" s="1"/>
      <c r="K837" s="2"/>
      <c r="P837" s="2"/>
    </row>
    <row r="838" ht="12.0" customHeight="1">
      <c r="B838" s="1"/>
      <c r="K838" s="2"/>
      <c r="P838" s="2"/>
    </row>
    <row r="839" ht="12.0" customHeight="1">
      <c r="B839" s="1"/>
      <c r="K839" s="2"/>
      <c r="P839" s="2"/>
    </row>
    <row r="840" ht="12.0" customHeight="1">
      <c r="B840" s="1"/>
      <c r="K840" s="2"/>
      <c r="P840" s="2"/>
    </row>
    <row r="841" ht="12.0" customHeight="1">
      <c r="B841" s="1"/>
      <c r="K841" s="2"/>
      <c r="P841" s="2"/>
    </row>
    <row r="842" ht="12.0" customHeight="1">
      <c r="B842" s="1"/>
      <c r="K842" s="2"/>
      <c r="P842" s="2"/>
    </row>
    <row r="843" ht="12.0" customHeight="1">
      <c r="B843" s="1"/>
      <c r="K843" s="2"/>
      <c r="P843" s="2"/>
    </row>
    <row r="844" ht="12.0" customHeight="1">
      <c r="B844" s="1"/>
      <c r="K844" s="2"/>
      <c r="P844" s="2"/>
    </row>
    <row r="845" ht="12.0" customHeight="1">
      <c r="B845" s="1"/>
      <c r="K845" s="2"/>
      <c r="P845" s="2"/>
    </row>
    <row r="846" ht="12.0" customHeight="1">
      <c r="B846" s="1"/>
      <c r="K846" s="2"/>
      <c r="P846" s="2"/>
    </row>
    <row r="847" ht="12.0" customHeight="1">
      <c r="B847" s="1"/>
      <c r="K847" s="2"/>
      <c r="P847" s="2"/>
    </row>
    <row r="848" ht="12.0" customHeight="1">
      <c r="B848" s="1"/>
      <c r="K848" s="2"/>
      <c r="P848" s="2"/>
    </row>
    <row r="849" ht="12.0" customHeight="1">
      <c r="B849" s="1"/>
      <c r="K849" s="2"/>
      <c r="P849" s="2"/>
    </row>
    <row r="850" ht="12.0" customHeight="1">
      <c r="B850" s="1"/>
      <c r="K850" s="2"/>
      <c r="P850" s="2"/>
    </row>
    <row r="851" ht="12.0" customHeight="1">
      <c r="B851" s="1"/>
      <c r="K851" s="2"/>
      <c r="P851" s="2"/>
    </row>
    <row r="852" ht="12.0" customHeight="1">
      <c r="B852" s="1"/>
      <c r="K852" s="2"/>
      <c r="P852" s="2"/>
    </row>
    <row r="853" ht="12.0" customHeight="1">
      <c r="B853" s="1"/>
      <c r="K853" s="2"/>
      <c r="P853" s="2"/>
    </row>
    <row r="854" ht="12.0" customHeight="1">
      <c r="B854" s="1"/>
      <c r="K854" s="2"/>
      <c r="P854" s="2"/>
    </row>
    <row r="855" ht="12.0" customHeight="1">
      <c r="B855" s="1"/>
      <c r="K855" s="2"/>
      <c r="P855" s="2"/>
    </row>
    <row r="856" ht="12.0" customHeight="1">
      <c r="B856" s="1"/>
      <c r="K856" s="2"/>
      <c r="P856" s="2"/>
    </row>
    <row r="857" ht="12.0" customHeight="1">
      <c r="B857" s="1"/>
      <c r="K857" s="2"/>
      <c r="P857" s="2"/>
    </row>
    <row r="858" ht="12.0" customHeight="1">
      <c r="B858" s="1"/>
      <c r="K858" s="2"/>
      <c r="P858" s="2"/>
    </row>
    <row r="859" ht="12.0" customHeight="1">
      <c r="B859" s="1"/>
      <c r="K859" s="2"/>
      <c r="P859" s="2"/>
    </row>
    <row r="860" ht="12.0" customHeight="1">
      <c r="B860" s="1"/>
      <c r="K860" s="2"/>
      <c r="P860" s="2"/>
    </row>
    <row r="861" ht="12.0" customHeight="1">
      <c r="B861" s="1"/>
      <c r="K861" s="2"/>
      <c r="P861" s="2"/>
    </row>
    <row r="862" ht="12.0" customHeight="1">
      <c r="B862" s="1"/>
      <c r="K862" s="2"/>
      <c r="P862" s="2"/>
    </row>
    <row r="863" ht="12.0" customHeight="1">
      <c r="B863" s="1"/>
      <c r="K863" s="2"/>
      <c r="P863" s="2"/>
    </row>
    <row r="864" ht="12.0" customHeight="1">
      <c r="B864" s="1"/>
      <c r="K864" s="2"/>
      <c r="P864" s="2"/>
    </row>
    <row r="865" ht="12.0" customHeight="1">
      <c r="B865" s="1"/>
      <c r="K865" s="2"/>
      <c r="P865" s="2"/>
    </row>
    <row r="866" ht="12.0" customHeight="1">
      <c r="B866" s="1"/>
      <c r="K866" s="2"/>
      <c r="P866" s="2"/>
    </row>
    <row r="867" ht="12.0" customHeight="1">
      <c r="B867" s="1"/>
      <c r="K867" s="2"/>
      <c r="P867" s="2"/>
    </row>
    <row r="868" ht="12.0" customHeight="1">
      <c r="B868" s="1"/>
      <c r="K868" s="2"/>
      <c r="P868" s="2"/>
    </row>
    <row r="869" ht="12.0" customHeight="1">
      <c r="B869" s="1"/>
      <c r="K869" s="2"/>
      <c r="P869" s="2"/>
    </row>
    <row r="870" ht="12.0" customHeight="1">
      <c r="B870" s="1"/>
      <c r="K870" s="2"/>
      <c r="P870" s="2"/>
    </row>
    <row r="871" ht="12.0" customHeight="1">
      <c r="B871" s="1"/>
      <c r="K871" s="2"/>
      <c r="P871" s="2"/>
    </row>
    <row r="872" ht="12.0" customHeight="1">
      <c r="B872" s="1"/>
      <c r="K872" s="2"/>
      <c r="P872" s="2"/>
    </row>
    <row r="873" ht="12.0" customHeight="1">
      <c r="B873" s="1"/>
      <c r="K873" s="2"/>
      <c r="P873" s="2"/>
    </row>
    <row r="874" ht="12.0" customHeight="1">
      <c r="B874" s="1"/>
      <c r="K874" s="2"/>
      <c r="P874" s="2"/>
    </row>
    <row r="875" ht="12.0" customHeight="1">
      <c r="B875" s="1"/>
      <c r="K875" s="2"/>
      <c r="P875" s="2"/>
    </row>
    <row r="876" ht="12.0" customHeight="1">
      <c r="B876" s="1"/>
      <c r="K876" s="2"/>
      <c r="P876" s="2"/>
    </row>
    <row r="877" ht="12.0" customHeight="1">
      <c r="B877" s="1"/>
      <c r="K877" s="2"/>
      <c r="P877" s="2"/>
    </row>
    <row r="878" ht="12.0" customHeight="1">
      <c r="B878" s="1"/>
      <c r="K878" s="2"/>
      <c r="P878" s="2"/>
    </row>
    <row r="879" ht="12.0" customHeight="1">
      <c r="B879" s="1"/>
      <c r="K879" s="2"/>
      <c r="P879" s="2"/>
    </row>
    <row r="880" ht="12.0" customHeight="1">
      <c r="B880" s="1"/>
      <c r="K880" s="2"/>
      <c r="P880" s="2"/>
    </row>
    <row r="881" ht="12.0" customHeight="1">
      <c r="B881" s="1"/>
      <c r="K881" s="2"/>
      <c r="P881" s="2"/>
    </row>
    <row r="882" ht="12.0" customHeight="1">
      <c r="B882" s="1"/>
      <c r="K882" s="2"/>
      <c r="P882" s="2"/>
    </row>
    <row r="883" ht="12.0" customHeight="1">
      <c r="B883" s="1"/>
      <c r="K883" s="2"/>
      <c r="P883" s="2"/>
    </row>
    <row r="884" ht="12.0" customHeight="1">
      <c r="B884" s="1"/>
      <c r="K884" s="2"/>
      <c r="P884" s="2"/>
    </row>
    <row r="885" ht="12.0" customHeight="1">
      <c r="B885" s="1"/>
      <c r="K885" s="2"/>
      <c r="P885" s="2"/>
    </row>
    <row r="886" ht="12.0" customHeight="1">
      <c r="B886" s="1"/>
      <c r="K886" s="2"/>
      <c r="P886" s="2"/>
    </row>
    <row r="887" ht="12.0" customHeight="1">
      <c r="B887" s="1"/>
      <c r="K887" s="2"/>
      <c r="P887" s="2"/>
    </row>
    <row r="888" ht="12.0" customHeight="1">
      <c r="B888" s="1"/>
      <c r="K888" s="2"/>
      <c r="P888" s="2"/>
    </row>
    <row r="889" ht="12.0" customHeight="1">
      <c r="B889" s="1"/>
      <c r="K889" s="2"/>
      <c r="P889" s="2"/>
    </row>
    <row r="890" ht="12.0" customHeight="1">
      <c r="B890" s="1"/>
      <c r="K890" s="2"/>
      <c r="P890" s="2"/>
    </row>
    <row r="891" ht="12.0" customHeight="1">
      <c r="B891" s="1"/>
      <c r="K891" s="2"/>
      <c r="P891" s="2"/>
    </row>
    <row r="892" ht="12.0" customHeight="1">
      <c r="B892" s="1"/>
      <c r="K892" s="2"/>
      <c r="P892" s="2"/>
    </row>
    <row r="893" ht="12.0" customHeight="1">
      <c r="B893" s="1"/>
      <c r="K893" s="2"/>
      <c r="P893" s="2"/>
    </row>
    <row r="894" ht="12.0" customHeight="1">
      <c r="B894" s="1"/>
      <c r="K894" s="2"/>
      <c r="P894" s="2"/>
    </row>
    <row r="895" ht="12.0" customHeight="1">
      <c r="B895" s="1"/>
      <c r="K895" s="2"/>
      <c r="P895" s="2"/>
    </row>
    <row r="896" ht="12.0" customHeight="1">
      <c r="B896" s="1"/>
      <c r="K896" s="2"/>
      <c r="P896" s="2"/>
    </row>
    <row r="897" ht="12.0" customHeight="1">
      <c r="B897" s="1"/>
      <c r="K897" s="2"/>
      <c r="P897" s="2"/>
    </row>
    <row r="898" ht="12.0" customHeight="1">
      <c r="B898" s="1"/>
      <c r="K898" s="2"/>
      <c r="P898" s="2"/>
    </row>
    <row r="899" ht="12.0" customHeight="1">
      <c r="B899" s="1"/>
      <c r="K899" s="2"/>
      <c r="P899" s="2"/>
    </row>
    <row r="900" ht="12.0" customHeight="1">
      <c r="B900" s="1"/>
      <c r="K900" s="2"/>
      <c r="P900" s="2"/>
    </row>
    <row r="901" ht="12.0" customHeight="1">
      <c r="B901" s="1"/>
      <c r="K901" s="2"/>
      <c r="P901" s="2"/>
    </row>
    <row r="902" ht="12.0" customHeight="1">
      <c r="B902" s="1"/>
      <c r="K902" s="2"/>
      <c r="P902" s="2"/>
    </row>
    <row r="903" ht="12.0" customHeight="1">
      <c r="B903" s="1"/>
      <c r="K903" s="2"/>
      <c r="P903" s="2"/>
    </row>
    <row r="904" ht="12.0" customHeight="1">
      <c r="B904" s="1"/>
      <c r="K904" s="2"/>
      <c r="P904" s="2"/>
    </row>
    <row r="905" ht="12.0" customHeight="1">
      <c r="B905" s="1"/>
      <c r="K905" s="2"/>
      <c r="P905" s="2"/>
    </row>
    <row r="906" ht="12.0" customHeight="1">
      <c r="B906" s="1"/>
      <c r="K906" s="2"/>
      <c r="P906" s="2"/>
    </row>
    <row r="907" ht="12.0" customHeight="1">
      <c r="B907" s="1"/>
      <c r="K907" s="2"/>
      <c r="P907" s="2"/>
    </row>
    <row r="908" ht="12.0" customHeight="1">
      <c r="B908" s="1"/>
      <c r="K908" s="2"/>
      <c r="P908" s="2"/>
    </row>
    <row r="909" ht="12.0" customHeight="1">
      <c r="B909" s="1"/>
      <c r="K909" s="2"/>
      <c r="P909" s="2"/>
    </row>
    <row r="910" ht="12.0" customHeight="1">
      <c r="B910" s="1"/>
      <c r="K910" s="2"/>
      <c r="P910" s="2"/>
    </row>
    <row r="911" ht="12.0" customHeight="1">
      <c r="B911" s="1"/>
      <c r="K911" s="2"/>
      <c r="P911" s="2"/>
    </row>
    <row r="912" ht="12.0" customHeight="1">
      <c r="B912" s="1"/>
      <c r="K912" s="2"/>
      <c r="P912" s="2"/>
    </row>
    <row r="913" ht="12.0" customHeight="1">
      <c r="B913" s="1"/>
      <c r="K913" s="2"/>
      <c r="P913" s="2"/>
    </row>
    <row r="914" ht="12.0" customHeight="1">
      <c r="B914" s="1"/>
      <c r="K914" s="2"/>
      <c r="P914" s="2"/>
    </row>
    <row r="915" ht="12.0" customHeight="1">
      <c r="B915" s="1"/>
      <c r="K915" s="2"/>
      <c r="P915" s="2"/>
    </row>
    <row r="916" ht="12.0" customHeight="1">
      <c r="B916" s="1"/>
      <c r="K916" s="2"/>
      <c r="P916" s="2"/>
    </row>
    <row r="917" ht="12.0" customHeight="1">
      <c r="B917" s="1"/>
      <c r="K917" s="2"/>
      <c r="P917" s="2"/>
    </row>
    <row r="918" ht="12.0" customHeight="1">
      <c r="B918" s="1"/>
      <c r="K918" s="2"/>
      <c r="P918" s="2"/>
    </row>
    <row r="919" ht="12.0" customHeight="1">
      <c r="B919" s="1"/>
      <c r="K919" s="2"/>
      <c r="P919" s="2"/>
    </row>
    <row r="920" ht="12.0" customHeight="1">
      <c r="B920" s="1"/>
      <c r="K920" s="2"/>
      <c r="P920" s="2"/>
    </row>
    <row r="921" ht="12.0" customHeight="1">
      <c r="B921" s="1"/>
      <c r="K921" s="2"/>
      <c r="P921" s="2"/>
    </row>
    <row r="922" ht="12.0" customHeight="1">
      <c r="B922" s="1"/>
      <c r="K922" s="2"/>
      <c r="P922" s="2"/>
    </row>
    <row r="923" ht="12.0" customHeight="1">
      <c r="B923" s="1"/>
      <c r="K923" s="2"/>
      <c r="P923" s="2"/>
    </row>
    <row r="924" ht="12.0" customHeight="1">
      <c r="B924" s="1"/>
      <c r="K924" s="2"/>
      <c r="P924" s="2"/>
    </row>
    <row r="925" ht="12.0" customHeight="1">
      <c r="B925" s="1"/>
      <c r="K925" s="2"/>
      <c r="P925" s="2"/>
    </row>
    <row r="926" ht="12.0" customHeight="1">
      <c r="B926" s="1"/>
      <c r="K926" s="2"/>
      <c r="P926" s="2"/>
    </row>
    <row r="927" ht="12.0" customHeight="1">
      <c r="B927" s="1"/>
      <c r="K927" s="2"/>
      <c r="P927" s="2"/>
    </row>
    <row r="928" ht="12.0" customHeight="1">
      <c r="B928" s="1"/>
      <c r="K928" s="2"/>
      <c r="P928" s="2"/>
    </row>
    <row r="929" ht="12.0" customHeight="1">
      <c r="B929" s="1"/>
      <c r="K929" s="2"/>
      <c r="P929" s="2"/>
    </row>
    <row r="930" ht="12.0" customHeight="1">
      <c r="B930" s="1"/>
      <c r="K930" s="2"/>
      <c r="P930" s="2"/>
    </row>
    <row r="931" ht="12.0" customHeight="1">
      <c r="B931" s="1"/>
      <c r="K931" s="2"/>
      <c r="P931" s="2"/>
    </row>
    <row r="932" ht="12.0" customHeight="1">
      <c r="B932" s="1"/>
      <c r="K932" s="2"/>
      <c r="P932" s="2"/>
    </row>
    <row r="933" ht="12.0" customHeight="1">
      <c r="B933" s="1"/>
      <c r="K933" s="2"/>
      <c r="P933" s="2"/>
    </row>
    <row r="934" ht="12.0" customHeight="1">
      <c r="B934" s="1"/>
      <c r="K934" s="2"/>
      <c r="P934" s="2"/>
    </row>
    <row r="935" ht="12.0" customHeight="1">
      <c r="B935" s="1"/>
      <c r="K935" s="2"/>
      <c r="P935" s="2"/>
    </row>
    <row r="936" ht="12.0" customHeight="1">
      <c r="B936" s="1"/>
      <c r="K936" s="2"/>
      <c r="P936" s="2"/>
    </row>
    <row r="937" ht="12.0" customHeight="1">
      <c r="B937" s="1"/>
      <c r="K937" s="2"/>
      <c r="P937" s="2"/>
    </row>
    <row r="938" ht="12.0" customHeight="1">
      <c r="B938" s="1"/>
      <c r="K938" s="2"/>
      <c r="P938" s="2"/>
    </row>
    <row r="939" ht="12.0" customHeight="1">
      <c r="B939" s="1"/>
      <c r="K939" s="2"/>
      <c r="P939" s="2"/>
    </row>
    <row r="940" ht="12.0" customHeight="1">
      <c r="B940" s="1"/>
      <c r="K940" s="2"/>
      <c r="P940" s="2"/>
    </row>
    <row r="941" ht="12.0" customHeight="1">
      <c r="B941" s="1"/>
      <c r="K941" s="2"/>
      <c r="P941" s="2"/>
    </row>
    <row r="942" ht="12.0" customHeight="1">
      <c r="B942" s="1"/>
      <c r="K942" s="2"/>
      <c r="P942" s="2"/>
    </row>
    <row r="943" ht="12.0" customHeight="1">
      <c r="B943" s="1"/>
      <c r="K943" s="2"/>
      <c r="P943" s="2"/>
    </row>
    <row r="944" ht="12.0" customHeight="1">
      <c r="B944" s="1"/>
      <c r="K944" s="2"/>
      <c r="P944" s="2"/>
    </row>
    <row r="945" ht="12.0" customHeight="1">
      <c r="B945" s="1"/>
      <c r="K945" s="2"/>
      <c r="P945" s="2"/>
    </row>
    <row r="946" ht="12.0" customHeight="1">
      <c r="B946" s="1"/>
      <c r="K946" s="2"/>
      <c r="P946" s="2"/>
    </row>
    <row r="947" ht="12.0" customHeight="1">
      <c r="B947" s="1"/>
      <c r="K947" s="2"/>
      <c r="P947" s="2"/>
    </row>
    <row r="948" ht="12.0" customHeight="1">
      <c r="B948" s="1"/>
      <c r="K948" s="2"/>
      <c r="P948" s="2"/>
    </row>
    <row r="949" ht="12.0" customHeight="1">
      <c r="B949" s="1"/>
      <c r="K949" s="2"/>
      <c r="P949" s="2"/>
    </row>
    <row r="950" ht="12.0" customHeight="1">
      <c r="B950" s="1"/>
      <c r="K950" s="2"/>
      <c r="P950" s="2"/>
    </row>
    <row r="951" ht="12.0" customHeight="1">
      <c r="B951" s="1"/>
      <c r="K951" s="2"/>
      <c r="P951" s="2"/>
    </row>
    <row r="952" ht="12.0" customHeight="1">
      <c r="B952" s="1"/>
      <c r="K952" s="2"/>
      <c r="P952" s="2"/>
    </row>
    <row r="953" ht="12.0" customHeight="1">
      <c r="B953" s="1"/>
      <c r="K953" s="2"/>
      <c r="P953" s="2"/>
    </row>
    <row r="954" ht="12.0" customHeight="1">
      <c r="B954" s="1"/>
      <c r="K954" s="2"/>
      <c r="P954" s="2"/>
    </row>
    <row r="955" ht="12.0" customHeight="1">
      <c r="B955" s="1"/>
      <c r="K955" s="2"/>
      <c r="P955" s="2"/>
    </row>
    <row r="956" ht="12.0" customHeight="1">
      <c r="B956" s="1"/>
      <c r="K956" s="2"/>
      <c r="P956" s="2"/>
    </row>
    <row r="957" ht="12.0" customHeight="1">
      <c r="B957" s="1"/>
      <c r="K957" s="2"/>
      <c r="P957" s="2"/>
    </row>
    <row r="958" ht="12.0" customHeight="1">
      <c r="B958" s="1"/>
      <c r="K958" s="2"/>
      <c r="P958" s="2"/>
    </row>
    <row r="959" ht="12.0" customHeight="1">
      <c r="B959" s="1"/>
      <c r="K959" s="2"/>
      <c r="P959" s="2"/>
    </row>
    <row r="960" ht="12.0" customHeight="1">
      <c r="B960" s="1"/>
      <c r="K960" s="2"/>
      <c r="P960" s="2"/>
    </row>
    <row r="961" ht="12.0" customHeight="1">
      <c r="B961" s="1"/>
      <c r="K961" s="2"/>
      <c r="P961" s="2"/>
    </row>
    <row r="962" ht="12.0" customHeight="1">
      <c r="B962" s="1"/>
      <c r="K962" s="2"/>
      <c r="P962" s="2"/>
    </row>
    <row r="963" ht="12.0" customHeight="1">
      <c r="B963" s="1"/>
      <c r="K963" s="2"/>
      <c r="P963" s="2"/>
    </row>
    <row r="964" ht="12.0" customHeight="1">
      <c r="B964" s="1"/>
      <c r="K964" s="2"/>
      <c r="P964" s="2"/>
    </row>
    <row r="965" ht="12.0" customHeight="1">
      <c r="B965" s="1"/>
      <c r="K965" s="2"/>
      <c r="P965" s="2"/>
    </row>
    <row r="966" ht="12.0" customHeight="1">
      <c r="B966" s="1"/>
      <c r="K966" s="2"/>
      <c r="P966" s="2"/>
    </row>
    <row r="967" ht="12.0" customHeight="1">
      <c r="B967" s="1"/>
      <c r="K967" s="2"/>
      <c r="P967" s="2"/>
    </row>
    <row r="968" ht="12.0" customHeight="1">
      <c r="B968" s="1"/>
      <c r="K968" s="2"/>
      <c r="P968" s="2"/>
    </row>
    <row r="969" ht="12.0" customHeight="1">
      <c r="B969" s="1"/>
      <c r="K969" s="2"/>
      <c r="P969" s="2"/>
    </row>
    <row r="970" ht="12.0" customHeight="1">
      <c r="B970" s="1"/>
      <c r="K970" s="2"/>
      <c r="P970" s="2"/>
    </row>
    <row r="971" ht="12.0" customHeight="1">
      <c r="B971" s="1"/>
      <c r="K971" s="2"/>
      <c r="P971" s="2"/>
    </row>
    <row r="972" ht="12.0" customHeight="1">
      <c r="B972" s="1"/>
      <c r="K972" s="2"/>
      <c r="P972" s="2"/>
    </row>
    <row r="973" ht="12.0" customHeight="1">
      <c r="B973" s="1"/>
      <c r="K973" s="2"/>
      <c r="P973" s="2"/>
    </row>
    <row r="974" ht="12.0" customHeight="1">
      <c r="B974" s="1"/>
      <c r="K974" s="2"/>
      <c r="P974" s="2"/>
    </row>
    <row r="975" ht="12.0" customHeight="1">
      <c r="B975" s="1"/>
      <c r="K975" s="2"/>
      <c r="P975" s="2"/>
    </row>
    <row r="976" ht="12.0" customHeight="1">
      <c r="B976" s="1"/>
      <c r="K976" s="2"/>
      <c r="P976" s="2"/>
    </row>
    <row r="977" ht="12.0" customHeight="1">
      <c r="B977" s="1"/>
      <c r="K977" s="2"/>
      <c r="P977" s="2"/>
    </row>
    <row r="978" ht="12.0" customHeight="1">
      <c r="B978" s="1"/>
      <c r="K978" s="2"/>
      <c r="P978" s="2"/>
    </row>
    <row r="979" ht="12.0" customHeight="1">
      <c r="B979" s="1"/>
      <c r="K979" s="2"/>
      <c r="P979" s="2"/>
    </row>
    <row r="980" ht="12.0" customHeight="1">
      <c r="B980" s="1"/>
      <c r="K980" s="2"/>
      <c r="P980" s="2"/>
    </row>
    <row r="981" ht="12.0" customHeight="1">
      <c r="B981" s="1"/>
      <c r="K981" s="2"/>
      <c r="P981" s="2"/>
    </row>
    <row r="982" ht="12.0" customHeight="1">
      <c r="B982" s="1"/>
      <c r="K982" s="2"/>
      <c r="P982" s="2"/>
    </row>
    <row r="983" ht="12.0" customHeight="1">
      <c r="B983" s="1"/>
      <c r="K983" s="2"/>
      <c r="P983" s="2"/>
    </row>
    <row r="984" ht="12.0" customHeight="1">
      <c r="B984" s="1"/>
      <c r="K984" s="2"/>
      <c r="P984" s="2"/>
    </row>
    <row r="985" ht="12.0" customHeight="1">
      <c r="B985" s="1"/>
      <c r="K985" s="2"/>
      <c r="P985" s="2"/>
    </row>
    <row r="986" ht="12.0" customHeight="1">
      <c r="B986" s="1"/>
      <c r="K986" s="2"/>
      <c r="P986" s="2"/>
    </row>
    <row r="987" ht="12.0" customHeight="1">
      <c r="B987" s="1"/>
      <c r="K987" s="2"/>
      <c r="P987" s="2"/>
    </row>
    <row r="988" ht="12.0" customHeight="1">
      <c r="B988" s="1"/>
      <c r="K988" s="2"/>
      <c r="P988" s="2"/>
    </row>
    <row r="989" ht="12.0" customHeight="1">
      <c r="B989" s="1"/>
      <c r="K989" s="2"/>
      <c r="P989" s="2"/>
    </row>
    <row r="990" ht="12.0" customHeight="1">
      <c r="B990" s="1"/>
      <c r="K990" s="2"/>
      <c r="P990" s="2"/>
    </row>
    <row r="991" ht="12.0" customHeight="1">
      <c r="B991" s="1"/>
      <c r="K991" s="2"/>
      <c r="P991" s="2"/>
    </row>
    <row r="992" ht="12.0" customHeight="1">
      <c r="B992" s="1"/>
      <c r="K992" s="2"/>
      <c r="P992" s="2"/>
    </row>
    <row r="993" ht="12.0" customHeight="1">
      <c r="B993" s="1"/>
      <c r="K993" s="2"/>
      <c r="P993" s="2"/>
    </row>
    <row r="994" ht="12.0" customHeight="1">
      <c r="B994" s="1"/>
      <c r="K994" s="2"/>
      <c r="P994" s="2"/>
    </row>
    <row r="995" ht="12.0" customHeight="1">
      <c r="B995" s="1"/>
      <c r="K995" s="2"/>
      <c r="P995" s="2"/>
    </row>
    <row r="996" ht="12.0" customHeight="1">
      <c r="B996" s="1"/>
      <c r="K996" s="2"/>
      <c r="P996" s="2"/>
    </row>
    <row r="997" ht="12.0" customHeight="1">
      <c r="B997" s="1"/>
      <c r="K997" s="2"/>
      <c r="P997" s="2"/>
    </row>
    <row r="998" ht="12.0" customHeight="1">
      <c r="B998" s="1"/>
      <c r="K998" s="2"/>
      <c r="P998" s="2"/>
    </row>
    <row r="999" ht="12.0" customHeight="1">
      <c r="B999" s="1"/>
      <c r="K999" s="2"/>
      <c r="P999" s="2"/>
    </row>
    <row r="1000" ht="12.0" customHeight="1">
      <c r="B1000" s="1"/>
      <c r="K1000" s="2"/>
      <c r="P1000" s="2"/>
    </row>
  </sheetData>
  <mergeCells count="19">
    <mergeCell ref="J6:K6"/>
    <mergeCell ref="O6:P6"/>
    <mergeCell ref="F7:H7"/>
    <mergeCell ref="I7:K7"/>
    <mergeCell ref="L7:N7"/>
    <mergeCell ref="B18:B20"/>
    <mergeCell ref="B21:B25"/>
    <mergeCell ref="B58:B60"/>
    <mergeCell ref="B61:B63"/>
    <mergeCell ref="B65:B67"/>
    <mergeCell ref="B71:B73"/>
    <mergeCell ref="B75:B77"/>
    <mergeCell ref="B26:B30"/>
    <mergeCell ref="B35:B37"/>
    <mergeCell ref="B38:B40"/>
    <mergeCell ref="B42:B44"/>
    <mergeCell ref="B45:B47"/>
    <mergeCell ref="B48:B53"/>
    <mergeCell ref="B54:B57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2 J45 J58 J61 J65 J68 J71 J75 J80 J84">
      <formula1>"YES,NO"</formula1>
    </dataValidation>
    <dataValidation type="list" allowBlank="1" showErrorMessage="1" sqref="O17:O18 O21 O26 O31 O35 O38 O42 O45 O48 O54 O58 O61 O65 O68 O71 O75 O80 O84">
      <formula1>"DELAPIDATED,POOR,FAIR,GOOD,VERY GOOD,EXCELLENT,NOT APPLICABLE"</formula1>
    </dataValidation>
    <dataValidation type="list" allowBlank="1" showErrorMessage="1" sqref="J54">
      <formula1>"STEEL WINDOW FRAMES,ALUMINIUM WINDOW FRAMES,NO WINDOWS FITTED"</formula1>
    </dataValidation>
    <dataValidation type="list" allowBlank="1" showErrorMessage="1" sqref="J11">
      <formula1>"2010-2013,2014-2021,2021-2023"</formula1>
    </dataValidation>
    <dataValidation type="list" allowBlank="1" showErrorMessage="1" sqref="J48">
      <formula1>"VINYL FLOORING,TILING FLOORING,TIMBER FLOORING,CARPETS FLOORING,NO FLOORING"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0.0"/>
    <col customWidth="1" min="3" max="3" width="29.0"/>
    <col customWidth="1" hidden="1" min="4" max="5" width="39.63"/>
    <col customWidth="1" hidden="1" min="6" max="8" width="17.63"/>
    <col customWidth="1" min="9" max="9" width="0.25"/>
    <col customWidth="1" min="10" max="10" width="22.25"/>
    <col customWidth="1" min="11" max="11" width="17.0"/>
    <col customWidth="1" min="12" max="12" width="17.88"/>
    <col customWidth="1" min="13" max="13" width="15.88"/>
    <col customWidth="1" min="14" max="26" width="9.0"/>
  </cols>
  <sheetData>
    <row r="1" ht="30.75" customHeight="1">
      <c r="K1" s="2"/>
      <c r="M1" s="2"/>
    </row>
    <row r="2" ht="30.75" customHeight="1">
      <c r="K2" s="2"/>
      <c r="M2" s="2"/>
    </row>
    <row r="3" ht="30.75" customHeight="1">
      <c r="K3" s="2"/>
      <c r="M3" s="2"/>
    </row>
    <row r="4" ht="30.75" customHeight="1">
      <c r="K4" s="2"/>
      <c r="M4" s="2"/>
    </row>
    <row r="5" ht="12.0" customHeight="1">
      <c r="B5" s="5" t="s">
        <v>157</v>
      </c>
      <c r="K5" s="2"/>
      <c r="M5" s="2"/>
    </row>
    <row r="6" ht="34.5" customHeight="1">
      <c r="K6" s="2"/>
      <c r="M6" s="2"/>
    </row>
    <row r="7" ht="30.0" customHeight="1">
      <c r="J7" s="6" t="s">
        <v>2</v>
      </c>
      <c r="K7" s="7"/>
      <c r="L7" s="8" t="s">
        <v>3</v>
      </c>
      <c r="M7" s="7"/>
    </row>
    <row r="8" ht="30.0" hidden="1" customHeight="1">
      <c r="B8" s="632"/>
      <c r="C8" s="632"/>
      <c r="D8" s="632"/>
      <c r="E8" s="632"/>
      <c r="F8" s="757" t="s">
        <v>79</v>
      </c>
      <c r="G8" s="274"/>
      <c r="H8" s="7"/>
      <c r="I8" s="758" t="s">
        <v>118</v>
      </c>
      <c r="J8" s="758"/>
      <c r="K8" s="759"/>
      <c r="M8" s="2"/>
    </row>
    <row r="9" ht="56.25" customHeight="1">
      <c r="B9" s="760" t="s">
        <v>6</v>
      </c>
      <c r="C9" s="760" t="s">
        <v>7</v>
      </c>
      <c r="D9" s="761"/>
      <c r="E9" s="23" t="s">
        <v>8</v>
      </c>
      <c r="F9" s="762" t="s">
        <v>9</v>
      </c>
      <c r="G9" s="762" t="s">
        <v>10</v>
      </c>
      <c r="H9" s="762" t="s">
        <v>11</v>
      </c>
      <c r="I9" s="763" t="s">
        <v>12</v>
      </c>
      <c r="J9" s="26" t="s">
        <v>13</v>
      </c>
      <c r="K9" s="24" t="s">
        <v>14</v>
      </c>
      <c r="L9" s="31" t="s">
        <v>18</v>
      </c>
      <c r="M9" s="24" t="s">
        <v>14</v>
      </c>
    </row>
    <row r="10" ht="30.0" hidden="1" customHeight="1">
      <c r="B10" s="255"/>
      <c r="C10" s="174"/>
      <c r="D10" s="174"/>
      <c r="E10" s="37"/>
      <c r="F10" s="176">
        <v>3.0</v>
      </c>
      <c r="G10" s="176">
        <v>2.0</v>
      </c>
      <c r="H10" s="176">
        <v>1.0</v>
      </c>
      <c r="I10" s="277"/>
      <c r="J10" s="278"/>
      <c r="K10" s="740"/>
      <c r="L10" s="17"/>
      <c r="M10" s="679"/>
    </row>
    <row r="11" ht="30.0" customHeight="1">
      <c r="B11" s="255"/>
      <c r="C11" s="184" t="s">
        <v>19</v>
      </c>
      <c r="D11" s="383"/>
      <c r="E11" s="48"/>
      <c r="F11" s="186"/>
      <c r="G11" s="186"/>
      <c r="H11" s="186"/>
      <c r="I11" s="283"/>
      <c r="J11" s="188">
        <v>500.0</v>
      </c>
      <c r="K11" s="189"/>
      <c r="L11" s="193"/>
      <c r="M11" s="197"/>
    </row>
    <row r="12" ht="30.0" customHeight="1">
      <c r="B12" s="255"/>
      <c r="C12" s="194" t="s">
        <v>20</v>
      </c>
      <c r="D12" s="185" t="s">
        <v>81</v>
      </c>
      <c r="E12" s="54"/>
      <c r="F12" s="186"/>
      <c r="G12" s="186"/>
      <c r="H12" s="186"/>
      <c r="I12" s="56"/>
      <c r="J12" s="703" t="s">
        <v>9</v>
      </c>
      <c r="K12" s="197"/>
      <c r="L12" s="193"/>
      <c r="M12" s="197"/>
    </row>
    <row r="13" ht="30.0" hidden="1" customHeight="1">
      <c r="B13" s="255"/>
      <c r="C13" s="198" t="s">
        <v>20</v>
      </c>
      <c r="D13" s="185" t="s">
        <v>11</v>
      </c>
      <c r="E13" s="54"/>
      <c r="F13" s="186"/>
      <c r="G13" s="186"/>
      <c r="H13" s="186"/>
      <c r="I13" s="56"/>
      <c r="J13" s="56"/>
      <c r="K13" s="285"/>
      <c r="L13" s="17"/>
      <c r="M13" s="120"/>
    </row>
    <row r="14" ht="30.0" hidden="1" customHeight="1">
      <c r="B14" s="255"/>
      <c r="C14" s="198"/>
      <c r="D14" s="185" t="s">
        <v>10</v>
      </c>
      <c r="E14" s="54"/>
      <c r="F14" s="186"/>
      <c r="G14" s="186"/>
      <c r="H14" s="186"/>
      <c r="I14" s="56"/>
      <c r="J14" s="56"/>
      <c r="K14" s="58"/>
      <c r="L14" s="17"/>
      <c r="M14" s="99"/>
    </row>
    <row r="15" ht="30.0" hidden="1" customHeight="1">
      <c r="B15" s="255"/>
      <c r="C15" s="198"/>
      <c r="D15" s="185" t="s">
        <v>9</v>
      </c>
      <c r="E15" s="17"/>
      <c r="F15" s="186"/>
      <c r="G15" s="186"/>
      <c r="H15" s="186"/>
      <c r="I15" s="56"/>
      <c r="J15" s="56"/>
      <c r="K15" s="58"/>
      <c r="L15" s="17"/>
      <c r="M15" s="99"/>
    </row>
    <row r="16" ht="30.0" hidden="1" customHeight="1">
      <c r="B16" s="255"/>
      <c r="C16" s="198"/>
      <c r="D16" s="185" t="s">
        <v>21</v>
      </c>
      <c r="E16" s="63">
        <v>1.24</v>
      </c>
      <c r="F16" s="186"/>
      <c r="G16" s="203">
        <v>1.25</v>
      </c>
      <c r="H16" s="203">
        <v>1.32</v>
      </c>
      <c r="I16" s="56"/>
      <c r="J16" s="56"/>
      <c r="K16" s="58"/>
      <c r="L16" s="17"/>
      <c r="M16" s="602"/>
    </row>
    <row r="17" ht="30.0" customHeight="1">
      <c r="B17" s="456">
        <v>1.0</v>
      </c>
      <c r="C17" s="457" t="s">
        <v>22</v>
      </c>
      <c r="D17" s="458"/>
      <c r="E17" s="458"/>
      <c r="F17" s="459">
        <f>391.769547325103*E16</f>
        <v>485.7942387</v>
      </c>
      <c r="G17" s="459">
        <f t="shared" ref="G17:G34" si="1">F17/$G$16</f>
        <v>388.6353909</v>
      </c>
      <c r="H17" s="459">
        <f t="shared" ref="H17:H34" si="2">F17/$H$16</f>
        <v>368.0259384</v>
      </c>
      <c r="I17" s="460"/>
      <c r="J17" s="461"/>
      <c r="K17" s="462">
        <f>IF(J12="2010-2013",J11*H17,IF(J12="2014-2021",J11*G17,IF(J12="2021-2023",J11*F17,-2)))</f>
        <v>242897.1193</v>
      </c>
      <c r="L17" s="207" t="s">
        <v>23</v>
      </c>
      <c r="M17" s="73">
        <f t="shared" ref="M17:M18" si="3">IF(L17="Delapidated",K17*0.6,IF(L17="Poor",K17*0.7,IF(L17="Fair",K17*0.8,IF(L17="Good",K17*0.85,IF(L17="Very Good",K17*0.9,IF(L17="Excellent",K17*1,IF(L17="Not Applicable",K17*1,0)))))))</f>
        <v>242897.1193</v>
      </c>
    </row>
    <row r="18" ht="30.0" customHeight="1">
      <c r="B18" s="456">
        <v>2.0</v>
      </c>
      <c r="C18" s="465" t="s">
        <v>24</v>
      </c>
      <c r="D18" s="466"/>
      <c r="E18" s="466"/>
      <c r="F18" s="459"/>
      <c r="G18" s="459">
        <f t="shared" si="1"/>
        <v>0</v>
      </c>
      <c r="H18" s="459">
        <f t="shared" si="2"/>
        <v>0</v>
      </c>
      <c r="I18" s="460"/>
      <c r="J18" s="309" t="s">
        <v>25</v>
      </c>
      <c r="K18" s="462">
        <f>IF(J18="YES",IF(J12="2010-2013",H19*$J$11,IF(J12="2014-2021",G19*$J$11,IF(J12="2021-2023",F19*$J$11,0))),0)</f>
        <v>620000</v>
      </c>
      <c r="L18" s="207" t="s">
        <v>23</v>
      </c>
      <c r="M18" s="73">
        <f t="shared" si="3"/>
        <v>620000</v>
      </c>
    </row>
    <row r="19" ht="30.0" hidden="1" customHeight="1">
      <c r="B19" s="456"/>
      <c r="C19" s="468" t="s">
        <v>25</v>
      </c>
      <c r="D19" s="469"/>
      <c r="E19" s="469"/>
      <c r="F19" s="459">
        <f>1000*E16</f>
        <v>1240</v>
      </c>
      <c r="G19" s="459">
        <f t="shared" si="1"/>
        <v>992</v>
      </c>
      <c r="H19" s="459">
        <f t="shared" si="2"/>
        <v>939.3939394</v>
      </c>
      <c r="I19" s="470">
        <v>1.0</v>
      </c>
      <c r="J19" s="68"/>
      <c r="K19" s="462"/>
      <c r="L19" s="34"/>
      <c r="M19" s="402"/>
    </row>
    <row r="20" ht="30.0" hidden="1" customHeight="1">
      <c r="B20" s="456"/>
      <c r="C20" s="468" t="s">
        <v>26</v>
      </c>
      <c r="D20" s="469"/>
      <c r="E20" s="469"/>
      <c r="F20" s="459">
        <v>0.0</v>
      </c>
      <c r="G20" s="459">
        <f t="shared" si="1"/>
        <v>0</v>
      </c>
      <c r="H20" s="459">
        <f t="shared" si="2"/>
        <v>0</v>
      </c>
      <c r="I20" s="470">
        <v>2.0</v>
      </c>
      <c r="J20" s="68"/>
      <c r="K20" s="462"/>
      <c r="L20" s="34"/>
      <c r="M20" s="402"/>
    </row>
    <row r="21" ht="30.0" customHeight="1">
      <c r="B21" s="456">
        <v>3.0</v>
      </c>
      <c r="C21" s="465" t="s">
        <v>27</v>
      </c>
      <c r="D21" s="466"/>
      <c r="E21" s="466"/>
      <c r="F21" s="459"/>
      <c r="G21" s="459">
        <f t="shared" si="1"/>
        <v>0</v>
      </c>
      <c r="H21" s="459">
        <f t="shared" si="2"/>
        <v>0</v>
      </c>
      <c r="I21" s="460"/>
      <c r="J21" s="72" t="s">
        <v>28</v>
      </c>
      <c r="K21" s="462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357775.7202</v>
      </c>
      <c r="L21" s="207" t="s">
        <v>23</v>
      </c>
      <c r="M21" s="73">
        <f>IF(L21="Delapidated",K21*0.6,IF(L21="Poor",K21*0.7,IF(L21="Fair",K21*0.8,IF(L21="Good",K21*0.85,IF(L21="Very Good",K21*0.9,IF(L21="Excellent",K21*1,IF(L21="Not Applicable",K21*1,0)))))))</f>
        <v>357775.7202</v>
      </c>
    </row>
    <row r="22" ht="30.0" hidden="1" customHeight="1">
      <c r="B22" s="456"/>
      <c r="C22" s="468" t="s">
        <v>28</v>
      </c>
      <c r="D22" s="469"/>
      <c r="E22" s="469"/>
      <c r="F22" s="459">
        <f>577.057613168724*E16</f>
        <v>715.5514403</v>
      </c>
      <c r="G22" s="459">
        <f t="shared" si="1"/>
        <v>572.4411523</v>
      </c>
      <c r="H22" s="459">
        <f t="shared" si="2"/>
        <v>542.0844245</v>
      </c>
      <c r="I22" s="470">
        <v>1.0</v>
      </c>
      <c r="J22" s="68"/>
      <c r="K22" s="462"/>
      <c r="L22" s="34"/>
      <c r="M22" s="73"/>
    </row>
    <row r="23" ht="30.0" hidden="1" customHeight="1">
      <c r="B23" s="456"/>
      <c r="C23" s="468" t="s">
        <v>29</v>
      </c>
      <c r="D23" s="469"/>
      <c r="E23" s="469"/>
      <c r="F23" s="459">
        <f>F22*0.8</f>
        <v>572.4411523</v>
      </c>
      <c r="G23" s="459">
        <f t="shared" si="1"/>
        <v>457.9529218</v>
      </c>
      <c r="H23" s="459">
        <f t="shared" si="2"/>
        <v>433.6675396</v>
      </c>
      <c r="I23" s="470">
        <v>2.0</v>
      </c>
      <c r="J23" s="68"/>
      <c r="K23" s="462"/>
      <c r="L23" s="34"/>
      <c r="M23" s="73"/>
    </row>
    <row r="24" ht="30.0" hidden="1" customHeight="1">
      <c r="B24" s="456"/>
      <c r="C24" s="468" t="s">
        <v>30</v>
      </c>
      <c r="D24" s="469"/>
      <c r="E24" s="469"/>
      <c r="F24" s="459">
        <f>F22*1.3</f>
        <v>930.2168724</v>
      </c>
      <c r="G24" s="459">
        <f t="shared" si="1"/>
        <v>744.1734979</v>
      </c>
      <c r="H24" s="459">
        <f t="shared" si="2"/>
        <v>704.7097518</v>
      </c>
      <c r="I24" s="470">
        <v>3.0</v>
      </c>
      <c r="J24" s="68"/>
      <c r="K24" s="462"/>
      <c r="L24" s="34"/>
      <c r="M24" s="73"/>
    </row>
    <row r="25" ht="30.0" hidden="1" customHeight="1">
      <c r="B25" s="456"/>
      <c r="C25" s="468" t="s">
        <v>31</v>
      </c>
      <c r="D25" s="469"/>
      <c r="E25" s="469"/>
      <c r="F25" s="459">
        <v>0.0</v>
      </c>
      <c r="G25" s="459">
        <f t="shared" si="1"/>
        <v>0</v>
      </c>
      <c r="H25" s="459">
        <f t="shared" si="2"/>
        <v>0</v>
      </c>
      <c r="I25" s="470">
        <v>4.0</v>
      </c>
      <c r="J25" s="68"/>
      <c r="K25" s="462"/>
      <c r="L25" s="34"/>
      <c r="M25" s="402"/>
    </row>
    <row r="26" ht="30.0" customHeight="1">
      <c r="B26" s="456">
        <v>4.0</v>
      </c>
      <c r="C26" s="465" t="s">
        <v>127</v>
      </c>
      <c r="D26" s="466"/>
      <c r="E26" s="466"/>
      <c r="F26" s="459"/>
      <c r="G26" s="459">
        <f t="shared" si="1"/>
        <v>0</v>
      </c>
      <c r="H26" s="459">
        <f t="shared" si="2"/>
        <v>0</v>
      </c>
      <c r="I26" s="460"/>
      <c r="J26" s="72" t="s">
        <v>33</v>
      </c>
      <c r="K26" s="462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80600</v>
      </c>
      <c r="L26" s="207" t="s">
        <v>23</v>
      </c>
      <c r="M26" s="73">
        <f>IF(L26="Delapidated",K26*0.6,IF(L26="Poor",K26*0.7,IF(L26="Fair",K26*0.8,IF(L26="Good",K26*0.85,IF(L26="Very Good",K26*0.9,IF(L26="Excellent",K26*1,IF(L26="Not Applicable",K26*1,0)))))))</f>
        <v>80600</v>
      </c>
    </row>
    <row r="27" ht="30.0" hidden="1" customHeight="1">
      <c r="B27" s="456"/>
      <c r="C27" s="468" t="s">
        <v>33</v>
      </c>
      <c r="D27" s="469"/>
      <c r="E27" s="469"/>
      <c r="F27" s="67">
        <f>130*E16</f>
        <v>161.2</v>
      </c>
      <c r="G27" s="459">
        <f t="shared" si="1"/>
        <v>128.96</v>
      </c>
      <c r="H27" s="459">
        <f t="shared" si="2"/>
        <v>122.1212121</v>
      </c>
      <c r="I27" s="470">
        <v>1.0</v>
      </c>
      <c r="J27" s="68"/>
      <c r="K27" s="462"/>
      <c r="L27" s="34"/>
      <c r="M27" s="73"/>
    </row>
    <row r="28" ht="30.0" hidden="1" customHeight="1">
      <c r="B28" s="456"/>
      <c r="C28" s="468" t="s">
        <v>34</v>
      </c>
      <c r="D28" s="469"/>
      <c r="E28" s="469"/>
      <c r="F28" s="67">
        <f>F27*1.6</f>
        <v>257.92</v>
      </c>
      <c r="G28" s="459">
        <f t="shared" si="1"/>
        <v>206.336</v>
      </c>
      <c r="H28" s="459">
        <f t="shared" si="2"/>
        <v>195.3939394</v>
      </c>
      <c r="I28" s="470">
        <v>2.0</v>
      </c>
      <c r="J28" s="68"/>
      <c r="K28" s="462"/>
      <c r="L28" s="34"/>
      <c r="M28" s="73"/>
    </row>
    <row r="29" ht="30.0" hidden="1" customHeight="1">
      <c r="B29" s="456"/>
      <c r="C29" s="468" t="s">
        <v>35</v>
      </c>
      <c r="D29" s="469"/>
      <c r="E29" s="469"/>
      <c r="F29" s="67">
        <f>F27*0.6</f>
        <v>96.72</v>
      </c>
      <c r="G29" s="459">
        <f t="shared" si="1"/>
        <v>77.376</v>
      </c>
      <c r="H29" s="459">
        <f t="shared" si="2"/>
        <v>73.27272727</v>
      </c>
      <c r="I29" s="470">
        <v>3.0</v>
      </c>
      <c r="J29" s="68"/>
      <c r="K29" s="462"/>
      <c r="L29" s="34"/>
      <c r="M29" s="73"/>
    </row>
    <row r="30" ht="30.0" hidden="1" customHeight="1">
      <c r="B30" s="456"/>
      <c r="C30" s="468" t="s">
        <v>36</v>
      </c>
      <c r="D30" s="469"/>
      <c r="E30" s="469"/>
      <c r="F30" s="67">
        <v>0.0</v>
      </c>
      <c r="G30" s="459">
        <f t="shared" si="1"/>
        <v>0</v>
      </c>
      <c r="H30" s="459">
        <f t="shared" si="2"/>
        <v>0</v>
      </c>
      <c r="I30" s="470">
        <v>4.0</v>
      </c>
      <c r="J30" s="68"/>
      <c r="K30" s="462"/>
      <c r="L30" s="34"/>
      <c r="M30" s="402"/>
    </row>
    <row r="31" ht="30.0" customHeight="1">
      <c r="B31" s="456">
        <v>5.0</v>
      </c>
      <c r="C31" s="92" t="s">
        <v>158</v>
      </c>
      <c r="D31" s="469"/>
      <c r="E31" s="469"/>
      <c r="F31" s="67"/>
      <c r="G31" s="459">
        <f t="shared" si="1"/>
        <v>0</v>
      </c>
      <c r="H31" s="459">
        <f t="shared" si="2"/>
        <v>0</v>
      </c>
      <c r="I31" s="470"/>
      <c r="J31" s="72" t="s">
        <v>38</v>
      </c>
      <c r="K31" s="70">
        <f>IF(J31="TIMBER ROOF TRUSSES",IF(J12="2010-2013",H32*$J$11,IF(J12="2014-2021",G32*$J$11,IF(J12="2021-2023",F32*$J$11,0))),IF(J31="STRUCTURAL STEEL TRUSSES",IF(J12="2010-2013",H33*$J$11,IF(J12="2014-2021",G33*$J$11,IF(J12="2021-2023",F33*$J$11,0))),0))</f>
        <v>155000</v>
      </c>
      <c r="L31" s="72" t="s">
        <v>23</v>
      </c>
      <c r="M31" s="211">
        <f>IF(L31="Delapidated",K31*0.6,IF(L31="Poor",K31*0.7,IF(L31="Fair",K31*0.8,IF(L31="Good",K31*0.85,IF(L31="Very Good",K31*0.9,IF(L31="Excellent",K31*1,IF(L31="Not Applicable",K31*1,0)))))))</f>
        <v>155000</v>
      </c>
      <c r="N31" s="118"/>
    </row>
    <row r="32" ht="30.0" hidden="1" customHeight="1">
      <c r="B32" s="456"/>
      <c r="C32" s="79" t="s">
        <v>38</v>
      </c>
      <c r="D32" s="469"/>
      <c r="E32" s="469"/>
      <c r="F32" s="67">
        <f>250*E16</f>
        <v>310</v>
      </c>
      <c r="G32" s="459">
        <f t="shared" si="1"/>
        <v>248</v>
      </c>
      <c r="H32" s="459">
        <f t="shared" si="2"/>
        <v>234.8484848</v>
      </c>
      <c r="I32" s="470"/>
      <c r="J32" s="68"/>
      <c r="K32" s="462"/>
      <c r="L32" s="34"/>
      <c r="M32" s="402"/>
    </row>
    <row r="33" ht="30.0" hidden="1" customHeight="1">
      <c r="B33" s="456"/>
      <c r="C33" s="79" t="s">
        <v>137</v>
      </c>
      <c r="D33" s="469"/>
      <c r="E33" s="469"/>
      <c r="F33" s="67">
        <f>1100*E16</f>
        <v>1364</v>
      </c>
      <c r="G33" s="459">
        <f t="shared" si="1"/>
        <v>1091.2</v>
      </c>
      <c r="H33" s="459">
        <f t="shared" si="2"/>
        <v>1033.333333</v>
      </c>
      <c r="I33" s="470"/>
      <c r="J33" s="68"/>
      <c r="K33" s="462"/>
      <c r="L33" s="34"/>
      <c r="M33" s="402"/>
    </row>
    <row r="34" ht="30.0" hidden="1" customHeight="1">
      <c r="B34" s="456"/>
      <c r="C34" s="79" t="s">
        <v>41</v>
      </c>
      <c r="D34" s="469"/>
      <c r="E34" s="469"/>
      <c r="F34" s="67">
        <v>0.0</v>
      </c>
      <c r="G34" s="459">
        <f t="shared" si="1"/>
        <v>0</v>
      </c>
      <c r="H34" s="459">
        <f t="shared" si="2"/>
        <v>0</v>
      </c>
      <c r="I34" s="470"/>
      <c r="J34" s="68"/>
      <c r="K34" s="462"/>
      <c r="L34" s="34"/>
      <c r="M34" s="402"/>
    </row>
    <row r="35" ht="30.0" customHeight="1">
      <c r="B35" s="456">
        <v>6.0</v>
      </c>
      <c r="C35" s="465" t="s">
        <v>119</v>
      </c>
      <c r="D35" s="466"/>
      <c r="E35" s="466"/>
      <c r="F35" s="467"/>
      <c r="G35" s="459"/>
      <c r="H35" s="459"/>
      <c r="I35" s="460"/>
      <c r="J35" s="72" t="s">
        <v>25</v>
      </c>
      <c r="K35" s="462">
        <f>IF(J35="YES",IF(J12="2010-2013",H36*$J$11,IF(J12="2014-2021",G36*$J$11,IF(J12="2021-2023",F36*$J$11,0))),0)</f>
        <v>16374.09794</v>
      </c>
      <c r="L35" s="207" t="s">
        <v>23</v>
      </c>
      <c r="M35" s="73">
        <f>IF(L35="Delapidated",K35*0.6,IF(L35="Poor",K35*0.7,IF(L35="Fair",K35*0.8,IF(L35="Good",K35*0.85,IF(L35="Very Good",K35*0.9,IF(L35="Excellent",K35*1,IF(L35="Not Applicable",K35*1,0)))))))</f>
        <v>16374.09794</v>
      </c>
    </row>
    <row r="36" ht="33.75" hidden="1" customHeight="1">
      <c r="B36" s="456"/>
      <c r="C36" s="468" t="s">
        <v>25</v>
      </c>
      <c r="D36" s="469"/>
      <c r="E36" s="469"/>
      <c r="F36" s="459">
        <f>306.378600823045*8.62%*E16</f>
        <v>32.74819588</v>
      </c>
      <c r="G36" s="459">
        <f t="shared" ref="G36:G37" si="4">F36/$G$16</f>
        <v>26.19855671</v>
      </c>
      <c r="H36" s="459">
        <f t="shared" ref="H36:H37" si="5">F36/$H$16</f>
        <v>24.80923931</v>
      </c>
      <c r="I36" s="470">
        <v>1.0</v>
      </c>
      <c r="J36" s="68"/>
      <c r="K36" s="462"/>
      <c r="L36" s="34"/>
      <c r="M36" s="73"/>
    </row>
    <row r="37" ht="30.0" hidden="1" customHeight="1">
      <c r="B37" s="456"/>
      <c r="C37" s="468" t="s">
        <v>26</v>
      </c>
      <c r="D37" s="469"/>
      <c r="E37" s="469"/>
      <c r="F37" s="459">
        <v>0.0</v>
      </c>
      <c r="G37" s="459">
        <f t="shared" si="4"/>
        <v>0</v>
      </c>
      <c r="H37" s="459">
        <f t="shared" si="5"/>
        <v>0</v>
      </c>
      <c r="I37" s="470">
        <v>2.0</v>
      </c>
      <c r="J37" s="68"/>
      <c r="K37" s="462"/>
      <c r="L37" s="34"/>
      <c r="M37" s="402"/>
    </row>
    <row r="38" ht="30.0" customHeight="1">
      <c r="B38" s="456">
        <v>7.0</v>
      </c>
      <c r="C38" s="465" t="s">
        <v>45</v>
      </c>
      <c r="D38" s="466"/>
      <c r="E38" s="466"/>
      <c r="F38" s="459"/>
      <c r="G38" s="459"/>
      <c r="H38" s="459"/>
      <c r="I38" s="460"/>
      <c r="J38" s="72" t="s">
        <v>25</v>
      </c>
      <c r="K38" s="462">
        <f>IF(J38="YES",IF(J12="2010-2013",H39*$J$11,IF(J12="2014-2021",G39*$J$11,IF(J12="2021-2023",F39*$J$11,0))),0)</f>
        <v>140832.4387</v>
      </c>
      <c r="L38" s="207" t="s">
        <v>23</v>
      </c>
      <c r="M38" s="73">
        <f>IF(L38="Delapidated",K38*0.6,IF(L38="Poor",K38*0.7,IF(L38="Fair",K38*0.8,IF(L38="Good",K38*0.85,IF(L38="Very Good",K38*0.9,IF(L38="Excellent",K38*1,IF(L38="Not Applicable",K38*1,0)))))))</f>
        <v>140832.4387</v>
      </c>
    </row>
    <row r="39" ht="30.0" hidden="1" customHeight="1">
      <c r="B39" s="456"/>
      <c r="C39" s="468" t="s">
        <v>25</v>
      </c>
      <c r="D39" s="469"/>
      <c r="E39" s="469"/>
      <c r="F39" s="459">
        <f>306.378600823045*74.14%*E16</f>
        <v>281.6648774</v>
      </c>
      <c r="G39" s="459">
        <f t="shared" ref="G39:G40" si="6">F39/$G$16</f>
        <v>225.3319019</v>
      </c>
      <c r="H39" s="459">
        <f t="shared" ref="H39:H40" si="7">F39/$H$16</f>
        <v>213.3824829</v>
      </c>
      <c r="I39" s="470">
        <v>1.0</v>
      </c>
      <c r="J39" s="68"/>
      <c r="K39" s="462"/>
      <c r="L39" s="34"/>
      <c r="M39" s="402"/>
    </row>
    <row r="40" ht="30.0" hidden="1" customHeight="1">
      <c r="B40" s="456"/>
      <c r="C40" s="468" t="s">
        <v>26</v>
      </c>
      <c r="D40" s="469"/>
      <c r="E40" s="469"/>
      <c r="F40" s="459">
        <v>0.0</v>
      </c>
      <c r="G40" s="459">
        <f t="shared" si="6"/>
        <v>0</v>
      </c>
      <c r="H40" s="459">
        <f t="shared" si="7"/>
        <v>0</v>
      </c>
      <c r="I40" s="470">
        <v>2.0</v>
      </c>
      <c r="J40" s="68"/>
      <c r="K40" s="462"/>
      <c r="L40" s="34"/>
      <c r="M40" s="402"/>
    </row>
    <row r="41" ht="30.0" customHeight="1">
      <c r="A41" s="34"/>
      <c r="B41" s="44"/>
      <c r="C41" s="214" t="s">
        <v>48</v>
      </c>
      <c r="D41" s="66"/>
      <c r="E41" s="66"/>
      <c r="F41" s="67"/>
      <c r="G41" s="67"/>
      <c r="H41" s="67"/>
      <c r="I41" s="77"/>
      <c r="J41" s="49">
        <v>14.0</v>
      </c>
      <c r="K41" s="34"/>
      <c r="L41" s="199"/>
      <c r="M41" s="199"/>
      <c r="N41" s="206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B42" s="456">
        <v>8.0</v>
      </c>
      <c r="C42" s="465" t="s">
        <v>49</v>
      </c>
      <c r="D42" s="466"/>
      <c r="E42" s="466"/>
      <c r="F42" s="459"/>
      <c r="G42" s="459"/>
      <c r="H42" s="459"/>
      <c r="I42" s="460"/>
      <c r="J42" s="72" t="s">
        <v>25</v>
      </c>
      <c r="K42" s="462">
        <f>IF(J42="YES",IF($J$16="2010-2013",H43*J41,IF(J12="2014-2021",G43*J41,IF(J12="2021-2023",F43*J41,0))),0)</f>
        <v>56000</v>
      </c>
      <c r="L42" s="207" t="s">
        <v>23</v>
      </c>
      <c r="M42" s="73">
        <f>IF(L42="Delapidated",K42*0.6,IF(L42="Poor",K42*0.7,IF(L42="Fair",K42*0.8,IF(L42="Good",K42*0.85,IF(L42="Very Good",K42*0.9,IF(L42="Excellent",K42*1,IF(L42="Not Applicable",K42*1,0)))))))</f>
        <v>56000</v>
      </c>
    </row>
    <row r="43" ht="30.0" hidden="1" customHeight="1">
      <c r="B43" s="456"/>
      <c r="C43" s="468" t="s">
        <v>25</v>
      </c>
      <c r="D43" s="469"/>
      <c r="E43" s="469"/>
      <c r="F43" s="459">
        <v>4000.0</v>
      </c>
      <c r="G43" s="459">
        <f t="shared" ref="G43:G44" si="8">F43/$G$16</f>
        <v>3200</v>
      </c>
      <c r="H43" s="459">
        <f t="shared" ref="H43:H44" si="9">F43/$H$16</f>
        <v>3030.30303</v>
      </c>
      <c r="I43" s="470">
        <v>1.0</v>
      </c>
      <c r="J43" s="68"/>
      <c r="K43" s="462"/>
      <c r="L43" s="34"/>
      <c r="M43" s="73"/>
    </row>
    <row r="44" ht="30.0" hidden="1" customHeight="1">
      <c r="B44" s="456"/>
      <c r="C44" s="468" t="s">
        <v>26</v>
      </c>
      <c r="D44" s="469"/>
      <c r="E44" s="469"/>
      <c r="F44" s="459">
        <v>0.0</v>
      </c>
      <c r="G44" s="459">
        <f t="shared" si="8"/>
        <v>0</v>
      </c>
      <c r="H44" s="459">
        <f t="shared" si="9"/>
        <v>0</v>
      </c>
      <c r="I44" s="470">
        <v>2.0</v>
      </c>
      <c r="J44" s="68"/>
      <c r="K44" s="462"/>
      <c r="L44" s="34"/>
      <c r="M44" s="402"/>
    </row>
    <row r="45" ht="30.0" customHeight="1">
      <c r="B45" s="456">
        <v>9.0</v>
      </c>
      <c r="C45" s="465" t="s">
        <v>50</v>
      </c>
      <c r="D45" s="466"/>
      <c r="E45" s="466"/>
      <c r="F45" s="467"/>
      <c r="G45" s="459"/>
      <c r="H45" s="459"/>
      <c r="I45" s="460"/>
      <c r="J45" s="72" t="s">
        <v>25</v>
      </c>
      <c r="K45" s="462">
        <f>IF(J45="YES",IF(J12="2010-2013",H46*$J$11,IF(J12="2014-2021",G46*$J$11,IF(J12="2021-2023",F46*$J$11,0))),0)</f>
        <v>119152.2634</v>
      </c>
      <c r="L45" s="207" t="s">
        <v>23</v>
      </c>
      <c r="M45" s="73">
        <f>IF(L45="Delapidated",K45*0.6,IF(L45="Poor",K45*0.7,IF(L45="Fair",K45*0.8,IF(L45="Good",K45*0.85,IF(L45="Very Good",K45*0.9,IF(L45="Excellent",K45*1,IF(L45="Not Applicable",K45*1,0)))))))</f>
        <v>119152.2634</v>
      </c>
    </row>
    <row r="46" ht="30.0" hidden="1" customHeight="1">
      <c r="B46" s="456"/>
      <c r="C46" s="468" t="s">
        <v>25</v>
      </c>
      <c r="D46" s="469"/>
      <c r="E46" s="469"/>
      <c r="F46" s="459">
        <f>192.181069958848*E16</f>
        <v>238.3045267</v>
      </c>
      <c r="G46" s="459">
        <f t="shared" ref="G46:G47" si="10">F46/$G$16</f>
        <v>190.6436214</v>
      </c>
      <c r="H46" s="459">
        <f t="shared" ref="H46:H47" si="11">F46/$H$16</f>
        <v>180.5337324</v>
      </c>
      <c r="I46" s="470">
        <v>1.0</v>
      </c>
      <c r="J46" s="68"/>
      <c r="K46" s="462"/>
      <c r="L46" s="34"/>
      <c r="M46" s="73"/>
    </row>
    <row r="47" ht="30.0" hidden="1" customHeight="1">
      <c r="B47" s="456"/>
      <c r="C47" s="468" t="s">
        <v>26</v>
      </c>
      <c r="D47" s="469"/>
      <c r="E47" s="469"/>
      <c r="F47" s="459">
        <v>0.0</v>
      </c>
      <c r="G47" s="459">
        <f t="shared" si="10"/>
        <v>0</v>
      </c>
      <c r="H47" s="459">
        <f t="shared" si="11"/>
        <v>0</v>
      </c>
      <c r="I47" s="470">
        <v>2.0</v>
      </c>
      <c r="J47" s="68"/>
      <c r="K47" s="462"/>
      <c r="L47" s="34"/>
      <c r="M47" s="402"/>
    </row>
    <row r="48" ht="30.0" customHeight="1">
      <c r="B48" s="83">
        <v>10.0</v>
      </c>
      <c r="C48" s="92" t="s">
        <v>51</v>
      </c>
      <c r="D48" s="469"/>
      <c r="E48" s="469"/>
      <c r="F48" s="459"/>
      <c r="G48" s="459"/>
      <c r="H48" s="459"/>
      <c r="I48" s="470"/>
      <c r="J48" s="72" t="s">
        <v>52</v>
      </c>
      <c r="K48" s="462">
        <f>IF(J48="VINYL FLOORING",IF(J12="2010-2013",H49*$J$11,IF(J12="2014-2021",G49*$J$11,IF(J12="2021-2023",F49*$J$11,0))),IF(J48="TILING FLOORING",IF(J12="2010-2013",H50*$J$11,IF(J12="2014-2021",G50*$J$11,IF(J12="2021-2023",F50*$J$11,0))),IF(J48="TIMBER FLOORING",IF(J12="2010-2013",H51*$J$11,IF(J12="2014-2021",G51*$J$11,IF(J12="2021-2023",F51*$J$11,0))),IF(J48="CARPETS FLOORING",IF(J12="2010-2013",H52*$J$11,IF(J12="2014-2021",G52*$J$11,IF(J12="2021-2023",F52*$J$11,0))),0))))</f>
        <v>247591.7695</v>
      </c>
      <c r="L48" s="207" t="s">
        <v>23</v>
      </c>
      <c r="M48" s="73">
        <f>IF(L48="Delapidated",K48*0.6,IF(L48="Poor",K48*0.7,IF(L48="Fair",K48*0.8,IF(L48="Good",K48*0.85,IF(L48="Very Good",K48*0.9,IF(L48="Excellent",K48*1,IF(L48="Not Applicable",K48*1,0)))))))</f>
        <v>247591.7695</v>
      </c>
    </row>
    <row r="49" ht="30.0" hidden="1" customHeight="1">
      <c r="B49" s="84"/>
      <c r="C49" s="79" t="s">
        <v>53</v>
      </c>
      <c r="D49" s="469"/>
      <c r="E49" s="469"/>
      <c r="F49" s="459">
        <f>F50*0.7</f>
        <v>346.6284774</v>
      </c>
      <c r="G49" s="459">
        <f t="shared" ref="G49:G53" si="12">F49/$G$16</f>
        <v>277.3027819</v>
      </c>
      <c r="H49" s="459">
        <f t="shared" ref="H49:H53" si="13">F49/$H$16</f>
        <v>262.5973313</v>
      </c>
      <c r="I49" s="470">
        <v>1.0</v>
      </c>
      <c r="J49" s="68"/>
      <c r="K49" s="462"/>
      <c r="L49" s="34"/>
      <c r="M49" s="73"/>
    </row>
    <row r="50" ht="30.0" hidden="1" customHeight="1">
      <c r="B50" s="84"/>
      <c r="C50" s="79" t="s">
        <v>52</v>
      </c>
      <c r="D50" s="469"/>
      <c r="E50" s="469"/>
      <c r="F50" s="459">
        <f>499.17695473251*0.8*E16</f>
        <v>495.1835391</v>
      </c>
      <c r="G50" s="459">
        <f t="shared" si="12"/>
        <v>396.1468313</v>
      </c>
      <c r="H50" s="459">
        <f t="shared" si="13"/>
        <v>375.1390448</v>
      </c>
      <c r="I50" s="470">
        <v>2.0</v>
      </c>
      <c r="J50" s="68"/>
      <c r="K50" s="462"/>
      <c r="L50" s="34"/>
      <c r="M50" s="73"/>
    </row>
    <row r="51" ht="30.0" hidden="1" customHeight="1">
      <c r="B51" s="84"/>
      <c r="C51" s="79" t="s">
        <v>155</v>
      </c>
      <c r="D51" s="469"/>
      <c r="E51" s="469"/>
      <c r="F51" s="459">
        <f>F50*1.2</f>
        <v>594.2202469</v>
      </c>
      <c r="G51" s="459">
        <f t="shared" si="12"/>
        <v>475.3761975</v>
      </c>
      <c r="H51" s="459">
        <f t="shared" si="13"/>
        <v>450.1668537</v>
      </c>
      <c r="I51" s="470">
        <v>3.0</v>
      </c>
      <c r="J51" s="68"/>
      <c r="K51" s="462"/>
      <c r="L51" s="34"/>
      <c r="M51" s="73"/>
    </row>
    <row r="52" ht="30.0" hidden="1" customHeight="1">
      <c r="B52" s="84"/>
      <c r="C52" s="79" t="s">
        <v>55</v>
      </c>
      <c r="D52" s="469"/>
      <c r="E52" s="469"/>
      <c r="F52" s="459">
        <f>F50*1.3</f>
        <v>643.7386008</v>
      </c>
      <c r="G52" s="459">
        <f t="shared" si="12"/>
        <v>514.9908807</v>
      </c>
      <c r="H52" s="459">
        <f t="shared" si="13"/>
        <v>487.6807582</v>
      </c>
      <c r="I52" s="470">
        <v>4.0</v>
      </c>
      <c r="J52" s="68"/>
      <c r="K52" s="462"/>
      <c r="L52" s="34"/>
      <c r="M52" s="73"/>
    </row>
    <row r="53" ht="30.0" hidden="1" customHeight="1">
      <c r="B53" s="85"/>
      <c r="C53" s="79" t="s">
        <v>56</v>
      </c>
      <c r="D53" s="469"/>
      <c r="E53" s="469"/>
      <c r="F53" s="459">
        <v>0.0</v>
      </c>
      <c r="G53" s="459">
        <f t="shared" si="12"/>
        <v>0</v>
      </c>
      <c r="H53" s="459">
        <f t="shared" si="13"/>
        <v>0</v>
      </c>
      <c r="I53" s="470">
        <v>5.0</v>
      </c>
      <c r="J53" s="68"/>
      <c r="K53" s="462"/>
      <c r="L53" s="34"/>
      <c r="M53" s="402"/>
    </row>
    <row r="54" ht="30.0" customHeight="1">
      <c r="B54" s="456">
        <v>11.0</v>
      </c>
      <c r="C54" s="465" t="s">
        <v>57</v>
      </c>
      <c r="D54" s="466"/>
      <c r="E54" s="466"/>
      <c r="F54" s="459"/>
      <c r="G54" s="459"/>
      <c r="H54" s="459"/>
      <c r="I54" s="460"/>
      <c r="J54" s="72" t="s">
        <v>58</v>
      </c>
      <c r="K54" s="462">
        <f>IF(J54="STEEL WINDOW FRAMES",IF(J12="2010-2013",H55*$J$11,IF(J12="2014-2021",G55*$J$11,IF(J12="2021-2023",F55*$J$11,0))),IF(J54="ALUMINIUM WINDOW FRAMES",IF(J12="2010-2013",H56*$J$11,IF(J12="2014-2021",G56*$J$11,IF(J12="2021-2023",F56*$J$11,0))),0))</f>
        <v>416076.1317</v>
      </c>
      <c r="L54" s="207" t="s">
        <v>23</v>
      </c>
      <c r="M54" s="73">
        <f>IF(L54="Delapidated",K54*0.6,IF(L54="Poor",K54*0.7,IF(L54="Fair",K54*0.8,IF(L54="Good",K54*0.85,IF(L54="Very Good",K54*0.9,IF(L54="Excellent",K54*1,IF(L54="Not Applicable",K54*1,0)))))))</f>
        <v>416076.1317</v>
      </c>
    </row>
    <row r="55" ht="30.0" hidden="1" customHeight="1">
      <c r="B55" s="456">
        <v>10.0</v>
      </c>
      <c r="C55" s="468" t="s">
        <v>59</v>
      </c>
      <c r="D55" s="469"/>
      <c r="E55" s="469"/>
      <c r="F55" s="764">
        <f>F56*0.3</f>
        <v>249.645679</v>
      </c>
      <c r="G55" s="459">
        <f t="shared" ref="G55:G57" si="14">F55/$G$16</f>
        <v>199.7165432</v>
      </c>
      <c r="H55" s="459">
        <f t="shared" ref="H55:H57" si="15">F55/$H$16</f>
        <v>189.1255144</v>
      </c>
      <c r="I55" s="470">
        <v>1.0</v>
      </c>
      <c r="J55" s="68"/>
      <c r="K55" s="462"/>
      <c r="L55" s="34"/>
      <c r="M55" s="73"/>
    </row>
    <row r="56" ht="30.0" hidden="1" customHeight="1">
      <c r="B56" s="456">
        <v>10.0</v>
      </c>
      <c r="C56" s="468" t="s">
        <v>58</v>
      </c>
      <c r="D56" s="469"/>
      <c r="E56" s="469"/>
      <c r="F56" s="459">
        <f>671.090534979424*E16</f>
        <v>832.1522634</v>
      </c>
      <c r="G56" s="459">
        <f t="shared" si="14"/>
        <v>665.7218107</v>
      </c>
      <c r="H56" s="459">
        <f t="shared" si="15"/>
        <v>630.4183813</v>
      </c>
      <c r="I56" s="470">
        <v>2.0</v>
      </c>
      <c r="J56" s="68"/>
      <c r="K56" s="462"/>
      <c r="L56" s="34"/>
      <c r="M56" s="73"/>
    </row>
    <row r="57" ht="30.0" hidden="1" customHeight="1">
      <c r="B57" s="456">
        <v>10.0</v>
      </c>
      <c r="C57" s="468" t="s">
        <v>60</v>
      </c>
      <c r="D57" s="469"/>
      <c r="E57" s="469"/>
      <c r="F57" s="459">
        <v>0.0</v>
      </c>
      <c r="G57" s="459">
        <f t="shared" si="14"/>
        <v>0</v>
      </c>
      <c r="H57" s="459">
        <f t="shared" si="15"/>
        <v>0</v>
      </c>
      <c r="I57" s="470">
        <v>3.0</v>
      </c>
      <c r="J57" s="68"/>
      <c r="K57" s="462"/>
      <c r="L57" s="34"/>
      <c r="M57" s="402"/>
    </row>
    <row r="58" ht="30.0" customHeight="1">
      <c r="B58" s="456">
        <f t="shared" ref="B58:B60" si="16">B54+1</f>
        <v>12</v>
      </c>
      <c r="C58" s="465" t="s">
        <v>61</v>
      </c>
      <c r="D58" s="466"/>
      <c r="E58" s="466"/>
      <c r="F58" s="459"/>
      <c r="G58" s="459"/>
      <c r="H58" s="459"/>
      <c r="I58" s="460"/>
      <c r="J58" s="72" t="s">
        <v>25</v>
      </c>
      <c r="K58" s="462">
        <f>IF(J58="YES",IF(J12="2010-2013",H59*$J$11,IF(J12="2014-2021",G59*$J$11,IF(J12="2021-2023",F59*$J$11,0))),0)</f>
        <v>230012.3457</v>
      </c>
      <c r="L58" s="207" t="s">
        <v>23</v>
      </c>
      <c r="M58" s="73">
        <f>IF(L58="Delapidated",K58*0.6,IF(L58="Poor",K58*0.7,IF(L58="Fair",K58*0.8,IF(L58="Good",K58*0.85,IF(L58="Very Good",K58*0.9,IF(L58="Excellent",K58*1,IF(L58="Not Applicable",K58*1,0)))))))</f>
        <v>230012.3457</v>
      </c>
    </row>
    <row r="59" ht="30.0" hidden="1" customHeight="1">
      <c r="B59" s="456">
        <f t="shared" si="16"/>
        <v>11</v>
      </c>
      <c r="C59" s="468" t="s">
        <v>25</v>
      </c>
      <c r="D59" s="469"/>
      <c r="E59" s="469"/>
      <c r="F59" s="459">
        <f>370.987654320988*E16</f>
        <v>460.0246914</v>
      </c>
      <c r="G59" s="459">
        <f t="shared" ref="G59:G60" si="17">F59/$G$16</f>
        <v>368.0197531</v>
      </c>
      <c r="H59" s="459">
        <f t="shared" ref="H59:H60" si="18">F59/$H$16</f>
        <v>348.5035541</v>
      </c>
      <c r="I59" s="470">
        <v>1.0</v>
      </c>
      <c r="J59" s="68"/>
      <c r="K59" s="462"/>
      <c r="L59" s="34"/>
      <c r="M59" s="73"/>
    </row>
    <row r="60" ht="30.0" hidden="1" customHeight="1">
      <c r="B60" s="456">
        <f t="shared" si="16"/>
        <v>11</v>
      </c>
      <c r="C60" s="468" t="s">
        <v>26</v>
      </c>
      <c r="D60" s="469"/>
      <c r="E60" s="469"/>
      <c r="F60" s="459">
        <v>0.0</v>
      </c>
      <c r="G60" s="459">
        <f t="shared" si="17"/>
        <v>0</v>
      </c>
      <c r="H60" s="459">
        <f t="shared" si="18"/>
        <v>0</v>
      </c>
      <c r="I60" s="470">
        <v>2.0</v>
      </c>
      <c r="J60" s="68"/>
      <c r="K60" s="462"/>
      <c r="L60" s="34"/>
      <c r="M60" s="402"/>
    </row>
    <row r="61" ht="30.0" customHeight="1">
      <c r="B61" s="456">
        <v>13.0</v>
      </c>
      <c r="C61" s="208" t="s">
        <v>62</v>
      </c>
      <c r="D61" s="466"/>
      <c r="E61" s="466"/>
      <c r="F61" s="459"/>
      <c r="G61" s="459"/>
      <c r="H61" s="459"/>
      <c r="I61" s="460"/>
      <c r="J61" s="72" t="s">
        <v>25</v>
      </c>
      <c r="K61" s="462">
        <f>IF(J61="YES",IF(J12="2010-2013",H62*$J$11,IF(J12="2014-2021",G62*$J$11,IF(J12="2021-2023",F62*$J$11,0))),0)</f>
        <v>61897.94239</v>
      </c>
      <c r="L61" s="207" t="s">
        <v>23</v>
      </c>
      <c r="M61" s="73">
        <f>IF(L61="Delapidated",K61*0.6,IF(L61="Poor",K61*0.7,IF(L61="Fair",K61*0.8,IF(L61="Good",K61*0.85,IF(L61="Very Good",K61*0.9,IF(L61="Excellent",K61*1,IF(L61="Not Applicable",K61*1,0)))))))</f>
        <v>61897.94239</v>
      </c>
    </row>
    <row r="62" ht="30.0" hidden="1" customHeight="1">
      <c r="B62" s="456">
        <f t="shared" ref="B62:B63" si="19">B58+1</f>
        <v>13</v>
      </c>
      <c r="C62" s="468" t="s">
        <v>25</v>
      </c>
      <c r="D62" s="469"/>
      <c r="E62" s="469"/>
      <c r="F62" s="459">
        <f>499.17695473251*0.2*E16</f>
        <v>123.7958848</v>
      </c>
      <c r="G62" s="459">
        <f t="shared" ref="G62:G63" si="20">F62/$G$16</f>
        <v>99.03670782</v>
      </c>
      <c r="H62" s="459">
        <f t="shared" ref="H62:H63" si="21">F62/$H$16</f>
        <v>93.78476119</v>
      </c>
      <c r="I62" s="470">
        <v>1.0</v>
      </c>
      <c r="J62" s="68"/>
      <c r="K62" s="462"/>
      <c r="L62" s="34"/>
      <c r="M62" s="73"/>
    </row>
    <row r="63" ht="30.0" hidden="1" customHeight="1">
      <c r="B63" s="456">
        <f t="shared" si="19"/>
        <v>12</v>
      </c>
      <c r="C63" s="468" t="s">
        <v>26</v>
      </c>
      <c r="D63" s="469"/>
      <c r="E63" s="469"/>
      <c r="F63" s="459">
        <v>0.0</v>
      </c>
      <c r="G63" s="459">
        <f t="shared" si="20"/>
        <v>0</v>
      </c>
      <c r="H63" s="459">
        <f t="shared" si="21"/>
        <v>0</v>
      </c>
      <c r="I63" s="470">
        <v>2.0</v>
      </c>
      <c r="J63" s="68"/>
      <c r="K63" s="462"/>
      <c r="L63" s="34"/>
      <c r="M63" s="402"/>
    </row>
    <row r="64" ht="30.0" customHeight="1">
      <c r="A64" s="34"/>
      <c r="B64" s="44"/>
      <c r="C64" s="214" t="s">
        <v>63</v>
      </c>
      <c r="D64" s="66"/>
      <c r="E64" s="66"/>
      <c r="F64" s="67"/>
      <c r="G64" s="67"/>
      <c r="H64" s="67"/>
      <c r="I64" s="77"/>
      <c r="J64" s="49">
        <v>14.0</v>
      </c>
      <c r="K64" s="34"/>
      <c r="L64" s="199"/>
      <c r="M64" s="199"/>
      <c r="N64" s="206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B65" s="456">
        <v>14.0</v>
      </c>
      <c r="C65" s="465" t="s">
        <v>93</v>
      </c>
      <c r="D65" s="466"/>
      <c r="E65" s="466"/>
      <c r="F65" s="459"/>
      <c r="G65" s="459"/>
      <c r="H65" s="459"/>
      <c r="I65" s="460"/>
      <c r="J65" s="72" t="s">
        <v>25</v>
      </c>
      <c r="K65" s="462">
        <f>IF(J65="YES",IF(J12="2010-2013",H66*J64,IF(J12="2014-2021",G66*J64,IF(J12="2021-2023",F66*J64,0))),0)</f>
        <v>322000</v>
      </c>
      <c r="L65" s="207" t="s">
        <v>23</v>
      </c>
      <c r="M65" s="73">
        <f>IF(L65="Delapidated",K65*0.6,IF(L65="Poor",K65*0.7,IF(L65="Fair",K65*0.8,IF(L65="Good",K65*0.85,IF(L65="Very Good",K65*0.9,IF(L65="Excellent",K65*1,IF(L65="Not Applicable",K65*1,0)))))))</f>
        <v>322000</v>
      </c>
    </row>
    <row r="66" ht="30.0" hidden="1" customHeight="1">
      <c r="B66" s="456">
        <f t="shared" ref="B66:B67" si="22">B61+1</f>
        <v>14</v>
      </c>
      <c r="C66" s="468" t="s">
        <v>25</v>
      </c>
      <c r="D66" s="469"/>
      <c r="E66" s="469"/>
      <c r="F66" s="459">
        <v>23000.0</v>
      </c>
      <c r="G66" s="459">
        <f t="shared" ref="G66:G67" si="23">F66/$G$16</f>
        <v>18400</v>
      </c>
      <c r="H66" s="459">
        <f t="shared" ref="H66:H67" si="24">F66/$H$16</f>
        <v>17424.24242</v>
      </c>
      <c r="I66" s="470">
        <v>1.0</v>
      </c>
      <c r="J66" s="68"/>
      <c r="K66" s="462"/>
      <c r="L66" s="34"/>
      <c r="M66" s="73"/>
    </row>
    <row r="67" ht="30.0" hidden="1" customHeight="1">
      <c r="B67" s="456">
        <f t="shared" si="22"/>
        <v>14</v>
      </c>
      <c r="C67" s="468" t="s">
        <v>26</v>
      </c>
      <c r="D67" s="469"/>
      <c r="E67" s="469"/>
      <c r="F67" s="459">
        <v>0.0</v>
      </c>
      <c r="G67" s="459">
        <f t="shared" si="23"/>
        <v>0</v>
      </c>
      <c r="H67" s="459">
        <f t="shared" si="24"/>
        <v>0</v>
      </c>
      <c r="I67" s="470">
        <v>2.0</v>
      </c>
      <c r="J67" s="68"/>
      <c r="K67" s="473"/>
      <c r="L67" s="34"/>
      <c r="M67" s="402"/>
    </row>
    <row r="68" ht="30.0" customHeight="1">
      <c r="B68" s="456">
        <v>15.0</v>
      </c>
      <c r="C68" s="465" t="s">
        <v>65</v>
      </c>
      <c r="D68" s="466"/>
      <c r="E68" s="466"/>
      <c r="F68" s="459"/>
      <c r="G68" s="459"/>
      <c r="H68" s="459"/>
      <c r="I68" s="460"/>
      <c r="J68" s="72" t="s">
        <v>25</v>
      </c>
      <c r="K68" s="462">
        <f>IF(J68="YES",IF(J12="2010-2013",H69*$J$11,IF(J12="2014-2021",G69*$J$11,IF(J12="2021-2023",F69*$J$11,0))),0)</f>
        <v>120236.6255</v>
      </c>
      <c r="L68" s="207" t="s">
        <v>23</v>
      </c>
      <c r="M68" s="73">
        <f>IF(L68="Delapidated",K68*0.6,IF(L68="Poor",K68*0.7,IF(L68="Fair",K68*0.8,IF(L68="Good",K68*0.85,IF(L68="Very Good",K68*0.9,IF(L68="Excellent",K68*1,IF(L68="Not Applicable",K68*1,0)))))))</f>
        <v>120236.6255</v>
      </c>
    </row>
    <row r="69" ht="30.0" hidden="1" customHeight="1">
      <c r="B69" s="456">
        <f t="shared" ref="B69:B70" si="25">B65+1</f>
        <v>15</v>
      </c>
      <c r="C69" s="468" t="s">
        <v>25</v>
      </c>
      <c r="D69" s="469"/>
      <c r="E69" s="469"/>
      <c r="F69" s="459">
        <f>193.930041152263*E16</f>
        <v>240.473251</v>
      </c>
      <c r="G69" s="459">
        <f t="shared" ref="G69:G70" si="26">F69/$G$16</f>
        <v>192.3786008</v>
      </c>
      <c r="H69" s="459">
        <f t="shared" ref="H69:H70" si="27">F69/$H$16</f>
        <v>182.1767053</v>
      </c>
      <c r="I69" s="470">
        <v>1.0</v>
      </c>
      <c r="J69" s="68"/>
      <c r="K69" s="462"/>
      <c r="L69" s="34"/>
      <c r="M69" s="73"/>
    </row>
    <row r="70" ht="30.0" hidden="1" customHeight="1">
      <c r="B70" s="456">
        <f t="shared" si="25"/>
        <v>15</v>
      </c>
      <c r="C70" s="468" t="s">
        <v>26</v>
      </c>
      <c r="D70" s="469"/>
      <c r="E70" s="469"/>
      <c r="F70" s="459">
        <v>0.0</v>
      </c>
      <c r="G70" s="459">
        <f t="shared" si="26"/>
        <v>0</v>
      </c>
      <c r="H70" s="459">
        <f t="shared" si="27"/>
        <v>0</v>
      </c>
      <c r="I70" s="470">
        <v>2.0</v>
      </c>
      <c r="J70" s="68"/>
      <c r="K70" s="462"/>
      <c r="L70" s="34"/>
      <c r="M70" s="402"/>
    </row>
    <row r="71" ht="30.0" customHeight="1">
      <c r="B71" s="456">
        <v>16.0</v>
      </c>
      <c r="C71" s="465" t="s">
        <v>94</v>
      </c>
      <c r="D71" s="466"/>
      <c r="E71" s="466"/>
      <c r="F71" s="459"/>
      <c r="G71" s="459"/>
      <c r="H71" s="459"/>
      <c r="I71" s="460"/>
      <c r="J71" s="72" t="s">
        <v>25</v>
      </c>
      <c r="K71" s="462">
        <f>IF(J71="YES",IF(J12="2010-2013",H72*$J$11,IF(J12="2014-2021",G72*$J$11,IF(J12="2021-2023",F72*$J$11,0))),0)</f>
        <v>589000</v>
      </c>
      <c r="L71" s="207" t="s">
        <v>23</v>
      </c>
      <c r="M71" s="73">
        <f>IF(L71="Delapidated",K71*0.6,IF(L71="Poor",K71*0.7,IF(L71="Fair",K71*0.8,IF(L71="Good",K71*0.85,IF(L71="Very Good",K71*0.9,IF(L71="Excellent",K71*1,IF(L71="Not Applicable",K71*1,0)))))))</f>
        <v>589000</v>
      </c>
    </row>
    <row r="72" ht="30.0" hidden="1" customHeight="1">
      <c r="B72" s="456">
        <f t="shared" ref="B72:B73" si="28">B68+1</f>
        <v>16</v>
      </c>
      <c r="C72" s="468" t="s">
        <v>25</v>
      </c>
      <c r="D72" s="469"/>
      <c r="E72" s="469"/>
      <c r="F72" s="459">
        <f>950*E16</f>
        <v>1178</v>
      </c>
      <c r="G72" s="459">
        <f t="shared" ref="G72:G73" si="29">F72/$G$16</f>
        <v>942.4</v>
      </c>
      <c r="H72" s="459">
        <f t="shared" ref="H72:H73" si="30">F72/$H$16</f>
        <v>892.4242424</v>
      </c>
      <c r="I72" s="470">
        <v>1.0</v>
      </c>
      <c r="J72" s="68"/>
      <c r="K72" s="462"/>
      <c r="L72" s="34"/>
      <c r="M72" s="73"/>
    </row>
    <row r="73" ht="30.0" hidden="1" customHeight="1">
      <c r="B73" s="456">
        <f t="shared" si="28"/>
        <v>16</v>
      </c>
      <c r="C73" s="468" t="s">
        <v>26</v>
      </c>
      <c r="D73" s="469"/>
      <c r="E73" s="469"/>
      <c r="F73" s="459">
        <v>0.0</v>
      </c>
      <c r="G73" s="459">
        <f t="shared" si="29"/>
        <v>0</v>
      </c>
      <c r="H73" s="459">
        <f t="shared" si="30"/>
        <v>0</v>
      </c>
      <c r="I73" s="470">
        <v>2.0</v>
      </c>
      <c r="J73" s="68"/>
      <c r="K73" s="462"/>
      <c r="L73" s="34"/>
      <c r="M73" s="402"/>
    </row>
    <row r="74" ht="30.0" customHeight="1">
      <c r="A74" s="34"/>
      <c r="B74" s="44"/>
      <c r="C74" s="214" t="s">
        <v>89</v>
      </c>
      <c r="D74" s="66"/>
      <c r="E74" s="66"/>
      <c r="F74" s="67"/>
      <c r="G74" s="67"/>
      <c r="H74" s="67"/>
      <c r="I74" s="77"/>
      <c r="J74" s="49">
        <v>14.0</v>
      </c>
      <c r="K74" s="34"/>
      <c r="L74" s="199"/>
      <c r="M74" s="199"/>
      <c r="N74" s="206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B75" s="456">
        <v>17.0</v>
      </c>
      <c r="C75" s="465" t="s">
        <v>68</v>
      </c>
      <c r="D75" s="466"/>
      <c r="E75" s="466"/>
      <c r="F75" s="459"/>
      <c r="G75" s="459"/>
      <c r="H75" s="459"/>
      <c r="I75" s="460"/>
      <c r="J75" s="72" t="s">
        <v>25</v>
      </c>
      <c r="K75" s="462">
        <f>IF(J75="YES",IF(J12="2010-2013",H76*J74,IF(J12="2014-2021",G76*J74,IF(J12="2021-2023",F76*J74,0))),0)</f>
        <v>98000</v>
      </c>
      <c r="L75" s="207" t="s">
        <v>23</v>
      </c>
      <c r="M75" s="73">
        <f>IF(L75="Delapidated",K75*0.6,IF(L75="Poor",K75*0.7,IF(L75="Fair",K75*0.8,IF(L75="Good",K75*0.85,IF(L75="Very Good",K75*0.9,IF(L75="Excellent",K75*1,IF(L75="Not Applicable",K75*1,0)))))))</f>
        <v>98000</v>
      </c>
    </row>
    <row r="76" ht="30.0" hidden="1" customHeight="1">
      <c r="B76" s="456">
        <f t="shared" ref="B76:B77" si="31">B71+1</f>
        <v>17</v>
      </c>
      <c r="C76" s="468" t="s">
        <v>25</v>
      </c>
      <c r="D76" s="469"/>
      <c r="E76" s="469"/>
      <c r="F76" s="459">
        <v>7000.0</v>
      </c>
      <c r="G76" s="459">
        <f t="shared" ref="G76:G77" si="32">F76/$G$16</f>
        <v>5600</v>
      </c>
      <c r="H76" s="459">
        <f t="shared" ref="H76:H77" si="33">F76/$H$16</f>
        <v>5303.030303</v>
      </c>
      <c r="I76" s="470">
        <v>1.0</v>
      </c>
      <c r="J76" s="322"/>
      <c r="K76" s="462"/>
      <c r="L76" s="17"/>
      <c r="M76" s="99"/>
    </row>
    <row r="77" ht="30.0" hidden="1" customHeight="1">
      <c r="B77" s="456">
        <f t="shared" si="31"/>
        <v>17</v>
      </c>
      <c r="C77" s="468" t="s">
        <v>26</v>
      </c>
      <c r="D77" s="469"/>
      <c r="E77" s="469"/>
      <c r="F77" s="475">
        <v>0.0</v>
      </c>
      <c r="G77" s="459">
        <f t="shared" si="32"/>
        <v>0</v>
      </c>
      <c r="H77" s="459">
        <f t="shared" si="33"/>
        <v>0</v>
      </c>
      <c r="I77" s="470">
        <v>2.0</v>
      </c>
      <c r="J77" s="322"/>
      <c r="K77" s="608"/>
      <c r="L77" s="250"/>
      <c r="M77" s="125"/>
    </row>
    <row r="78" ht="30.0" customHeight="1">
      <c r="A78" s="386"/>
      <c r="B78" s="375"/>
      <c r="C78" s="220"/>
      <c r="D78" s="469"/>
      <c r="E78" s="469"/>
      <c r="F78" s="478"/>
      <c r="G78" s="478"/>
      <c r="H78" s="478"/>
      <c r="I78" s="479"/>
      <c r="J78" s="480"/>
      <c r="K78" s="481"/>
      <c r="L78" s="193"/>
      <c r="M78" s="197"/>
      <c r="N78" s="386"/>
      <c r="O78" s="386"/>
      <c r="P78" s="386"/>
      <c r="Q78" s="386"/>
      <c r="R78" s="386"/>
      <c r="S78" s="386"/>
      <c r="T78" s="386"/>
      <c r="U78" s="386"/>
      <c r="V78" s="386"/>
      <c r="W78" s="386"/>
      <c r="X78" s="386"/>
      <c r="Y78" s="386"/>
      <c r="Z78" s="386"/>
    </row>
    <row r="79" ht="30.0" customHeight="1">
      <c r="B79" s="44"/>
      <c r="C79" s="214" t="s">
        <v>69</v>
      </c>
      <c r="D79" s="469"/>
      <c r="E79" s="469"/>
      <c r="F79" s="98"/>
      <c r="G79" s="98"/>
      <c r="H79" s="98"/>
      <c r="I79" s="90"/>
      <c r="J79" s="227">
        <v>50.0</v>
      </c>
      <c r="K79" s="189"/>
      <c r="L79" s="193"/>
      <c r="M79" s="610"/>
    </row>
    <row r="80" ht="30.0" customHeight="1">
      <c r="B80" s="44">
        <v>18.0</v>
      </c>
      <c r="C80" s="92" t="s">
        <v>70</v>
      </c>
      <c r="D80" s="469"/>
      <c r="E80" s="469"/>
      <c r="F80" s="98"/>
      <c r="G80" s="98"/>
      <c r="H80" s="98"/>
      <c r="I80" s="77"/>
      <c r="J80" s="229" t="s">
        <v>25</v>
      </c>
      <c r="K80" s="58">
        <f>IF(J80="YES",IF(J12="2010-2013",H81*J79,IF(J12="2014-2021",G81*J79,IF(J12="2021-2023",F81*J79,0))),0)</f>
        <v>179800</v>
      </c>
      <c r="L80" s="207" t="s">
        <v>23</v>
      </c>
      <c r="M80" s="73">
        <f>IF(L80="Delapidated",K80*0.6,IF(L80="Poor",K80*0.7,IF(L80="Fair",K80*0.8,IF(L80="Good",K80*0.85,IF(L80="Very Good",K80*0.9,IF(L80="Excellent",K80*1,IF(L80="Not Applicable",K80*1,0)))))))</f>
        <v>179800</v>
      </c>
    </row>
    <row r="81" ht="30.0" hidden="1" customHeight="1">
      <c r="B81" s="44"/>
      <c r="C81" s="79" t="s">
        <v>25</v>
      </c>
      <c r="D81" s="469"/>
      <c r="E81" s="469"/>
      <c r="F81" s="98">
        <f>2900*E16</f>
        <v>3596</v>
      </c>
      <c r="G81" s="459">
        <f>F81/$G$16</f>
        <v>2876.8</v>
      </c>
      <c r="H81" s="459">
        <f>F81/$H$16</f>
        <v>2724.242424</v>
      </c>
      <c r="I81" s="77">
        <v>1.0</v>
      </c>
      <c r="J81" s="322"/>
      <c r="K81" s="58"/>
      <c r="L81" s="17"/>
      <c r="M81" s="99"/>
    </row>
    <row r="82" ht="30.0" hidden="1" customHeight="1">
      <c r="B82" s="83"/>
      <c r="C82" s="79" t="s">
        <v>26</v>
      </c>
      <c r="D82" s="469"/>
      <c r="E82" s="469"/>
      <c r="F82" s="98">
        <v>0.0</v>
      </c>
      <c r="G82" s="98">
        <v>0.0</v>
      </c>
      <c r="H82" s="98">
        <v>0.0</v>
      </c>
      <c r="I82" s="77">
        <v>2.0</v>
      </c>
      <c r="J82" s="322"/>
      <c r="K82" s="123"/>
      <c r="L82" s="17"/>
      <c r="M82" s="125"/>
    </row>
    <row r="83" ht="30.0" customHeight="1">
      <c r="A83" s="386"/>
      <c r="B83" s="765"/>
      <c r="C83" s="220"/>
      <c r="D83" s="469"/>
      <c r="E83" s="469"/>
      <c r="F83" s="314"/>
      <c r="G83" s="314"/>
      <c r="H83" s="314"/>
      <c r="I83" s="222"/>
      <c r="J83" s="480"/>
      <c r="K83" s="197"/>
      <c r="L83" s="193"/>
      <c r="M83" s="197"/>
      <c r="N83" s="386"/>
      <c r="O83" s="386"/>
      <c r="P83" s="386"/>
      <c r="Q83" s="386"/>
      <c r="R83" s="386"/>
      <c r="S83" s="386"/>
      <c r="T83" s="386"/>
      <c r="U83" s="386"/>
      <c r="V83" s="386"/>
      <c r="W83" s="386"/>
      <c r="X83" s="386"/>
      <c r="Y83" s="386"/>
      <c r="Z83" s="386"/>
    </row>
    <row r="84" ht="30.0" customHeight="1">
      <c r="A84" s="17"/>
      <c r="B84" s="219"/>
      <c r="C84" s="214" t="s">
        <v>150</v>
      </c>
      <c r="D84" s="97"/>
      <c r="E84" s="97"/>
      <c r="F84" s="321"/>
      <c r="G84" s="321"/>
      <c r="H84" s="321"/>
      <c r="I84" s="90"/>
      <c r="J84" s="756">
        <v>10.0</v>
      </c>
      <c r="K84" s="189"/>
      <c r="L84" s="612"/>
      <c r="M84" s="45"/>
      <c r="N84" s="766"/>
      <c r="O84" s="767"/>
      <c r="P84" s="768"/>
      <c r="Q84" s="199"/>
      <c r="R84" s="14"/>
      <c r="S84" s="206"/>
      <c r="T84" s="17"/>
      <c r="U84" s="17"/>
      <c r="V84" s="17"/>
      <c r="W84" s="17"/>
      <c r="X84" s="17"/>
      <c r="Y84" s="17"/>
      <c r="Z84" s="17"/>
    </row>
    <row r="85" ht="30.0" customHeight="1">
      <c r="A85" s="17"/>
      <c r="B85" s="44">
        <v>19.0</v>
      </c>
      <c r="C85" s="74" t="s">
        <v>151</v>
      </c>
      <c r="D85" s="97"/>
      <c r="E85" s="97"/>
      <c r="F85" s="321"/>
      <c r="G85" s="321"/>
      <c r="H85" s="321"/>
      <c r="I85" s="77"/>
      <c r="J85" s="229" t="s">
        <v>26</v>
      </c>
      <c r="K85" s="58">
        <f>IF(J85="YES",IF(J12="2010-2013",H86*J84,IF(J12="2014-2021",G86*J84,IF(J12="2021-2023",F86*J84,0))),0)</f>
        <v>0</v>
      </c>
      <c r="L85" s="207" t="s">
        <v>23</v>
      </c>
      <c r="M85" s="73">
        <f>IF(L85="Delapidated",K85*0.6,IF(L85="Poor",K85*0.7,IF(L85="Fair",K85*0.8,IF(L85="Good",K85*0.85,IF(L85="Very Good",K85*0.9,IF(L85="Excellent",K85*1,IF(L85="Not Applicable",K85*1,0)))))))</f>
        <v>0</v>
      </c>
      <c r="N85" s="766"/>
      <c r="O85" s="769"/>
      <c r="P85" s="768"/>
      <c r="Q85" s="199"/>
      <c r="R85" s="14"/>
      <c r="S85" s="206"/>
      <c r="T85" s="17"/>
      <c r="U85" s="17"/>
      <c r="V85" s="17"/>
      <c r="W85" s="17"/>
      <c r="X85" s="17"/>
      <c r="Y85" s="17"/>
      <c r="Z85" s="17"/>
    </row>
    <row r="86" ht="30.0" hidden="1" customHeight="1">
      <c r="A86" s="17"/>
      <c r="B86" s="219"/>
      <c r="C86" s="79" t="s">
        <v>25</v>
      </c>
      <c r="D86" s="97"/>
      <c r="E86" s="97"/>
      <c r="F86" s="321">
        <f>105000*E16</f>
        <v>130200</v>
      </c>
      <c r="G86" s="459">
        <f>F86/$G$16</f>
        <v>104160</v>
      </c>
      <c r="H86" s="459">
        <f>F86/$H$16</f>
        <v>98636.36364</v>
      </c>
      <c r="I86" s="77">
        <v>1.0</v>
      </c>
      <c r="J86" s="322"/>
      <c r="K86" s="58"/>
      <c r="L86" s="17"/>
      <c r="M86" s="62"/>
      <c r="N86" s="766"/>
      <c r="O86" s="720"/>
      <c r="P86" s="720"/>
      <c r="Q86" s="199"/>
      <c r="R86" s="14"/>
      <c r="S86" s="206"/>
      <c r="T86" s="17"/>
      <c r="U86" s="17"/>
      <c r="V86" s="17"/>
      <c r="W86" s="17"/>
      <c r="X86" s="17"/>
      <c r="Y86" s="17"/>
      <c r="Z86" s="17"/>
    </row>
    <row r="87" ht="30.0" hidden="1" customHeight="1">
      <c r="A87" s="17"/>
      <c r="B87" s="219"/>
      <c r="C87" s="79" t="s">
        <v>26</v>
      </c>
      <c r="D87" s="97"/>
      <c r="E87" s="97"/>
      <c r="F87" s="98">
        <v>0.0</v>
      </c>
      <c r="G87" s="98">
        <v>0.0</v>
      </c>
      <c r="H87" s="98">
        <v>0.0</v>
      </c>
      <c r="I87" s="77">
        <v>2.0</v>
      </c>
      <c r="J87" s="122"/>
      <c r="K87" s="123"/>
      <c r="L87" s="17"/>
      <c r="M87" s="679"/>
      <c r="N87" s="766"/>
      <c r="O87" s="720"/>
      <c r="P87" s="720"/>
      <c r="Q87" s="199"/>
      <c r="R87" s="14"/>
      <c r="S87" s="206"/>
      <c r="T87" s="17"/>
      <c r="U87" s="17"/>
      <c r="V87" s="17"/>
      <c r="W87" s="17"/>
      <c r="X87" s="17"/>
      <c r="Y87" s="17"/>
      <c r="Z87" s="17"/>
    </row>
    <row r="88" ht="30.0" customHeight="1">
      <c r="B88" s="17"/>
      <c r="C88" s="770"/>
      <c r="D88" s="255"/>
      <c r="E88" s="255"/>
      <c r="F88" s="771"/>
      <c r="G88" s="771"/>
      <c r="H88" s="771"/>
      <c r="I88" s="772"/>
      <c r="J88" s="270"/>
      <c r="K88" s="261"/>
      <c r="L88" s="17"/>
      <c r="M88" s="130"/>
    </row>
    <row r="89" ht="30.0" customHeight="1">
      <c r="B89" s="524"/>
      <c r="C89" s="17"/>
      <c r="D89" s="525"/>
      <c r="E89" s="525"/>
      <c r="F89" s="526"/>
      <c r="G89" s="526"/>
      <c r="H89" s="526"/>
      <c r="I89" s="521"/>
      <c r="J89" s="773" t="s">
        <v>143</v>
      </c>
      <c r="K89" s="774">
        <f>SUM(K17:K85)</f>
        <v>4053246.454</v>
      </c>
      <c r="L89" s="17"/>
      <c r="M89" s="775">
        <f>SUM(M17:M85)</f>
        <v>4053246.454</v>
      </c>
    </row>
    <row r="90" ht="30.0" customHeight="1">
      <c r="A90" s="386"/>
      <c r="B90" s="518"/>
      <c r="C90" s="250"/>
      <c r="D90" s="520"/>
      <c r="E90" s="520"/>
      <c r="F90" s="514"/>
      <c r="G90" s="514"/>
      <c r="H90" s="514"/>
      <c r="I90" s="521"/>
      <c r="J90" s="773"/>
      <c r="K90" s="776"/>
      <c r="L90" s="17"/>
      <c r="M90" s="261"/>
      <c r="N90" s="386"/>
      <c r="O90" s="386"/>
      <c r="P90" s="386"/>
      <c r="Q90" s="386"/>
      <c r="R90" s="386"/>
      <c r="S90" s="386"/>
      <c r="T90" s="386"/>
      <c r="U90" s="386"/>
      <c r="V90" s="386"/>
      <c r="W90" s="386"/>
      <c r="X90" s="386"/>
      <c r="Y90" s="386"/>
      <c r="Z90" s="386"/>
    </row>
    <row r="91" ht="30.0" customHeight="1">
      <c r="B91" s="529"/>
      <c r="C91" s="529"/>
      <c r="D91" s="530"/>
      <c r="E91" s="530"/>
      <c r="F91" s="531"/>
      <c r="G91" s="531"/>
      <c r="H91" s="531"/>
      <c r="I91" s="532"/>
      <c r="J91" s="777" t="s">
        <v>131</v>
      </c>
      <c r="K91" s="774">
        <f>K89/J11</f>
        <v>8106.492909</v>
      </c>
      <c r="L91" s="17"/>
      <c r="M91" s="775">
        <f>M89/J11</f>
        <v>8106.492909</v>
      </c>
    </row>
    <row r="92" ht="12.0" customHeight="1">
      <c r="K92" s="2"/>
      <c r="M92" s="261"/>
    </row>
    <row r="93" ht="12.0" customHeight="1">
      <c r="K93" s="2"/>
      <c r="L93" s="17"/>
      <c r="M93" s="261"/>
    </row>
    <row r="94" ht="12.0" customHeight="1">
      <c r="K94" s="2"/>
      <c r="L94" s="17"/>
      <c r="M94" s="2"/>
    </row>
    <row r="95" ht="12.0" customHeight="1">
      <c r="K95" s="2">
        <f>SUM(K17:K91)</f>
        <v>8114599.402</v>
      </c>
      <c r="L95" s="17"/>
      <c r="M95" s="261"/>
    </row>
    <row r="96" ht="12.0" customHeight="1">
      <c r="K96" s="2">
        <f>K95/J11</f>
        <v>16229.1988</v>
      </c>
      <c r="L96" s="17"/>
      <c r="M96" s="2"/>
    </row>
    <row r="97" ht="12.0" customHeight="1">
      <c r="K97" s="2"/>
      <c r="M97" s="2"/>
    </row>
    <row r="98" ht="12.0" customHeight="1">
      <c r="K98" s="2"/>
      <c r="M98" s="2"/>
    </row>
    <row r="99" ht="12.0" customHeight="1">
      <c r="K99" s="2"/>
      <c r="M99" s="2"/>
    </row>
    <row r="100" ht="12.0" customHeight="1">
      <c r="K100" s="2"/>
      <c r="M100" s="2"/>
    </row>
    <row r="101" ht="12.0" customHeight="1">
      <c r="K101" s="2"/>
      <c r="M101" s="2"/>
    </row>
    <row r="102" ht="12.0" customHeight="1">
      <c r="K102" s="2"/>
      <c r="M102" s="2"/>
    </row>
    <row r="103" ht="12.0" customHeight="1">
      <c r="K103" s="2"/>
      <c r="M103" s="2"/>
    </row>
    <row r="104" ht="12.0" customHeight="1">
      <c r="K104" s="2"/>
      <c r="M104" s="2"/>
    </row>
    <row r="105" ht="12.0" customHeight="1">
      <c r="K105" s="2"/>
      <c r="M105" s="2"/>
    </row>
    <row r="106" ht="12.0" customHeight="1">
      <c r="K106" s="2"/>
      <c r="M106" s="2"/>
    </row>
    <row r="107" ht="12.0" customHeight="1">
      <c r="K107" s="2"/>
      <c r="M107" s="2"/>
    </row>
    <row r="108" ht="12.0" customHeight="1">
      <c r="K108" s="2"/>
      <c r="M108" s="2"/>
    </row>
    <row r="109" ht="12.0" customHeight="1">
      <c r="K109" s="2"/>
      <c r="M109" s="2"/>
    </row>
    <row r="110" ht="12.0" customHeight="1">
      <c r="K110" s="2"/>
      <c r="M110" s="2"/>
    </row>
    <row r="111" ht="12.0" customHeight="1">
      <c r="K111" s="2"/>
      <c r="M111" s="2"/>
    </row>
    <row r="112" ht="12.0" customHeight="1">
      <c r="K112" s="2"/>
      <c r="M112" s="2"/>
    </row>
    <row r="113" ht="12.0" customHeight="1">
      <c r="K113" s="2"/>
      <c r="M113" s="2"/>
    </row>
    <row r="114" ht="12.0" customHeight="1">
      <c r="K114" s="2"/>
      <c r="M114" s="2"/>
    </row>
    <row r="115" ht="12.0" customHeight="1">
      <c r="K115" s="2"/>
      <c r="M115" s="2"/>
    </row>
    <row r="116" ht="12.0" customHeight="1">
      <c r="K116" s="2"/>
      <c r="M116" s="2"/>
    </row>
    <row r="117" ht="12.0" customHeight="1">
      <c r="K117" s="2"/>
      <c r="M117" s="2"/>
    </row>
    <row r="118" ht="12.0" customHeight="1">
      <c r="K118" s="2"/>
      <c r="M118" s="2"/>
    </row>
    <row r="119" ht="12.0" customHeight="1">
      <c r="K119" s="2"/>
      <c r="M119" s="2"/>
    </row>
    <row r="120" ht="12.0" customHeight="1">
      <c r="K120" s="2"/>
      <c r="M120" s="2"/>
    </row>
    <row r="121" ht="12.0" customHeight="1">
      <c r="K121" s="2"/>
      <c r="M121" s="2"/>
    </row>
    <row r="122" ht="12.0" customHeight="1">
      <c r="K122" s="2"/>
      <c r="M122" s="2"/>
    </row>
    <row r="123" ht="12.0" customHeight="1">
      <c r="K123" s="2"/>
      <c r="M123" s="2"/>
    </row>
    <row r="124" ht="12.0" customHeight="1">
      <c r="K124" s="2"/>
      <c r="M124" s="2"/>
    </row>
    <row r="125" ht="12.0" customHeight="1">
      <c r="K125" s="2"/>
      <c r="M125" s="2"/>
    </row>
    <row r="126" ht="12.0" customHeight="1">
      <c r="K126" s="2"/>
      <c r="M126" s="2"/>
    </row>
    <row r="127" ht="12.0" customHeight="1">
      <c r="K127" s="2"/>
      <c r="M127" s="2"/>
    </row>
    <row r="128" ht="12.0" customHeight="1">
      <c r="K128" s="2"/>
      <c r="M128" s="2"/>
    </row>
    <row r="129" ht="12.0" customHeight="1">
      <c r="K129" s="2"/>
      <c r="M129" s="2"/>
    </row>
    <row r="130" ht="12.0" customHeight="1">
      <c r="K130" s="2"/>
      <c r="M130" s="2"/>
    </row>
    <row r="131" ht="12.0" customHeight="1">
      <c r="K131" s="2"/>
      <c r="M131" s="2"/>
    </row>
    <row r="132" ht="12.0" customHeight="1">
      <c r="K132" s="2"/>
      <c r="M132" s="2"/>
    </row>
    <row r="133" ht="12.0" customHeight="1">
      <c r="K133" s="2"/>
      <c r="M133" s="2"/>
    </row>
    <row r="134" ht="12.0" customHeight="1">
      <c r="K134" s="2"/>
      <c r="M134" s="2"/>
    </row>
    <row r="135" ht="12.0" customHeight="1">
      <c r="K135" s="2"/>
      <c r="M135" s="2"/>
    </row>
    <row r="136" ht="12.0" customHeight="1">
      <c r="K136" s="2"/>
      <c r="M136" s="2"/>
    </row>
    <row r="137" ht="12.0" customHeight="1">
      <c r="K137" s="2"/>
      <c r="M137" s="2"/>
    </row>
    <row r="138" ht="12.0" customHeight="1">
      <c r="K138" s="2"/>
      <c r="M138" s="2"/>
    </row>
    <row r="139" ht="12.0" customHeight="1">
      <c r="K139" s="2"/>
      <c r="M139" s="2"/>
    </row>
    <row r="140" ht="12.0" customHeight="1">
      <c r="K140" s="2"/>
      <c r="M140" s="2"/>
    </row>
    <row r="141" ht="12.0" customHeight="1">
      <c r="K141" s="2"/>
      <c r="M141" s="2"/>
    </row>
    <row r="142" ht="12.0" customHeight="1">
      <c r="K142" s="2"/>
      <c r="M142" s="2"/>
    </row>
    <row r="143" ht="12.0" customHeight="1">
      <c r="K143" s="2"/>
      <c r="M143" s="2"/>
    </row>
    <row r="144" ht="12.0" customHeight="1">
      <c r="K144" s="2"/>
      <c r="M144" s="2"/>
    </row>
    <row r="145" ht="12.0" customHeight="1">
      <c r="K145" s="2"/>
      <c r="M145" s="2"/>
    </row>
    <row r="146" ht="12.0" customHeight="1">
      <c r="K146" s="2"/>
      <c r="M146" s="2"/>
    </row>
    <row r="147" ht="12.0" customHeight="1">
      <c r="K147" s="2"/>
      <c r="M147" s="2"/>
    </row>
    <row r="148" ht="12.0" customHeight="1">
      <c r="K148" s="2"/>
      <c r="M148" s="2"/>
    </row>
    <row r="149" ht="12.0" customHeight="1">
      <c r="K149" s="2"/>
      <c r="M149" s="2"/>
    </row>
    <row r="150" ht="12.0" customHeight="1">
      <c r="K150" s="2"/>
      <c r="M150" s="2"/>
    </row>
    <row r="151" ht="12.0" customHeight="1">
      <c r="K151" s="2"/>
      <c r="M151" s="2"/>
    </row>
    <row r="152" ht="12.0" customHeight="1">
      <c r="K152" s="2"/>
      <c r="M152" s="2"/>
    </row>
    <row r="153" ht="12.0" customHeight="1">
      <c r="K153" s="2"/>
      <c r="M153" s="2"/>
    </row>
    <row r="154" ht="12.0" customHeight="1">
      <c r="K154" s="2"/>
      <c r="M154" s="2"/>
    </row>
    <row r="155" ht="12.0" customHeight="1">
      <c r="K155" s="2"/>
      <c r="M155" s="2"/>
    </row>
    <row r="156" ht="12.0" customHeight="1">
      <c r="K156" s="2"/>
      <c r="M156" s="2"/>
    </row>
    <row r="157" ht="12.0" customHeight="1">
      <c r="K157" s="2"/>
      <c r="M157" s="2"/>
    </row>
    <row r="158" ht="12.0" customHeight="1">
      <c r="K158" s="2"/>
      <c r="M158" s="2"/>
    </row>
    <row r="159" ht="12.0" customHeight="1">
      <c r="K159" s="2"/>
      <c r="M159" s="2"/>
    </row>
    <row r="160" ht="12.0" customHeight="1">
      <c r="K160" s="2"/>
      <c r="M160" s="2"/>
    </row>
    <row r="161" ht="12.0" customHeight="1">
      <c r="K161" s="2"/>
      <c r="M161" s="2"/>
    </row>
    <row r="162" ht="12.0" customHeight="1">
      <c r="K162" s="2"/>
      <c r="M162" s="2"/>
    </row>
    <row r="163" ht="12.0" customHeight="1">
      <c r="K163" s="2"/>
      <c r="M163" s="2"/>
    </row>
    <row r="164" ht="12.0" customHeight="1">
      <c r="K164" s="2"/>
      <c r="M164" s="2"/>
    </row>
    <row r="165" ht="12.0" customHeight="1">
      <c r="K165" s="2"/>
      <c r="M165" s="2"/>
    </row>
    <row r="166" ht="12.0" customHeight="1">
      <c r="K166" s="2"/>
      <c r="M166" s="2"/>
    </row>
    <row r="167" ht="12.0" customHeight="1">
      <c r="K167" s="2"/>
      <c r="M167" s="2"/>
    </row>
    <row r="168" ht="12.0" customHeight="1">
      <c r="K168" s="2"/>
      <c r="M168" s="2"/>
    </row>
    <row r="169" ht="12.0" customHeight="1">
      <c r="K169" s="2"/>
      <c r="M169" s="2"/>
    </row>
    <row r="170" ht="12.0" customHeight="1">
      <c r="K170" s="2"/>
      <c r="M170" s="2"/>
    </row>
    <row r="171" ht="12.0" customHeight="1">
      <c r="K171" s="2"/>
      <c r="M171" s="2"/>
    </row>
    <row r="172" ht="12.0" customHeight="1">
      <c r="K172" s="2"/>
      <c r="M172" s="2"/>
    </row>
    <row r="173" ht="12.0" customHeight="1">
      <c r="K173" s="2"/>
      <c r="M173" s="2"/>
    </row>
    <row r="174" ht="12.0" customHeight="1">
      <c r="K174" s="2"/>
      <c r="M174" s="2"/>
    </row>
    <row r="175" ht="12.0" customHeight="1">
      <c r="K175" s="2"/>
      <c r="M175" s="2"/>
    </row>
    <row r="176" ht="12.0" customHeight="1">
      <c r="K176" s="2"/>
      <c r="M176" s="2"/>
    </row>
    <row r="177" ht="12.0" customHeight="1">
      <c r="K177" s="2"/>
      <c r="M177" s="2"/>
    </row>
    <row r="178" ht="12.0" customHeight="1">
      <c r="K178" s="2"/>
      <c r="M178" s="2"/>
    </row>
    <row r="179" ht="12.0" customHeight="1">
      <c r="K179" s="2"/>
      <c r="M179" s="2"/>
    </row>
    <row r="180" ht="12.0" customHeight="1">
      <c r="K180" s="2"/>
      <c r="M180" s="2"/>
    </row>
    <row r="181" ht="12.0" customHeight="1">
      <c r="K181" s="2"/>
      <c r="M181" s="2"/>
    </row>
    <row r="182" ht="12.0" customHeight="1">
      <c r="K182" s="2"/>
      <c r="M182" s="2"/>
    </row>
    <row r="183" ht="12.0" customHeight="1">
      <c r="K183" s="2"/>
      <c r="M183" s="2"/>
    </row>
    <row r="184" ht="12.0" customHeight="1">
      <c r="K184" s="2"/>
      <c r="M184" s="2"/>
    </row>
    <row r="185" ht="12.0" customHeight="1">
      <c r="K185" s="2"/>
      <c r="M185" s="2"/>
    </row>
    <row r="186" ht="12.0" customHeight="1">
      <c r="K186" s="2"/>
      <c r="M186" s="2"/>
    </row>
    <row r="187" ht="12.0" customHeight="1">
      <c r="K187" s="2"/>
      <c r="M187" s="2"/>
    </row>
    <row r="188" ht="12.0" customHeight="1">
      <c r="K188" s="2"/>
      <c r="M188" s="2"/>
    </row>
    <row r="189" ht="12.0" customHeight="1">
      <c r="K189" s="2"/>
      <c r="M189" s="2"/>
    </row>
    <row r="190" ht="12.0" customHeight="1">
      <c r="K190" s="2"/>
      <c r="M190" s="2"/>
    </row>
    <row r="191" ht="12.0" customHeight="1">
      <c r="K191" s="2"/>
      <c r="M191" s="2"/>
    </row>
    <row r="192" ht="12.0" customHeight="1">
      <c r="K192" s="2"/>
      <c r="M192" s="2"/>
    </row>
    <row r="193" ht="12.0" customHeight="1">
      <c r="K193" s="2"/>
      <c r="M193" s="2"/>
    </row>
    <row r="194" ht="12.0" customHeight="1">
      <c r="K194" s="2"/>
      <c r="M194" s="2"/>
    </row>
    <row r="195" ht="12.0" customHeight="1">
      <c r="K195" s="2"/>
      <c r="M195" s="2"/>
    </row>
    <row r="196" ht="12.0" customHeight="1">
      <c r="K196" s="2"/>
      <c r="M196" s="2"/>
    </row>
    <row r="197" ht="12.0" customHeight="1">
      <c r="K197" s="2"/>
      <c r="M197" s="2"/>
    </row>
    <row r="198" ht="12.0" customHeight="1">
      <c r="K198" s="2"/>
      <c r="M198" s="2"/>
    </row>
    <row r="199" ht="12.0" customHeight="1">
      <c r="K199" s="2"/>
      <c r="M199" s="2"/>
    </row>
    <row r="200" ht="12.0" customHeight="1">
      <c r="K200" s="2"/>
      <c r="M200" s="2"/>
    </row>
    <row r="201" ht="12.0" customHeight="1">
      <c r="K201" s="2"/>
      <c r="M201" s="2"/>
    </row>
    <row r="202" ht="12.0" customHeight="1">
      <c r="K202" s="2"/>
      <c r="M202" s="2"/>
    </row>
    <row r="203" ht="12.0" customHeight="1">
      <c r="K203" s="2"/>
      <c r="M203" s="2"/>
    </row>
    <row r="204" ht="12.0" customHeight="1">
      <c r="K204" s="2"/>
      <c r="M204" s="2"/>
    </row>
    <row r="205" ht="12.0" customHeight="1">
      <c r="K205" s="2"/>
      <c r="M205" s="2"/>
    </row>
    <row r="206" ht="12.0" customHeight="1">
      <c r="K206" s="2"/>
      <c r="M206" s="2"/>
    </row>
    <row r="207" ht="12.0" customHeight="1">
      <c r="K207" s="2"/>
      <c r="M207" s="2"/>
    </row>
    <row r="208" ht="12.0" customHeight="1">
      <c r="K208" s="2"/>
      <c r="M208" s="2"/>
    </row>
    <row r="209" ht="12.0" customHeight="1">
      <c r="K209" s="2"/>
      <c r="M209" s="2"/>
    </row>
    <row r="210" ht="12.0" customHeight="1">
      <c r="K210" s="2"/>
      <c r="M210" s="2"/>
    </row>
    <row r="211" ht="12.0" customHeight="1">
      <c r="K211" s="2"/>
      <c r="M211" s="2"/>
    </row>
    <row r="212" ht="12.0" customHeight="1">
      <c r="K212" s="2"/>
      <c r="M212" s="2"/>
    </row>
    <row r="213" ht="12.0" customHeight="1">
      <c r="K213" s="2"/>
      <c r="M213" s="2"/>
    </row>
    <row r="214" ht="12.0" customHeight="1">
      <c r="K214" s="2"/>
      <c r="M214" s="2"/>
    </row>
    <row r="215" ht="12.0" customHeight="1">
      <c r="K215" s="2"/>
      <c r="M215" s="2"/>
    </row>
    <row r="216" ht="12.0" customHeight="1">
      <c r="K216" s="2"/>
      <c r="M216" s="2"/>
    </row>
    <row r="217" ht="12.0" customHeight="1">
      <c r="K217" s="2"/>
      <c r="M217" s="2"/>
    </row>
    <row r="218" ht="12.0" customHeight="1">
      <c r="K218" s="2"/>
      <c r="M218" s="2"/>
    </row>
    <row r="219" ht="12.0" customHeight="1">
      <c r="K219" s="2"/>
      <c r="M219" s="2"/>
    </row>
    <row r="220" ht="12.0" customHeight="1">
      <c r="K220" s="2"/>
      <c r="M220" s="2"/>
    </row>
    <row r="221" ht="12.0" customHeight="1">
      <c r="K221" s="2"/>
      <c r="M221" s="2"/>
    </row>
    <row r="222" ht="12.0" customHeight="1">
      <c r="K222" s="2"/>
      <c r="M222" s="2"/>
    </row>
    <row r="223" ht="12.0" customHeight="1">
      <c r="K223" s="2"/>
      <c r="M223" s="2"/>
    </row>
    <row r="224" ht="12.0" customHeight="1">
      <c r="K224" s="2"/>
      <c r="M224" s="2"/>
    </row>
    <row r="225" ht="12.0" customHeight="1">
      <c r="K225" s="2"/>
      <c r="M225" s="2"/>
    </row>
    <row r="226" ht="12.0" customHeight="1">
      <c r="K226" s="2"/>
      <c r="M226" s="2"/>
    </row>
    <row r="227" ht="12.0" customHeight="1">
      <c r="K227" s="2"/>
      <c r="M227" s="2"/>
    </row>
    <row r="228" ht="12.0" customHeight="1">
      <c r="K228" s="2"/>
      <c r="M228" s="2"/>
    </row>
    <row r="229" ht="12.0" customHeight="1">
      <c r="K229" s="2"/>
      <c r="M229" s="2"/>
    </row>
    <row r="230" ht="12.0" customHeight="1">
      <c r="K230" s="2"/>
      <c r="M230" s="2"/>
    </row>
    <row r="231" ht="12.0" customHeight="1">
      <c r="K231" s="2"/>
      <c r="M231" s="2"/>
    </row>
    <row r="232" ht="12.0" customHeight="1">
      <c r="K232" s="2"/>
      <c r="M232" s="2"/>
    </row>
    <row r="233" ht="12.0" customHeight="1">
      <c r="K233" s="2"/>
      <c r="M233" s="2"/>
    </row>
    <row r="234" ht="12.0" customHeight="1">
      <c r="K234" s="2"/>
      <c r="M234" s="2"/>
    </row>
    <row r="235" ht="12.0" customHeight="1">
      <c r="K235" s="2"/>
      <c r="M235" s="2"/>
    </row>
    <row r="236" ht="12.0" customHeight="1">
      <c r="K236" s="2"/>
      <c r="M236" s="2"/>
    </row>
    <row r="237" ht="12.0" customHeight="1">
      <c r="K237" s="2"/>
      <c r="M237" s="2"/>
    </row>
    <row r="238" ht="12.0" customHeight="1">
      <c r="K238" s="2"/>
      <c r="M238" s="2"/>
    </row>
    <row r="239" ht="12.0" customHeight="1">
      <c r="K239" s="2"/>
      <c r="M239" s="2"/>
    </row>
    <row r="240" ht="12.0" customHeight="1">
      <c r="K240" s="2"/>
      <c r="M240" s="2"/>
    </row>
    <row r="241" ht="12.0" customHeight="1">
      <c r="K241" s="2"/>
      <c r="M241" s="2"/>
    </row>
    <row r="242" ht="12.0" customHeight="1">
      <c r="K242" s="2"/>
      <c r="M242" s="2"/>
    </row>
    <row r="243" ht="12.0" customHeight="1">
      <c r="K243" s="2"/>
      <c r="M243" s="2"/>
    </row>
    <row r="244" ht="12.0" customHeight="1">
      <c r="K244" s="2"/>
      <c r="M244" s="2"/>
    </row>
    <row r="245" ht="12.0" customHeight="1">
      <c r="K245" s="2"/>
      <c r="M245" s="2"/>
    </row>
    <row r="246" ht="12.0" customHeight="1">
      <c r="K246" s="2"/>
      <c r="M246" s="2"/>
    </row>
    <row r="247" ht="12.0" customHeight="1">
      <c r="K247" s="2"/>
      <c r="M247" s="2"/>
    </row>
    <row r="248" ht="12.0" customHeight="1">
      <c r="K248" s="2"/>
      <c r="M248" s="2"/>
    </row>
    <row r="249" ht="12.0" customHeight="1">
      <c r="K249" s="2"/>
      <c r="M249" s="2"/>
    </row>
    <row r="250" ht="12.0" customHeight="1">
      <c r="K250" s="2"/>
      <c r="M250" s="2"/>
    </row>
    <row r="251" ht="12.0" customHeight="1">
      <c r="K251" s="2"/>
      <c r="M251" s="2"/>
    </row>
    <row r="252" ht="12.0" customHeight="1">
      <c r="K252" s="2"/>
      <c r="M252" s="2"/>
    </row>
    <row r="253" ht="12.0" customHeight="1">
      <c r="K253" s="2"/>
      <c r="M253" s="2"/>
    </row>
    <row r="254" ht="12.0" customHeight="1">
      <c r="K254" s="2"/>
      <c r="M254" s="2"/>
    </row>
    <row r="255" ht="12.0" customHeight="1">
      <c r="K255" s="2"/>
      <c r="M255" s="2"/>
    </row>
    <row r="256" ht="12.0" customHeight="1">
      <c r="K256" s="2"/>
      <c r="M256" s="2"/>
    </row>
    <row r="257" ht="12.0" customHeight="1">
      <c r="K257" s="2"/>
      <c r="M257" s="2"/>
    </row>
    <row r="258" ht="12.0" customHeight="1">
      <c r="K258" s="2"/>
      <c r="M258" s="2"/>
    </row>
    <row r="259" ht="12.0" customHeight="1">
      <c r="K259" s="2"/>
      <c r="M259" s="2"/>
    </row>
    <row r="260" ht="12.0" customHeight="1">
      <c r="K260" s="2"/>
      <c r="M260" s="2"/>
    </row>
    <row r="261" ht="12.0" customHeight="1">
      <c r="K261" s="2"/>
      <c r="M261" s="2"/>
    </row>
    <row r="262" ht="12.0" customHeight="1">
      <c r="K262" s="2"/>
      <c r="M262" s="2"/>
    </row>
    <row r="263" ht="12.0" customHeight="1">
      <c r="K263" s="2"/>
      <c r="M263" s="2"/>
    </row>
    <row r="264" ht="12.0" customHeight="1">
      <c r="K264" s="2"/>
      <c r="M264" s="2"/>
    </row>
    <row r="265" ht="12.0" customHeight="1">
      <c r="K265" s="2"/>
      <c r="M265" s="2"/>
    </row>
    <row r="266" ht="12.0" customHeight="1">
      <c r="K266" s="2"/>
      <c r="M266" s="2"/>
    </row>
    <row r="267" ht="12.0" customHeight="1">
      <c r="K267" s="2"/>
      <c r="M267" s="2"/>
    </row>
    <row r="268" ht="12.0" customHeight="1">
      <c r="K268" s="2"/>
      <c r="M268" s="2"/>
    </row>
    <row r="269" ht="12.0" customHeight="1">
      <c r="K269" s="2"/>
      <c r="M269" s="2"/>
    </row>
    <row r="270" ht="12.0" customHeight="1">
      <c r="K270" s="2"/>
      <c r="M270" s="2"/>
    </row>
    <row r="271" ht="12.0" customHeight="1">
      <c r="K271" s="2"/>
      <c r="M271" s="2"/>
    </row>
    <row r="272" ht="12.0" customHeight="1">
      <c r="K272" s="2"/>
      <c r="M272" s="2"/>
    </row>
    <row r="273" ht="12.0" customHeight="1">
      <c r="K273" s="2"/>
      <c r="M273" s="2"/>
    </row>
    <row r="274" ht="12.0" customHeight="1">
      <c r="K274" s="2"/>
      <c r="M274" s="2"/>
    </row>
    <row r="275" ht="12.0" customHeight="1">
      <c r="K275" s="2"/>
      <c r="M275" s="2"/>
    </row>
    <row r="276" ht="12.0" customHeight="1">
      <c r="K276" s="2"/>
      <c r="M276" s="2"/>
    </row>
    <row r="277" ht="12.0" customHeight="1">
      <c r="K277" s="2"/>
      <c r="M277" s="2"/>
    </row>
    <row r="278" ht="12.0" customHeight="1">
      <c r="K278" s="2"/>
      <c r="M278" s="2"/>
    </row>
    <row r="279" ht="12.0" customHeight="1">
      <c r="K279" s="2"/>
      <c r="M279" s="2"/>
    </row>
    <row r="280" ht="12.0" customHeight="1">
      <c r="K280" s="2"/>
      <c r="M280" s="2"/>
    </row>
    <row r="281" ht="12.0" customHeight="1">
      <c r="K281" s="2"/>
      <c r="M281" s="2"/>
    </row>
    <row r="282" ht="12.0" customHeight="1">
      <c r="K282" s="2"/>
      <c r="M282" s="2"/>
    </row>
    <row r="283" ht="12.0" customHeight="1">
      <c r="K283" s="2"/>
      <c r="M283" s="2"/>
    </row>
    <row r="284" ht="12.0" customHeight="1">
      <c r="K284" s="2"/>
      <c r="M284" s="2"/>
    </row>
    <row r="285" ht="12.0" customHeight="1">
      <c r="K285" s="2"/>
      <c r="M285" s="2"/>
    </row>
    <row r="286" ht="12.0" customHeight="1">
      <c r="K286" s="2"/>
      <c r="M286" s="2"/>
    </row>
    <row r="287" ht="12.0" customHeight="1">
      <c r="K287" s="2"/>
      <c r="M287" s="2"/>
    </row>
    <row r="288" ht="12.0" customHeight="1">
      <c r="K288" s="2"/>
      <c r="M288" s="2"/>
    </row>
    <row r="289" ht="12.0" customHeight="1">
      <c r="K289" s="2"/>
      <c r="M289" s="2"/>
    </row>
    <row r="290" ht="12.0" customHeight="1">
      <c r="K290" s="2"/>
      <c r="M290" s="2"/>
    </row>
    <row r="291" ht="12.0" customHeight="1">
      <c r="K291" s="2"/>
      <c r="M291" s="2"/>
    </row>
    <row r="292" ht="12.0" customHeight="1">
      <c r="K292" s="2"/>
      <c r="M292" s="2"/>
    </row>
    <row r="293" ht="12.0" customHeight="1">
      <c r="K293" s="2"/>
      <c r="M293" s="2"/>
    </row>
    <row r="294" ht="12.0" customHeight="1">
      <c r="K294" s="2"/>
      <c r="M294" s="2"/>
    </row>
    <row r="295" ht="12.0" customHeight="1">
      <c r="K295" s="2"/>
      <c r="M295" s="2"/>
    </row>
    <row r="296" ht="12.0" customHeight="1">
      <c r="K296" s="2"/>
      <c r="M296" s="2"/>
    </row>
    <row r="297" ht="12.0" customHeight="1">
      <c r="K297" s="2"/>
      <c r="M297" s="2"/>
    </row>
    <row r="298" ht="12.0" customHeight="1">
      <c r="K298" s="2"/>
      <c r="M298" s="2"/>
    </row>
    <row r="299" ht="12.0" customHeight="1">
      <c r="K299" s="2"/>
      <c r="M299" s="2"/>
    </row>
    <row r="300" ht="12.0" customHeight="1">
      <c r="K300" s="2"/>
      <c r="M300" s="2"/>
    </row>
    <row r="301" ht="12.0" customHeight="1">
      <c r="K301" s="2"/>
      <c r="M301" s="2"/>
    </row>
    <row r="302" ht="12.0" customHeight="1">
      <c r="K302" s="2"/>
      <c r="M302" s="2"/>
    </row>
    <row r="303" ht="12.0" customHeight="1">
      <c r="K303" s="2"/>
      <c r="M303" s="2"/>
    </row>
    <row r="304" ht="12.0" customHeight="1">
      <c r="K304" s="2"/>
      <c r="M304" s="2"/>
    </row>
    <row r="305" ht="12.0" customHeight="1">
      <c r="K305" s="2"/>
      <c r="M305" s="2"/>
    </row>
    <row r="306" ht="12.0" customHeight="1">
      <c r="K306" s="2"/>
      <c r="M306" s="2"/>
    </row>
    <row r="307" ht="12.0" customHeight="1">
      <c r="K307" s="2"/>
      <c r="M307" s="2"/>
    </row>
    <row r="308" ht="12.0" customHeight="1">
      <c r="K308" s="2"/>
      <c r="M308" s="2"/>
    </row>
    <row r="309" ht="12.0" customHeight="1">
      <c r="K309" s="2"/>
      <c r="M309" s="2"/>
    </row>
    <row r="310" ht="12.0" customHeight="1">
      <c r="K310" s="2"/>
      <c r="M310" s="2"/>
    </row>
    <row r="311" ht="12.0" customHeight="1">
      <c r="K311" s="2"/>
      <c r="M311" s="2"/>
    </row>
    <row r="312" ht="12.0" customHeight="1">
      <c r="K312" s="2"/>
      <c r="M312" s="2"/>
    </row>
    <row r="313" ht="12.0" customHeight="1">
      <c r="K313" s="2"/>
      <c r="M313" s="2"/>
    </row>
    <row r="314" ht="12.0" customHeight="1">
      <c r="K314" s="2"/>
      <c r="M314" s="2"/>
    </row>
    <row r="315" ht="12.0" customHeight="1">
      <c r="K315" s="2"/>
      <c r="M315" s="2"/>
    </row>
    <row r="316" ht="12.0" customHeight="1">
      <c r="K316" s="2"/>
      <c r="M316" s="2"/>
    </row>
    <row r="317" ht="12.0" customHeight="1">
      <c r="K317" s="2"/>
      <c r="M317" s="2"/>
    </row>
    <row r="318" ht="12.0" customHeight="1">
      <c r="K318" s="2"/>
      <c r="M318" s="2"/>
    </row>
    <row r="319" ht="12.0" customHeight="1">
      <c r="K319" s="2"/>
      <c r="M319" s="2"/>
    </row>
    <row r="320" ht="12.0" customHeight="1">
      <c r="K320" s="2"/>
      <c r="M320" s="2"/>
    </row>
    <row r="321" ht="12.0" customHeight="1">
      <c r="K321" s="2"/>
      <c r="M321" s="2"/>
    </row>
    <row r="322" ht="12.0" customHeight="1">
      <c r="K322" s="2"/>
      <c r="M322" s="2"/>
    </row>
    <row r="323" ht="12.0" customHeight="1">
      <c r="K323" s="2"/>
      <c r="M323" s="2"/>
    </row>
    <row r="324" ht="12.0" customHeight="1">
      <c r="K324" s="2"/>
      <c r="M324" s="2"/>
    </row>
    <row r="325" ht="12.0" customHeight="1">
      <c r="K325" s="2"/>
      <c r="M325" s="2"/>
    </row>
    <row r="326" ht="12.0" customHeight="1">
      <c r="K326" s="2"/>
      <c r="M326" s="2"/>
    </row>
    <row r="327" ht="12.0" customHeight="1">
      <c r="K327" s="2"/>
      <c r="M327" s="2"/>
    </row>
    <row r="328" ht="12.0" customHeight="1">
      <c r="K328" s="2"/>
      <c r="M328" s="2"/>
    </row>
    <row r="329" ht="12.0" customHeight="1">
      <c r="K329" s="2"/>
      <c r="M329" s="2"/>
    </row>
    <row r="330" ht="12.0" customHeight="1">
      <c r="K330" s="2"/>
      <c r="M330" s="2"/>
    </row>
    <row r="331" ht="12.0" customHeight="1">
      <c r="K331" s="2"/>
      <c r="M331" s="2"/>
    </row>
    <row r="332" ht="12.0" customHeight="1">
      <c r="K332" s="2"/>
      <c r="M332" s="2"/>
    </row>
    <row r="333" ht="12.0" customHeight="1">
      <c r="K333" s="2"/>
      <c r="M333" s="2"/>
    </row>
    <row r="334" ht="12.0" customHeight="1">
      <c r="K334" s="2"/>
      <c r="M334" s="2"/>
    </row>
    <row r="335" ht="12.0" customHeight="1">
      <c r="K335" s="2"/>
      <c r="M335" s="2"/>
    </row>
    <row r="336" ht="12.0" customHeight="1">
      <c r="K336" s="2"/>
      <c r="M336" s="2"/>
    </row>
    <row r="337" ht="12.0" customHeight="1">
      <c r="K337" s="2"/>
      <c r="M337" s="2"/>
    </row>
    <row r="338" ht="12.0" customHeight="1">
      <c r="K338" s="2"/>
      <c r="M338" s="2"/>
    </row>
    <row r="339" ht="12.0" customHeight="1">
      <c r="K339" s="2"/>
      <c r="M339" s="2"/>
    </row>
    <row r="340" ht="12.0" customHeight="1">
      <c r="K340" s="2"/>
      <c r="M340" s="2"/>
    </row>
    <row r="341" ht="12.0" customHeight="1">
      <c r="K341" s="2"/>
      <c r="M341" s="2"/>
    </row>
    <row r="342" ht="12.0" customHeight="1">
      <c r="K342" s="2"/>
      <c r="M342" s="2"/>
    </row>
    <row r="343" ht="12.0" customHeight="1">
      <c r="K343" s="2"/>
      <c r="M343" s="2"/>
    </row>
    <row r="344" ht="12.0" customHeight="1">
      <c r="K344" s="2"/>
      <c r="M344" s="2"/>
    </row>
    <row r="345" ht="12.0" customHeight="1">
      <c r="K345" s="2"/>
      <c r="M345" s="2"/>
    </row>
    <row r="346" ht="12.0" customHeight="1">
      <c r="K346" s="2"/>
      <c r="M346" s="2"/>
    </row>
    <row r="347" ht="12.0" customHeight="1">
      <c r="K347" s="2"/>
      <c r="M347" s="2"/>
    </row>
    <row r="348" ht="12.0" customHeight="1">
      <c r="K348" s="2"/>
      <c r="M348" s="2"/>
    </row>
    <row r="349" ht="12.0" customHeight="1">
      <c r="K349" s="2"/>
      <c r="M349" s="2"/>
    </row>
    <row r="350" ht="12.0" customHeight="1">
      <c r="K350" s="2"/>
      <c r="M350" s="2"/>
    </row>
    <row r="351" ht="12.0" customHeight="1">
      <c r="K351" s="2"/>
      <c r="M351" s="2"/>
    </row>
    <row r="352" ht="12.0" customHeight="1">
      <c r="K352" s="2"/>
      <c r="M352" s="2"/>
    </row>
    <row r="353" ht="12.0" customHeight="1">
      <c r="K353" s="2"/>
      <c r="M353" s="2"/>
    </row>
    <row r="354" ht="12.0" customHeight="1">
      <c r="K354" s="2"/>
      <c r="M354" s="2"/>
    </row>
    <row r="355" ht="12.0" customHeight="1">
      <c r="K355" s="2"/>
      <c r="M355" s="2"/>
    </row>
    <row r="356" ht="12.0" customHeight="1">
      <c r="K356" s="2"/>
      <c r="M356" s="2"/>
    </row>
    <row r="357" ht="12.0" customHeight="1">
      <c r="K357" s="2"/>
      <c r="M357" s="2"/>
    </row>
    <row r="358" ht="12.0" customHeight="1">
      <c r="K358" s="2"/>
      <c r="M358" s="2"/>
    </row>
    <row r="359" ht="12.0" customHeight="1">
      <c r="K359" s="2"/>
      <c r="M359" s="2"/>
    </row>
    <row r="360" ht="12.0" customHeight="1">
      <c r="K360" s="2"/>
      <c r="M360" s="2"/>
    </row>
    <row r="361" ht="12.0" customHeight="1">
      <c r="K361" s="2"/>
      <c r="M361" s="2"/>
    </row>
    <row r="362" ht="12.0" customHeight="1">
      <c r="K362" s="2"/>
      <c r="M362" s="2"/>
    </row>
    <row r="363" ht="12.0" customHeight="1">
      <c r="K363" s="2"/>
      <c r="M363" s="2"/>
    </row>
    <row r="364" ht="12.0" customHeight="1">
      <c r="K364" s="2"/>
      <c r="M364" s="2"/>
    </row>
    <row r="365" ht="12.0" customHeight="1">
      <c r="K365" s="2"/>
      <c r="M365" s="2"/>
    </row>
    <row r="366" ht="12.0" customHeight="1">
      <c r="K366" s="2"/>
      <c r="M366" s="2"/>
    </row>
    <row r="367" ht="12.0" customHeight="1">
      <c r="K367" s="2"/>
      <c r="M367" s="2"/>
    </row>
    <row r="368" ht="12.0" customHeight="1">
      <c r="K368" s="2"/>
      <c r="M368" s="2"/>
    </row>
    <row r="369" ht="12.0" customHeight="1">
      <c r="K369" s="2"/>
      <c r="M369" s="2"/>
    </row>
    <row r="370" ht="12.0" customHeight="1">
      <c r="K370" s="2"/>
      <c r="M370" s="2"/>
    </row>
    <row r="371" ht="12.0" customHeight="1">
      <c r="K371" s="2"/>
      <c r="M371" s="2"/>
    </row>
    <row r="372" ht="12.0" customHeight="1">
      <c r="K372" s="2"/>
      <c r="M372" s="2"/>
    </row>
    <row r="373" ht="12.0" customHeight="1">
      <c r="K373" s="2"/>
      <c r="M373" s="2"/>
    </row>
    <row r="374" ht="12.0" customHeight="1">
      <c r="K374" s="2"/>
      <c r="M374" s="2"/>
    </row>
    <row r="375" ht="12.0" customHeight="1">
      <c r="K375" s="2"/>
      <c r="M375" s="2"/>
    </row>
    <row r="376" ht="12.0" customHeight="1">
      <c r="K376" s="2"/>
      <c r="M376" s="2"/>
    </row>
    <row r="377" ht="12.0" customHeight="1">
      <c r="K377" s="2"/>
      <c r="M377" s="2"/>
    </row>
    <row r="378" ht="12.0" customHeight="1">
      <c r="K378" s="2"/>
      <c r="M378" s="2"/>
    </row>
    <row r="379" ht="12.0" customHeight="1">
      <c r="K379" s="2"/>
      <c r="M379" s="2"/>
    </row>
    <row r="380" ht="12.0" customHeight="1">
      <c r="K380" s="2"/>
      <c r="M380" s="2"/>
    </row>
    <row r="381" ht="12.0" customHeight="1">
      <c r="K381" s="2"/>
      <c r="M381" s="2"/>
    </row>
    <row r="382" ht="12.0" customHeight="1">
      <c r="K382" s="2"/>
      <c r="M382" s="2"/>
    </row>
    <row r="383" ht="12.0" customHeight="1">
      <c r="K383" s="2"/>
      <c r="M383" s="2"/>
    </row>
    <row r="384" ht="12.0" customHeight="1">
      <c r="K384" s="2"/>
      <c r="M384" s="2"/>
    </row>
    <row r="385" ht="12.0" customHeight="1">
      <c r="K385" s="2"/>
      <c r="M385" s="2"/>
    </row>
    <row r="386" ht="12.0" customHeight="1">
      <c r="K386" s="2"/>
      <c r="M386" s="2"/>
    </row>
    <row r="387" ht="12.0" customHeight="1">
      <c r="K387" s="2"/>
      <c r="M387" s="2"/>
    </row>
    <row r="388" ht="12.0" customHeight="1">
      <c r="K388" s="2"/>
      <c r="M388" s="2"/>
    </row>
    <row r="389" ht="12.0" customHeight="1">
      <c r="K389" s="2"/>
      <c r="M389" s="2"/>
    </row>
    <row r="390" ht="12.0" customHeight="1">
      <c r="K390" s="2"/>
      <c r="M390" s="2"/>
    </row>
    <row r="391" ht="12.0" customHeight="1">
      <c r="K391" s="2"/>
      <c r="M391" s="2"/>
    </row>
    <row r="392" ht="12.0" customHeight="1">
      <c r="K392" s="2"/>
      <c r="M392" s="2"/>
    </row>
    <row r="393" ht="12.0" customHeight="1">
      <c r="K393" s="2"/>
      <c r="M393" s="2"/>
    </row>
    <row r="394" ht="12.0" customHeight="1">
      <c r="K394" s="2"/>
      <c r="M394" s="2"/>
    </row>
    <row r="395" ht="12.0" customHeight="1">
      <c r="K395" s="2"/>
      <c r="M395" s="2"/>
    </row>
    <row r="396" ht="12.0" customHeight="1">
      <c r="K396" s="2"/>
      <c r="M396" s="2"/>
    </row>
    <row r="397" ht="12.0" customHeight="1">
      <c r="K397" s="2"/>
      <c r="M397" s="2"/>
    </row>
    <row r="398" ht="12.0" customHeight="1">
      <c r="K398" s="2"/>
      <c r="M398" s="2"/>
    </row>
    <row r="399" ht="12.0" customHeight="1">
      <c r="K399" s="2"/>
      <c r="M399" s="2"/>
    </row>
    <row r="400" ht="12.0" customHeight="1">
      <c r="K400" s="2"/>
      <c r="M400" s="2"/>
    </row>
    <row r="401" ht="12.0" customHeight="1">
      <c r="K401" s="2"/>
      <c r="M401" s="2"/>
    </row>
    <row r="402" ht="12.0" customHeight="1">
      <c r="K402" s="2"/>
      <c r="M402" s="2"/>
    </row>
    <row r="403" ht="12.0" customHeight="1">
      <c r="K403" s="2"/>
      <c r="M403" s="2"/>
    </row>
    <row r="404" ht="12.0" customHeight="1">
      <c r="K404" s="2"/>
      <c r="M404" s="2"/>
    </row>
    <row r="405" ht="12.0" customHeight="1">
      <c r="K405" s="2"/>
      <c r="M405" s="2"/>
    </row>
    <row r="406" ht="12.0" customHeight="1">
      <c r="K406" s="2"/>
      <c r="M406" s="2"/>
    </row>
    <row r="407" ht="12.0" customHeight="1">
      <c r="K407" s="2"/>
      <c r="M407" s="2"/>
    </row>
    <row r="408" ht="12.0" customHeight="1">
      <c r="K408" s="2"/>
      <c r="M408" s="2"/>
    </row>
    <row r="409" ht="12.0" customHeight="1">
      <c r="K409" s="2"/>
      <c r="M409" s="2"/>
    </row>
    <row r="410" ht="12.0" customHeight="1">
      <c r="K410" s="2"/>
      <c r="M410" s="2"/>
    </row>
    <row r="411" ht="12.0" customHeight="1">
      <c r="K411" s="2"/>
      <c r="M411" s="2"/>
    </row>
    <row r="412" ht="12.0" customHeight="1">
      <c r="K412" s="2"/>
      <c r="M412" s="2"/>
    </row>
    <row r="413" ht="12.0" customHeight="1">
      <c r="K413" s="2"/>
      <c r="M413" s="2"/>
    </row>
    <row r="414" ht="12.0" customHeight="1">
      <c r="K414" s="2"/>
      <c r="M414" s="2"/>
    </row>
    <row r="415" ht="12.0" customHeight="1">
      <c r="K415" s="2"/>
      <c r="M415" s="2"/>
    </row>
    <row r="416" ht="12.0" customHeight="1">
      <c r="K416" s="2"/>
      <c r="M416" s="2"/>
    </row>
    <row r="417" ht="12.0" customHeight="1">
      <c r="K417" s="2"/>
      <c r="M417" s="2"/>
    </row>
    <row r="418" ht="12.0" customHeight="1">
      <c r="K418" s="2"/>
      <c r="M418" s="2"/>
    </row>
    <row r="419" ht="12.0" customHeight="1">
      <c r="K419" s="2"/>
      <c r="M419" s="2"/>
    </row>
    <row r="420" ht="12.0" customHeight="1">
      <c r="K420" s="2"/>
      <c r="M420" s="2"/>
    </row>
    <row r="421" ht="12.0" customHeight="1">
      <c r="K421" s="2"/>
      <c r="M421" s="2"/>
    </row>
    <row r="422" ht="12.0" customHeight="1">
      <c r="K422" s="2"/>
      <c r="M422" s="2"/>
    </row>
    <row r="423" ht="12.0" customHeight="1">
      <c r="K423" s="2"/>
      <c r="M423" s="2"/>
    </row>
    <row r="424" ht="12.0" customHeight="1">
      <c r="K424" s="2"/>
      <c r="M424" s="2"/>
    </row>
    <row r="425" ht="12.0" customHeight="1">
      <c r="K425" s="2"/>
      <c r="M425" s="2"/>
    </row>
    <row r="426" ht="12.0" customHeight="1">
      <c r="K426" s="2"/>
      <c r="M426" s="2"/>
    </row>
    <row r="427" ht="12.0" customHeight="1">
      <c r="K427" s="2"/>
      <c r="M427" s="2"/>
    </row>
    <row r="428" ht="12.0" customHeight="1">
      <c r="K428" s="2"/>
      <c r="M428" s="2"/>
    </row>
    <row r="429" ht="12.0" customHeight="1">
      <c r="K429" s="2"/>
      <c r="M429" s="2"/>
    </row>
    <row r="430" ht="12.0" customHeight="1">
      <c r="K430" s="2"/>
      <c r="M430" s="2"/>
    </row>
    <row r="431" ht="12.0" customHeight="1">
      <c r="K431" s="2"/>
      <c r="M431" s="2"/>
    </row>
    <row r="432" ht="12.0" customHeight="1">
      <c r="K432" s="2"/>
      <c r="M432" s="2"/>
    </row>
    <row r="433" ht="12.0" customHeight="1">
      <c r="K433" s="2"/>
      <c r="M433" s="2"/>
    </row>
    <row r="434" ht="12.0" customHeight="1">
      <c r="K434" s="2"/>
      <c r="M434" s="2"/>
    </row>
    <row r="435" ht="12.0" customHeight="1">
      <c r="K435" s="2"/>
      <c r="M435" s="2"/>
    </row>
    <row r="436" ht="12.0" customHeight="1">
      <c r="K436" s="2"/>
      <c r="M436" s="2"/>
    </row>
    <row r="437" ht="12.0" customHeight="1">
      <c r="K437" s="2"/>
      <c r="M437" s="2"/>
    </row>
    <row r="438" ht="12.0" customHeight="1">
      <c r="K438" s="2"/>
      <c r="M438" s="2"/>
    </row>
    <row r="439" ht="12.0" customHeight="1">
      <c r="K439" s="2"/>
      <c r="M439" s="2"/>
    </row>
    <row r="440" ht="12.0" customHeight="1">
      <c r="K440" s="2"/>
      <c r="M440" s="2"/>
    </row>
    <row r="441" ht="12.0" customHeight="1">
      <c r="K441" s="2"/>
      <c r="M441" s="2"/>
    </row>
    <row r="442" ht="12.0" customHeight="1">
      <c r="K442" s="2"/>
      <c r="M442" s="2"/>
    </row>
    <row r="443" ht="12.0" customHeight="1">
      <c r="K443" s="2"/>
      <c r="M443" s="2"/>
    </row>
    <row r="444" ht="12.0" customHeight="1">
      <c r="K444" s="2"/>
      <c r="M444" s="2"/>
    </row>
    <row r="445" ht="12.0" customHeight="1">
      <c r="K445" s="2"/>
      <c r="M445" s="2"/>
    </row>
    <row r="446" ht="12.0" customHeight="1">
      <c r="K446" s="2"/>
      <c r="M446" s="2"/>
    </row>
    <row r="447" ht="12.0" customHeight="1">
      <c r="K447" s="2"/>
      <c r="M447" s="2"/>
    </row>
    <row r="448" ht="12.0" customHeight="1">
      <c r="K448" s="2"/>
      <c r="M448" s="2"/>
    </row>
    <row r="449" ht="12.0" customHeight="1">
      <c r="K449" s="2"/>
      <c r="M449" s="2"/>
    </row>
    <row r="450" ht="12.0" customHeight="1">
      <c r="K450" s="2"/>
      <c r="M450" s="2"/>
    </row>
    <row r="451" ht="12.0" customHeight="1">
      <c r="K451" s="2"/>
      <c r="M451" s="2"/>
    </row>
    <row r="452" ht="12.0" customHeight="1">
      <c r="K452" s="2"/>
      <c r="M452" s="2"/>
    </row>
    <row r="453" ht="12.0" customHeight="1">
      <c r="K453" s="2"/>
      <c r="M453" s="2"/>
    </row>
    <row r="454" ht="12.0" customHeight="1">
      <c r="K454" s="2"/>
      <c r="M454" s="2"/>
    </row>
    <row r="455" ht="12.0" customHeight="1">
      <c r="K455" s="2"/>
      <c r="M455" s="2"/>
    </row>
    <row r="456" ht="12.0" customHeight="1">
      <c r="K456" s="2"/>
      <c r="M456" s="2"/>
    </row>
    <row r="457" ht="12.0" customHeight="1">
      <c r="K457" s="2"/>
      <c r="M457" s="2"/>
    </row>
    <row r="458" ht="12.0" customHeight="1">
      <c r="K458" s="2"/>
      <c r="M458" s="2"/>
    </row>
    <row r="459" ht="12.0" customHeight="1">
      <c r="K459" s="2"/>
      <c r="M459" s="2"/>
    </row>
    <row r="460" ht="12.0" customHeight="1">
      <c r="K460" s="2"/>
      <c r="M460" s="2"/>
    </row>
    <row r="461" ht="12.0" customHeight="1">
      <c r="K461" s="2"/>
      <c r="M461" s="2"/>
    </row>
    <row r="462" ht="12.0" customHeight="1">
      <c r="K462" s="2"/>
      <c r="M462" s="2"/>
    </row>
    <row r="463" ht="12.0" customHeight="1">
      <c r="K463" s="2"/>
      <c r="M463" s="2"/>
    </row>
    <row r="464" ht="12.0" customHeight="1">
      <c r="K464" s="2"/>
      <c r="M464" s="2"/>
    </row>
    <row r="465" ht="12.0" customHeight="1">
      <c r="K465" s="2"/>
      <c r="M465" s="2"/>
    </row>
    <row r="466" ht="12.0" customHeight="1">
      <c r="K466" s="2"/>
      <c r="M466" s="2"/>
    </row>
    <row r="467" ht="12.0" customHeight="1">
      <c r="K467" s="2"/>
      <c r="M467" s="2"/>
    </row>
    <row r="468" ht="12.0" customHeight="1">
      <c r="K468" s="2"/>
      <c r="M468" s="2"/>
    </row>
    <row r="469" ht="12.0" customHeight="1">
      <c r="K469" s="2"/>
      <c r="M469" s="2"/>
    </row>
    <row r="470" ht="12.0" customHeight="1">
      <c r="K470" s="2"/>
      <c r="M470" s="2"/>
    </row>
    <row r="471" ht="12.0" customHeight="1">
      <c r="K471" s="2"/>
      <c r="M471" s="2"/>
    </row>
    <row r="472" ht="12.0" customHeight="1">
      <c r="K472" s="2"/>
      <c r="M472" s="2"/>
    </row>
    <row r="473" ht="12.0" customHeight="1">
      <c r="K473" s="2"/>
      <c r="M473" s="2"/>
    </row>
    <row r="474" ht="12.0" customHeight="1">
      <c r="K474" s="2"/>
      <c r="M474" s="2"/>
    </row>
    <row r="475" ht="12.0" customHeight="1">
      <c r="K475" s="2"/>
      <c r="M475" s="2"/>
    </row>
    <row r="476" ht="12.0" customHeight="1">
      <c r="K476" s="2"/>
      <c r="M476" s="2"/>
    </row>
    <row r="477" ht="12.0" customHeight="1">
      <c r="K477" s="2"/>
      <c r="M477" s="2"/>
    </row>
    <row r="478" ht="12.0" customHeight="1">
      <c r="K478" s="2"/>
      <c r="M478" s="2"/>
    </row>
    <row r="479" ht="12.0" customHeight="1">
      <c r="K479" s="2"/>
      <c r="M479" s="2"/>
    </row>
    <row r="480" ht="12.0" customHeight="1">
      <c r="K480" s="2"/>
      <c r="M480" s="2"/>
    </row>
    <row r="481" ht="12.0" customHeight="1">
      <c r="K481" s="2"/>
      <c r="M481" s="2"/>
    </row>
    <row r="482" ht="12.0" customHeight="1">
      <c r="K482" s="2"/>
      <c r="M482" s="2"/>
    </row>
    <row r="483" ht="12.0" customHeight="1">
      <c r="K483" s="2"/>
      <c r="M483" s="2"/>
    </row>
    <row r="484" ht="12.0" customHeight="1">
      <c r="K484" s="2"/>
      <c r="M484" s="2"/>
    </row>
    <row r="485" ht="12.0" customHeight="1">
      <c r="K485" s="2"/>
      <c r="M485" s="2"/>
    </row>
    <row r="486" ht="12.0" customHeight="1">
      <c r="K486" s="2"/>
      <c r="M486" s="2"/>
    </row>
    <row r="487" ht="12.0" customHeight="1">
      <c r="K487" s="2"/>
      <c r="M487" s="2"/>
    </row>
    <row r="488" ht="12.0" customHeight="1">
      <c r="K488" s="2"/>
      <c r="M488" s="2"/>
    </row>
    <row r="489" ht="12.0" customHeight="1">
      <c r="K489" s="2"/>
      <c r="M489" s="2"/>
    </row>
    <row r="490" ht="12.0" customHeight="1">
      <c r="K490" s="2"/>
      <c r="M490" s="2"/>
    </row>
    <row r="491" ht="12.0" customHeight="1">
      <c r="K491" s="2"/>
      <c r="M491" s="2"/>
    </row>
    <row r="492" ht="12.0" customHeight="1">
      <c r="K492" s="2"/>
      <c r="M492" s="2"/>
    </row>
    <row r="493" ht="12.0" customHeight="1">
      <c r="K493" s="2"/>
      <c r="M493" s="2"/>
    </row>
    <row r="494" ht="12.0" customHeight="1">
      <c r="K494" s="2"/>
      <c r="M494" s="2"/>
    </row>
    <row r="495" ht="12.0" customHeight="1">
      <c r="K495" s="2"/>
      <c r="M495" s="2"/>
    </row>
    <row r="496" ht="12.0" customHeight="1">
      <c r="K496" s="2"/>
      <c r="M496" s="2"/>
    </row>
    <row r="497" ht="12.0" customHeight="1">
      <c r="K497" s="2"/>
      <c r="M497" s="2"/>
    </row>
    <row r="498" ht="12.0" customHeight="1">
      <c r="K498" s="2"/>
      <c r="M498" s="2"/>
    </row>
    <row r="499" ht="12.0" customHeight="1">
      <c r="K499" s="2"/>
      <c r="M499" s="2"/>
    </row>
    <row r="500" ht="12.0" customHeight="1">
      <c r="K500" s="2"/>
      <c r="M500" s="2"/>
    </row>
    <row r="501" ht="12.0" customHeight="1">
      <c r="K501" s="2"/>
      <c r="M501" s="2"/>
    </row>
    <row r="502" ht="12.0" customHeight="1">
      <c r="K502" s="2"/>
      <c r="M502" s="2"/>
    </row>
    <row r="503" ht="12.0" customHeight="1">
      <c r="K503" s="2"/>
      <c r="M503" s="2"/>
    </row>
    <row r="504" ht="12.0" customHeight="1">
      <c r="K504" s="2"/>
      <c r="M504" s="2"/>
    </row>
    <row r="505" ht="12.0" customHeight="1">
      <c r="K505" s="2"/>
      <c r="M505" s="2"/>
    </row>
    <row r="506" ht="12.0" customHeight="1">
      <c r="K506" s="2"/>
      <c r="M506" s="2"/>
    </row>
    <row r="507" ht="12.0" customHeight="1">
      <c r="K507" s="2"/>
      <c r="M507" s="2"/>
    </row>
    <row r="508" ht="12.0" customHeight="1">
      <c r="K508" s="2"/>
      <c r="M508" s="2"/>
    </row>
    <row r="509" ht="12.0" customHeight="1">
      <c r="K509" s="2"/>
      <c r="M509" s="2"/>
    </row>
    <row r="510" ht="12.0" customHeight="1">
      <c r="K510" s="2"/>
      <c r="M510" s="2"/>
    </row>
    <row r="511" ht="12.0" customHeight="1">
      <c r="K511" s="2"/>
      <c r="M511" s="2"/>
    </row>
    <row r="512" ht="12.0" customHeight="1">
      <c r="K512" s="2"/>
      <c r="M512" s="2"/>
    </row>
    <row r="513" ht="12.0" customHeight="1">
      <c r="K513" s="2"/>
      <c r="M513" s="2"/>
    </row>
    <row r="514" ht="12.0" customHeight="1">
      <c r="K514" s="2"/>
      <c r="M514" s="2"/>
    </row>
    <row r="515" ht="12.0" customHeight="1">
      <c r="K515" s="2"/>
      <c r="M515" s="2"/>
    </row>
    <row r="516" ht="12.0" customHeight="1">
      <c r="K516" s="2"/>
      <c r="M516" s="2"/>
    </row>
    <row r="517" ht="12.0" customHeight="1">
      <c r="K517" s="2"/>
      <c r="M517" s="2"/>
    </row>
    <row r="518" ht="12.0" customHeight="1">
      <c r="K518" s="2"/>
      <c r="M518" s="2"/>
    </row>
    <row r="519" ht="12.0" customHeight="1">
      <c r="K519" s="2"/>
      <c r="M519" s="2"/>
    </row>
    <row r="520" ht="12.0" customHeight="1">
      <c r="K520" s="2"/>
      <c r="M520" s="2"/>
    </row>
    <row r="521" ht="12.0" customHeight="1">
      <c r="K521" s="2"/>
      <c r="M521" s="2"/>
    </row>
    <row r="522" ht="12.0" customHeight="1">
      <c r="K522" s="2"/>
      <c r="M522" s="2"/>
    </row>
    <row r="523" ht="12.0" customHeight="1">
      <c r="K523" s="2"/>
      <c r="M523" s="2"/>
    </row>
    <row r="524" ht="12.0" customHeight="1">
      <c r="K524" s="2"/>
      <c r="M524" s="2"/>
    </row>
    <row r="525" ht="12.0" customHeight="1">
      <c r="K525" s="2"/>
      <c r="M525" s="2"/>
    </row>
    <row r="526" ht="12.0" customHeight="1">
      <c r="K526" s="2"/>
      <c r="M526" s="2"/>
    </row>
    <row r="527" ht="12.0" customHeight="1">
      <c r="K527" s="2"/>
      <c r="M527" s="2"/>
    </row>
    <row r="528" ht="12.0" customHeight="1">
      <c r="K528" s="2"/>
      <c r="M528" s="2"/>
    </row>
    <row r="529" ht="12.0" customHeight="1">
      <c r="K529" s="2"/>
      <c r="M529" s="2"/>
    </row>
    <row r="530" ht="12.0" customHeight="1">
      <c r="K530" s="2"/>
      <c r="M530" s="2"/>
    </row>
    <row r="531" ht="12.0" customHeight="1">
      <c r="K531" s="2"/>
      <c r="M531" s="2"/>
    </row>
    <row r="532" ht="12.0" customHeight="1">
      <c r="K532" s="2"/>
      <c r="M532" s="2"/>
    </row>
    <row r="533" ht="12.0" customHeight="1">
      <c r="K533" s="2"/>
      <c r="M533" s="2"/>
    </row>
    <row r="534" ht="12.0" customHeight="1">
      <c r="K534" s="2"/>
      <c r="M534" s="2"/>
    </row>
    <row r="535" ht="12.0" customHeight="1">
      <c r="K535" s="2"/>
      <c r="M535" s="2"/>
    </row>
    <row r="536" ht="12.0" customHeight="1">
      <c r="K536" s="2"/>
      <c r="M536" s="2"/>
    </row>
    <row r="537" ht="12.0" customHeight="1">
      <c r="K537" s="2"/>
      <c r="M537" s="2"/>
    </row>
    <row r="538" ht="12.0" customHeight="1">
      <c r="K538" s="2"/>
      <c r="M538" s="2"/>
    </row>
    <row r="539" ht="12.0" customHeight="1">
      <c r="K539" s="2"/>
      <c r="M539" s="2"/>
    </row>
    <row r="540" ht="12.0" customHeight="1">
      <c r="K540" s="2"/>
      <c r="M540" s="2"/>
    </row>
    <row r="541" ht="12.0" customHeight="1">
      <c r="K541" s="2"/>
      <c r="M541" s="2"/>
    </row>
    <row r="542" ht="12.0" customHeight="1">
      <c r="K542" s="2"/>
      <c r="M542" s="2"/>
    </row>
    <row r="543" ht="12.0" customHeight="1">
      <c r="K543" s="2"/>
      <c r="M543" s="2"/>
    </row>
    <row r="544" ht="12.0" customHeight="1">
      <c r="K544" s="2"/>
      <c r="M544" s="2"/>
    </row>
    <row r="545" ht="12.0" customHeight="1">
      <c r="K545" s="2"/>
      <c r="M545" s="2"/>
    </row>
    <row r="546" ht="12.0" customHeight="1">
      <c r="K546" s="2"/>
      <c r="M546" s="2"/>
    </row>
    <row r="547" ht="12.0" customHeight="1">
      <c r="K547" s="2"/>
      <c r="M547" s="2"/>
    </row>
    <row r="548" ht="12.0" customHeight="1">
      <c r="K548" s="2"/>
      <c r="M548" s="2"/>
    </row>
    <row r="549" ht="12.0" customHeight="1">
      <c r="K549" s="2"/>
      <c r="M549" s="2"/>
    </row>
    <row r="550" ht="12.0" customHeight="1">
      <c r="K550" s="2"/>
      <c r="M550" s="2"/>
    </row>
    <row r="551" ht="12.0" customHeight="1">
      <c r="K551" s="2"/>
      <c r="M551" s="2"/>
    </row>
    <row r="552" ht="12.0" customHeight="1">
      <c r="K552" s="2"/>
      <c r="M552" s="2"/>
    </row>
    <row r="553" ht="12.0" customHeight="1">
      <c r="K553" s="2"/>
      <c r="M553" s="2"/>
    </row>
    <row r="554" ht="12.0" customHeight="1">
      <c r="K554" s="2"/>
      <c r="M554" s="2"/>
    </row>
    <row r="555" ht="12.0" customHeight="1">
      <c r="K555" s="2"/>
      <c r="M555" s="2"/>
    </row>
    <row r="556" ht="12.0" customHeight="1">
      <c r="K556" s="2"/>
      <c r="M556" s="2"/>
    </row>
    <row r="557" ht="12.0" customHeight="1">
      <c r="K557" s="2"/>
      <c r="M557" s="2"/>
    </row>
    <row r="558" ht="12.0" customHeight="1">
      <c r="K558" s="2"/>
      <c r="M558" s="2"/>
    </row>
    <row r="559" ht="12.0" customHeight="1">
      <c r="K559" s="2"/>
      <c r="M559" s="2"/>
    </row>
    <row r="560" ht="12.0" customHeight="1">
      <c r="K560" s="2"/>
      <c r="M560" s="2"/>
    </row>
    <row r="561" ht="12.0" customHeight="1">
      <c r="K561" s="2"/>
      <c r="M561" s="2"/>
    </row>
    <row r="562" ht="12.0" customHeight="1">
      <c r="K562" s="2"/>
      <c r="M562" s="2"/>
    </row>
    <row r="563" ht="12.0" customHeight="1">
      <c r="K563" s="2"/>
      <c r="M563" s="2"/>
    </row>
    <row r="564" ht="12.0" customHeight="1">
      <c r="K564" s="2"/>
      <c r="M564" s="2"/>
    </row>
    <row r="565" ht="12.0" customHeight="1">
      <c r="K565" s="2"/>
      <c r="M565" s="2"/>
    </row>
    <row r="566" ht="12.0" customHeight="1">
      <c r="K566" s="2"/>
      <c r="M566" s="2"/>
    </row>
    <row r="567" ht="12.0" customHeight="1">
      <c r="K567" s="2"/>
      <c r="M567" s="2"/>
    </row>
    <row r="568" ht="12.0" customHeight="1">
      <c r="K568" s="2"/>
      <c r="M568" s="2"/>
    </row>
    <row r="569" ht="12.0" customHeight="1">
      <c r="K569" s="2"/>
      <c r="M569" s="2"/>
    </row>
    <row r="570" ht="12.0" customHeight="1">
      <c r="K570" s="2"/>
      <c r="M570" s="2"/>
    </row>
    <row r="571" ht="12.0" customHeight="1">
      <c r="K571" s="2"/>
      <c r="M571" s="2"/>
    </row>
    <row r="572" ht="12.0" customHeight="1">
      <c r="K572" s="2"/>
      <c r="M572" s="2"/>
    </row>
    <row r="573" ht="12.0" customHeight="1">
      <c r="K573" s="2"/>
      <c r="M573" s="2"/>
    </row>
    <row r="574" ht="12.0" customHeight="1">
      <c r="K574" s="2"/>
      <c r="M574" s="2"/>
    </row>
    <row r="575" ht="12.0" customHeight="1">
      <c r="K575" s="2"/>
      <c r="M575" s="2"/>
    </row>
    <row r="576" ht="12.0" customHeight="1">
      <c r="K576" s="2"/>
      <c r="M576" s="2"/>
    </row>
    <row r="577" ht="12.0" customHeight="1">
      <c r="K577" s="2"/>
      <c r="M577" s="2"/>
    </row>
    <row r="578" ht="12.0" customHeight="1">
      <c r="K578" s="2"/>
      <c r="M578" s="2"/>
    </row>
    <row r="579" ht="12.0" customHeight="1">
      <c r="K579" s="2"/>
      <c r="M579" s="2"/>
    </row>
    <row r="580" ht="12.0" customHeight="1">
      <c r="K580" s="2"/>
      <c r="M580" s="2"/>
    </row>
    <row r="581" ht="12.0" customHeight="1">
      <c r="K581" s="2"/>
      <c r="M581" s="2"/>
    </row>
    <row r="582" ht="12.0" customHeight="1">
      <c r="K582" s="2"/>
      <c r="M582" s="2"/>
    </row>
    <row r="583" ht="12.0" customHeight="1">
      <c r="K583" s="2"/>
      <c r="M583" s="2"/>
    </row>
    <row r="584" ht="12.0" customHeight="1">
      <c r="K584" s="2"/>
      <c r="M584" s="2"/>
    </row>
    <row r="585" ht="12.0" customHeight="1">
      <c r="K585" s="2"/>
      <c r="M585" s="2"/>
    </row>
    <row r="586" ht="12.0" customHeight="1">
      <c r="K586" s="2"/>
      <c r="M586" s="2"/>
    </row>
    <row r="587" ht="12.0" customHeight="1">
      <c r="K587" s="2"/>
      <c r="M587" s="2"/>
    </row>
    <row r="588" ht="12.0" customHeight="1">
      <c r="K588" s="2"/>
      <c r="M588" s="2"/>
    </row>
    <row r="589" ht="12.0" customHeight="1">
      <c r="K589" s="2"/>
      <c r="M589" s="2"/>
    </row>
    <row r="590" ht="12.0" customHeight="1">
      <c r="K590" s="2"/>
      <c r="M590" s="2"/>
    </row>
    <row r="591" ht="12.0" customHeight="1">
      <c r="K591" s="2"/>
      <c r="M591" s="2"/>
    </row>
    <row r="592" ht="12.0" customHeight="1">
      <c r="K592" s="2"/>
      <c r="M592" s="2"/>
    </row>
    <row r="593" ht="12.0" customHeight="1">
      <c r="K593" s="2"/>
      <c r="M593" s="2"/>
    </row>
    <row r="594" ht="12.0" customHeight="1">
      <c r="K594" s="2"/>
      <c r="M594" s="2"/>
    </row>
    <row r="595" ht="12.0" customHeight="1">
      <c r="K595" s="2"/>
      <c r="M595" s="2"/>
    </row>
    <row r="596" ht="12.0" customHeight="1">
      <c r="K596" s="2"/>
      <c r="M596" s="2"/>
    </row>
    <row r="597" ht="12.0" customHeight="1">
      <c r="K597" s="2"/>
      <c r="M597" s="2"/>
    </row>
    <row r="598" ht="12.0" customHeight="1">
      <c r="K598" s="2"/>
      <c r="M598" s="2"/>
    </row>
    <row r="599" ht="12.0" customHeight="1">
      <c r="K599" s="2"/>
      <c r="M599" s="2"/>
    </row>
    <row r="600" ht="12.0" customHeight="1">
      <c r="K600" s="2"/>
      <c r="M600" s="2"/>
    </row>
    <row r="601" ht="12.0" customHeight="1">
      <c r="K601" s="2"/>
      <c r="M601" s="2"/>
    </row>
    <row r="602" ht="12.0" customHeight="1">
      <c r="K602" s="2"/>
      <c r="M602" s="2"/>
    </row>
    <row r="603" ht="12.0" customHeight="1">
      <c r="K603" s="2"/>
      <c r="M603" s="2"/>
    </row>
    <row r="604" ht="12.0" customHeight="1">
      <c r="K604" s="2"/>
      <c r="M604" s="2"/>
    </row>
    <row r="605" ht="12.0" customHeight="1">
      <c r="K605" s="2"/>
      <c r="M605" s="2"/>
    </row>
    <row r="606" ht="12.0" customHeight="1">
      <c r="K606" s="2"/>
      <c r="M606" s="2"/>
    </row>
    <row r="607" ht="12.0" customHeight="1">
      <c r="K607" s="2"/>
      <c r="M607" s="2"/>
    </row>
    <row r="608" ht="12.0" customHeight="1">
      <c r="K608" s="2"/>
      <c r="M608" s="2"/>
    </row>
    <row r="609" ht="12.0" customHeight="1">
      <c r="K609" s="2"/>
      <c r="M609" s="2"/>
    </row>
    <row r="610" ht="12.0" customHeight="1">
      <c r="K610" s="2"/>
      <c r="M610" s="2"/>
    </row>
    <row r="611" ht="12.0" customHeight="1">
      <c r="K611" s="2"/>
      <c r="M611" s="2"/>
    </row>
    <row r="612" ht="12.0" customHeight="1">
      <c r="K612" s="2"/>
      <c r="M612" s="2"/>
    </row>
    <row r="613" ht="12.0" customHeight="1">
      <c r="K613" s="2"/>
      <c r="M613" s="2"/>
    </row>
    <row r="614" ht="12.0" customHeight="1">
      <c r="K614" s="2"/>
      <c r="M614" s="2"/>
    </row>
    <row r="615" ht="12.0" customHeight="1">
      <c r="K615" s="2"/>
      <c r="M615" s="2"/>
    </row>
    <row r="616" ht="12.0" customHeight="1">
      <c r="K616" s="2"/>
      <c r="M616" s="2"/>
    </row>
    <row r="617" ht="12.0" customHeight="1">
      <c r="K617" s="2"/>
      <c r="M617" s="2"/>
    </row>
    <row r="618" ht="12.0" customHeight="1">
      <c r="K618" s="2"/>
      <c r="M618" s="2"/>
    </row>
    <row r="619" ht="12.0" customHeight="1">
      <c r="K619" s="2"/>
      <c r="M619" s="2"/>
    </row>
    <row r="620" ht="12.0" customHeight="1">
      <c r="K620" s="2"/>
      <c r="M620" s="2"/>
    </row>
    <row r="621" ht="12.0" customHeight="1">
      <c r="K621" s="2"/>
      <c r="M621" s="2"/>
    </row>
    <row r="622" ht="12.0" customHeight="1">
      <c r="K622" s="2"/>
      <c r="M622" s="2"/>
    </row>
    <row r="623" ht="12.0" customHeight="1">
      <c r="K623" s="2"/>
      <c r="M623" s="2"/>
    </row>
    <row r="624" ht="12.0" customHeight="1">
      <c r="K624" s="2"/>
      <c r="M624" s="2"/>
    </row>
    <row r="625" ht="12.0" customHeight="1">
      <c r="K625" s="2"/>
      <c r="M625" s="2"/>
    </row>
    <row r="626" ht="12.0" customHeight="1">
      <c r="K626" s="2"/>
      <c r="M626" s="2"/>
    </row>
    <row r="627" ht="12.0" customHeight="1">
      <c r="K627" s="2"/>
      <c r="M627" s="2"/>
    </row>
    <row r="628" ht="12.0" customHeight="1">
      <c r="K628" s="2"/>
      <c r="M628" s="2"/>
    </row>
    <row r="629" ht="12.0" customHeight="1">
      <c r="K629" s="2"/>
      <c r="M629" s="2"/>
    </row>
    <row r="630" ht="12.0" customHeight="1">
      <c r="K630" s="2"/>
      <c r="M630" s="2"/>
    </row>
    <row r="631" ht="12.0" customHeight="1">
      <c r="K631" s="2"/>
      <c r="M631" s="2"/>
    </row>
    <row r="632" ht="12.0" customHeight="1">
      <c r="K632" s="2"/>
      <c r="M632" s="2"/>
    </row>
    <row r="633" ht="12.0" customHeight="1">
      <c r="K633" s="2"/>
      <c r="M633" s="2"/>
    </row>
    <row r="634" ht="12.0" customHeight="1">
      <c r="K634" s="2"/>
      <c r="M634" s="2"/>
    </row>
    <row r="635" ht="12.0" customHeight="1">
      <c r="K635" s="2"/>
      <c r="M635" s="2"/>
    </row>
    <row r="636" ht="12.0" customHeight="1">
      <c r="K636" s="2"/>
      <c r="M636" s="2"/>
    </row>
    <row r="637" ht="12.0" customHeight="1">
      <c r="K637" s="2"/>
      <c r="M637" s="2"/>
    </row>
    <row r="638" ht="12.0" customHeight="1">
      <c r="K638" s="2"/>
      <c r="M638" s="2"/>
    </row>
    <row r="639" ht="12.0" customHeight="1">
      <c r="K639" s="2"/>
      <c r="M639" s="2"/>
    </row>
    <row r="640" ht="12.0" customHeight="1">
      <c r="K640" s="2"/>
      <c r="M640" s="2"/>
    </row>
    <row r="641" ht="12.0" customHeight="1">
      <c r="K641" s="2"/>
      <c r="M641" s="2"/>
    </row>
    <row r="642" ht="12.0" customHeight="1">
      <c r="K642" s="2"/>
      <c r="M642" s="2"/>
    </row>
    <row r="643" ht="12.0" customHeight="1">
      <c r="K643" s="2"/>
      <c r="M643" s="2"/>
    </row>
    <row r="644" ht="12.0" customHeight="1">
      <c r="K644" s="2"/>
      <c r="M644" s="2"/>
    </row>
    <row r="645" ht="12.0" customHeight="1">
      <c r="K645" s="2"/>
      <c r="M645" s="2"/>
    </row>
    <row r="646" ht="12.0" customHeight="1">
      <c r="K646" s="2"/>
      <c r="M646" s="2"/>
    </row>
    <row r="647" ht="12.0" customHeight="1">
      <c r="K647" s="2"/>
      <c r="M647" s="2"/>
    </row>
    <row r="648" ht="12.0" customHeight="1">
      <c r="K648" s="2"/>
      <c r="M648" s="2"/>
    </row>
    <row r="649" ht="12.0" customHeight="1">
      <c r="K649" s="2"/>
      <c r="M649" s="2"/>
    </row>
    <row r="650" ht="12.0" customHeight="1">
      <c r="K650" s="2"/>
      <c r="M650" s="2"/>
    </row>
    <row r="651" ht="12.0" customHeight="1">
      <c r="K651" s="2"/>
      <c r="M651" s="2"/>
    </row>
    <row r="652" ht="12.0" customHeight="1">
      <c r="K652" s="2"/>
      <c r="M652" s="2"/>
    </row>
    <row r="653" ht="12.0" customHeight="1">
      <c r="K653" s="2"/>
      <c r="M653" s="2"/>
    </row>
    <row r="654" ht="12.0" customHeight="1">
      <c r="K654" s="2"/>
      <c r="M654" s="2"/>
    </row>
    <row r="655" ht="12.0" customHeight="1">
      <c r="K655" s="2"/>
      <c r="M655" s="2"/>
    </row>
    <row r="656" ht="12.0" customHeight="1">
      <c r="K656" s="2"/>
      <c r="M656" s="2"/>
    </row>
    <row r="657" ht="12.0" customHeight="1">
      <c r="K657" s="2"/>
      <c r="M657" s="2"/>
    </row>
    <row r="658" ht="12.0" customHeight="1">
      <c r="K658" s="2"/>
      <c r="M658" s="2"/>
    </row>
    <row r="659" ht="12.0" customHeight="1">
      <c r="K659" s="2"/>
      <c r="M659" s="2"/>
    </row>
    <row r="660" ht="12.0" customHeight="1">
      <c r="K660" s="2"/>
      <c r="M660" s="2"/>
    </row>
    <row r="661" ht="12.0" customHeight="1">
      <c r="K661" s="2"/>
      <c r="M661" s="2"/>
    </row>
    <row r="662" ht="12.0" customHeight="1">
      <c r="K662" s="2"/>
      <c r="M662" s="2"/>
    </row>
    <row r="663" ht="12.0" customHeight="1">
      <c r="K663" s="2"/>
      <c r="M663" s="2"/>
    </row>
    <row r="664" ht="12.0" customHeight="1">
      <c r="K664" s="2"/>
      <c r="M664" s="2"/>
    </row>
    <row r="665" ht="12.0" customHeight="1">
      <c r="K665" s="2"/>
      <c r="M665" s="2"/>
    </row>
    <row r="666" ht="12.0" customHeight="1">
      <c r="K666" s="2"/>
      <c r="M666" s="2"/>
    </row>
    <row r="667" ht="12.0" customHeight="1">
      <c r="K667" s="2"/>
      <c r="M667" s="2"/>
    </row>
    <row r="668" ht="12.0" customHeight="1">
      <c r="K668" s="2"/>
      <c r="M668" s="2"/>
    </row>
    <row r="669" ht="12.0" customHeight="1">
      <c r="K669" s="2"/>
      <c r="M669" s="2"/>
    </row>
    <row r="670" ht="12.0" customHeight="1">
      <c r="K670" s="2"/>
      <c r="M670" s="2"/>
    </row>
    <row r="671" ht="12.0" customHeight="1">
      <c r="K671" s="2"/>
      <c r="M671" s="2"/>
    </row>
    <row r="672" ht="12.0" customHeight="1">
      <c r="K672" s="2"/>
      <c r="M672" s="2"/>
    </row>
    <row r="673" ht="12.0" customHeight="1">
      <c r="K673" s="2"/>
      <c r="M673" s="2"/>
    </row>
    <row r="674" ht="12.0" customHeight="1">
      <c r="K674" s="2"/>
      <c r="M674" s="2"/>
    </row>
    <row r="675" ht="12.0" customHeight="1">
      <c r="K675" s="2"/>
      <c r="M675" s="2"/>
    </row>
    <row r="676" ht="12.0" customHeight="1">
      <c r="K676" s="2"/>
      <c r="M676" s="2"/>
    </row>
    <row r="677" ht="12.0" customHeight="1">
      <c r="K677" s="2"/>
      <c r="M677" s="2"/>
    </row>
    <row r="678" ht="12.0" customHeight="1">
      <c r="K678" s="2"/>
      <c r="M678" s="2"/>
    </row>
    <row r="679" ht="12.0" customHeight="1">
      <c r="K679" s="2"/>
      <c r="M679" s="2"/>
    </row>
    <row r="680" ht="12.0" customHeight="1">
      <c r="K680" s="2"/>
      <c r="M680" s="2"/>
    </row>
    <row r="681" ht="12.0" customHeight="1">
      <c r="K681" s="2"/>
      <c r="M681" s="2"/>
    </row>
    <row r="682" ht="12.0" customHeight="1">
      <c r="K682" s="2"/>
      <c r="M682" s="2"/>
    </row>
    <row r="683" ht="12.0" customHeight="1">
      <c r="K683" s="2"/>
      <c r="M683" s="2"/>
    </row>
    <row r="684" ht="12.0" customHeight="1">
      <c r="K684" s="2"/>
      <c r="M684" s="2"/>
    </row>
    <row r="685" ht="12.0" customHeight="1">
      <c r="K685" s="2"/>
      <c r="M685" s="2"/>
    </row>
    <row r="686" ht="12.0" customHeight="1">
      <c r="K686" s="2"/>
      <c r="M686" s="2"/>
    </row>
    <row r="687" ht="12.0" customHeight="1">
      <c r="K687" s="2"/>
      <c r="M687" s="2"/>
    </row>
    <row r="688" ht="12.0" customHeight="1">
      <c r="K688" s="2"/>
      <c r="M688" s="2"/>
    </row>
    <row r="689" ht="12.0" customHeight="1">
      <c r="K689" s="2"/>
      <c r="M689" s="2"/>
    </row>
    <row r="690" ht="12.0" customHeight="1">
      <c r="K690" s="2"/>
      <c r="M690" s="2"/>
    </row>
    <row r="691" ht="12.0" customHeight="1">
      <c r="K691" s="2"/>
      <c r="M691" s="2"/>
    </row>
    <row r="692" ht="12.0" customHeight="1">
      <c r="K692" s="2"/>
      <c r="M692" s="2"/>
    </row>
    <row r="693" ht="12.0" customHeight="1">
      <c r="K693" s="2"/>
      <c r="M693" s="2"/>
    </row>
    <row r="694" ht="12.0" customHeight="1">
      <c r="K694" s="2"/>
      <c r="M694" s="2"/>
    </row>
    <row r="695" ht="12.0" customHeight="1">
      <c r="K695" s="2"/>
      <c r="M695" s="2"/>
    </row>
    <row r="696" ht="12.0" customHeight="1">
      <c r="K696" s="2"/>
      <c r="M696" s="2"/>
    </row>
    <row r="697" ht="12.0" customHeight="1">
      <c r="K697" s="2"/>
      <c r="M697" s="2"/>
    </row>
    <row r="698" ht="12.0" customHeight="1">
      <c r="K698" s="2"/>
      <c r="M698" s="2"/>
    </row>
    <row r="699" ht="12.0" customHeight="1">
      <c r="K699" s="2"/>
      <c r="M699" s="2"/>
    </row>
    <row r="700" ht="12.0" customHeight="1">
      <c r="K700" s="2"/>
      <c r="M700" s="2"/>
    </row>
    <row r="701" ht="12.0" customHeight="1">
      <c r="K701" s="2"/>
      <c r="M701" s="2"/>
    </row>
    <row r="702" ht="12.0" customHeight="1">
      <c r="K702" s="2"/>
      <c r="M702" s="2"/>
    </row>
    <row r="703" ht="12.0" customHeight="1">
      <c r="K703" s="2"/>
      <c r="M703" s="2"/>
    </row>
    <row r="704" ht="12.0" customHeight="1">
      <c r="K704" s="2"/>
      <c r="M704" s="2"/>
    </row>
    <row r="705" ht="12.0" customHeight="1">
      <c r="K705" s="2"/>
      <c r="M705" s="2"/>
    </row>
    <row r="706" ht="12.0" customHeight="1">
      <c r="K706" s="2"/>
      <c r="M706" s="2"/>
    </row>
    <row r="707" ht="12.0" customHeight="1">
      <c r="K707" s="2"/>
      <c r="M707" s="2"/>
    </row>
    <row r="708" ht="12.0" customHeight="1">
      <c r="K708" s="2"/>
      <c r="M708" s="2"/>
    </row>
    <row r="709" ht="12.0" customHeight="1">
      <c r="K709" s="2"/>
      <c r="M709" s="2"/>
    </row>
    <row r="710" ht="12.0" customHeight="1">
      <c r="K710" s="2"/>
      <c r="M710" s="2"/>
    </row>
    <row r="711" ht="12.0" customHeight="1">
      <c r="K711" s="2"/>
      <c r="M711" s="2"/>
    </row>
    <row r="712" ht="12.0" customHeight="1">
      <c r="K712" s="2"/>
      <c r="M712" s="2"/>
    </row>
    <row r="713" ht="12.0" customHeight="1">
      <c r="K713" s="2"/>
      <c r="M713" s="2"/>
    </row>
    <row r="714" ht="12.0" customHeight="1">
      <c r="K714" s="2"/>
      <c r="M714" s="2"/>
    </row>
    <row r="715" ht="12.0" customHeight="1">
      <c r="K715" s="2"/>
      <c r="M715" s="2"/>
    </row>
    <row r="716" ht="12.0" customHeight="1">
      <c r="K716" s="2"/>
      <c r="M716" s="2"/>
    </row>
    <row r="717" ht="12.0" customHeight="1">
      <c r="K717" s="2"/>
      <c r="M717" s="2"/>
    </row>
    <row r="718" ht="12.0" customHeight="1">
      <c r="K718" s="2"/>
      <c r="M718" s="2"/>
    </row>
    <row r="719" ht="12.0" customHeight="1">
      <c r="K719" s="2"/>
      <c r="M719" s="2"/>
    </row>
    <row r="720" ht="12.0" customHeight="1">
      <c r="K720" s="2"/>
      <c r="M720" s="2"/>
    </row>
    <row r="721" ht="12.0" customHeight="1">
      <c r="K721" s="2"/>
      <c r="M721" s="2"/>
    </row>
    <row r="722" ht="12.0" customHeight="1">
      <c r="K722" s="2"/>
      <c r="M722" s="2"/>
    </row>
    <row r="723" ht="12.0" customHeight="1">
      <c r="K723" s="2"/>
      <c r="M723" s="2"/>
    </row>
    <row r="724" ht="12.0" customHeight="1">
      <c r="K724" s="2"/>
      <c r="M724" s="2"/>
    </row>
    <row r="725" ht="12.0" customHeight="1">
      <c r="K725" s="2"/>
      <c r="M725" s="2"/>
    </row>
    <row r="726" ht="12.0" customHeight="1">
      <c r="K726" s="2"/>
      <c r="M726" s="2"/>
    </row>
    <row r="727" ht="12.0" customHeight="1">
      <c r="K727" s="2"/>
      <c r="M727" s="2"/>
    </row>
    <row r="728" ht="12.0" customHeight="1">
      <c r="K728" s="2"/>
      <c r="M728" s="2"/>
    </row>
    <row r="729" ht="12.0" customHeight="1">
      <c r="K729" s="2"/>
      <c r="M729" s="2"/>
    </row>
    <row r="730" ht="12.0" customHeight="1">
      <c r="K730" s="2"/>
      <c r="M730" s="2"/>
    </row>
    <row r="731" ht="12.0" customHeight="1">
      <c r="K731" s="2"/>
      <c r="M731" s="2"/>
    </row>
    <row r="732" ht="12.0" customHeight="1">
      <c r="K732" s="2"/>
      <c r="M732" s="2"/>
    </row>
    <row r="733" ht="12.0" customHeight="1">
      <c r="K733" s="2"/>
      <c r="M733" s="2"/>
    </row>
    <row r="734" ht="12.0" customHeight="1">
      <c r="K734" s="2"/>
      <c r="M734" s="2"/>
    </row>
    <row r="735" ht="12.0" customHeight="1">
      <c r="K735" s="2"/>
      <c r="M735" s="2"/>
    </row>
    <row r="736" ht="12.0" customHeight="1">
      <c r="K736" s="2"/>
      <c r="M736" s="2"/>
    </row>
    <row r="737" ht="12.0" customHeight="1">
      <c r="K737" s="2"/>
      <c r="M737" s="2"/>
    </row>
    <row r="738" ht="12.0" customHeight="1">
      <c r="K738" s="2"/>
      <c r="M738" s="2"/>
    </row>
    <row r="739" ht="12.0" customHeight="1">
      <c r="K739" s="2"/>
      <c r="M739" s="2"/>
    </row>
    <row r="740" ht="12.0" customHeight="1">
      <c r="K740" s="2"/>
      <c r="M740" s="2"/>
    </row>
    <row r="741" ht="12.0" customHeight="1">
      <c r="K741" s="2"/>
      <c r="M741" s="2"/>
    </row>
    <row r="742" ht="12.0" customHeight="1">
      <c r="K742" s="2"/>
      <c r="M742" s="2"/>
    </row>
    <row r="743" ht="12.0" customHeight="1">
      <c r="K743" s="2"/>
      <c r="M743" s="2"/>
    </row>
    <row r="744" ht="12.0" customHeight="1">
      <c r="K744" s="2"/>
      <c r="M744" s="2"/>
    </row>
    <row r="745" ht="12.0" customHeight="1">
      <c r="K745" s="2"/>
      <c r="M745" s="2"/>
    </row>
    <row r="746" ht="12.0" customHeight="1">
      <c r="K746" s="2"/>
      <c r="M746" s="2"/>
    </row>
    <row r="747" ht="12.0" customHeight="1">
      <c r="K747" s="2"/>
      <c r="M747" s="2"/>
    </row>
    <row r="748" ht="12.0" customHeight="1">
      <c r="K748" s="2"/>
      <c r="M748" s="2"/>
    </row>
    <row r="749" ht="12.0" customHeight="1">
      <c r="K749" s="2"/>
      <c r="M749" s="2"/>
    </row>
    <row r="750" ht="12.0" customHeight="1">
      <c r="K750" s="2"/>
      <c r="M750" s="2"/>
    </row>
    <row r="751" ht="12.0" customHeight="1">
      <c r="K751" s="2"/>
      <c r="M751" s="2"/>
    </row>
    <row r="752" ht="12.0" customHeight="1">
      <c r="K752" s="2"/>
      <c r="M752" s="2"/>
    </row>
    <row r="753" ht="12.0" customHeight="1">
      <c r="K753" s="2"/>
      <c r="M753" s="2"/>
    </row>
    <row r="754" ht="12.0" customHeight="1">
      <c r="K754" s="2"/>
      <c r="M754" s="2"/>
    </row>
    <row r="755" ht="12.0" customHeight="1">
      <c r="K755" s="2"/>
      <c r="M755" s="2"/>
    </row>
    <row r="756" ht="12.0" customHeight="1">
      <c r="K756" s="2"/>
      <c r="M756" s="2"/>
    </row>
    <row r="757" ht="12.0" customHeight="1">
      <c r="K757" s="2"/>
      <c r="M757" s="2"/>
    </row>
    <row r="758" ht="12.0" customHeight="1">
      <c r="K758" s="2"/>
      <c r="M758" s="2"/>
    </row>
    <row r="759" ht="12.0" customHeight="1">
      <c r="K759" s="2"/>
      <c r="M759" s="2"/>
    </row>
    <row r="760" ht="12.0" customHeight="1">
      <c r="K760" s="2"/>
      <c r="M760" s="2"/>
    </row>
    <row r="761" ht="12.0" customHeight="1">
      <c r="K761" s="2"/>
      <c r="M761" s="2"/>
    </row>
    <row r="762" ht="12.0" customHeight="1">
      <c r="K762" s="2"/>
      <c r="M762" s="2"/>
    </row>
    <row r="763" ht="12.0" customHeight="1">
      <c r="K763" s="2"/>
      <c r="M763" s="2"/>
    </row>
    <row r="764" ht="12.0" customHeight="1">
      <c r="K764" s="2"/>
      <c r="M764" s="2"/>
    </row>
    <row r="765" ht="12.0" customHeight="1">
      <c r="K765" s="2"/>
      <c r="M765" s="2"/>
    </row>
    <row r="766" ht="12.0" customHeight="1">
      <c r="K766" s="2"/>
      <c r="M766" s="2"/>
    </row>
    <row r="767" ht="12.0" customHeight="1">
      <c r="K767" s="2"/>
      <c r="M767" s="2"/>
    </row>
    <row r="768" ht="12.0" customHeight="1">
      <c r="K768" s="2"/>
      <c r="M768" s="2"/>
    </row>
    <row r="769" ht="12.0" customHeight="1">
      <c r="K769" s="2"/>
      <c r="M769" s="2"/>
    </row>
    <row r="770" ht="12.0" customHeight="1">
      <c r="K770" s="2"/>
      <c r="M770" s="2"/>
    </row>
    <row r="771" ht="12.0" customHeight="1">
      <c r="K771" s="2"/>
      <c r="M771" s="2"/>
    </row>
    <row r="772" ht="12.0" customHeight="1">
      <c r="K772" s="2"/>
      <c r="M772" s="2"/>
    </row>
    <row r="773" ht="12.0" customHeight="1">
      <c r="K773" s="2"/>
      <c r="M773" s="2"/>
    </row>
    <row r="774" ht="12.0" customHeight="1">
      <c r="K774" s="2"/>
      <c r="M774" s="2"/>
    </row>
    <row r="775" ht="12.0" customHeight="1">
      <c r="K775" s="2"/>
      <c r="M775" s="2"/>
    </row>
    <row r="776" ht="12.0" customHeight="1">
      <c r="K776" s="2"/>
      <c r="M776" s="2"/>
    </row>
    <row r="777" ht="12.0" customHeight="1">
      <c r="K777" s="2"/>
      <c r="M777" s="2"/>
    </row>
    <row r="778" ht="12.0" customHeight="1">
      <c r="K778" s="2"/>
      <c r="M778" s="2"/>
    </row>
    <row r="779" ht="12.0" customHeight="1">
      <c r="K779" s="2"/>
      <c r="M779" s="2"/>
    </row>
    <row r="780" ht="12.0" customHeight="1">
      <c r="K780" s="2"/>
      <c r="M780" s="2"/>
    </row>
    <row r="781" ht="12.0" customHeight="1">
      <c r="K781" s="2"/>
      <c r="M781" s="2"/>
    </row>
    <row r="782" ht="12.0" customHeight="1">
      <c r="K782" s="2"/>
      <c r="M782" s="2"/>
    </row>
    <row r="783" ht="12.0" customHeight="1">
      <c r="K783" s="2"/>
      <c r="M783" s="2"/>
    </row>
    <row r="784" ht="12.0" customHeight="1">
      <c r="K784" s="2"/>
      <c r="M784" s="2"/>
    </row>
    <row r="785" ht="12.0" customHeight="1">
      <c r="K785" s="2"/>
      <c r="M785" s="2"/>
    </row>
    <row r="786" ht="12.0" customHeight="1">
      <c r="K786" s="2"/>
      <c r="M786" s="2"/>
    </row>
    <row r="787" ht="12.0" customHeight="1">
      <c r="K787" s="2"/>
      <c r="M787" s="2"/>
    </row>
    <row r="788" ht="12.0" customHeight="1">
      <c r="K788" s="2"/>
      <c r="M788" s="2"/>
    </row>
    <row r="789" ht="12.0" customHeight="1">
      <c r="K789" s="2"/>
      <c r="M789" s="2"/>
    </row>
    <row r="790" ht="12.0" customHeight="1">
      <c r="K790" s="2"/>
      <c r="M790" s="2"/>
    </row>
    <row r="791" ht="12.0" customHeight="1">
      <c r="K791" s="2"/>
      <c r="M791" s="2"/>
    </row>
    <row r="792" ht="12.0" customHeight="1">
      <c r="K792" s="2"/>
      <c r="M792" s="2"/>
    </row>
    <row r="793" ht="12.0" customHeight="1">
      <c r="K793" s="2"/>
      <c r="M793" s="2"/>
    </row>
    <row r="794" ht="12.0" customHeight="1">
      <c r="K794" s="2"/>
      <c r="M794" s="2"/>
    </row>
    <row r="795" ht="12.0" customHeight="1">
      <c r="K795" s="2"/>
      <c r="M795" s="2"/>
    </row>
    <row r="796" ht="12.0" customHeight="1">
      <c r="K796" s="2"/>
      <c r="M796" s="2"/>
    </row>
    <row r="797" ht="12.0" customHeight="1">
      <c r="K797" s="2"/>
      <c r="M797" s="2"/>
    </row>
    <row r="798" ht="12.0" customHeight="1">
      <c r="K798" s="2"/>
      <c r="M798" s="2"/>
    </row>
    <row r="799" ht="12.0" customHeight="1">
      <c r="K799" s="2"/>
      <c r="M799" s="2"/>
    </row>
    <row r="800" ht="12.0" customHeight="1">
      <c r="K800" s="2"/>
      <c r="M800" s="2"/>
    </row>
    <row r="801" ht="12.0" customHeight="1">
      <c r="K801" s="2"/>
      <c r="M801" s="2"/>
    </row>
    <row r="802" ht="12.0" customHeight="1">
      <c r="K802" s="2"/>
      <c r="M802" s="2"/>
    </row>
    <row r="803" ht="12.0" customHeight="1">
      <c r="K803" s="2"/>
      <c r="M803" s="2"/>
    </row>
    <row r="804" ht="12.0" customHeight="1">
      <c r="K804" s="2"/>
      <c r="M804" s="2"/>
    </row>
    <row r="805" ht="12.0" customHeight="1">
      <c r="K805" s="2"/>
      <c r="M805" s="2"/>
    </row>
    <row r="806" ht="12.0" customHeight="1">
      <c r="K806" s="2"/>
      <c r="M806" s="2"/>
    </row>
    <row r="807" ht="12.0" customHeight="1">
      <c r="K807" s="2"/>
      <c r="M807" s="2"/>
    </row>
    <row r="808" ht="12.0" customHeight="1">
      <c r="K808" s="2"/>
      <c r="M808" s="2"/>
    </row>
    <row r="809" ht="12.0" customHeight="1">
      <c r="K809" s="2"/>
      <c r="M809" s="2"/>
    </row>
    <row r="810" ht="12.0" customHeight="1">
      <c r="K810" s="2"/>
      <c r="M810" s="2"/>
    </row>
    <row r="811" ht="12.0" customHeight="1">
      <c r="K811" s="2"/>
      <c r="M811" s="2"/>
    </row>
    <row r="812" ht="12.0" customHeight="1">
      <c r="K812" s="2"/>
      <c r="M812" s="2"/>
    </row>
    <row r="813" ht="12.0" customHeight="1">
      <c r="K813" s="2"/>
      <c r="M813" s="2"/>
    </row>
    <row r="814" ht="12.0" customHeight="1">
      <c r="K814" s="2"/>
      <c r="M814" s="2"/>
    </row>
    <row r="815" ht="12.0" customHeight="1">
      <c r="K815" s="2"/>
      <c r="M815" s="2"/>
    </row>
    <row r="816" ht="12.0" customHeight="1">
      <c r="K816" s="2"/>
      <c r="M816" s="2"/>
    </row>
    <row r="817" ht="12.0" customHeight="1">
      <c r="K817" s="2"/>
      <c r="M817" s="2"/>
    </row>
    <row r="818" ht="12.0" customHeight="1">
      <c r="K818" s="2"/>
      <c r="M818" s="2"/>
    </row>
    <row r="819" ht="12.0" customHeight="1">
      <c r="K819" s="2"/>
      <c r="M819" s="2"/>
    </row>
    <row r="820" ht="12.0" customHeight="1">
      <c r="K820" s="2"/>
      <c r="M820" s="2"/>
    </row>
    <row r="821" ht="12.0" customHeight="1">
      <c r="K821" s="2"/>
      <c r="M821" s="2"/>
    </row>
    <row r="822" ht="12.0" customHeight="1">
      <c r="K822" s="2"/>
      <c r="M822" s="2"/>
    </row>
    <row r="823" ht="12.0" customHeight="1">
      <c r="K823" s="2"/>
      <c r="M823" s="2"/>
    </row>
    <row r="824" ht="12.0" customHeight="1">
      <c r="K824" s="2"/>
      <c r="M824" s="2"/>
    </row>
    <row r="825" ht="12.0" customHeight="1">
      <c r="K825" s="2"/>
      <c r="M825" s="2"/>
    </row>
    <row r="826" ht="12.0" customHeight="1">
      <c r="K826" s="2"/>
      <c r="M826" s="2"/>
    </row>
    <row r="827" ht="12.0" customHeight="1">
      <c r="K827" s="2"/>
      <c r="M827" s="2"/>
    </row>
    <row r="828" ht="12.0" customHeight="1">
      <c r="K828" s="2"/>
      <c r="M828" s="2"/>
    </row>
    <row r="829" ht="12.0" customHeight="1">
      <c r="K829" s="2"/>
      <c r="M829" s="2"/>
    </row>
    <row r="830" ht="12.0" customHeight="1">
      <c r="K830" s="2"/>
      <c r="M830" s="2"/>
    </row>
    <row r="831" ht="12.0" customHeight="1">
      <c r="K831" s="2"/>
      <c r="M831" s="2"/>
    </row>
    <row r="832" ht="12.0" customHeight="1">
      <c r="K832" s="2"/>
      <c r="M832" s="2"/>
    </row>
    <row r="833" ht="12.0" customHeight="1">
      <c r="K833" s="2"/>
      <c r="M833" s="2"/>
    </row>
    <row r="834" ht="12.0" customHeight="1">
      <c r="K834" s="2"/>
      <c r="M834" s="2"/>
    </row>
    <row r="835" ht="12.0" customHeight="1">
      <c r="K835" s="2"/>
      <c r="M835" s="2"/>
    </row>
    <row r="836" ht="12.0" customHeight="1">
      <c r="K836" s="2"/>
      <c r="M836" s="2"/>
    </row>
    <row r="837" ht="12.0" customHeight="1">
      <c r="K837" s="2"/>
      <c r="M837" s="2"/>
    </row>
    <row r="838" ht="12.0" customHeight="1">
      <c r="K838" s="2"/>
      <c r="M838" s="2"/>
    </row>
    <row r="839" ht="12.0" customHeight="1">
      <c r="K839" s="2"/>
      <c r="M839" s="2"/>
    </row>
    <row r="840" ht="12.0" customHeight="1">
      <c r="K840" s="2"/>
      <c r="M840" s="2"/>
    </row>
    <row r="841" ht="12.0" customHeight="1">
      <c r="K841" s="2"/>
      <c r="M841" s="2"/>
    </row>
    <row r="842" ht="12.0" customHeight="1">
      <c r="K842" s="2"/>
      <c r="M842" s="2"/>
    </row>
    <row r="843" ht="12.0" customHeight="1">
      <c r="K843" s="2"/>
      <c r="M843" s="2"/>
    </row>
    <row r="844" ht="12.0" customHeight="1">
      <c r="K844" s="2"/>
      <c r="M844" s="2"/>
    </row>
    <row r="845" ht="12.0" customHeight="1">
      <c r="K845" s="2"/>
      <c r="M845" s="2"/>
    </row>
    <row r="846" ht="12.0" customHeight="1">
      <c r="K846" s="2"/>
      <c r="M846" s="2"/>
    </row>
    <row r="847" ht="12.0" customHeight="1">
      <c r="K847" s="2"/>
      <c r="M847" s="2"/>
    </row>
    <row r="848" ht="12.0" customHeight="1">
      <c r="K848" s="2"/>
      <c r="M848" s="2"/>
    </row>
    <row r="849" ht="12.0" customHeight="1">
      <c r="K849" s="2"/>
      <c r="M849" s="2"/>
    </row>
    <row r="850" ht="12.0" customHeight="1">
      <c r="K850" s="2"/>
      <c r="M850" s="2"/>
    </row>
    <row r="851" ht="12.0" customHeight="1">
      <c r="K851" s="2"/>
      <c r="M851" s="2"/>
    </row>
    <row r="852" ht="12.0" customHeight="1">
      <c r="K852" s="2"/>
      <c r="M852" s="2"/>
    </row>
    <row r="853" ht="12.0" customHeight="1">
      <c r="K853" s="2"/>
      <c r="M853" s="2"/>
    </row>
    <row r="854" ht="12.0" customHeight="1">
      <c r="K854" s="2"/>
      <c r="M854" s="2"/>
    </row>
    <row r="855" ht="12.0" customHeight="1">
      <c r="K855" s="2"/>
      <c r="M855" s="2"/>
    </row>
    <row r="856" ht="12.0" customHeight="1">
      <c r="K856" s="2"/>
      <c r="M856" s="2"/>
    </row>
    <row r="857" ht="12.0" customHeight="1">
      <c r="K857" s="2"/>
      <c r="M857" s="2"/>
    </row>
    <row r="858" ht="12.0" customHeight="1">
      <c r="K858" s="2"/>
      <c r="M858" s="2"/>
    </row>
    <row r="859" ht="12.0" customHeight="1">
      <c r="K859" s="2"/>
      <c r="M859" s="2"/>
    </row>
    <row r="860" ht="12.0" customHeight="1">
      <c r="K860" s="2"/>
      <c r="M860" s="2"/>
    </row>
    <row r="861" ht="12.0" customHeight="1">
      <c r="K861" s="2"/>
      <c r="M861" s="2"/>
    </row>
    <row r="862" ht="12.0" customHeight="1">
      <c r="K862" s="2"/>
      <c r="M862" s="2"/>
    </row>
    <row r="863" ht="12.0" customHeight="1">
      <c r="K863" s="2"/>
      <c r="M863" s="2"/>
    </row>
    <row r="864" ht="12.0" customHeight="1">
      <c r="K864" s="2"/>
      <c r="M864" s="2"/>
    </row>
    <row r="865" ht="12.0" customHeight="1">
      <c r="K865" s="2"/>
      <c r="M865" s="2"/>
    </row>
    <row r="866" ht="12.0" customHeight="1">
      <c r="K866" s="2"/>
      <c r="M866" s="2"/>
    </row>
    <row r="867" ht="12.0" customHeight="1">
      <c r="K867" s="2"/>
      <c r="M867" s="2"/>
    </row>
    <row r="868" ht="12.0" customHeight="1">
      <c r="K868" s="2"/>
      <c r="M868" s="2"/>
    </row>
    <row r="869" ht="12.0" customHeight="1">
      <c r="K869" s="2"/>
      <c r="M869" s="2"/>
    </row>
    <row r="870" ht="12.0" customHeight="1">
      <c r="K870" s="2"/>
      <c r="M870" s="2"/>
    </row>
    <row r="871" ht="12.0" customHeight="1">
      <c r="K871" s="2"/>
      <c r="M871" s="2"/>
    </row>
    <row r="872" ht="12.0" customHeight="1">
      <c r="K872" s="2"/>
      <c r="M872" s="2"/>
    </row>
    <row r="873" ht="12.0" customHeight="1">
      <c r="K873" s="2"/>
      <c r="M873" s="2"/>
    </row>
    <row r="874" ht="12.0" customHeight="1">
      <c r="K874" s="2"/>
      <c r="M874" s="2"/>
    </row>
    <row r="875" ht="12.0" customHeight="1">
      <c r="K875" s="2"/>
      <c r="M875" s="2"/>
    </row>
    <row r="876" ht="12.0" customHeight="1">
      <c r="K876" s="2"/>
      <c r="M876" s="2"/>
    </row>
    <row r="877" ht="12.0" customHeight="1">
      <c r="K877" s="2"/>
      <c r="M877" s="2"/>
    </row>
    <row r="878" ht="12.0" customHeight="1">
      <c r="K878" s="2"/>
      <c r="M878" s="2"/>
    </row>
    <row r="879" ht="12.0" customHeight="1">
      <c r="K879" s="2"/>
      <c r="M879" s="2"/>
    </row>
    <row r="880" ht="12.0" customHeight="1">
      <c r="K880" s="2"/>
      <c r="M880" s="2"/>
    </row>
    <row r="881" ht="12.0" customHeight="1">
      <c r="K881" s="2"/>
      <c r="M881" s="2"/>
    </row>
    <row r="882" ht="12.0" customHeight="1">
      <c r="K882" s="2"/>
      <c r="M882" s="2"/>
    </row>
    <row r="883" ht="12.0" customHeight="1">
      <c r="K883" s="2"/>
      <c r="M883" s="2"/>
    </row>
    <row r="884" ht="12.0" customHeight="1">
      <c r="K884" s="2"/>
      <c r="M884" s="2"/>
    </row>
    <row r="885" ht="12.0" customHeight="1">
      <c r="K885" s="2"/>
      <c r="M885" s="2"/>
    </row>
    <row r="886" ht="12.0" customHeight="1">
      <c r="K886" s="2"/>
      <c r="M886" s="2"/>
    </row>
    <row r="887" ht="12.0" customHeight="1">
      <c r="K887" s="2"/>
      <c r="M887" s="2"/>
    </row>
    <row r="888" ht="12.0" customHeight="1">
      <c r="K888" s="2"/>
      <c r="M888" s="2"/>
    </row>
    <row r="889" ht="12.0" customHeight="1">
      <c r="K889" s="2"/>
      <c r="M889" s="2"/>
    </row>
    <row r="890" ht="12.0" customHeight="1">
      <c r="K890" s="2"/>
      <c r="M890" s="2"/>
    </row>
    <row r="891" ht="12.0" customHeight="1">
      <c r="K891" s="2"/>
      <c r="M891" s="2"/>
    </row>
    <row r="892" ht="12.0" customHeight="1">
      <c r="K892" s="2"/>
      <c r="M892" s="2"/>
    </row>
    <row r="893" ht="12.0" customHeight="1">
      <c r="K893" s="2"/>
      <c r="M893" s="2"/>
    </row>
    <row r="894" ht="12.0" customHeight="1">
      <c r="K894" s="2"/>
      <c r="M894" s="2"/>
    </row>
    <row r="895" ht="12.0" customHeight="1">
      <c r="K895" s="2"/>
      <c r="M895" s="2"/>
    </row>
    <row r="896" ht="12.0" customHeight="1">
      <c r="K896" s="2"/>
      <c r="M896" s="2"/>
    </row>
    <row r="897" ht="12.0" customHeight="1">
      <c r="K897" s="2"/>
      <c r="M897" s="2"/>
    </row>
    <row r="898" ht="12.0" customHeight="1">
      <c r="K898" s="2"/>
      <c r="M898" s="2"/>
    </row>
    <row r="899" ht="12.0" customHeight="1">
      <c r="K899" s="2"/>
      <c r="M899" s="2"/>
    </row>
    <row r="900" ht="12.0" customHeight="1">
      <c r="K900" s="2"/>
      <c r="M900" s="2"/>
    </row>
    <row r="901" ht="12.0" customHeight="1">
      <c r="K901" s="2"/>
      <c r="M901" s="2"/>
    </row>
    <row r="902" ht="12.0" customHeight="1">
      <c r="K902" s="2"/>
      <c r="M902" s="2"/>
    </row>
    <row r="903" ht="12.0" customHeight="1">
      <c r="K903" s="2"/>
      <c r="M903" s="2"/>
    </row>
    <row r="904" ht="12.0" customHeight="1">
      <c r="K904" s="2"/>
      <c r="M904" s="2"/>
    </row>
    <row r="905" ht="12.0" customHeight="1">
      <c r="K905" s="2"/>
      <c r="M905" s="2"/>
    </row>
    <row r="906" ht="12.0" customHeight="1">
      <c r="K906" s="2"/>
      <c r="M906" s="2"/>
    </row>
    <row r="907" ht="12.0" customHeight="1">
      <c r="K907" s="2"/>
      <c r="M907" s="2"/>
    </row>
    <row r="908" ht="12.0" customHeight="1">
      <c r="K908" s="2"/>
      <c r="M908" s="2"/>
    </row>
    <row r="909" ht="12.0" customHeight="1">
      <c r="K909" s="2"/>
      <c r="M909" s="2"/>
    </row>
    <row r="910" ht="12.0" customHeight="1">
      <c r="K910" s="2"/>
      <c r="M910" s="2"/>
    </row>
    <row r="911" ht="12.0" customHeight="1">
      <c r="K911" s="2"/>
      <c r="M911" s="2"/>
    </row>
    <row r="912" ht="12.0" customHeight="1">
      <c r="K912" s="2"/>
      <c r="M912" s="2"/>
    </row>
    <row r="913" ht="12.0" customHeight="1">
      <c r="K913" s="2"/>
      <c r="M913" s="2"/>
    </row>
    <row r="914" ht="12.0" customHeight="1">
      <c r="K914" s="2"/>
      <c r="M914" s="2"/>
    </row>
    <row r="915" ht="12.0" customHeight="1">
      <c r="K915" s="2"/>
      <c r="M915" s="2"/>
    </row>
    <row r="916" ht="12.0" customHeight="1">
      <c r="K916" s="2"/>
      <c r="M916" s="2"/>
    </row>
    <row r="917" ht="12.0" customHeight="1">
      <c r="K917" s="2"/>
      <c r="M917" s="2"/>
    </row>
    <row r="918" ht="12.0" customHeight="1">
      <c r="K918" s="2"/>
      <c r="M918" s="2"/>
    </row>
    <row r="919" ht="12.0" customHeight="1">
      <c r="K919" s="2"/>
      <c r="M919" s="2"/>
    </row>
    <row r="920" ht="12.0" customHeight="1">
      <c r="K920" s="2"/>
      <c r="M920" s="2"/>
    </row>
    <row r="921" ht="12.0" customHeight="1">
      <c r="K921" s="2"/>
      <c r="M921" s="2"/>
    </row>
    <row r="922" ht="12.0" customHeight="1">
      <c r="K922" s="2"/>
      <c r="M922" s="2"/>
    </row>
    <row r="923" ht="12.0" customHeight="1">
      <c r="K923" s="2"/>
      <c r="M923" s="2"/>
    </row>
    <row r="924" ht="12.0" customHeight="1">
      <c r="K924" s="2"/>
      <c r="M924" s="2"/>
    </row>
    <row r="925" ht="12.0" customHeight="1">
      <c r="K925" s="2"/>
      <c r="M925" s="2"/>
    </row>
    <row r="926" ht="12.0" customHeight="1">
      <c r="K926" s="2"/>
      <c r="M926" s="2"/>
    </row>
    <row r="927" ht="12.0" customHeight="1">
      <c r="K927" s="2"/>
      <c r="M927" s="2"/>
    </row>
    <row r="928" ht="12.0" customHeight="1">
      <c r="K928" s="2"/>
      <c r="M928" s="2"/>
    </row>
    <row r="929" ht="12.0" customHeight="1">
      <c r="K929" s="2"/>
      <c r="M929" s="2"/>
    </row>
    <row r="930" ht="12.0" customHeight="1">
      <c r="K930" s="2"/>
      <c r="M930" s="2"/>
    </row>
    <row r="931" ht="12.0" customHeight="1">
      <c r="K931" s="2"/>
      <c r="M931" s="2"/>
    </row>
    <row r="932" ht="12.0" customHeight="1">
      <c r="K932" s="2"/>
      <c r="M932" s="2"/>
    </row>
    <row r="933" ht="12.0" customHeight="1">
      <c r="K933" s="2"/>
      <c r="M933" s="2"/>
    </row>
    <row r="934" ht="12.0" customHeight="1">
      <c r="K934" s="2"/>
      <c r="M934" s="2"/>
    </row>
    <row r="935" ht="12.0" customHeight="1">
      <c r="K935" s="2"/>
      <c r="M935" s="2"/>
    </row>
    <row r="936" ht="12.0" customHeight="1">
      <c r="K936" s="2"/>
      <c r="M936" s="2"/>
    </row>
    <row r="937" ht="12.0" customHeight="1">
      <c r="K937" s="2"/>
      <c r="M937" s="2"/>
    </row>
    <row r="938" ht="12.0" customHeight="1">
      <c r="K938" s="2"/>
      <c r="M938" s="2"/>
    </row>
    <row r="939" ht="12.0" customHeight="1">
      <c r="K939" s="2"/>
      <c r="M939" s="2"/>
    </row>
    <row r="940" ht="12.0" customHeight="1">
      <c r="K940" s="2"/>
      <c r="M940" s="2"/>
    </row>
    <row r="941" ht="12.0" customHeight="1">
      <c r="K941" s="2"/>
      <c r="M941" s="2"/>
    </row>
    <row r="942" ht="12.0" customHeight="1">
      <c r="K942" s="2"/>
      <c r="M942" s="2"/>
    </row>
    <row r="943" ht="12.0" customHeight="1">
      <c r="K943" s="2"/>
      <c r="M943" s="2"/>
    </row>
    <row r="944" ht="12.0" customHeight="1">
      <c r="K944" s="2"/>
      <c r="M944" s="2"/>
    </row>
    <row r="945" ht="12.0" customHeight="1">
      <c r="K945" s="2"/>
      <c r="M945" s="2"/>
    </row>
    <row r="946" ht="12.0" customHeight="1">
      <c r="K946" s="2"/>
      <c r="M946" s="2"/>
    </row>
    <row r="947" ht="12.0" customHeight="1">
      <c r="K947" s="2"/>
      <c r="M947" s="2"/>
    </row>
    <row r="948" ht="12.0" customHeight="1">
      <c r="K948" s="2"/>
      <c r="M948" s="2"/>
    </row>
    <row r="949" ht="12.0" customHeight="1">
      <c r="K949" s="2"/>
      <c r="M949" s="2"/>
    </row>
    <row r="950" ht="12.0" customHeight="1">
      <c r="K950" s="2"/>
      <c r="M950" s="2"/>
    </row>
    <row r="951" ht="12.0" customHeight="1">
      <c r="K951" s="2"/>
      <c r="M951" s="2"/>
    </row>
    <row r="952" ht="12.0" customHeight="1">
      <c r="K952" s="2"/>
      <c r="M952" s="2"/>
    </row>
    <row r="953" ht="12.0" customHeight="1">
      <c r="K953" s="2"/>
      <c r="M953" s="2"/>
    </row>
    <row r="954" ht="12.0" customHeight="1">
      <c r="K954" s="2"/>
      <c r="M954" s="2"/>
    </row>
    <row r="955" ht="12.0" customHeight="1">
      <c r="K955" s="2"/>
      <c r="M955" s="2"/>
    </row>
    <row r="956" ht="12.0" customHeight="1">
      <c r="K956" s="2"/>
      <c r="M956" s="2"/>
    </row>
    <row r="957" ht="12.0" customHeight="1">
      <c r="K957" s="2"/>
      <c r="M957" s="2"/>
    </row>
    <row r="958" ht="12.0" customHeight="1">
      <c r="K958" s="2"/>
      <c r="M958" s="2"/>
    </row>
    <row r="959" ht="12.0" customHeight="1">
      <c r="K959" s="2"/>
      <c r="M959" s="2"/>
    </row>
    <row r="960" ht="12.0" customHeight="1">
      <c r="K960" s="2"/>
      <c r="M960" s="2"/>
    </row>
    <row r="961" ht="12.0" customHeight="1">
      <c r="K961" s="2"/>
      <c r="M961" s="2"/>
    </row>
    <row r="962" ht="12.0" customHeight="1">
      <c r="K962" s="2"/>
      <c r="M962" s="2"/>
    </row>
    <row r="963" ht="12.0" customHeight="1">
      <c r="K963" s="2"/>
      <c r="M963" s="2"/>
    </row>
    <row r="964" ht="12.0" customHeight="1">
      <c r="K964" s="2"/>
      <c r="M964" s="2"/>
    </row>
    <row r="965" ht="12.0" customHeight="1">
      <c r="K965" s="2"/>
      <c r="M965" s="2"/>
    </row>
    <row r="966" ht="12.0" customHeight="1">
      <c r="K966" s="2"/>
      <c r="M966" s="2"/>
    </row>
    <row r="967" ht="12.0" customHeight="1">
      <c r="K967" s="2"/>
      <c r="M967" s="2"/>
    </row>
    <row r="968" ht="12.0" customHeight="1">
      <c r="K968" s="2"/>
      <c r="M968" s="2"/>
    </row>
    <row r="969" ht="12.0" customHeight="1">
      <c r="K969" s="2"/>
      <c r="M969" s="2"/>
    </row>
    <row r="970" ht="12.0" customHeight="1">
      <c r="K970" s="2"/>
      <c r="M970" s="2"/>
    </row>
    <row r="971" ht="12.0" customHeight="1">
      <c r="K971" s="2"/>
      <c r="M971" s="2"/>
    </row>
    <row r="972" ht="12.0" customHeight="1">
      <c r="K972" s="2"/>
      <c r="M972" s="2"/>
    </row>
    <row r="973" ht="12.0" customHeight="1">
      <c r="K973" s="2"/>
      <c r="M973" s="2"/>
    </row>
    <row r="974" ht="12.0" customHeight="1">
      <c r="K974" s="2"/>
      <c r="M974" s="2"/>
    </row>
    <row r="975" ht="12.0" customHeight="1">
      <c r="K975" s="2"/>
      <c r="M975" s="2"/>
    </row>
    <row r="976" ht="12.0" customHeight="1">
      <c r="K976" s="2"/>
      <c r="M976" s="2"/>
    </row>
    <row r="977" ht="12.0" customHeight="1">
      <c r="K977" s="2"/>
      <c r="M977" s="2"/>
    </row>
    <row r="978" ht="12.0" customHeight="1">
      <c r="K978" s="2"/>
      <c r="M978" s="2"/>
    </row>
    <row r="979" ht="12.0" customHeight="1">
      <c r="K979" s="2"/>
      <c r="M979" s="2"/>
    </row>
    <row r="980" ht="12.0" customHeight="1">
      <c r="K980" s="2"/>
      <c r="M980" s="2"/>
    </row>
    <row r="981" ht="12.0" customHeight="1">
      <c r="K981" s="2"/>
      <c r="M981" s="2"/>
    </row>
    <row r="982" ht="12.0" customHeight="1">
      <c r="K982" s="2"/>
      <c r="M982" s="2"/>
    </row>
    <row r="983" ht="12.0" customHeight="1">
      <c r="K983" s="2"/>
      <c r="M983" s="2"/>
    </row>
    <row r="984" ht="12.0" customHeight="1">
      <c r="K984" s="2"/>
      <c r="M984" s="2"/>
    </row>
    <row r="985" ht="12.0" customHeight="1">
      <c r="K985" s="2"/>
      <c r="M985" s="2"/>
    </row>
    <row r="986" ht="12.0" customHeight="1">
      <c r="K986" s="2"/>
      <c r="M986" s="2"/>
    </row>
    <row r="987" ht="12.0" customHeight="1">
      <c r="K987" s="2"/>
      <c r="M987" s="2"/>
    </row>
    <row r="988" ht="12.0" customHeight="1">
      <c r="K988" s="2"/>
      <c r="M988" s="2"/>
    </row>
    <row r="989" ht="12.0" customHeight="1">
      <c r="K989" s="2"/>
      <c r="M989" s="2"/>
    </row>
    <row r="990" ht="12.0" customHeight="1">
      <c r="K990" s="2"/>
      <c r="M990" s="2"/>
    </row>
    <row r="991" ht="12.0" customHeight="1">
      <c r="K991" s="2"/>
      <c r="M991" s="2"/>
    </row>
    <row r="992" ht="12.0" customHeight="1">
      <c r="K992" s="2"/>
      <c r="M992" s="2"/>
    </row>
    <row r="993" ht="12.0" customHeight="1">
      <c r="K993" s="2"/>
      <c r="M993" s="2"/>
    </row>
    <row r="994" ht="12.0" customHeight="1">
      <c r="K994" s="2"/>
      <c r="M994" s="2"/>
    </row>
    <row r="995" ht="12.0" customHeight="1">
      <c r="K995" s="2"/>
      <c r="M995" s="2"/>
    </row>
    <row r="996" ht="12.0" customHeight="1">
      <c r="K996" s="2"/>
      <c r="M996" s="2"/>
    </row>
    <row r="997" ht="12.0" customHeight="1">
      <c r="K997" s="2"/>
      <c r="M997" s="2"/>
    </row>
    <row r="998" ht="12.0" customHeight="1">
      <c r="K998" s="2"/>
      <c r="M998" s="2"/>
    </row>
    <row r="999" ht="12.0" customHeight="1">
      <c r="K999" s="2"/>
      <c r="M999" s="2"/>
    </row>
    <row r="1000" ht="12.0" customHeight="1">
      <c r="K1000" s="2"/>
      <c r="M1000" s="2"/>
    </row>
    <row r="1001" ht="12.0" customHeight="1">
      <c r="K1001" s="2"/>
      <c r="M1001" s="2"/>
    </row>
    <row r="1002" ht="12.0" customHeight="1">
      <c r="K1002" s="2"/>
      <c r="M1002" s="2"/>
    </row>
    <row r="1003" ht="12.0" customHeight="1">
      <c r="K1003" s="2"/>
      <c r="M1003" s="2"/>
    </row>
  </sheetData>
  <mergeCells count="4">
    <mergeCell ref="J7:K7"/>
    <mergeCell ref="L7:M7"/>
    <mergeCell ref="F8:H8"/>
    <mergeCell ref="B48:B53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2 J45 J58 J61 J65 J68 J71 J75 J80 J85 O85">
      <formula1>"YES,NO"</formula1>
    </dataValidation>
    <dataValidation type="list" allowBlank="1" showErrorMessage="1" sqref="L17:L18 L21 L26 L31 L35 L38 L42 L45 L48 L54 L58 L61 L65 L68 L71 L75 L80 L85">
      <formula1>"DELAPIDATED,POOR,FAIR,GOOD,VERY GOOD,EXCELLENT,NOT APPLICABLE"</formula1>
    </dataValidation>
    <dataValidation type="list" allowBlank="1" showErrorMessage="1" sqref="J54">
      <formula1>"STEEL WINDOW FRAMES,ALUMINIUM WINDOW FRAMES,NO WINDOWS FITTED"</formula1>
    </dataValidation>
    <dataValidation type="list" allowBlank="1" showErrorMessage="1" sqref="J12">
      <formula1>"2010-2013,2014-2021,2021-2023"</formula1>
    </dataValidation>
    <dataValidation type="list" allowBlank="1" showErrorMessage="1" sqref="J48">
      <formula1>"VINYL FLOORING,TILING FLOORING,TIMBER FLOORING,CARPETS FLOORING,NO FLOORING"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5707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21.63"/>
    <col customWidth="1" hidden="1" min="4" max="4" width="26.63"/>
    <col customWidth="1" hidden="1" min="5" max="7" width="24.25"/>
    <col customWidth="1" hidden="1" min="8" max="8" width="20.13"/>
    <col customWidth="1" min="9" max="9" width="19.5"/>
    <col customWidth="1" min="10" max="10" width="19.25"/>
    <col customWidth="1" hidden="1" min="11" max="11" width="22.63"/>
    <col customWidth="1" hidden="1" min="12" max="12" width="29.38"/>
    <col customWidth="1" hidden="1" min="13" max="13" width="21.38"/>
    <col customWidth="1" min="14" max="14" width="16.75"/>
    <col customWidth="1" min="15" max="15" width="16.0"/>
    <col customWidth="1" min="16" max="26" width="9.13"/>
  </cols>
  <sheetData>
    <row r="1" ht="12.0" customHeight="1">
      <c r="B1" s="1"/>
      <c r="J1" s="2"/>
      <c r="O1" s="2"/>
    </row>
    <row r="2" ht="12.0" customHeight="1">
      <c r="B2" s="1"/>
      <c r="J2" s="2"/>
      <c r="O2" s="2"/>
    </row>
    <row r="3" ht="12.0" customHeight="1">
      <c r="B3" s="1"/>
      <c r="C3" s="4" t="s">
        <v>159</v>
      </c>
      <c r="J3" s="2"/>
      <c r="O3" s="2"/>
    </row>
    <row r="4" ht="12.0" customHeight="1">
      <c r="B4" s="1"/>
      <c r="C4" s="4" t="s">
        <v>160</v>
      </c>
      <c r="J4" s="2"/>
      <c r="O4" s="2"/>
    </row>
    <row r="5" ht="45.0" customHeight="1">
      <c r="B5" s="1"/>
      <c r="C5" s="4"/>
      <c r="J5" s="2"/>
      <c r="O5" s="2"/>
    </row>
    <row r="6" ht="30.0" customHeight="1">
      <c r="B6" s="1"/>
      <c r="C6" s="152"/>
      <c r="I6" s="6" t="s">
        <v>2</v>
      </c>
      <c r="J6" s="7"/>
      <c r="K6" s="8" t="s">
        <v>3</v>
      </c>
      <c r="L6" s="7"/>
      <c r="N6" s="8" t="s">
        <v>3</v>
      </c>
      <c r="O6" s="7"/>
    </row>
    <row r="7" ht="49.5" hidden="1" customHeight="1">
      <c r="B7" s="1"/>
      <c r="D7" s="271"/>
      <c r="E7" s="778" t="s">
        <v>79</v>
      </c>
      <c r="F7" s="779"/>
      <c r="G7" s="780"/>
      <c r="H7" s="536" t="s">
        <v>80</v>
      </c>
      <c r="I7" s="274"/>
      <c r="J7" s="7"/>
      <c r="K7" s="273" t="s">
        <v>91</v>
      </c>
      <c r="L7" s="274"/>
      <c r="M7" s="7"/>
      <c r="N7" s="161"/>
      <c r="O7" s="2"/>
    </row>
    <row r="8" ht="49.5" hidden="1" customHeight="1">
      <c r="B8" s="1"/>
      <c r="C8" s="537" t="s">
        <v>161</v>
      </c>
      <c r="D8" s="539"/>
      <c r="E8" s="539"/>
      <c r="F8" s="539"/>
      <c r="G8" s="539"/>
      <c r="H8" s="539"/>
      <c r="I8" s="539"/>
      <c r="J8" s="781"/>
      <c r="K8" s="782"/>
      <c r="L8" s="639"/>
      <c r="M8" s="640"/>
      <c r="N8" s="161"/>
      <c r="O8" s="2"/>
    </row>
    <row r="9" ht="57.75" customHeight="1">
      <c r="A9" s="20"/>
      <c r="B9" s="760" t="s">
        <v>6</v>
      </c>
      <c r="C9" s="760" t="s">
        <v>7</v>
      </c>
      <c r="D9" s="361" t="s">
        <v>8</v>
      </c>
      <c r="E9" s="362" t="s">
        <v>9</v>
      </c>
      <c r="F9" s="362" t="s">
        <v>10</v>
      </c>
      <c r="G9" s="362" t="s">
        <v>11</v>
      </c>
      <c r="H9" s="363" t="s">
        <v>12</v>
      </c>
      <c r="I9" s="26" t="s">
        <v>13</v>
      </c>
      <c r="J9" s="24" t="s">
        <v>14</v>
      </c>
      <c r="K9" s="31" t="s">
        <v>18</v>
      </c>
      <c r="L9" s="24" t="s">
        <v>14</v>
      </c>
      <c r="M9" s="643" t="s">
        <v>17</v>
      </c>
      <c r="N9" s="31" t="s">
        <v>18</v>
      </c>
      <c r="O9" s="24" t="s">
        <v>14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0.0" hidden="1" customHeight="1">
      <c r="A10" s="20"/>
      <c r="B10" s="174"/>
      <c r="C10" s="174"/>
      <c r="D10" s="37"/>
      <c r="E10" s="176">
        <v>3.0</v>
      </c>
      <c r="F10" s="176">
        <v>2.0</v>
      </c>
      <c r="G10" s="176">
        <v>1.0</v>
      </c>
      <c r="H10" s="277"/>
      <c r="I10" s="278"/>
      <c r="J10" s="371"/>
      <c r="K10" s="783"/>
      <c r="L10" s="45"/>
      <c r="M10" s="784"/>
      <c r="N10" s="193"/>
      <c r="O10" s="197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30.0" customHeight="1">
      <c r="A11" s="17"/>
      <c r="B11" s="52"/>
      <c r="C11" s="184" t="s">
        <v>19</v>
      </c>
      <c r="D11" s="48"/>
      <c r="E11" s="186"/>
      <c r="F11" s="186"/>
      <c r="G11" s="186"/>
      <c r="H11" s="283"/>
      <c r="I11" s="188">
        <v>500.0</v>
      </c>
      <c r="J11" s="189"/>
      <c r="K11" s="190" t="str">
        <f>AVERAGE(#REF!)</f>
        <v>#REF!</v>
      </c>
      <c r="L11" s="191">
        <v>349.5</v>
      </c>
      <c r="M11" s="193"/>
      <c r="N11" s="193"/>
      <c r="O11" s="19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customHeight="1">
      <c r="A12" s="17"/>
      <c r="B12" s="52"/>
      <c r="C12" s="194" t="s">
        <v>20</v>
      </c>
      <c r="D12" s="54"/>
      <c r="E12" s="186"/>
      <c r="F12" s="186"/>
      <c r="G12" s="186"/>
      <c r="H12" s="56"/>
      <c r="I12" s="196" t="s">
        <v>9</v>
      </c>
      <c r="J12" s="197"/>
      <c r="K12" s="190"/>
      <c r="L12" s="191"/>
      <c r="M12" s="193"/>
      <c r="N12" s="193"/>
      <c r="O12" s="19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hidden="1" customHeight="1">
      <c r="A13" s="17"/>
      <c r="B13" s="52"/>
      <c r="C13" s="198" t="s">
        <v>20</v>
      </c>
      <c r="D13" s="54"/>
      <c r="E13" s="186"/>
      <c r="F13" s="186"/>
      <c r="G13" s="186"/>
      <c r="H13" s="56">
        <v>1.0</v>
      </c>
      <c r="I13" s="56"/>
      <c r="J13" s="285"/>
      <c r="K13" s="546"/>
      <c r="L13" s="742"/>
      <c r="M13" s="548"/>
      <c r="N13" s="17"/>
      <c r="O13" s="120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hidden="1" customHeight="1">
      <c r="A14" s="17"/>
      <c r="B14" s="52"/>
      <c r="C14" s="198"/>
      <c r="D14" s="54"/>
      <c r="E14" s="186"/>
      <c r="F14" s="186"/>
      <c r="G14" s="186"/>
      <c r="H14" s="56">
        <v>2.0</v>
      </c>
      <c r="I14" s="56"/>
      <c r="J14" s="58"/>
      <c r="K14" s="549"/>
      <c r="L14" s="319"/>
      <c r="M14" s="550"/>
      <c r="N14" s="17"/>
      <c r="O14" s="99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hidden="1" customHeight="1">
      <c r="A15" s="17"/>
      <c r="B15" s="52"/>
      <c r="C15" s="198"/>
      <c r="D15" s="17"/>
      <c r="E15" s="186"/>
      <c r="F15" s="186"/>
      <c r="G15" s="186"/>
      <c r="H15" s="56">
        <v>3.0</v>
      </c>
      <c r="I15" s="56"/>
      <c r="J15" s="58"/>
      <c r="K15" s="549"/>
      <c r="L15" s="319"/>
      <c r="M15" s="550"/>
      <c r="N15" s="17"/>
      <c r="O15" s="99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hidden="1" customHeight="1">
      <c r="A16" s="17"/>
      <c r="B16" s="52"/>
      <c r="C16" s="198"/>
      <c r="D16" s="63">
        <v>1.24</v>
      </c>
      <c r="E16" s="186"/>
      <c r="F16" s="203">
        <v>1.25</v>
      </c>
      <c r="G16" s="203">
        <v>1.32</v>
      </c>
      <c r="H16" s="56"/>
      <c r="I16" s="56"/>
      <c r="J16" s="58"/>
      <c r="K16" s="549"/>
      <c r="L16" s="319"/>
      <c r="M16" s="550"/>
      <c r="N16" s="17"/>
      <c r="O16" s="60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7">
        <f>798.891273247496*D16</f>
        <v>990.6251788</v>
      </c>
      <c r="F17" s="67">
        <f t="shared" ref="F17:F34" si="1">E17/$F$16</f>
        <v>792.5001431</v>
      </c>
      <c r="G17" s="67">
        <f t="shared" ref="G17:G34" si="2">E17/$G$16</f>
        <v>750.4736203</v>
      </c>
      <c r="H17" s="68"/>
      <c r="I17" s="461"/>
      <c r="J17" s="70">
        <f>IF(I12="2010-2013",I11*G17,IF(I12="2014-2021",I11*F17,IF(I12="2021-2023",I11*E17,-2)))</f>
        <v>495312.5894</v>
      </c>
      <c r="K17" s="552" t="str">
        <f t="shared" ref="K17:K18" si="3">AVERAGE(#REF!)</f>
        <v>#REF!</v>
      </c>
      <c r="L17" s="296">
        <v>279212.5</v>
      </c>
      <c r="M17" s="553">
        <f t="shared" ref="M17:M18" si="4">L17/$L$11</f>
        <v>798.8912732</v>
      </c>
      <c r="N17" s="207" t="s">
        <v>23</v>
      </c>
      <c r="O17" s="73">
        <f t="shared" ref="O17:O18" si="5">IF(N17="Delapidated",J17*0.6,IF(N17="Poor",J17*0.7,IF(N17="Fair",J17*0.8,IF(N17="Good",J17*0.85,IF(N17="Very Good",J17*0.9,IF(N17="Excellent",J17*1,IF(N17="Not Applicable",J17*1,0)))))))</f>
        <v>495312.5894</v>
      </c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67"/>
      <c r="F18" s="67">
        <f t="shared" si="1"/>
        <v>0</v>
      </c>
      <c r="G18" s="67">
        <f t="shared" si="2"/>
        <v>0</v>
      </c>
      <c r="H18" s="68"/>
      <c r="I18" s="72" t="s">
        <v>25</v>
      </c>
      <c r="J18" s="70">
        <f>IF(I18="YES",IF(I12="2010-2013",G19*$I$11,IF(I12="2014-2021",F19*$I$11,IF(I12="2021-2023",E19*$I$11,0))),0)</f>
        <v>96459.22747</v>
      </c>
      <c r="K18" s="552" t="str">
        <f t="shared" si="3"/>
        <v>#REF!</v>
      </c>
      <c r="L18" s="296">
        <v>54375.0</v>
      </c>
      <c r="M18" s="553">
        <f t="shared" si="4"/>
        <v>155.5793991</v>
      </c>
      <c r="N18" s="207" t="s">
        <v>23</v>
      </c>
      <c r="O18" s="73">
        <f t="shared" si="5"/>
        <v>96459.22747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hidden="1" customHeight="1">
      <c r="A19" s="34"/>
      <c r="B19" s="84"/>
      <c r="C19" s="79" t="s">
        <v>25</v>
      </c>
      <c r="D19" s="66"/>
      <c r="E19" s="67">
        <f>155.579399141631*D16</f>
        <v>192.9184549</v>
      </c>
      <c r="F19" s="67">
        <f t="shared" si="1"/>
        <v>154.3347639</v>
      </c>
      <c r="G19" s="67">
        <f t="shared" si="2"/>
        <v>146.1503446</v>
      </c>
      <c r="H19" s="77">
        <v>1.0</v>
      </c>
      <c r="I19" s="68"/>
      <c r="J19" s="70"/>
      <c r="K19" s="552"/>
      <c r="L19" s="296"/>
      <c r="M19" s="553"/>
      <c r="N19" s="34"/>
      <c r="O19" s="402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hidden="1" customHeight="1">
      <c r="A20" s="34"/>
      <c r="B20" s="85"/>
      <c r="C20" s="79" t="s">
        <v>26</v>
      </c>
      <c r="D20" s="66"/>
      <c r="E20" s="67">
        <v>0.0</v>
      </c>
      <c r="F20" s="67">
        <f t="shared" si="1"/>
        <v>0</v>
      </c>
      <c r="G20" s="67">
        <f t="shared" si="2"/>
        <v>0</v>
      </c>
      <c r="H20" s="77">
        <v>2.0</v>
      </c>
      <c r="I20" s="68"/>
      <c r="J20" s="70"/>
      <c r="K20" s="552"/>
      <c r="L20" s="296"/>
      <c r="M20" s="553"/>
      <c r="N20" s="34"/>
      <c r="O20" s="402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208" t="s">
        <v>27</v>
      </c>
      <c r="D21" s="66"/>
      <c r="E21" s="67"/>
      <c r="F21" s="67">
        <f t="shared" si="1"/>
        <v>0</v>
      </c>
      <c r="G21" s="67">
        <f t="shared" si="2"/>
        <v>0</v>
      </c>
      <c r="H21" s="68"/>
      <c r="I21" s="72" t="s">
        <v>28</v>
      </c>
      <c r="J21" s="70">
        <f>IF(I21="STOCK BRICKS",IF(I12="2010-2013",G22*$I$11,IF(I12="2014-2021",F22*$I$11,IF(I12="2021-2023",E22*$I$11,0))),IF(I21="BLOCKS",IF(I12="2010-2013",G23*$I$11,IF(I12="2014-2021",F23*$I$11,IF(I12="2021-2023",E23*$I$11,0))),IF(I21="FACE BRICKS",IF(I12="2010-2013",G24*$I$11,IF(I12="2014-2021",F24*$I$11,IF(I12="2021-2023",E24*$I$11,0))),0)))</f>
        <v>319158.97</v>
      </c>
      <c r="K21" s="552" t="str">
        <f>AVERAGE(#REF!)</f>
        <v>#REF!</v>
      </c>
      <c r="L21" s="296">
        <f>174975+4938</f>
        <v>179913</v>
      </c>
      <c r="M21" s="553">
        <f>L21/$L$11</f>
        <v>514.7725322</v>
      </c>
      <c r="N21" s="207" t="s">
        <v>23</v>
      </c>
      <c r="O21" s="73">
        <f>IF(N21="Delapidated",J21*0.6,IF(N21="Poor",J21*0.7,IF(N21="Fair",J21*0.8,IF(N21="Good",J21*0.85,IF(N21="Very Good",J21*0.9,IF(N21="Excellent",J21*1,IF(N21="Not Applicable",J21*1,0)))))))</f>
        <v>319158.97</v>
      </c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hidden="1" customHeight="1">
      <c r="A22" s="34"/>
      <c r="B22" s="84"/>
      <c r="C22" s="79" t="s">
        <v>28</v>
      </c>
      <c r="D22" s="66"/>
      <c r="E22" s="67">
        <f>514.772532188841*D16</f>
        <v>638.3179399</v>
      </c>
      <c r="F22" s="67">
        <f t="shared" si="1"/>
        <v>510.6543519</v>
      </c>
      <c r="G22" s="67">
        <f t="shared" si="2"/>
        <v>483.5741969</v>
      </c>
      <c r="H22" s="77">
        <v>1.0</v>
      </c>
      <c r="I22" s="68"/>
      <c r="J22" s="70"/>
      <c r="K22" s="552"/>
      <c r="L22" s="296"/>
      <c r="M22" s="553"/>
      <c r="N22" s="34"/>
      <c r="O22" s="73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hidden="1" customHeight="1">
      <c r="A23" s="34"/>
      <c r="B23" s="84"/>
      <c r="C23" s="79" t="s">
        <v>29</v>
      </c>
      <c r="D23" s="66"/>
      <c r="E23" s="67">
        <f>E22*0.8</f>
        <v>510.6543519</v>
      </c>
      <c r="F23" s="67">
        <f t="shared" si="1"/>
        <v>408.5234815</v>
      </c>
      <c r="G23" s="67">
        <f t="shared" si="2"/>
        <v>386.8593575</v>
      </c>
      <c r="H23" s="77">
        <v>2.0</v>
      </c>
      <c r="I23" s="68"/>
      <c r="J23" s="70"/>
      <c r="K23" s="552"/>
      <c r="L23" s="296"/>
      <c r="M23" s="553"/>
      <c r="N23" s="34"/>
      <c r="O23" s="73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hidden="1" customHeight="1">
      <c r="A24" s="34"/>
      <c r="B24" s="84"/>
      <c r="C24" s="79" t="s">
        <v>30</v>
      </c>
      <c r="D24" s="66"/>
      <c r="E24" s="67">
        <f>E22*1.3</f>
        <v>829.8133219</v>
      </c>
      <c r="F24" s="67">
        <f t="shared" si="1"/>
        <v>663.8506575</v>
      </c>
      <c r="G24" s="67">
        <f t="shared" si="2"/>
        <v>628.646456</v>
      </c>
      <c r="H24" s="77">
        <v>3.0</v>
      </c>
      <c r="I24" s="68"/>
      <c r="J24" s="70"/>
      <c r="K24" s="552"/>
      <c r="L24" s="296"/>
      <c r="M24" s="553"/>
      <c r="N24" s="34"/>
      <c r="O24" s="73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hidden="1" customHeight="1">
      <c r="A25" s="34"/>
      <c r="B25" s="85"/>
      <c r="C25" s="79" t="s">
        <v>31</v>
      </c>
      <c r="D25" s="66"/>
      <c r="E25" s="67">
        <v>0.0</v>
      </c>
      <c r="F25" s="67">
        <f t="shared" si="1"/>
        <v>0</v>
      </c>
      <c r="G25" s="67">
        <f t="shared" si="2"/>
        <v>0</v>
      </c>
      <c r="H25" s="77">
        <v>4.0</v>
      </c>
      <c r="I25" s="68"/>
      <c r="J25" s="70"/>
      <c r="K25" s="552"/>
      <c r="L25" s="296"/>
      <c r="M25" s="553"/>
      <c r="N25" s="34"/>
      <c r="O25" s="402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127</v>
      </c>
      <c r="D26" s="66"/>
      <c r="E26" s="67"/>
      <c r="F26" s="67">
        <f t="shared" si="1"/>
        <v>0</v>
      </c>
      <c r="G26" s="67">
        <f t="shared" si="2"/>
        <v>0</v>
      </c>
      <c r="H26" s="68"/>
      <c r="I26" s="72" t="s">
        <v>34</v>
      </c>
      <c r="J26" s="70">
        <f>IF(I26="CONCRETE ROOF TILES",IF(I12="2010-2013",G27*$I$11,IF(I12="2014-2021",F27*$I$11,IF(I12="2021-2023",E27*$I$11,0))),IF(I26="IBR",IF(I12="2010-2013",G28*$I$11,IF(I12="2014-2021",F28*$I$11,IF(I12="2021-2023",E28*$I$11,0))),IF(I26="CORRUGATED ROOFING SHEETS",IF(I12="2010-2013",G29*$I$11,IF(I12="2014-2021",F29*$I$11,IF(I12="2021-2023",E29*$I$11,0))),0)))</f>
        <v>128960</v>
      </c>
      <c r="K26" s="552" t="str">
        <f>AVERAGE(#REF!)</f>
        <v>#REF!</v>
      </c>
      <c r="L26" s="296">
        <f>165875+2288</f>
        <v>168163</v>
      </c>
      <c r="M26" s="553">
        <f>L26/$L$11</f>
        <v>481.1530758</v>
      </c>
      <c r="N26" s="207" t="s">
        <v>23</v>
      </c>
      <c r="O26" s="73">
        <f>IF(N26="Delapidated",J26*0.6,IF(N26="Poor",J26*0.7,IF(N26="Fair",J26*0.8,IF(N26="Good",J26*0.85,IF(N26="Very Good",J26*0.9,IF(N26="Excellent",J26*1,IF(N26="Not Applicable",J26*1,0)))))))</f>
        <v>128960</v>
      </c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hidden="1" customHeight="1">
      <c r="A27" s="34"/>
      <c r="B27" s="84"/>
      <c r="C27" s="79" t="s">
        <v>33</v>
      </c>
      <c r="D27" s="66"/>
      <c r="E27" s="67">
        <f>130*D16</f>
        <v>161.2</v>
      </c>
      <c r="F27" s="67">
        <f t="shared" si="1"/>
        <v>128.96</v>
      </c>
      <c r="G27" s="67">
        <f t="shared" si="2"/>
        <v>122.1212121</v>
      </c>
      <c r="H27" s="77">
        <v>1.0</v>
      </c>
      <c r="I27" s="68"/>
      <c r="J27" s="70"/>
      <c r="K27" s="552"/>
      <c r="L27" s="296"/>
      <c r="M27" s="553"/>
      <c r="N27" s="34"/>
      <c r="O27" s="73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hidden="1" customHeight="1">
      <c r="A28" s="34"/>
      <c r="B28" s="84"/>
      <c r="C28" s="79" t="s">
        <v>34</v>
      </c>
      <c r="D28" s="66"/>
      <c r="E28" s="67">
        <f>E27*1.6</f>
        <v>257.92</v>
      </c>
      <c r="F28" s="67">
        <f t="shared" si="1"/>
        <v>206.336</v>
      </c>
      <c r="G28" s="67">
        <f t="shared" si="2"/>
        <v>195.3939394</v>
      </c>
      <c r="H28" s="77">
        <v>2.0</v>
      </c>
      <c r="I28" s="68"/>
      <c r="J28" s="70"/>
      <c r="K28" s="552"/>
      <c r="L28" s="296"/>
      <c r="M28" s="553"/>
      <c r="N28" s="34"/>
      <c r="O28" s="73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hidden="1" customHeight="1">
      <c r="A29" s="34"/>
      <c r="B29" s="84"/>
      <c r="C29" s="79" t="s">
        <v>35</v>
      </c>
      <c r="D29" s="66"/>
      <c r="E29" s="67">
        <f>E27*0.6</f>
        <v>96.72</v>
      </c>
      <c r="F29" s="67">
        <f t="shared" si="1"/>
        <v>77.376</v>
      </c>
      <c r="G29" s="67">
        <f t="shared" si="2"/>
        <v>73.27272727</v>
      </c>
      <c r="H29" s="77">
        <v>3.0</v>
      </c>
      <c r="I29" s="68"/>
      <c r="J29" s="70"/>
      <c r="K29" s="552"/>
      <c r="L29" s="296"/>
      <c r="M29" s="553"/>
      <c r="N29" s="34"/>
      <c r="O29" s="73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hidden="1" customHeight="1">
      <c r="A30" s="34"/>
      <c r="B30" s="85"/>
      <c r="C30" s="79" t="s">
        <v>36</v>
      </c>
      <c r="D30" s="66"/>
      <c r="E30" s="67">
        <v>0.0</v>
      </c>
      <c r="F30" s="67">
        <f t="shared" si="1"/>
        <v>0</v>
      </c>
      <c r="G30" s="67">
        <f t="shared" si="2"/>
        <v>0</v>
      </c>
      <c r="H30" s="77">
        <v>4.0</v>
      </c>
      <c r="I30" s="68"/>
      <c r="J30" s="70"/>
      <c r="K30" s="552"/>
      <c r="L30" s="296"/>
      <c r="M30" s="553"/>
      <c r="N30" s="34"/>
      <c r="O30" s="402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56">
        <v>5.0</v>
      </c>
      <c r="C31" s="92" t="s">
        <v>158</v>
      </c>
      <c r="D31" s="66"/>
      <c r="E31" s="67"/>
      <c r="F31" s="67">
        <f t="shared" si="1"/>
        <v>0</v>
      </c>
      <c r="G31" s="67">
        <f t="shared" si="2"/>
        <v>0</v>
      </c>
      <c r="H31" s="77"/>
      <c r="I31" s="72" t="s">
        <v>137</v>
      </c>
      <c r="J31" s="70">
        <f>IF(I31="TIMBER ROOF TRUSSES",IF(I12="2010-2013",G32*$I$11,IF(I12="2014-2021",F32*$I$11,IF(I12="2021-2023",E32*$I$11,0))),IF(I31="STRUCTURAL STEEL TRUSSES",IF(I12="2010-2013",G33*$I$11,IF(I12="2014-2021",F33*$I$11,IF(I12="2021-2023",E33*$I$11,0))),0))</f>
        <v>682000</v>
      </c>
      <c r="K31" s="552"/>
      <c r="L31" s="296"/>
      <c r="M31" s="553"/>
      <c r="N31" s="72" t="s">
        <v>23</v>
      </c>
      <c r="O31" s="211">
        <f>IF(N31="Delapidated",J31*0.6,IF(N31="Poor",J31*0.7,IF(N31="Fair",J31*0.8,IF(N31="Good",J31*0.85,IF(N31="Very Good",J31*0.9,IF(N31="Excellent",J31*1,IF(N31="Not Applicable",J31*1,0)))))))</f>
        <v>682000</v>
      </c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hidden="1" customHeight="1">
      <c r="A32" s="34"/>
      <c r="B32" s="456"/>
      <c r="C32" s="79" t="s">
        <v>38</v>
      </c>
      <c r="D32" s="66"/>
      <c r="E32" s="67">
        <f>550*D16</f>
        <v>682</v>
      </c>
      <c r="F32" s="67">
        <f t="shared" si="1"/>
        <v>545.6</v>
      </c>
      <c r="G32" s="67">
        <f t="shared" si="2"/>
        <v>516.6666667</v>
      </c>
      <c r="H32" s="77"/>
      <c r="I32" s="68"/>
      <c r="J32" s="70"/>
      <c r="K32" s="552"/>
      <c r="L32" s="296"/>
      <c r="M32" s="553"/>
      <c r="N32" s="34"/>
      <c r="O32" s="402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hidden="1" customHeight="1">
      <c r="A33" s="34"/>
      <c r="B33" s="456"/>
      <c r="C33" s="79" t="s">
        <v>137</v>
      </c>
      <c r="D33" s="66"/>
      <c r="E33" s="67">
        <f>1100*D16</f>
        <v>1364</v>
      </c>
      <c r="F33" s="67">
        <f t="shared" si="1"/>
        <v>1091.2</v>
      </c>
      <c r="G33" s="67">
        <f t="shared" si="2"/>
        <v>1033.333333</v>
      </c>
      <c r="H33" s="77"/>
      <c r="I33" s="68"/>
      <c r="J33" s="70"/>
      <c r="K33" s="552"/>
      <c r="L33" s="296"/>
      <c r="M33" s="553"/>
      <c r="N33" s="34"/>
      <c r="O33" s="402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hidden="1" customHeight="1">
      <c r="A34" s="34"/>
      <c r="B34" s="456"/>
      <c r="C34" s="79" t="s">
        <v>41</v>
      </c>
      <c r="D34" s="66"/>
      <c r="E34" s="67">
        <v>0.0</v>
      </c>
      <c r="F34" s="67">
        <f t="shared" si="1"/>
        <v>0</v>
      </c>
      <c r="G34" s="67">
        <f t="shared" si="2"/>
        <v>0</v>
      </c>
      <c r="H34" s="77"/>
      <c r="I34" s="68"/>
      <c r="J34" s="70"/>
      <c r="K34" s="552"/>
      <c r="L34" s="296"/>
      <c r="M34" s="553"/>
      <c r="N34" s="34"/>
      <c r="O34" s="402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3">
        <v>6.0</v>
      </c>
      <c r="C35" s="208" t="s">
        <v>88</v>
      </c>
      <c r="D35" s="66"/>
      <c r="E35" s="67"/>
      <c r="F35" s="67"/>
      <c r="G35" s="67"/>
      <c r="H35" s="68"/>
      <c r="I35" s="72" t="s">
        <v>25</v>
      </c>
      <c r="J35" s="70">
        <f>IF(I35="YES",IF(I12="2010-2013",G36*$I$11,IF(I12="2014-2021",F36*$I$11,IF(I12="2021-2023",E36*$I$11,0))),0)</f>
        <v>4600.847926</v>
      </c>
      <c r="K35" s="552" t="str">
        <f>AVERAGE(#REF!)</f>
        <v>#REF!</v>
      </c>
      <c r="L35" s="296">
        <f>23462.5+6625</f>
        <v>30087.5</v>
      </c>
      <c r="M35" s="553">
        <f>L35/$L$11</f>
        <v>86.08726753</v>
      </c>
      <c r="N35" s="207" t="s">
        <v>23</v>
      </c>
      <c r="O35" s="73">
        <f>IF(N35="Delapidated",J35*0.6,IF(N35="Poor",J35*0.7,IF(N35="Fair",J35*0.8,IF(N35="Good",J35*0.85,IF(N35="Very Good",J35*0.9,IF(N35="Excellent",J35*1,IF(N35="Not Applicable",J35*1,0)))))))</f>
        <v>4600.847926</v>
      </c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hidden="1" customHeight="1">
      <c r="A36" s="34"/>
      <c r="B36" s="84"/>
      <c r="C36" s="79" t="s">
        <v>25</v>
      </c>
      <c r="D36" s="66"/>
      <c r="E36" s="67">
        <f>86.0872675250358*8.62%*D16</f>
        <v>9.201695851</v>
      </c>
      <c r="F36" s="67">
        <f t="shared" ref="F36:F37" si="6">E36/$F$16</f>
        <v>7.361356681</v>
      </c>
      <c r="G36" s="67">
        <f t="shared" ref="G36:G37" si="7">E36/$G$16</f>
        <v>6.970981705</v>
      </c>
      <c r="H36" s="77">
        <v>1.0</v>
      </c>
      <c r="I36" s="68"/>
      <c r="J36" s="70"/>
      <c r="K36" s="552"/>
      <c r="L36" s="296"/>
      <c r="M36" s="553"/>
      <c r="N36" s="34"/>
      <c r="O36" s="73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hidden="1" customHeight="1">
      <c r="A37" s="34"/>
      <c r="B37" s="85"/>
      <c r="C37" s="79" t="s">
        <v>26</v>
      </c>
      <c r="D37" s="66"/>
      <c r="E37" s="67">
        <v>0.0</v>
      </c>
      <c r="F37" s="67">
        <f t="shared" si="6"/>
        <v>0</v>
      </c>
      <c r="G37" s="67">
        <f t="shared" si="7"/>
        <v>0</v>
      </c>
      <c r="H37" s="77">
        <v>2.0</v>
      </c>
      <c r="I37" s="68"/>
      <c r="J37" s="70"/>
      <c r="K37" s="552"/>
      <c r="L37" s="296"/>
      <c r="M37" s="553"/>
      <c r="N37" s="34"/>
      <c r="O37" s="40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3">
        <v>7.0</v>
      </c>
      <c r="C38" s="208" t="s">
        <v>45</v>
      </c>
      <c r="D38" s="66"/>
      <c r="E38" s="67"/>
      <c r="F38" s="67"/>
      <c r="G38" s="67"/>
      <c r="H38" s="68"/>
      <c r="I38" s="72" t="s">
        <v>25</v>
      </c>
      <c r="J38" s="70">
        <f>IF(I38="YES",IF(I12="2010-2013",G39*$I$11,IF(I12="2014-2021",F39*$I$11,IF(I12="2021-2023",E39*$I$11,0))),0)</f>
        <v>39571.56209</v>
      </c>
      <c r="K38" s="552"/>
      <c r="L38" s="296"/>
      <c r="M38" s="553"/>
      <c r="N38" s="207" t="s">
        <v>23</v>
      </c>
      <c r="O38" s="73">
        <f>IF(N38="Delapidated",J38*0.6,IF(N38="Poor",J38*0.7,IF(N38="Fair",J38*0.8,IF(N38="Good",J38*0.85,IF(N38="Very Good",J38*0.9,IF(N38="Excellent",J38*1,IF(N38="Not Applicable",J38*1,0)))))))</f>
        <v>39571.56209</v>
      </c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customHeight="1">
      <c r="A39" s="34"/>
      <c r="B39" s="84"/>
      <c r="C39" s="79" t="s">
        <v>25</v>
      </c>
      <c r="D39" s="66"/>
      <c r="E39" s="67">
        <f>86.0872675250358*74.14%*D16</f>
        <v>79.14312418</v>
      </c>
      <c r="F39" s="67">
        <f t="shared" ref="F39:F40" si="8">E39/$F$16</f>
        <v>63.31449934</v>
      </c>
      <c r="G39" s="67">
        <f t="shared" ref="G39:G40" si="9">E39/$G$16</f>
        <v>59.95691226</v>
      </c>
      <c r="H39" s="77">
        <v>1.0</v>
      </c>
      <c r="I39" s="68"/>
      <c r="J39" s="70"/>
      <c r="K39" s="552"/>
      <c r="L39" s="296"/>
      <c r="M39" s="553"/>
      <c r="N39" s="34"/>
      <c r="O39" s="402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customHeight="1">
      <c r="A40" s="34"/>
      <c r="B40" s="85"/>
      <c r="C40" s="79" t="s">
        <v>26</v>
      </c>
      <c r="D40" s="66"/>
      <c r="E40" s="67">
        <v>0.0</v>
      </c>
      <c r="F40" s="67">
        <f t="shared" si="8"/>
        <v>0</v>
      </c>
      <c r="G40" s="67">
        <f t="shared" si="9"/>
        <v>0</v>
      </c>
      <c r="H40" s="77">
        <v>2.0</v>
      </c>
      <c r="I40" s="68"/>
      <c r="J40" s="70"/>
      <c r="K40" s="552"/>
      <c r="L40" s="296"/>
      <c r="M40" s="553"/>
      <c r="N40" s="34"/>
      <c r="O40" s="402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83">
        <v>8.0</v>
      </c>
      <c r="C41" s="208" t="s">
        <v>49</v>
      </c>
      <c r="D41" s="66"/>
      <c r="E41" s="67"/>
      <c r="F41" s="67"/>
      <c r="G41" s="67"/>
      <c r="H41" s="68"/>
      <c r="I41" s="72" t="s">
        <v>26</v>
      </c>
      <c r="J41" s="70">
        <f>IF(I41="YES",IF(I12="2010-2013",G42*$I$11,IF(I12="2014-2021",F42*$I$11,IF(I12="2021-2023",E42*$I$11,0))),0)</f>
        <v>0</v>
      </c>
      <c r="K41" s="552"/>
      <c r="L41" s="296"/>
      <c r="M41" s="553"/>
      <c r="N41" s="207" t="s">
        <v>23</v>
      </c>
      <c r="O41" s="73">
        <f>IF(N41="Delapidated",M41*0.6,IF(N41="Poor",M41*0.7,IF(N41="Fair",M41*0.8,IF(N41="Good",M41*0.85,IF(N41="Very Good",M41*0.9,IF(N41="Excellent",M41*1,IF(N41="Not Applicable",M41*1,0)))))))</f>
        <v>0</v>
      </c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4"/>
      <c r="C42" s="79" t="s">
        <v>25</v>
      </c>
      <c r="D42" s="66"/>
      <c r="E42" s="67">
        <f>86.0872675250358*17.24%</f>
        <v>14.84144492</v>
      </c>
      <c r="F42" s="67">
        <f t="shared" ref="F42:F43" si="10">E42/$F$16</f>
        <v>11.87315594</v>
      </c>
      <c r="G42" s="67">
        <f t="shared" ref="G42:G43" si="11">E42/$G$16</f>
        <v>11.24351888</v>
      </c>
      <c r="H42" s="77">
        <v>1.0</v>
      </c>
      <c r="I42" s="68"/>
      <c r="J42" s="70"/>
      <c r="K42" s="552"/>
      <c r="L42" s="296"/>
      <c r="M42" s="553"/>
      <c r="N42" s="34"/>
      <c r="O42" s="7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customHeight="1">
      <c r="A43" s="34"/>
      <c r="B43" s="85"/>
      <c r="C43" s="79" t="s">
        <v>26</v>
      </c>
      <c r="D43" s="66"/>
      <c r="E43" s="67">
        <v>0.0</v>
      </c>
      <c r="F43" s="67">
        <f t="shared" si="10"/>
        <v>0</v>
      </c>
      <c r="G43" s="67">
        <f t="shared" si="11"/>
        <v>0</v>
      </c>
      <c r="H43" s="77">
        <v>2.0</v>
      </c>
      <c r="I43" s="68"/>
      <c r="J43" s="70"/>
      <c r="K43" s="552"/>
      <c r="L43" s="296"/>
      <c r="M43" s="553"/>
      <c r="N43" s="34"/>
      <c r="O43" s="402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3">
        <v>9.0</v>
      </c>
      <c r="C44" s="208" t="s">
        <v>50</v>
      </c>
      <c r="D44" s="66"/>
      <c r="E44" s="67"/>
      <c r="F44" s="67"/>
      <c r="G44" s="67"/>
      <c r="H44" s="68"/>
      <c r="I44" s="72" t="s">
        <v>25</v>
      </c>
      <c r="J44" s="70">
        <f>IF(I44="YES",IF(I12="2010-2013",G45*$I$11,IF(I12="2014-2021",F45*$I$11,IF(I12="2021-2023",E45*$I$11,0))),0)</f>
        <v>149522.8898</v>
      </c>
      <c r="K44" s="552" t="str">
        <f>AVERAGE(#REF!)</f>
        <v>#REF!</v>
      </c>
      <c r="L44" s="296">
        <v>84287.5</v>
      </c>
      <c r="M44" s="553">
        <f>L44/$L$11</f>
        <v>241.1659514</v>
      </c>
      <c r="N44" s="207" t="s">
        <v>23</v>
      </c>
      <c r="O44" s="73">
        <f>IF(N44="Delapidated",J44*0.6,IF(N44="Poor",J44*0.7,IF(N44="Fair",J44*0.8,IF(N44="Good",J44*0.85,IF(N44="Very Good",J44*0.9,IF(N44="Excellent",J44*1,IF(N44="Not Applicable",J44*1,0)))))))</f>
        <v>149522.8898</v>
      </c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hidden="1" customHeight="1">
      <c r="A45" s="34"/>
      <c r="B45" s="84"/>
      <c r="C45" s="79" t="s">
        <v>25</v>
      </c>
      <c r="D45" s="66"/>
      <c r="E45" s="67">
        <f>241.165951359084*D16</f>
        <v>299.0457797</v>
      </c>
      <c r="F45" s="67">
        <f t="shared" ref="F45:F46" si="12">E45/$F$16</f>
        <v>239.2366237</v>
      </c>
      <c r="G45" s="67">
        <f t="shared" ref="G45:G46" si="13">E45/$G$16</f>
        <v>226.5498331</v>
      </c>
      <c r="H45" s="77">
        <v>1.0</v>
      </c>
      <c r="I45" s="68"/>
      <c r="J45" s="70"/>
      <c r="K45" s="552"/>
      <c r="L45" s="296"/>
      <c r="M45" s="553"/>
      <c r="N45" s="34"/>
      <c r="O45" s="73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hidden="1" customHeight="1">
      <c r="A46" s="34"/>
      <c r="B46" s="85"/>
      <c r="C46" s="79" t="s">
        <v>26</v>
      </c>
      <c r="D46" s="66"/>
      <c r="E46" s="67">
        <v>0.0</v>
      </c>
      <c r="F46" s="67">
        <f t="shared" si="12"/>
        <v>0</v>
      </c>
      <c r="G46" s="67">
        <f t="shared" si="13"/>
        <v>0</v>
      </c>
      <c r="H46" s="77">
        <v>2.0</v>
      </c>
      <c r="I46" s="68"/>
      <c r="J46" s="70"/>
      <c r="K46" s="552"/>
      <c r="L46" s="296"/>
      <c r="M46" s="553"/>
      <c r="N46" s="34"/>
      <c r="O46" s="402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83">
        <v>10.0</v>
      </c>
      <c r="C47" s="92" t="s">
        <v>51</v>
      </c>
      <c r="D47" s="66"/>
      <c r="E47" s="67"/>
      <c r="F47" s="67"/>
      <c r="G47" s="67"/>
      <c r="H47" s="77"/>
      <c r="I47" s="72" t="s">
        <v>52</v>
      </c>
      <c r="J47" s="70">
        <f>IF(I47="VINYL FLOORING",IF(I12="2010-2013",G48*$I$11,IF(I12="2014-2021",F48*$I$11,IF(I12="2021-2023",E48*$I$11,0))),IF(I47="TILING FLOORING",IF(I12="2010-2013",G49*$I$11,IF(I12="2014-2021",F49*$I$11,IF(I12="2021-2023",E49*$I$11,0))),IF(I47="WOODEN FLOORING",IF(I12="2010-2013",G50*$I$11,IF(I12="2014-2021",F50*$I$11,IF(I12="2021-2023",E50*$I$11,0))),IF(I47="CARPETS FLOORING",IF(I12="2010-2013",G51*$I$11,IF(I12="2014-2021",F51*$I$11,IF(I12="2021-2023",E51*$I$11,0))),0))))</f>
        <v>77500</v>
      </c>
      <c r="K47" s="552"/>
      <c r="L47" s="296"/>
      <c r="M47" s="553"/>
      <c r="N47" s="207" t="s">
        <v>23</v>
      </c>
      <c r="O47" s="73">
        <f>IF(N47="Delapidated",J47*0.6,IF(N47="Poor",J47*0.7,IF(N47="Fair",J47*0.8,IF(N47="Good",J47*0.85,IF(N47="Very Good",J47*0.9,IF(N47="Excellent",J47*1,IF(N47="Not Applicable",J47*1,0)))))))</f>
        <v>77500</v>
      </c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hidden="1" customHeight="1">
      <c r="A48" s="34"/>
      <c r="B48" s="84"/>
      <c r="C48" s="79" t="s">
        <v>53</v>
      </c>
      <c r="D48" s="66"/>
      <c r="E48" s="67">
        <f>E49*0.7</f>
        <v>108.5</v>
      </c>
      <c r="F48" s="67">
        <f t="shared" ref="F48:F52" si="14">E48/$F$16</f>
        <v>86.8</v>
      </c>
      <c r="G48" s="67">
        <f t="shared" ref="G48:G52" si="15">E48/$G$16</f>
        <v>82.1969697</v>
      </c>
      <c r="H48" s="77">
        <v>1.0</v>
      </c>
      <c r="I48" s="68"/>
      <c r="J48" s="70"/>
      <c r="K48" s="552"/>
      <c r="L48" s="296"/>
      <c r="M48" s="553"/>
      <c r="N48" s="34"/>
      <c r="O48" s="73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hidden="1" customHeight="1">
      <c r="A49" s="34"/>
      <c r="B49" s="84"/>
      <c r="C49" s="79" t="s">
        <v>52</v>
      </c>
      <c r="D49" s="66"/>
      <c r="E49" s="67">
        <f>125*D16</f>
        <v>155</v>
      </c>
      <c r="F49" s="67">
        <f t="shared" si="14"/>
        <v>124</v>
      </c>
      <c r="G49" s="67">
        <f t="shared" si="15"/>
        <v>117.4242424</v>
      </c>
      <c r="H49" s="77">
        <v>2.0</v>
      </c>
      <c r="I49" s="68"/>
      <c r="J49" s="70"/>
      <c r="K49" s="552"/>
      <c r="L49" s="296"/>
      <c r="M49" s="553"/>
      <c r="N49" s="34"/>
      <c r="O49" s="73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hidden="1" customHeight="1">
      <c r="A50" s="34"/>
      <c r="B50" s="84"/>
      <c r="C50" s="79" t="s">
        <v>155</v>
      </c>
      <c r="D50" s="66"/>
      <c r="E50" s="67">
        <f>E49*1.2</f>
        <v>186</v>
      </c>
      <c r="F50" s="67">
        <f t="shared" si="14"/>
        <v>148.8</v>
      </c>
      <c r="G50" s="67">
        <f t="shared" si="15"/>
        <v>140.9090909</v>
      </c>
      <c r="H50" s="77">
        <v>3.0</v>
      </c>
      <c r="I50" s="68"/>
      <c r="J50" s="70"/>
      <c r="K50" s="552"/>
      <c r="L50" s="296"/>
      <c r="M50" s="553"/>
      <c r="N50" s="34"/>
      <c r="O50" s="73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hidden="1" customHeight="1">
      <c r="A51" s="34"/>
      <c r="B51" s="84"/>
      <c r="C51" s="79" t="s">
        <v>55</v>
      </c>
      <c r="D51" s="66"/>
      <c r="E51" s="67">
        <f>E49*1.3</f>
        <v>201.5</v>
      </c>
      <c r="F51" s="67">
        <f t="shared" si="14"/>
        <v>161.2</v>
      </c>
      <c r="G51" s="67">
        <f t="shared" si="15"/>
        <v>152.6515152</v>
      </c>
      <c r="H51" s="77">
        <v>4.0</v>
      </c>
      <c r="I51" s="68"/>
      <c r="J51" s="70"/>
      <c r="K51" s="552"/>
      <c r="L51" s="296"/>
      <c r="M51" s="553"/>
      <c r="N51" s="34"/>
      <c r="O51" s="73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hidden="1" customHeight="1">
      <c r="A52" s="34"/>
      <c r="B52" s="85"/>
      <c r="C52" s="79" t="s">
        <v>56</v>
      </c>
      <c r="D52" s="66"/>
      <c r="E52" s="67">
        <v>0.0</v>
      </c>
      <c r="F52" s="67">
        <f t="shared" si="14"/>
        <v>0</v>
      </c>
      <c r="G52" s="67">
        <f t="shared" si="15"/>
        <v>0</v>
      </c>
      <c r="H52" s="77">
        <v>5.0</v>
      </c>
      <c r="I52" s="68"/>
      <c r="J52" s="70"/>
      <c r="K52" s="552"/>
      <c r="L52" s="296"/>
      <c r="M52" s="553"/>
      <c r="N52" s="34"/>
      <c r="O52" s="402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hidden="1" customHeight="1">
      <c r="A53" s="34"/>
      <c r="B53" s="83">
        <f>B44+1</f>
        <v>10</v>
      </c>
      <c r="C53" s="208" t="s">
        <v>162</v>
      </c>
      <c r="D53" s="66"/>
      <c r="E53" s="67"/>
      <c r="F53" s="67"/>
      <c r="G53" s="67"/>
      <c r="H53" s="68"/>
      <c r="I53" s="72" t="s">
        <v>26</v>
      </c>
      <c r="J53" s="70">
        <f>IF(I53="YES",IF(I12="2010-2013",G54*$I$11,IF(I12="2014-2021",F54*$I$11,IF(I12="2021-2023",E54*$I$11,0))),0)</f>
        <v>0</v>
      </c>
      <c r="K53" s="552" t="str">
        <f>AVERAGE(#REF!)</f>
        <v>#REF!</v>
      </c>
      <c r="L53" s="296">
        <v>120187.5</v>
      </c>
      <c r="M53" s="553">
        <f>L53/$L$11</f>
        <v>343.8841202</v>
      </c>
      <c r="N53" s="207" t="s">
        <v>23</v>
      </c>
      <c r="O53" s="73">
        <f>IF(N53="Delapidated",J53*0.6,IF(N53="Poor",J53*0.7,IF(N53="Fair",J53*0.8,IF(N53="Good",J53*0.85,IF(N53="Very Good",J53*0.9,IF(N53="Excellent",J53*1,IF(N53="Not Applicable",J53*1,0)))))))</f>
        <v>0</v>
      </c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hidden="1" customHeight="1">
      <c r="A54" s="34"/>
      <c r="B54" s="84"/>
      <c r="C54" s="79" t="s">
        <v>25</v>
      </c>
      <c r="D54" s="66"/>
      <c r="E54" s="67">
        <f>750*D16</f>
        <v>930</v>
      </c>
      <c r="F54" s="67">
        <f t="shared" ref="F54:F55" si="16">E54/$F$16</f>
        <v>744</v>
      </c>
      <c r="G54" s="67">
        <f t="shared" ref="G54:G55" si="17">E54/$G$16</f>
        <v>704.5454545</v>
      </c>
      <c r="H54" s="77">
        <v>1.0</v>
      </c>
      <c r="I54" s="68"/>
      <c r="J54" s="70"/>
      <c r="K54" s="552"/>
      <c r="L54" s="296"/>
      <c r="M54" s="553"/>
      <c r="N54" s="34"/>
      <c r="O54" s="73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hidden="1" customHeight="1">
      <c r="A55" s="34"/>
      <c r="B55" s="85"/>
      <c r="C55" s="79" t="s">
        <v>26</v>
      </c>
      <c r="D55" s="66"/>
      <c r="E55" s="67">
        <v>0.0</v>
      </c>
      <c r="F55" s="67">
        <f t="shared" si="16"/>
        <v>0</v>
      </c>
      <c r="G55" s="67">
        <f t="shared" si="17"/>
        <v>0</v>
      </c>
      <c r="H55" s="77">
        <v>2.0</v>
      </c>
      <c r="I55" s="68"/>
      <c r="J55" s="70"/>
      <c r="K55" s="552"/>
      <c r="L55" s="296"/>
      <c r="M55" s="553"/>
      <c r="N55" s="34"/>
      <c r="O55" s="73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34"/>
      <c r="B56" s="83">
        <v>11.0</v>
      </c>
      <c r="C56" s="208" t="s">
        <v>57</v>
      </c>
      <c r="D56" s="66"/>
      <c r="E56" s="67"/>
      <c r="F56" s="67"/>
      <c r="G56" s="67"/>
      <c r="H56" s="77"/>
      <c r="I56" s="72" t="s">
        <v>58</v>
      </c>
      <c r="J56" s="70">
        <f>IF(I56="STEEL WINDOW FRAMES",IF(I12="2010-2013",G57*$I$11,IF(I12="2014-2021",F57*$I$11,IF(I12="2021-2023",E57*$I$11,0))),IF(I56="ALUMINIUM WINDOW FRAMES",IF(I12="2010-2013",G58*$I$11,IF(I12="2014-2021",F58*$I$11,IF(I12="2021-2023",E58*$I$11,0))),0))</f>
        <v>144045.7797</v>
      </c>
      <c r="K56" s="552" t="str">
        <f>AVERAGE(#REF!)</f>
        <v>#REF!</v>
      </c>
      <c r="L56" s="296">
        <v>81200.0</v>
      </c>
      <c r="M56" s="553">
        <f>L56/$L$11</f>
        <v>232.3319027</v>
      </c>
      <c r="N56" s="207" t="s">
        <v>23</v>
      </c>
      <c r="O56" s="73">
        <f>IF(N56="Delapidated",J56*0.6,IF(N56="Poor",J56*0.7,IF(N56="Fair",J56*0.8,IF(N56="Good",J56*0.85,IF(N56="Very Good",J56*0.9,IF(N56="Excellent",J56*1,IF(N56="Not Applicable",J56*1,0)))))))</f>
        <v>144045.7797</v>
      </c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hidden="1" customHeight="1">
      <c r="A57" s="34"/>
      <c r="B57" s="84"/>
      <c r="C57" s="79" t="s">
        <v>59</v>
      </c>
      <c r="D57" s="66"/>
      <c r="E57" s="67">
        <f>E58*0.3*D16</f>
        <v>107.1700601</v>
      </c>
      <c r="F57" s="67">
        <f t="shared" ref="F57:F59" si="18">E57/$F$16</f>
        <v>85.73604807</v>
      </c>
      <c r="G57" s="67">
        <f t="shared" ref="G57:G59" si="19">E57/$G$16</f>
        <v>81.18943946</v>
      </c>
      <c r="H57" s="77">
        <v>1.0</v>
      </c>
      <c r="I57" s="68"/>
      <c r="J57" s="785"/>
      <c r="K57" s="552"/>
      <c r="L57" s="296"/>
      <c r="M57" s="553"/>
      <c r="N57" s="34"/>
      <c r="O57" s="402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hidden="1" customHeight="1">
      <c r="A58" s="34"/>
      <c r="B58" s="84"/>
      <c r="C58" s="79" t="s">
        <v>58</v>
      </c>
      <c r="D58" s="66"/>
      <c r="E58" s="67">
        <f>232.331902718169*D16</f>
        <v>288.0915594</v>
      </c>
      <c r="F58" s="67">
        <f t="shared" si="18"/>
        <v>230.4732475</v>
      </c>
      <c r="G58" s="67">
        <f t="shared" si="19"/>
        <v>218.2511813</v>
      </c>
      <c r="H58" s="77">
        <v>2.0</v>
      </c>
      <c r="I58" s="68"/>
      <c r="J58" s="70"/>
      <c r="K58" s="552"/>
      <c r="L58" s="296"/>
      <c r="M58" s="553"/>
      <c r="N58" s="34"/>
      <c r="O58" s="73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hidden="1" customHeight="1">
      <c r="A59" s="34"/>
      <c r="B59" s="85"/>
      <c r="C59" s="79" t="s">
        <v>60</v>
      </c>
      <c r="D59" s="66"/>
      <c r="E59" s="67">
        <v>0.0</v>
      </c>
      <c r="F59" s="67">
        <f t="shared" si="18"/>
        <v>0</v>
      </c>
      <c r="G59" s="67">
        <f t="shared" si="19"/>
        <v>0</v>
      </c>
      <c r="H59" s="77"/>
      <c r="I59" s="68"/>
      <c r="J59" s="70"/>
      <c r="K59" s="552"/>
      <c r="L59" s="296"/>
      <c r="M59" s="553"/>
      <c r="N59" s="34"/>
      <c r="O59" s="402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3">
        <v>12.0</v>
      </c>
      <c r="C60" s="208" t="s">
        <v>61</v>
      </c>
      <c r="D60" s="66"/>
      <c r="E60" s="67"/>
      <c r="F60" s="67"/>
      <c r="G60" s="67"/>
      <c r="H60" s="68"/>
      <c r="I60" s="72" t="s">
        <v>25</v>
      </c>
      <c r="J60" s="70">
        <f>IF(I60="YES",IF(I12="2010-2013",G61*$I$11,IF(I12="2014-2021",F61*$I$11,IF(I12="2021-2023",E61*$I$11,0))),0)</f>
        <v>174890.5579</v>
      </c>
      <c r="K60" s="552" t="str">
        <f>AVERAGE(#REF!)</f>
        <v>#REF!</v>
      </c>
      <c r="L60" s="296">
        <v>98587.5</v>
      </c>
      <c r="M60" s="553">
        <f>L60/$L$11</f>
        <v>282.0815451</v>
      </c>
      <c r="N60" s="207" t="s">
        <v>23</v>
      </c>
      <c r="O60" s="73">
        <f>IF(N60="Delapidated",J60*0.6,IF(N60="Poor",J60*0.7,IF(N60="Fair",J60*0.8,IF(N60="Good",J60*0.85,IF(N60="Very Good",J60*0.9,IF(N60="Excellent",J60*1,IF(N60="Not Applicable",J60*1,0)))))))</f>
        <v>174890.5579</v>
      </c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hidden="1" customHeight="1">
      <c r="A61" s="34"/>
      <c r="B61" s="84"/>
      <c r="C61" s="79" t="s">
        <v>25</v>
      </c>
      <c r="D61" s="66"/>
      <c r="E61" s="67">
        <f>282.081545064378*D16</f>
        <v>349.7811159</v>
      </c>
      <c r="F61" s="67">
        <f t="shared" ref="F61:F62" si="20">E61/$F$16</f>
        <v>279.8248927</v>
      </c>
      <c r="G61" s="67">
        <f t="shared" ref="G61:G62" si="21">E61/$G$16</f>
        <v>264.9856938</v>
      </c>
      <c r="H61" s="77">
        <v>1.0</v>
      </c>
      <c r="I61" s="68"/>
      <c r="J61" s="70"/>
      <c r="K61" s="552"/>
      <c r="L61" s="296"/>
      <c r="M61" s="553"/>
      <c r="N61" s="34"/>
      <c r="O61" s="73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hidden="1" customHeight="1">
      <c r="A62" s="34"/>
      <c r="B62" s="85"/>
      <c r="C62" s="79" t="s">
        <v>26</v>
      </c>
      <c r="D62" s="66"/>
      <c r="E62" s="67">
        <v>0.0</v>
      </c>
      <c r="F62" s="67">
        <f t="shared" si="20"/>
        <v>0</v>
      </c>
      <c r="G62" s="67">
        <f t="shared" si="21"/>
        <v>0</v>
      </c>
      <c r="H62" s="77">
        <v>2.0</v>
      </c>
      <c r="I62" s="68"/>
      <c r="J62" s="70"/>
      <c r="K62" s="552"/>
      <c r="L62" s="296"/>
      <c r="M62" s="553"/>
      <c r="N62" s="34"/>
      <c r="O62" s="402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34"/>
      <c r="B63" s="83">
        <v>13.0</v>
      </c>
      <c r="C63" s="208" t="s">
        <v>62</v>
      </c>
      <c r="D63" s="66"/>
      <c r="E63" s="67"/>
      <c r="F63" s="67"/>
      <c r="G63" s="67"/>
      <c r="H63" s="68"/>
      <c r="I63" s="72" t="s">
        <v>25</v>
      </c>
      <c r="J63" s="70">
        <f>IF(I63="YES",IF(I12="2010-2013",G64*$I$11,IF(I12="2014-2021",F64*$I$11,IF(I12="2021-2023",E64*$I$11,0))),0)</f>
        <v>27900</v>
      </c>
      <c r="K63" s="552" t="str">
        <f>AVERAGE(#REF!)</f>
        <v>#REF!</v>
      </c>
      <c r="L63" s="296">
        <v>86000.0</v>
      </c>
      <c r="M63" s="553">
        <f>L63/$L$11</f>
        <v>246.0658083</v>
      </c>
      <c r="N63" s="207" t="s">
        <v>23</v>
      </c>
      <c r="O63" s="73">
        <f>IF(N63="Delapidated",J63*0.6,IF(N63="Poor",J63*0.7,IF(N63="Fair",J63*0.8,IF(N63="Good",J63*0.85,IF(N63="Very Good",J63*0.9,IF(N63="Excellent",J63*1,IF(N63="Not Applicable",J63*1,0)))))))</f>
        <v>27900</v>
      </c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hidden="1" customHeight="1">
      <c r="A64" s="34"/>
      <c r="B64" s="84"/>
      <c r="C64" s="79" t="s">
        <v>25</v>
      </c>
      <c r="D64" s="66"/>
      <c r="E64" s="67">
        <f>45*D16</f>
        <v>55.8</v>
      </c>
      <c r="F64" s="67">
        <f t="shared" ref="F64:F65" si="22">E64/$F$16</f>
        <v>44.64</v>
      </c>
      <c r="G64" s="67">
        <f t="shared" ref="G64:G65" si="23">E64/$G$16</f>
        <v>42.27272727</v>
      </c>
      <c r="H64" s="77">
        <v>1.0</v>
      </c>
      <c r="I64" s="68"/>
      <c r="J64" s="70"/>
      <c r="K64" s="552"/>
      <c r="L64" s="296"/>
      <c r="M64" s="553"/>
      <c r="N64" s="34"/>
      <c r="O64" s="73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hidden="1" customHeight="1">
      <c r="A65" s="34"/>
      <c r="B65" s="85"/>
      <c r="C65" s="79" t="s">
        <v>26</v>
      </c>
      <c r="D65" s="66"/>
      <c r="E65" s="67">
        <v>0.0</v>
      </c>
      <c r="F65" s="67">
        <f t="shared" si="22"/>
        <v>0</v>
      </c>
      <c r="G65" s="67">
        <f t="shared" si="23"/>
        <v>0</v>
      </c>
      <c r="H65" s="77">
        <v>2.0</v>
      </c>
      <c r="I65" s="68"/>
      <c r="J65" s="70"/>
      <c r="K65" s="552"/>
      <c r="L65" s="296"/>
      <c r="M65" s="553"/>
      <c r="N65" s="34"/>
      <c r="O65" s="402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34"/>
      <c r="B66" s="44"/>
      <c r="C66" s="214" t="s">
        <v>163</v>
      </c>
      <c r="D66" s="66"/>
      <c r="E66" s="66"/>
      <c r="F66" s="67"/>
      <c r="G66" s="67"/>
      <c r="H66" s="67"/>
      <c r="I66" s="227">
        <v>3.0</v>
      </c>
      <c r="J66" s="45"/>
      <c r="K66" s="34"/>
      <c r="L66" s="199"/>
      <c r="M66" s="205"/>
      <c r="N66" s="45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83">
        <v>14.0</v>
      </c>
      <c r="C67" s="208" t="s">
        <v>64</v>
      </c>
      <c r="D67" s="66"/>
      <c r="E67" s="67"/>
      <c r="F67" s="67"/>
      <c r="G67" s="67"/>
      <c r="H67" s="68"/>
      <c r="I67" s="72" t="s">
        <v>25</v>
      </c>
      <c r="J67" s="70">
        <f>IF(I67="YES",IF(I12="2010-2013",G68*I66,IF(I12="2014-2021",F68*I66,IF(I12="2021-2023",E68*I66,0))),0)</f>
        <v>45000</v>
      </c>
      <c r="K67" s="552" t="str">
        <f>AVERAGE(#REF!)</f>
        <v>#REF!</v>
      </c>
      <c r="L67" s="296">
        <f>77787.5+6250</f>
        <v>84037.5</v>
      </c>
      <c r="M67" s="553">
        <f>L67/$L$11</f>
        <v>240.4506438</v>
      </c>
      <c r="N67" s="207" t="s">
        <v>23</v>
      </c>
      <c r="O67" s="73">
        <f>IF(N67="Delapidated",J67*0.6,IF(N67="Poor",J67*0.7,IF(N67="Fair",J67*0.8,IF(N67="Good",J67*0.85,IF(N67="Very Good",J67*0.9,IF(N67="Excellent",J67*1,IF(N67="Not Applicable",J67*1,0)))))))</f>
        <v>45000</v>
      </c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hidden="1" customHeight="1">
      <c r="A68" s="34"/>
      <c r="B68" s="84"/>
      <c r="C68" s="79" t="s">
        <v>25</v>
      </c>
      <c r="D68" s="66"/>
      <c r="E68" s="67">
        <v>15000.0</v>
      </c>
      <c r="F68" s="67">
        <f t="shared" ref="F68:F69" si="24">E68/$F$16</f>
        <v>12000</v>
      </c>
      <c r="G68" s="67">
        <f t="shared" ref="G68:G69" si="25">E68/$G$16</f>
        <v>11363.63636</v>
      </c>
      <c r="H68" s="77">
        <v>1.0</v>
      </c>
      <c r="I68" s="68"/>
      <c r="J68" s="70"/>
      <c r="K68" s="552"/>
      <c r="L68" s="296"/>
      <c r="M68" s="553"/>
      <c r="N68" s="34"/>
      <c r="O68" s="73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hidden="1" customHeight="1">
      <c r="A69" s="34"/>
      <c r="B69" s="85"/>
      <c r="C69" s="79" t="s">
        <v>26</v>
      </c>
      <c r="D69" s="66"/>
      <c r="E69" s="67">
        <v>0.0</v>
      </c>
      <c r="F69" s="67">
        <f t="shared" si="24"/>
        <v>0</v>
      </c>
      <c r="G69" s="67">
        <f t="shared" si="25"/>
        <v>0</v>
      </c>
      <c r="H69" s="77">
        <v>2.0</v>
      </c>
      <c r="I69" s="68"/>
      <c r="J69" s="70"/>
      <c r="K69" s="552"/>
      <c r="L69" s="296"/>
      <c r="M69" s="553"/>
      <c r="N69" s="34"/>
      <c r="O69" s="402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83">
        <v>15.0</v>
      </c>
      <c r="C70" s="208" t="s">
        <v>65</v>
      </c>
      <c r="D70" s="66"/>
      <c r="E70" s="67"/>
      <c r="F70" s="67"/>
      <c r="G70" s="67"/>
      <c r="H70" s="68"/>
      <c r="I70" s="72" t="s">
        <v>25</v>
      </c>
      <c r="J70" s="70">
        <f>IF(I70="YES",IF(I12="2010-2013",G71*$I$11,IF(I12="2014-2021",F71*$I$11,IF(I12="2021-2023",E71*$I$11,0))),0)</f>
        <v>116039.3419</v>
      </c>
      <c r="K70" s="552" t="str">
        <f>AVERAGE(#REF!)</f>
        <v>#REF!</v>
      </c>
      <c r="L70" s="296">
        <v>65412.5</v>
      </c>
      <c r="M70" s="553">
        <f>L70/$L$11</f>
        <v>187.1602289</v>
      </c>
      <c r="N70" s="207" t="s">
        <v>23</v>
      </c>
      <c r="O70" s="73">
        <f>IF(N70="Delapidated",J70*0.6,IF(N70="Poor",J70*0.7,IF(N70="Fair",J70*0.8,IF(N70="Good",J70*0.85,IF(N70="Very Good",J70*0.9,IF(N70="Excellent",J70*1,IF(N70="Not Applicable",J70*1,0)))))))</f>
        <v>116039.3419</v>
      </c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hidden="1" customHeight="1">
      <c r="A71" s="34"/>
      <c r="B71" s="84"/>
      <c r="C71" s="79" t="s">
        <v>25</v>
      </c>
      <c r="D71" s="66"/>
      <c r="E71" s="67">
        <f>187.160228898426*D16</f>
        <v>232.0786838</v>
      </c>
      <c r="F71" s="67">
        <f t="shared" ref="F71:F72" si="26">E71/$F$16</f>
        <v>185.6629471</v>
      </c>
      <c r="G71" s="67">
        <f t="shared" ref="G71:G72" si="27">E71/$G$16</f>
        <v>175.8171847</v>
      </c>
      <c r="H71" s="77">
        <v>1.0</v>
      </c>
      <c r="I71" s="68"/>
      <c r="J71" s="70"/>
      <c r="K71" s="552"/>
      <c r="L71" s="296"/>
      <c r="M71" s="553"/>
      <c r="N71" s="34"/>
      <c r="O71" s="73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hidden="1" customHeight="1">
      <c r="A72" s="34"/>
      <c r="B72" s="85"/>
      <c r="C72" s="79" t="s">
        <v>26</v>
      </c>
      <c r="D72" s="66"/>
      <c r="E72" s="67">
        <v>0.0</v>
      </c>
      <c r="F72" s="67">
        <f t="shared" si="26"/>
        <v>0</v>
      </c>
      <c r="G72" s="67">
        <f t="shared" si="27"/>
        <v>0</v>
      </c>
      <c r="H72" s="77">
        <v>2.0</v>
      </c>
      <c r="I72" s="68"/>
      <c r="J72" s="70"/>
      <c r="K72" s="552"/>
      <c r="L72" s="296"/>
      <c r="M72" s="553"/>
      <c r="N72" s="34"/>
      <c r="O72" s="402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34"/>
      <c r="B73" s="83">
        <v>16.0</v>
      </c>
      <c r="C73" s="208" t="s">
        <v>94</v>
      </c>
      <c r="D73" s="66"/>
      <c r="E73" s="67"/>
      <c r="F73" s="67"/>
      <c r="G73" s="67"/>
      <c r="H73" s="68"/>
      <c r="I73" s="72" t="s">
        <v>25</v>
      </c>
      <c r="J73" s="70">
        <f>IF(I73="YES",IF(I12="2010-2013",G74*$I$11,IF(I12="2014-2021",F74*$I$11,IF(I12="2021-2023",E74*$I$11,0))),0)</f>
        <v>293036.4807</v>
      </c>
      <c r="K73" s="552" t="str">
        <f>AVERAGE(#REF!)</f>
        <v>#REF!</v>
      </c>
      <c r="L73" s="296">
        <v>165187.5</v>
      </c>
      <c r="M73" s="553">
        <f>L73/$L$11</f>
        <v>472.639485</v>
      </c>
      <c r="N73" s="207" t="s">
        <v>23</v>
      </c>
      <c r="O73" s="73">
        <f>IF(N73="Delapidated",J73*0.6,IF(N73="Poor",J73*0.7,IF(N73="Fair",J73*0.8,IF(N73="Good",J73*0.85,IF(N73="Very Good",J73*0.9,IF(N73="Excellent",J73*1,IF(N73="Not Applicable",J73*1,0)))))))</f>
        <v>293036.4807</v>
      </c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hidden="1" customHeight="1">
      <c r="A74" s="34"/>
      <c r="B74" s="84"/>
      <c r="C74" s="79" t="s">
        <v>25</v>
      </c>
      <c r="D74" s="66"/>
      <c r="E74" s="67">
        <f>472.639484978541*D16</f>
        <v>586.0729614</v>
      </c>
      <c r="F74" s="67">
        <f t="shared" ref="F74:F75" si="28">E74/$F$16</f>
        <v>468.8583691</v>
      </c>
      <c r="G74" s="67">
        <f t="shared" ref="G74:G75" si="29">E74/$G$16</f>
        <v>443.9946677</v>
      </c>
      <c r="H74" s="77">
        <v>1.0</v>
      </c>
      <c r="I74" s="68"/>
      <c r="J74" s="70"/>
      <c r="K74" s="552"/>
      <c r="L74" s="296"/>
      <c r="M74" s="553"/>
      <c r="N74" s="17"/>
      <c r="O74" s="99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hidden="1" customHeight="1">
      <c r="A75" s="34"/>
      <c r="B75" s="85"/>
      <c r="C75" s="79" t="s">
        <v>26</v>
      </c>
      <c r="D75" s="66"/>
      <c r="E75" s="67">
        <v>0.0</v>
      </c>
      <c r="F75" s="67">
        <f t="shared" si="28"/>
        <v>0</v>
      </c>
      <c r="G75" s="67">
        <f t="shared" si="29"/>
        <v>0</v>
      </c>
      <c r="H75" s="77">
        <v>2.0</v>
      </c>
      <c r="I75" s="68"/>
      <c r="J75" s="70"/>
      <c r="K75" s="552"/>
      <c r="L75" s="296"/>
      <c r="M75" s="553"/>
      <c r="N75" s="250"/>
      <c r="O75" s="99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34"/>
      <c r="B76" s="83">
        <v>17.0</v>
      </c>
      <c r="C76" s="208" t="s">
        <v>164</v>
      </c>
      <c r="D76" s="66"/>
      <c r="E76" s="67"/>
      <c r="F76" s="67"/>
      <c r="G76" s="67"/>
      <c r="H76" s="77"/>
      <c r="I76" s="72" t="s">
        <v>25</v>
      </c>
      <c r="J76" s="70">
        <f>IF(I76="YES",IF(I12="2010-2013",G77*$I$11,IF(I12="2014-2021",F77*$I$11,IF(I12="2021-2023",E77*$I$11,0))),0)</f>
        <v>74400</v>
      </c>
      <c r="K76" s="552"/>
      <c r="L76" s="296"/>
      <c r="M76" s="553"/>
      <c r="N76" s="207" t="s">
        <v>23</v>
      </c>
      <c r="O76" s="73">
        <f>IF(N76="Delapidated",J76*0.6,IF(N76="Poor",J76*0.7,IF(N76="Fair",J76*0.8,IF(N76="Good",J76*0.85,IF(N76="Very Good",J76*0.9,IF(N76="Excellent",J76*1,IF(N76="Not Applicable",J76*1,0)))))))</f>
        <v>74400</v>
      </c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customHeight="1">
      <c r="A77" s="34"/>
      <c r="B77" s="84"/>
      <c r="C77" s="79" t="s">
        <v>25</v>
      </c>
      <c r="D77" s="66"/>
      <c r="E77" s="67">
        <f>120*D16</f>
        <v>148.8</v>
      </c>
      <c r="F77" s="67">
        <f t="shared" ref="F77:F78" si="30">E77/$F$16</f>
        <v>119.04</v>
      </c>
      <c r="G77" s="67">
        <f t="shared" ref="G77:G78" si="31">E77/$G$16</f>
        <v>112.7272727</v>
      </c>
      <c r="H77" s="77">
        <v>1.0</v>
      </c>
      <c r="I77" s="322"/>
      <c r="J77" s="70"/>
      <c r="K77" s="552"/>
      <c r="L77" s="296"/>
      <c r="M77" s="553"/>
      <c r="N77" s="17"/>
      <c r="O77" s="602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30.0" customHeight="1">
      <c r="A78" s="34"/>
      <c r="B78" s="85"/>
      <c r="C78" s="79" t="s">
        <v>26</v>
      </c>
      <c r="D78" s="66"/>
      <c r="E78" s="67">
        <v>0.0</v>
      </c>
      <c r="F78" s="67">
        <f t="shared" si="30"/>
        <v>0</v>
      </c>
      <c r="G78" s="67">
        <f t="shared" si="31"/>
        <v>0</v>
      </c>
      <c r="H78" s="77">
        <v>2.0</v>
      </c>
      <c r="I78" s="322"/>
      <c r="J78" s="648"/>
      <c r="K78" s="558"/>
      <c r="L78" s="305"/>
      <c r="M78" s="559"/>
      <c r="N78" s="34"/>
      <c r="O78" s="786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30.0" customHeight="1">
      <c r="A79" s="218"/>
      <c r="B79" s="375"/>
      <c r="C79" s="220"/>
      <c r="D79" s="221"/>
      <c r="E79" s="221"/>
      <c r="F79" s="221"/>
      <c r="G79" s="221"/>
      <c r="H79" s="222"/>
      <c r="I79" s="480"/>
      <c r="J79" s="45"/>
      <c r="K79" s="190"/>
      <c r="L79" s="224"/>
      <c r="M79" s="225"/>
      <c r="N79" s="612"/>
      <c r="O79" s="409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</row>
    <row r="80" ht="30.0" customHeight="1">
      <c r="A80" s="17"/>
      <c r="B80" s="219"/>
      <c r="C80" s="214" t="s">
        <v>69</v>
      </c>
      <c r="D80" s="338"/>
      <c r="E80" s="80"/>
      <c r="F80" s="67">
        <f t="shared" ref="F80:F82" si="32">E80/$F$16</f>
        <v>0</v>
      </c>
      <c r="G80" s="67">
        <f t="shared" ref="G80:G82" si="33">E80/$G$16</f>
        <v>0</v>
      </c>
      <c r="H80" s="735"/>
      <c r="I80" s="227">
        <v>50.0</v>
      </c>
      <c r="J80" s="228"/>
      <c r="K80" s="190"/>
      <c r="L80" s="191"/>
      <c r="M80" s="225"/>
      <c r="N80" s="193"/>
      <c r="O80" s="19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0.0" customHeight="1">
      <c r="A81" s="17"/>
      <c r="B81" s="44">
        <v>18.0</v>
      </c>
      <c r="C81" s="74" t="s">
        <v>70</v>
      </c>
      <c r="D81" s="338"/>
      <c r="E81" s="80"/>
      <c r="F81" s="67">
        <f t="shared" si="32"/>
        <v>0</v>
      </c>
      <c r="G81" s="67">
        <f t="shared" si="33"/>
        <v>0</v>
      </c>
      <c r="H81" s="78"/>
      <c r="I81" s="229" t="s">
        <v>25</v>
      </c>
      <c r="J81" s="70">
        <f>IF(I81="YES",IF(I12="2010-2013",G82*I80,IF(I12="2014-2021",F82*I80,IF(I12="2021-2023",E82*I80,0))),0)</f>
        <v>179800</v>
      </c>
      <c r="K81" s="552"/>
      <c r="L81" s="319"/>
      <c r="M81" s="553"/>
      <c r="N81" s="207" t="s">
        <v>23</v>
      </c>
      <c r="O81" s="73">
        <f>IF(N81="Delapidated",J81*0.6,IF(N81="Poor",J81*0.7,IF(N81="Fair",J81*0.8,IF(N81="Good",J81*0.85,IF(N81="Very Good",J81*0.9,IF(N81="Excellent",J81*1,IF(N81="Not Applicable",J81*1,0)))))))</f>
        <v>179800</v>
      </c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customHeight="1">
      <c r="A82" s="17"/>
      <c r="B82" s="219"/>
      <c r="C82" s="79" t="s">
        <v>25</v>
      </c>
      <c r="D82" s="338"/>
      <c r="E82" s="80">
        <f>2900*D16</f>
        <v>3596</v>
      </c>
      <c r="F82" s="67">
        <f t="shared" si="32"/>
        <v>2876.8</v>
      </c>
      <c r="G82" s="67">
        <f t="shared" si="33"/>
        <v>2724.242424</v>
      </c>
      <c r="H82" s="77">
        <v>1.0</v>
      </c>
      <c r="I82" s="78"/>
      <c r="J82" s="70"/>
      <c r="K82" s="552"/>
      <c r="L82" s="319"/>
      <c r="M82" s="553"/>
      <c r="N82" s="34"/>
      <c r="O82" s="675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customHeight="1">
      <c r="A83" s="17"/>
      <c r="B83" s="235"/>
      <c r="C83" s="236" t="s">
        <v>26</v>
      </c>
      <c r="D83" s="338"/>
      <c r="E83" s="80"/>
      <c r="F83" s="80"/>
      <c r="G83" s="80"/>
      <c r="H83" s="77">
        <v>2.0</v>
      </c>
      <c r="I83" s="86"/>
      <c r="J83" s="70"/>
      <c r="K83" s="552"/>
      <c r="L83" s="319"/>
      <c r="M83" s="553"/>
      <c r="N83" s="17"/>
      <c r="O83" s="745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0.0" customHeight="1">
      <c r="A84" s="250"/>
      <c r="B84" s="340"/>
      <c r="C84" s="570"/>
      <c r="D84" s="728"/>
      <c r="E84" s="728"/>
      <c r="F84" s="728"/>
      <c r="G84" s="728"/>
      <c r="H84" s="339"/>
      <c r="I84" s="342"/>
      <c r="J84" s="737"/>
      <c r="K84" s="644"/>
      <c r="L84" s="191"/>
      <c r="M84" s="225"/>
      <c r="N84" s="250"/>
      <c r="O84" s="787"/>
      <c r="P84" s="250"/>
      <c r="Q84" s="250"/>
      <c r="R84" s="250"/>
      <c r="S84" s="250"/>
      <c r="T84" s="250"/>
      <c r="U84" s="250"/>
      <c r="V84" s="250"/>
      <c r="W84" s="250"/>
      <c r="X84" s="250"/>
      <c r="Y84" s="250"/>
      <c r="Z84" s="250"/>
    </row>
    <row r="85" ht="30.0" customHeight="1">
      <c r="A85" s="17"/>
      <c r="B85" s="340"/>
      <c r="C85" s="17"/>
      <c r="D85" s="341"/>
      <c r="E85" s="341">
        <v>4582.22460658083</v>
      </c>
      <c r="F85" s="341"/>
      <c r="G85" s="341"/>
      <c r="H85" s="664"/>
      <c r="I85" s="340" t="s">
        <v>143</v>
      </c>
      <c r="J85" s="265">
        <f>SUM(J17:J81)</f>
        <v>3048198.247</v>
      </c>
      <c r="K85" s="552" t="str">
        <f>AVERAGE(#REF!)</f>
        <v>#REF!</v>
      </c>
      <c r="L85" s="319">
        <v>1601487.5</v>
      </c>
      <c r="M85" s="553">
        <f>L85/$L$11</f>
        <v>4582.224607</v>
      </c>
      <c r="N85" s="17"/>
      <c r="O85" s="266">
        <f>SUM(O17:O81)</f>
        <v>3048198.247</v>
      </c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250"/>
      <c r="B86" s="340"/>
      <c r="C86" s="250"/>
      <c r="D86" s="728"/>
      <c r="E86" s="728"/>
      <c r="F86" s="728"/>
      <c r="G86" s="728"/>
      <c r="H86" s="339"/>
      <c r="I86" s="340"/>
      <c r="J86" s="714"/>
      <c r="K86" s="644"/>
      <c r="L86" s="191"/>
      <c r="M86" s="225"/>
      <c r="N86" s="17"/>
      <c r="O86" s="115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</row>
    <row r="87" ht="30.0" customHeight="1">
      <c r="A87" s="147"/>
      <c r="B87" s="343"/>
      <c r="C87" s="17"/>
      <c r="D87" s="344"/>
      <c r="E87" s="344"/>
      <c r="F87" s="344"/>
      <c r="G87" s="344"/>
      <c r="H87" s="345"/>
      <c r="I87" s="138" t="s">
        <v>131</v>
      </c>
      <c r="J87" s="265">
        <f>J85/I11</f>
        <v>6096.396494</v>
      </c>
      <c r="K87" s="552" t="str">
        <f>AVERAGE(#REF!)</f>
        <v>#REF!</v>
      </c>
      <c r="L87" s="319">
        <v>4517.23173311765</v>
      </c>
      <c r="M87" s="550"/>
      <c r="N87" s="17"/>
      <c r="O87" s="266">
        <f>O85/I11</f>
        <v>6096.396494</v>
      </c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</row>
    <row r="88" ht="12.0" customHeight="1">
      <c r="B88" s="1"/>
      <c r="J88" s="2"/>
      <c r="N88" s="147"/>
      <c r="O88" s="261"/>
    </row>
    <row r="89" ht="45.75" customHeight="1">
      <c r="B89" s="1"/>
      <c r="C89" s="574"/>
      <c r="J89" s="2"/>
      <c r="O89" s="2"/>
    </row>
    <row r="90" ht="12.0" customHeight="1">
      <c r="B90" s="1"/>
      <c r="J90" s="2"/>
      <c r="O90" s="2"/>
    </row>
    <row r="91" ht="12.0" customHeight="1">
      <c r="B91" s="1"/>
      <c r="J91" s="2"/>
      <c r="O91" s="2"/>
    </row>
    <row r="92" ht="12.0" customHeight="1">
      <c r="B92" s="1"/>
      <c r="J92" s="2"/>
      <c r="O92" s="2"/>
    </row>
    <row r="93" ht="12.0" customHeight="1">
      <c r="B93" s="1"/>
      <c r="J93" s="2"/>
      <c r="O93" s="2"/>
    </row>
    <row r="94" ht="12.0" customHeight="1">
      <c r="B94" s="1"/>
      <c r="J94" s="2"/>
      <c r="O94" s="2"/>
    </row>
    <row r="95" ht="12.0" customHeight="1">
      <c r="B95" s="1"/>
      <c r="J95" s="2"/>
      <c r="O95" s="2"/>
    </row>
    <row r="96" ht="12.0" customHeight="1">
      <c r="B96" s="1"/>
      <c r="J96" s="2"/>
      <c r="O96" s="2"/>
    </row>
    <row r="97" ht="12.0" customHeight="1">
      <c r="B97" s="1"/>
      <c r="J97" s="2"/>
      <c r="O97" s="2"/>
    </row>
    <row r="98" ht="12.0" customHeight="1">
      <c r="B98" s="1"/>
      <c r="J98" s="2"/>
      <c r="O98" s="2"/>
    </row>
    <row r="99" ht="12.0" customHeight="1">
      <c r="B99" s="1"/>
      <c r="J99" s="2"/>
      <c r="O99" s="2"/>
    </row>
    <row r="100" ht="12.0" customHeight="1">
      <c r="B100" s="1"/>
      <c r="J100" s="2"/>
      <c r="O100" s="2"/>
    </row>
    <row r="101" ht="12.0" customHeight="1">
      <c r="B101" s="1"/>
      <c r="J101" s="2"/>
      <c r="O101" s="2"/>
    </row>
    <row r="102" ht="12.0" customHeight="1">
      <c r="B102" s="1"/>
      <c r="J102" s="2"/>
      <c r="O102" s="2"/>
    </row>
    <row r="103" ht="12.0" customHeight="1">
      <c r="B103" s="1"/>
      <c r="J103" s="2"/>
      <c r="O103" s="2"/>
    </row>
    <row r="104" ht="12.0" customHeight="1">
      <c r="B104" s="1"/>
      <c r="J104" s="2"/>
      <c r="O104" s="2"/>
    </row>
    <row r="105" ht="12.0" customHeight="1">
      <c r="B105" s="1"/>
      <c r="J105" s="2"/>
      <c r="O105" s="2"/>
    </row>
    <row r="106" ht="12.0" customHeight="1">
      <c r="B106" s="1"/>
      <c r="J106" s="2"/>
      <c r="O106" s="2"/>
    </row>
    <row r="107" ht="12.0" customHeight="1">
      <c r="B107" s="1"/>
      <c r="J107" s="2"/>
      <c r="O107" s="2"/>
    </row>
    <row r="108" ht="12.0" customHeight="1">
      <c r="B108" s="1"/>
      <c r="J108" s="2"/>
      <c r="O108" s="2"/>
    </row>
    <row r="109" ht="12.0" customHeight="1">
      <c r="B109" s="1"/>
      <c r="J109" s="2"/>
      <c r="O109" s="2"/>
    </row>
    <row r="110" ht="12.0" customHeight="1">
      <c r="B110" s="1"/>
      <c r="J110" s="2"/>
      <c r="O110" s="2"/>
    </row>
    <row r="111" ht="12.0" customHeight="1">
      <c r="B111" s="1"/>
      <c r="J111" s="2"/>
      <c r="O111" s="2"/>
    </row>
    <row r="112" ht="12.0" customHeight="1">
      <c r="B112" s="1"/>
      <c r="J112" s="2"/>
      <c r="O112" s="2"/>
    </row>
    <row r="113" ht="12.0" customHeight="1">
      <c r="B113" s="1"/>
      <c r="J113" s="2"/>
      <c r="O113" s="2"/>
    </row>
    <row r="114" ht="12.0" customHeight="1">
      <c r="B114" s="1"/>
      <c r="J114" s="2"/>
      <c r="O114" s="2"/>
    </row>
    <row r="115" ht="12.0" customHeight="1">
      <c r="B115" s="1"/>
      <c r="J115" s="2"/>
      <c r="O115" s="2"/>
    </row>
    <row r="116" ht="12.0" customHeight="1">
      <c r="B116" s="1"/>
      <c r="J116" s="2"/>
      <c r="O116" s="2"/>
    </row>
    <row r="117" ht="12.0" customHeight="1">
      <c r="B117" s="1"/>
      <c r="J117" s="2"/>
      <c r="O117" s="2"/>
    </row>
    <row r="118" ht="12.0" customHeight="1">
      <c r="B118" s="1"/>
      <c r="J118" s="2"/>
      <c r="O118" s="2"/>
    </row>
    <row r="119" ht="12.0" customHeight="1">
      <c r="B119" s="1"/>
      <c r="J119" s="2"/>
      <c r="O119" s="2"/>
    </row>
    <row r="120" ht="12.0" customHeight="1">
      <c r="B120" s="1"/>
      <c r="J120" s="2"/>
      <c r="O120" s="2"/>
    </row>
    <row r="121" ht="12.0" customHeight="1">
      <c r="B121" s="1"/>
      <c r="J121" s="2"/>
      <c r="O121" s="2"/>
    </row>
    <row r="122" ht="12.0" customHeight="1">
      <c r="B122" s="1"/>
      <c r="J122" s="2"/>
      <c r="O122" s="2"/>
    </row>
    <row r="123" ht="12.0" customHeight="1">
      <c r="B123" s="1"/>
      <c r="J123" s="2"/>
      <c r="O123" s="2"/>
    </row>
    <row r="124" ht="12.0" customHeight="1">
      <c r="B124" s="1"/>
      <c r="J124" s="2"/>
      <c r="O124" s="2"/>
    </row>
    <row r="125" ht="12.0" customHeight="1">
      <c r="B125" s="1"/>
      <c r="J125" s="2"/>
      <c r="O125" s="2"/>
    </row>
    <row r="126" ht="12.0" customHeight="1">
      <c r="B126" s="1"/>
      <c r="J126" s="2"/>
      <c r="O126" s="2"/>
    </row>
    <row r="127" ht="12.0" customHeight="1">
      <c r="B127" s="1"/>
      <c r="J127" s="2"/>
      <c r="O127" s="2"/>
    </row>
    <row r="128" ht="12.0" customHeight="1">
      <c r="B128" s="1"/>
      <c r="J128" s="2"/>
      <c r="O128" s="2"/>
    </row>
    <row r="129" ht="12.0" customHeight="1">
      <c r="B129" s="1"/>
      <c r="J129" s="2"/>
      <c r="O129" s="2"/>
    </row>
    <row r="130" ht="12.0" customHeight="1">
      <c r="B130" s="1"/>
      <c r="J130" s="2"/>
      <c r="O130" s="2"/>
    </row>
    <row r="131" ht="12.0" customHeight="1">
      <c r="B131" s="1"/>
      <c r="J131" s="2"/>
      <c r="O131" s="2"/>
    </row>
    <row r="132" ht="12.0" customHeight="1">
      <c r="B132" s="1"/>
      <c r="J132" s="2"/>
      <c r="O132" s="2"/>
    </row>
    <row r="133" ht="12.0" customHeight="1">
      <c r="B133" s="1"/>
      <c r="J133" s="2"/>
      <c r="O133" s="2"/>
    </row>
    <row r="134" ht="12.0" customHeight="1">
      <c r="B134" s="1"/>
      <c r="J134" s="2"/>
      <c r="O134" s="2"/>
    </row>
    <row r="135" ht="12.0" customHeight="1">
      <c r="B135" s="1"/>
      <c r="J135" s="2"/>
      <c r="O135" s="2"/>
    </row>
    <row r="136" ht="12.0" customHeight="1">
      <c r="B136" s="1"/>
      <c r="J136" s="2"/>
      <c r="O136" s="2"/>
    </row>
    <row r="137" ht="12.0" customHeight="1">
      <c r="B137" s="1"/>
      <c r="J137" s="2"/>
      <c r="O137" s="2"/>
    </row>
    <row r="138" ht="12.0" customHeight="1">
      <c r="B138" s="1"/>
      <c r="J138" s="2"/>
      <c r="O138" s="2"/>
    </row>
    <row r="139" ht="12.0" customHeight="1">
      <c r="B139" s="1"/>
      <c r="J139" s="2"/>
      <c r="O139" s="2"/>
    </row>
    <row r="140" ht="12.0" customHeight="1">
      <c r="B140" s="1"/>
      <c r="J140" s="2"/>
      <c r="O140" s="2"/>
    </row>
    <row r="141" ht="12.0" customHeight="1">
      <c r="B141" s="1"/>
      <c r="J141" s="2"/>
      <c r="O141" s="2"/>
    </row>
    <row r="142" ht="12.0" customHeight="1">
      <c r="B142" s="1"/>
      <c r="J142" s="2"/>
      <c r="O142" s="2"/>
    </row>
    <row r="143" ht="12.0" customHeight="1">
      <c r="B143" s="1"/>
      <c r="J143" s="2"/>
      <c r="O143" s="2"/>
    </row>
    <row r="144" ht="12.0" customHeight="1">
      <c r="B144" s="1"/>
      <c r="J144" s="2"/>
      <c r="O144" s="2"/>
    </row>
    <row r="145" ht="12.0" customHeight="1">
      <c r="B145" s="1"/>
      <c r="J145" s="2"/>
      <c r="O145" s="2"/>
    </row>
    <row r="146" ht="12.0" customHeight="1">
      <c r="B146" s="1"/>
      <c r="J146" s="2"/>
      <c r="O146" s="2"/>
    </row>
    <row r="147" ht="12.0" customHeight="1">
      <c r="B147" s="1"/>
      <c r="J147" s="2"/>
      <c r="O147" s="2"/>
    </row>
    <row r="148" ht="12.0" customHeight="1">
      <c r="B148" s="1"/>
      <c r="J148" s="2"/>
      <c r="O148" s="2"/>
    </row>
    <row r="149" ht="12.0" customHeight="1">
      <c r="B149" s="1"/>
      <c r="J149" s="2"/>
      <c r="O149" s="2"/>
    </row>
    <row r="150" ht="12.0" customHeight="1">
      <c r="B150" s="1"/>
      <c r="J150" s="2"/>
      <c r="O150" s="2"/>
    </row>
    <row r="151" ht="12.0" customHeight="1">
      <c r="B151" s="1"/>
      <c r="J151" s="2"/>
      <c r="O151" s="2"/>
    </row>
    <row r="152" ht="12.0" customHeight="1">
      <c r="B152" s="1"/>
      <c r="J152" s="2"/>
      <c r="O152" s="2"/>
    </row>
    <row r="153" ht="12.0" customHeight="1">
      <c r="B153" s="1"/>
      <c r="J153" s="2"/>
      <c r="O153" s="2"/>
    </row>
    <row r="154" ht="12.0" customHeight="1">
      <c r="B154" s="1"/>
      <c r="J154" s="2"/>
      <c r="O154" s="2"/>
    </row>
    <row r="155" ht="12.0" customHeight="1">
      <c r="B155" s="1"/>
      <c r="J155" s="2"/>
      <c r="O155" s="2"/>
    </row>
    <row r="156" ht="12.0" customHeight="1">
      <c r="B156" s="1"/>
      <c r="J156" s="2"/>
      <c r="O156" s="2"/>
    </row>
    <row r="157" ht="12.0" customHeight="1">
      <c r="B157" s="1"/>
      <c r="J157" s="2"/>
      <c r="O157" s="2"/>
    </row>
    <row r="158" ht="12.0" customHeight="1">
      <c r="B158" s="1"/>
      <c r="J158" s="2"/>
      <c r="O158" s="2"/>
    </row>
    <row r="159" ht="12.0" customHeight="1">
      <c r="B159" s="1"/>
      <c r="J159" s="2"/>
      <c r="O159" s="2"/>
    </row>
    <row r="160" ht="12.0" customHeight="1">
      <c r="B160" s="1"/>
      <c r="J160" s="2"/>
      <c r="O160" s="2"/>
    </row>
    <row r="161" ht="12.0" customHeight="1">
      <c r="B161" s="1"/>
      <c r="J161" s="2"/>
      <c r="O161" s="2"/>
    </row>
    <row r="162" ht="12.0" customHeight="1">
      <c r="B162" s="1"/>
      <c r="J162" s="2"/>
      <c r="O162" s="2"/>
    </row>
    <row r="163" ht="12.0" customHeight="1">
      <c r="B163" s="1"/>
      <c r="J163" s="2"/>
      <c r="O163" s="2"/>
    </row>
    <row r="164" ht="12.0" customHeight="1">
      <c r="B164" s="1"/>
      <c r="J164" s="2"/>
      <c r="O164" s="2"/>
    </row>
    <row r="165" ht="12.0" customHeight="1">
      <c r="B165" s="1"/>
      <c r="J165" s="2"/>
      <c r="O165" s="2"/>
    </row>
    <row r="166" ht="12.0" customHeight="1">
      <c r="B166" s="1"/>
      <c r="J166" s="2"/>
      <c r="O166" s="2"/>
    </row>
    <row r="167" ht="12.0" customHeight="1">
      <c r="B167" s="1"/>
      <c r="J167" s="2"/>
      <c r="O167" s="2"/>
    </row>
    <row r="168" ht="12.0" customHeight="1">
      <c r="B168" s="1"/>
      <c r="J168" s="2"/>
      <c r="O168" s="2"/>
    </row>
    <row r="169" ht="12.0" customHeight="1">
      <c r="B169" s="1"/>
      <c r="J169" s="2"/>
      <c r="O169" s="2"/>
    </row>
    <row r="170" ht="12.0" customHeight="1">
      <c r="B170" s="1"/>
      <c r="J170" s="2"/>
      <c r="O170" s="2"/>
    </row>
    <row r="171" ht="12.0" customHeight="1">
      <c r="B171" s="1"/>
      <c r="J171" s="2"/>
      <c r="O171" s="2"/>
    </row>
    <row r="172" ht="12.0" customHeight="1">
      <c r="B172" s="1"/>
      <c r="J172" s="2"/>
      <c r="O172" s="2"/>
    </row>
    <row r="173" ht="12.0" customHeight="1">
      <c r="B173" s="1"/>
      <c r="J173" s="2"/>
      <c r="O173" s="2"/>
    </row>
    <row r="174" ht="12.0" customHeight="1">
      <c r="B174" s="1"/>
      <c r="J174" s="2"/>
      <c r="O174" s="2"/>
    </row>
    <row r="175" ht="12.0" customHeight="1">
      <c r="B175" s="1"/>
      <c r="J175" s="2"/>
      <c r="O175" s="2"/>
    </row>
    <row r="176" ht="12.0" customHeight="1">
      <c r="B176" s="1"/>
      <c r="J176" s="2"/>
      <c r="O176" s="2"/>
    </row>
    <row r="177" ht="12.0" customHeight="1">
      <c r="B177" s="1"/>
      <c r="J177" s="2"/>
      <c r="O177" s="2"/>
    </row>
    <row r="178" ht="12.0" customHeight="1">
      <c r="B178" s="1"/>
      <c r="J178" s="2"/>
      <c r="O178" s="2"/>
    </row>
    <row r="179" ht="12.0" customHeight="1">
      <c r="B179" s="1"/>
      <c r="J179" s="2"/>
      <c r="O179" s="2"/>
    </row>
    <row r="180" ht="12.0" customHeight="1">
      <c r="B180" s="1"/>
      <c r="J180" s="2"/>
      <c r="O180" s="2"/>
    </row>
    <row r="181" ht="12.0" customHeight="1">
      <c r="B181" s="1"/>
      <c r="J181" s="2"/>
      <c r="O181" s="2"/>
    </row>
    <row r="182" ht="12.0" customHeight="1">
      <c r="B182" s="1"/>
      <c r="J182" s="2"/>
      <c r="O182" s="2"/>
    </row>
    <row r="183" ht="12.0" customHeight="1">
      <c r="B183" s="1"/>
      <c r="J183" s="2"/>
      <c r="O183" s="2"/>
    </row>
    <row r="184" ht="12.0" customHeight="1">
      <c r="B184" s="1"/>
      <c r="J184" s="2"/>
      <c r="O184" s="2"/>
    </row>
    <row r="185" ht="12.0" customHeight="1">
      <c r="B185" s="1"/>
      <c r="J185" s="2"/>
      <c r="O185" s="2"/>
    </row>
    <row r="186" ht="12.0" customHeight="1">
      <c r="B186" s="1"/>
      <c r="J186" s="2"/>
      <c r="O186" s="2"/>
    </row>
    <row r="187" ht="12.0" customHeight="1">
      <c r="B187" s="1"/>
      <c r="J187" s="2"/>
      <c r="O187" s="2"/>
    </row>
    <row r="188" ht="12.0" customHeight="1">
      <c r="B188" s="1"/>
      <c r="J188" s="2"/>
      <c r="O188" s="2"/>
    </row>
    <row r="189" ht="12.0" customHeight="1">
      <c r="B189" s="1"/>
      <c r="J189" s="2"/>
      <c r="O189" s="2"/>
    </row>
    <row r="190" ht="12.0" customHeight="1">
      <c r="B190" s="1"/>
      <c r="J190" s="2"/>
      <c r="O190" s="2"/>
    </row>
    <row r="191" ht="12.0" customHeight="1">
      <c r="B191" s="1"/>
      <c r="J191" s="2"/>
      <c r="O191" s="2"/>
    </row>
    <row r="192" ht="12.0" customHeight="1">
      <c r="B192" s="1"/>
      <c r="J192" s="2"/>
      <c r="O192" s="2"/>
    </row>
    <row r="193" ht="12.0" customHeight="1">
      <c r="B193" s="1"/>
      <c r="J193" s="2"/>
      <c r="O193" s="2"/>
    </row>
    <row r="194" ht="12.0" customHeight="1">
      <c r="B194" s="1"/>
      <c r="J194" s="2"/>
      <c r="O194" s="2"/>
    </row>
    <row r="195" ht="12.0" customHeight="1">
      <c r="B195" s="1"/>
      <c r="J195" s="2"/>
      <c r="O195" s="2"/>
    </row>
    <row r="196" ht="12.0" customHeight="1">
      <c r="B196" s="1"/>
      <c r="J196" s="2"/>
      <c r="O196" s="2"/>
    </row>
    <row r="197" ht="12.0" customHeight="1">
      <c r="B197" s="1"/>
      <c r="J197" s="2"/>
      <c r="O197" s="2"/>
    </row>
    <row r="198" ht="12.0" customHeight="1">
      <c r="B198" s="1"/>
      <c r="J198" s="2"/>
      <c r="O198" s="2"/>
    </row>
    <row r="199" ht="12.0" customHeight="1">
      <c r="B199" s="1"/>
      <c r="J199" s="2"/>
      <c r="O199" s="2"/>
    </row>
    <row r="200" ht="12.0" customHeight="1">
      <c r="B200" s="1"/>
      <c r="J200" s="2"/>
      <c r="O200" s="2"/>
    </row>
    <row r="201" ht="12.0" customHeight="1">
      <c r="B201" s="1"/>
      <c r="J201" s="2"/>
      <c r="O201" s="2"/>
    </row>
    <row r="202" ht="12.0" customHeight="1">
      <c r="B202" s="1"/>
      <c r="J202" s="2"/>
      <c r="O202" s="2"/>
    </row>
    <row r="203" ht="12.0" customHeight="1">
      <c r="B203" s="1"/>
      <c r="J203" s="2"/>
      <c r="O203" s="2"/>
    </row>
    <row r="204" ht="12.0" customHeight="1">
      <c r="B204" s="1"/>
      <c r="J204" s="2"/>
      <c r="O204" s="2"/>
    </row>
    <row r="205" ht="12.0" customHeight="1">
      <c r="B205" s="1"/>
      <c r="J205" s="2"/>
      <c r="O205" s="2"/>
    </row>
    <row r="206" ht="12.0" customHeight="1">
      <c r="B206" s="1"/>
      <c r="J206" s="2"/>
      <c r="O206" s="2"/>
    </row>
    <row r="207" ht="12.0" customHeight="1">
      <c r="B207" s="1"/>
      <c r="J207" s="2"/>
      <c r="O207" s="2"/>
    </row>
    <row r="208" ht="12.0" customHeight="1">
      <c r="B208" s="1"/>
      <c r="J208" s="2"/>
      <c r="O208" s="2"/>
    </row>
    <row r="209" ht="12.0" customHeight="1">
      <c r="B209" s="1"/>
      <c r="J209" s="2"/>
      <c r="O209" s="2"/>
    </row>
    <row r="210" ht="12.0" customHeight="1">
      <c r="B210" s="1"/>
      <c r="J210" s="2"/>
      <c r="O210" s="2"/>
    </row>
    <row r="211" ht="12.0" customHeight="1">
      <c r="B211" s="1"/>
      <c r="J211" s="2"/>
      <c r="O211" s="2"/>
    </row>
    <row r="212" ht="12.0" customHeight="1">
      <c r="B212" s="1"/>
      <c r="J212" s="2"/>
      <c r="O212" s="2"/>
    </row>
    <row r="213" ht="12.0" customHeight="1">
      <c r="B213" s="1"/>
      <c r="J213" s="2"/>
      <c r="O213" s="2"/>
    </row>
    <row r="214" ht="12.0" customHeight="1">
      <c r="B214" s="1"/>
      <c r="J214" s="2"/>
      <c r="O214" s="2"/>
    </row>
    <row r="215" ht="12.0" customHeight="1">
      <c r="B215" s="1"/>
      <c r="J215" s="2"/>
      <c r="O215" s="2"/>
    </row>
    <row r="216" ht="12.0" customHeight="1">
      <c r="B216" s="1"/>
      <c r="J216" s="2"/>
      <c r="O216" s="2"/>
    </row>
    <row r="217" ht="12.0" customHeight="1">
      <c r="B217" s="1"/>
      <c r="J217" s="2"/>
      <c r="O217" s="2"/>
    </row>
    <row r="218" ht="12.0" customHeight="1">
      <c r="B218" s="1"/>
      <c r="J218" s="2"/>
      <c r="O218" s="2"/>
    </row>
    <row r="219" ht="12.0" customHeight="1">
      <c r="B219" s="1"/>
      <c r="J219" s="2"/>
      <c r="O219" s="2"/>
    </row>
    <row r="220" ht="12.0" customHeight="1">
      <c r="B220" s="1"/>
      <c r="J220" s="2"/>
      <c r="O220" s="2"/>
    </row>
    <row r="221" ht="12.0" customHeight="1">
      <c r="B221" s="1"/>
      <c r="J221" s="2"/>
      <c r="O221" s="2"/>
    </row>
    <row r="222" ht="12.0" customHeight="1">
      <c r="B222" s="1"/>
      <c r="J222" s="2"/>
      <c r="O222" s="2"/>
    </row>
    <row r="223" ht="12.0" customHeight="1">
      <c r="B223" s="1"/>
      <c r="J223" s="2"/>
      <c r="O223" s="2"/>
    </row>
    <row r="224" ht="12.0" customHeight="1">
      <c r="B224" s="1"/>
      <c r="J224" s="2"/>
      <c r="O224" s="2"/>
    </row>
    <row r="225" ht="12.0" customHeight="1">
      <c r="B225" s="1"/>
      <c r="J225" s="2"/>
      <c r="O225" s="2"/>
    </row>
    <row r="226" ht="12.0" customHeight="1">
      <c r="B226" s="1"/>
      <c r="J226" s="2"/>
      <c r="O226" s="2"/>
    </row>
    <row r="227" ht="12.0" customHeight="1">
      <c r="B227" s="1"/>
      <c r="J227" s="2"/>
      <c r="O227" s="2"/>
    </row>
    <row r="228" ht="12.0" customHeight="1">
      <c r="B228" s="1"/>
      <c r="J228" s="2"/>
      <c r="O228" s="2"/>
    </row>
    <row r="229" ht="12.0" customHeight="1">
      <c r="B229" s="1"/>
      <c r="J229" s="2"/>
      <c r="O229" s="2"/>
    </row>
    <row r="230" ht="12.0" customHeight="1">
      <c r="B230" s="1"/>
      <c r="J230" s="2"/>
      <c r="O230" s="2"/>
    </row>
    <row r="231" ht="12.0" customHeight="1">
      <c r="B231" s="1"/>
      <c r="J231" s="2"/>
      <c r="O231" s="2"/>
    </row>
    <row r="232" ht="12.0" customHeight="1">
      <c r="B232" s="1"/>
      <c r="J232" s="2"/>
      <c r="O232" s="2"/>
    </row>
    <row r="233" ht="12.0" customHeight="1">
      <c r="B233" s="1"/>
      <c r="J233" s="2"/>
      <c r="O233" s="2"/>
    </row>
    <row r="234" ht="12.0" customHeight="1">
      <c r="B234" s="1"/>
      <c r="J234" s="2"/>
      <c r="O234" s="2"/>
    </row>
    <row r="235" ht="12.0" customHeight="1">
      <c r="B235" s="1"/>
      <c r="J235" s="2"/>
      <c r="O235" s="2"/>
    </row>
    <row r="236" ht="12.0" customHeight="1">
      <c r="B236" s="1"/>
      <c r="J236" s="2"/>
      <c r="O236" s="2"/>
    </row>
    <row r="237" ht="12.0" customHeight="1">
      <c r="B237" s="1"/>
      <c r="J237" s="2"/>
      <c r="O237" s="2"/>
    </row>
    <row r="238" ht="12.0" customHeight="1">
      <c r="B238" s="1"/>
      <c r="J238" s="2"/>
      <c r="O238" s="2"/>
    </row>
    <row r="239" ht="12.0" customHeight="1">
      <c r="B239" s="1"/>
      <c r="J239" s="2"/>
      <c r="O239" s="2"/>
    </row>
    <row r="240" ht="12.0" customHeight="1">
      <c r="B240" s="1"/>
      <c r="J240" s="2"/>
      <c r="O240" s="2"/>
    </row>
    <row r="241" ht="12.0" customHeight="1">
      <c r="B241" s="1"/>
      <c r="J241" s="2"/>
      <c r="O241" s="2"/>
    </row>
    <row r="242" ht="12.0" customHeight="1">
      <c r="B242" s="1"/>
      <c r="J242" s="2"/>
      <c r="O242" s="2"/>
    </row>
    <row r="243" ht="12.0" customHeight="1">
      <c r="B243" s="1"/>
      <c r="J243" s="2"/>
      <c r="O243" s="2"/>
    </row>
    <row r="244" ht="12.0" customHeight="1">
      <c r="B244" s="1"/>
      <c r="J244" s="2"/>
      <c r="O244" s="2"/>
    </row>
    <row r="245" ht="12.0" customHeight="1">
      <c r="B245" s="1"/>
      <c r="J245" s="2"/>
      <c r="O245" s="2"/>
    </row>
    <row r="246" ht="12.0" customHeight="1">
      <c r="B246" s="1"/>
      <c r="J246" s="2"/>
      <c r="O246" s="2"/>
    </row>
    <row r="247" ht="12.0" customHeight="1">
      <c r="B247" s="1"/>
      <c r="J247" s="2"/>
      <c r="O247" s="2"/>
    </row>
    <row r="248" ht="12.0" customHeight="1">
      <c r="B248" s="1"/>
      <c r="J248" s="2"/>
      <c r="O248" s="2"/>
    </row>
    <row r="249" ht="12.0" customHeight="1">
      <c r="B249" s="1"/>
      <c r="J249" s="2"/>
      <c r="O249" s="2"/>
    </row>
    <row r="250" ht="12.0" customHeight="1">
      <c r="B250" s="1"/>
      <c r="J250" s="2"/>
      <c r="O250" s="2"/>
    </row>
    <row r="251" ht="12.0" customHeight="1">
      <c r="B251" s="1"/>
      <c r="J251" s="2"/>
      <c r="O251" s="2"/>
    </row>
    <row r="252" ht="12.0" customHeight="1">
      <c r="B252" s="1"/>
      <c r="J252" s="2"/>
      <c r="O252" s="2"/>
    </row>
    <row r="253" ht="12.0" customHeight="1">
      <c r="B253" s="1"/>
      <c r="J253" s="2"/>
      <c r="O253" s="2"/>
    </row>
    <row r="254" ht="12.0" customHeight="1">
      <c r="B254" s="1"/>
      <c r="J254" s="2"/>
      <c r="O254" s="2"/>
    </row>
    <row r="255" ht="12.0" customHeight="1">
      <c r="B255" s="1"/>
      <c r="J255" s="2"/>
      <c r="O255" s="2"/>
    </row>
    <row r="256" ht="12.0" customHeight="1">
      <c r="B256" s="1"/>
      <c r="J256" s="2"/>
      <c r="O256" s="2"/>
    </row>
    <row r="257" ht="12.0" customHeight="1">
      <c r="B257" s="1"/>
      <c r="J257" s="2"/>
      <c r="O257" s="2"/>
    </row>
    <row r="258" ht="12.0" customHeight="1">
      <c r="B258" s="1"/>
      <c r="J258" s="2"/>
      <c r="O258" s="2"/>
    </row>
    <row r="259" ht="12.0" customHeight="1">
      <c r="B259" s="1"/>
      <c r="J259" s="2"/>
      <c r="O259" s="2"/>
    </row>
    <row r="260" ht="12.0" customHeight="1">
      <c r="B260" s="1"/>
      <c r="J260" s="2"/>
      <c r="O260" s="2"/>
    </row>
    <row r="261" ht="12.0" customHeight="1">
      <c r="B261" s="1"/>
      <c r="J261" s="2"/>
      <c r="O261" s="2"/>
    </row>
    <row r="262" ht="12.0" customHeight="1">
      <c r="B262" s="1"/>
      <c r="J262" s="2"/>
      <c r="O262" s="2"/>
    </row>
    <row r="263" ht="12.0" customHeight="1">
      <c r="B263" s="1"/>
      <c r="J263" s="2"/>
      <c r="O263" s="2"/>
    </row>
    <row r="264" ht="12.0" customHeight="1">
      <c r="B264" s="1"/>
      <c r="J264" s="2"/>
      <c r="O264" s="2"/>
    </row>
    <row r="265" ht="12.0" customHeight="1">
      <c r="B265" s="1"/>
      <c r="J265" s="2"/>
      <c r="O265" s="2"/>
    </row>
    <row r="266" ht="12.0" customHeight="1">
      <c r="B266" s="1"/>
      <c r="J266" s="2"/>
      <c r="O266" s="2"/>
    </row>
    <row r="267" ht="12.0" customHeight="1">
      <c r="B267" s="1"/>
      <c r="J267" s="2"/>
      <c r="O267" s="2"/>
    </row>
    <row r="268" ht="12.0" customHeight="1">
      <c r="B268" s="1"/>
      <c r="J268" s="2"/>
      <c r="O268" s="2"/>
    </row>
    <row r="269" ht="12.0" customHeight="1">
      <c r="B269" s="1"/>
      <c r="J269" s="2"/>
      <c r="O269" s="2"/>
    </row>
    <row r="270" ht="12.0" customHeight="1">
      <c r="B270" s="1"/>
      <c r="J270" s="2"/>
      <c r="O270" s="2"/>
    </row>
    <row r="271" ht="12.0" customHeight="1">
      <c r="B271" s="1"/>
      <c r="J271" s="2"/>
      <c r="O271" s="2"/>
    </row>
    <row r="272" ht="12.0" customHeight="1">
      <c r="B272" s="1"/>
      <c r="J272" s="2"/>
      <c r="O272" s="2"/>
    </row>
    <row r="273" ht="12.0" customHeight="1">
      <c r="B273" s="1"/>
      <c r="J273" s="2"/>
      <c r="O273" s="2"/>
    </row>
    <row r="274" ht="12.0" customHeight="1">
      <c r="B274" s="1"/>
      <c r="J274" s="2"/>
      <c r="O274" s="2"/>
    </row>
    <row r="275" ht="12.0" customHeight="1">
      <c r="B275" s="1"/>
      <c r="J275" s="2"/>
      <c r="O275" s="2"/>
    </row>
    <row r="276" ht="12.0" customHeight="1">
      <c r="B276" s="1"/>
      <c r="J276" s="2"/>
      <c r="O276" s="2"/>
    </row>
    <row r="277" ht="12.0" customHeight="1">
      <c r="B277" s="1"/>
      <c r="J277" s="2"/>
      <c r="O277" s="2"/>
    </row>
    <row r="278" ht="12.0" customHeight="1">
      <c r="B278" s="1"/>
      <c r="J278" s="2"/>
      <c r="O278" s="2"/>
    </row>
    <row r="279" ht="12.0" customHeight="1">
      <c r="B279" s="1"/>
      <c r="J279" s="2"/>
      <c r="O279" s="2"/>
    </row>
    <row r="280" ht="12.0" customHeight="1">
      <c r="B280" s="1"/>
      <c r="J280" s="2"/>
      <c r="O280" s="2"/>
    </row>
    <row r="281" ht="12.0" customHeight="1">
      <c r="B281" s="1"/>
      <c r="J281" s="2"/>
      <c r="O281" s="2"/>
    </row>
    <row r="282" ht="12.0" customHeight="1">
      <c r="B282" s="1"/>
      <c r="J282" s="2"/>
      <c r="O282" s="2"/>
    </row>
    <row r="283" ht="12.0" customHeight="1">
      <c r="B283" s="1"/>
      <c r="J283" s="2"/>
      <c r="O283" s="2"/>
    </row>
    <row r="284" ht="12.0" customHeight="1">
      <c r="B284" s="1"/>
      <c r="J284" s="2"/>
      <c r="O284" s="2"/>
    </row>
    <row r="285" ht="12.0" customHeight="1">
      <c r="B285" s="1"/>
      <c r="J285" s="2"/>
      <c r="O285" s="2"/>
    </row>
    <row r="286" ht="12.0" customHeight="1">
      <c r="B286" s="1"/>
      <c r="J286" s="2"/>
      <c r="O286" s="2"/>
    </row>
    <row r="287" ht="12.0" customHeight="1">
      <c r="B287" s="1"/>
      <c r="J287" s="2"/>
      <c r="O287" s="2"/>
    </row>
    <row r="288" ht="12.0" customHeight="1">
      <c r="B288" s="1"/>
      <c r="J288" s="2"/>
      <c r="O288" s="2"/>
    </row>
    <row r="289" ht="12.0" customHeight="1">
      <c r="B289" s="1"/>
      <c r="J289" s="2"/>
      <c r="O289" s="2"/>
    </row>
    <row r="290" ht="12.0" customHeight="1">
      <c r="B290" s="1"/>
      <c r="J290" s="2"/>
      <c r="O290" s="2"/>
    </row>
    <row r="291" ht="12.0" customHeight="1">
      <c r="B291" s="1"/>
      <c r="J291" s="2"/>
      <c r="O291" s="2"/>
    </row>
    <row r="292" ht="12.0" customHeight="1">
      <c r="B292" s="1"/>
      <c r="J292" s="2"/>
      <c r="O292" s="2"/>
    </row>
    <row r="293" ht="12.0" customHeight="1">
      <c r="B293" s="1"/>
      <c r="J293" s="2"/>
      <c r="O293" s="2"/>
    </row>
    <row r="294" ht="12.0" customHeight="1">
      <c r="B294" s="1"/>
      <c r="J294" s="2"/>
      <c r="O294" s="2"/>
    </row>
    <row r="295" ht="12.0" customHeight="1">
      <c r="B295" s="1"/>
      <c r="J295" s="2"/>
      <c r="O295" s="2"/>
    </row>
    <row r="296" ht="12.0" customHeight="1">
      <c r="B296" s="1"/>
      <c r="J296" s="2"/>
      <c r="O296" s="2"/>
    </row>
    <row r="297" ht="12.0" customHeight="1">
      <c r="B297" s="1"/>
      <c r="J297" s="2"/>
      <c r="O297" s="2"/>
    </row>
    <row r="298" ht="12.0" customHeight="1">
      <c r="B298" s="1"/>
      <c r="J298" s="2"/>
      <c r="O298" s="2"/>
    </row>
    <row r="299" ht="12.0" customHeight="1">
      <c r="B299" s="1"/>
      <c r="J299" s="2"/>
      <c r="O299" s="2"/>
    </row>
    <row r="300" ht="12.0" customHeight="1">
      <c r="B300" s="1"/>
      <c r="J300" s="2"/>
      <c r="O300" s="2"/>
    </row>
    <row r="301" ht="12.0" customHeight="1">
      <c r="B301" s="1"/>
      <c r="J301" s="2"/>
      <c r="O301" s="2"/>
    </row>
    <row r="302" ht="12.0" customHeight="1">
      <c r="B302" s="1"/>
      <c r="J302" s="2"/>
      <c r="O302" s="2"/>
    </row>
    <row r="303" ht="12.0" customHeight="1">
      <c r="B303" s="1"/>
      <c r="J303" s="2"/>
      <c r="O303" s="2"/>
    </row>
    <row r="304" ht="12.0" customHeight="1">
      <c r="B304" s="1"/>
      <c r="J304" s="2"/>
      <c r="O304" s="2"/>
    </row>
    <row r="305" ht="12.0" customHeight="1">
      <c r="B305" s="1"/>
      <c r="J305" s="2"/>
      <c r="O305" s="2"/>
    </row>
    <row r="306" ht="12.0" customHeight="1">
      <c r="B306" s="1"/>
      <c r="J306" s="2"/>
      <c r="O306" s="2"/>
    </row>
    <row r="307" ht="12.0" customHeight="1">
      <c r="B307" s="1"/>
      <c r="J307" s="2"/>
      <c r="O307" s="2"/>
    </row>
    <row r="308" ht="12.0" customHeight="1">
      <c r="B308" s="1"/>
      <c r="J308" s="2"/>
      <c r="O308" s="2"/>
    </row>
    <row r="309" ht="12.0" customHeight="1">
      <c r="B309" s="1"/>
      <c r="J309" s="2"/>
      <c r="O309" s="2"/>
    </row>
    <row r="310" ht="12.0" customHeight="1">
      <c r="B310" s="1"/>
      <c r="J310" s="2"/>
      <c r="O310" s="2"/>
    </row>
    <row r="311" ht="12.0" customHeight="1">
      <c r="B311" s="1"/>
      <c r="J311" s="2"/>
      <c r="O311" s="2"/>
    </row>
    <row r="312" ht="12.0" customHeight="1">
      <c r="B312" s="1"/>
      <c r="J312" s="2"/>
      <c r="O312" s="2"/>
    </row>
    <row r="313" ht="12.0" customHeight="1">
      <c r="B313" s="1"/>
      <c r="J313" s="2"/>
      <c r="O313" s="2"/>
    </row>
    <row r="314" ht="12.0" customHeight="1">
      <c r="B314" s="1"/>
      <c r="J314" s="2"/>
      <c r="O314" s="2"/>
    </row>
    <row r="315" ht="12.0" customHeight="1">
      <c r="B315" s="1"/>
      <c r="J315" s="2"/>
      <c r="O315" s="2"/>
    </row>
    <row r="316" ht="12.0" customHeight="1">
      <c r="B316" s="1"/>
      <c r="J316" s="2"/>
      <c r="O316" s="2"/>
    </row>
    <row r="317" ht="12.0" customHeight="1">
      <c r="B317" s="1"/>
      <c r="J317" s="2"/>
      <c r="O317" s="2"/>
    </row>
    <row r="318" ht="12.0" customHeight="1">
      <c r="B318" s="1"/>
      <c r="J318" s="2"/>
      <c r="O318" s="2"/>
    </row>
    <row r="319" ht="12.0" customHeight="1">
      <c r="B319" s="1"/>
      <c r="J319" s="2"/>
      <c r="O319" s="2"/>
    </row>
    <row r="320" ht="12.0" customHeight="1">
      <c r="B320" s="1"/>
      <c r="J320" s="2"/>
      <c r="O320" s="2"/>
    </row>
    <row r="321" ht="12.0" customHeight="1">
      <c r="B321" s="1"/>
      <c r="J321" s="2"/>
      <c r="O321" s="2"/>
    </row>
    <row r="322" ht="12.0" customHeight="1">
      <c r="B322" s="1"/>
      <c r="J322" s="2"/>
      <c r="O322" s="2"/>
    </row>
    <row r="323" ht="12.0" customHeight="1">
      <c r="B323" s="1"/>
      <c r="J323" s="2"/>
      <c r="O323" s="2"/>
    </row>
    <row r="324" ht="12.0" customHeight="1">
      <c r="B324" s="1"/>
      <c r="J324" s="2"/>
      <c r="O324" s="2"/>
    </row>
    <row r="325" ht="12.0" customHeight="1">
      <c r="B325" s="1"/>
      <c r="J325" s="2"/>
      <c r="O325" s="2"/>
    </row>
    <row r="326" ht="12.0" customHeight="1">
      <c r="B326" s="1"/>
      <c r="J326" s="2"/>
      <c r="O326" s="2"/>
    </row>
    <row r="327" ht="12.0" customHeight="1">
      <c r="B327" s="1"/>
      <c r="J327" s="2"/>
      <c r="O327" s="2"/>
    </row>
    <row r="328" ht="12.0" customHeight="1">
      <c r="B328" s="1"/>
      <c r="J328" s="2"/>
      <c r="O328" s="2"/>
    </row>
    <row r="329" ht="12.0" customHeight="1">
      <c r="B329" s="1"/>
      <c r="J329" s="2"/>
      <c r="O329" s="2"/>
    </row>
    <row r="330" ht="12.0" customHeight="1">
      <c r="B330" s="1"/>
      <c r="J330" s="2"/>
      <c r="O330" s="2"/>
    </row>
    <row r="331" ht="12.0" customHeight="1">
      <c r="B331" s="1"/>
      <c r="J331" s="2"/>
      <c r="O331" s="2"/>
    </row>
    <row r="332" ht="12.0" customHeight="1">
      <c r="B332" s="1"/>
      <c r="J332" s="2"/>
      <c r="O332" s="2"/>
    </row>
    <row r="333" ht="12.0" customHeight="1">
      <c r="B333" s="1"/>
      <c r="J333" s="2"/>
      <c r="O333" s="2"/>
    </row>
    <row r="334" ht="12.0" customHeight="1">
      <c r="B334" s="1"/>
      <c r="J334" s="2"/>
      <c r="O334" s="2"/>
    </row>
    <row r="335" ht="12.0" customHeight="1">
      <c r="B335" s="1"/>
      <c r="J335" s="2"/>
      <c r="O335" s="2"/>
    </row>
    <row r="336" ht="12.0" customHeight="1">
      <c r="B336" s="1"/>
      <c r="J336" s="2"/>
      <c r="O336" s="2"/>
    </row>
    <row r="337" ht="12.0" customHeight="1">
      <c r="B337" s="1"/>
      <c r="J337" s="2"/>
      <c r="O337" s="2"/>
    </row>
    <row r="338" ht="12.0" customHeight="1">
      <c r="B338" s="1"/>
      <c r="J338" s="2"/>
      <c r="O338" s="2"/>
    </row>
    <row r="339" ht="12.0" customHeight="1">
      <c r="B339" s="1"/>
      <c r="J339" s="2"/>
      <c r="O339" s="2"/>
    </row>
    <row r="340" ht="12.0" customHeight="1">
      <c r="B340" s="1"/>
      <c r="J340" s="2"/>
      <c r="O340" s="2"/>
    </row>
    <row r="341" ht="12.0" customHeight="1">
      <c r="B341" s="1"/>
      <c r="J341" s="2"/>
      <c r="O341" s="2"/>
    </row>
    <row r="342" ht="12.0" customHeight="1">
      <c r="B342" s="1"/>
      <c r="J342" s="2"/>
      <c r="O342" s="2"/>
    </row>
    <row r="343" ht="12.0" customHeight="1">
      <c r="B343" s="1"/>
      <c r="J343" s="2"/>
      <c r="O343" s="2"/>
    </row>
    <row r="344" ht="12.0" customHeight="1">
      <c r="B344" s="1"/>
      <c r="J344" s="2"/>
      <c r="O344" s="2"/>
    </row>
    <row r="345" ht="12.0" customHeight="1">
      <c r="B345" s="1"/>
      <c r="J345" s="2"/>
      <c r="O345" s="2"/>
    </row>
    <row r="346" ht="12.0" customHeight="1">
      <c r="B346" s="1"/>
      <c r="J346" s="2"/>
      <c r="O346" s="2"/>
    </row>
    <row r="347" ht="12.0" customHeight="1">
      <c r="B347" s="1"/>
      <c r="J347" s="2"/>
      <c r="O347" s="2"/>
    </row>
    <row r="348" ht="12.0" customHeight="1">
      <c r="B348" s="1"/>
      <c r="J348" s="2"/>
      <c r="O348" s="2"/>
    </row>
    <row r="349" ht="12.0" customHeight="1">
      <c r="B349" s="1"/>
      <c r="J349" s="2"/>
      <c r="O349" s="2"/>
    </row>
    <row r="350" ht="12.0" customHeight="1">
      <c r="B350" s="1"/>
      <c r="J350" s="2"/>
      <c r="O350" s="2"/>
    </row>
    <row r="351" ht="12.0" customHeight="1">
      <c r="B351" s="1"/>
      <c r="J351" s="2"/>
      <c r="O351" s="2"/>
    </row>
    <row r="352" ht="12.0" customHeight="1">
      <c r="B352" s="1"/>
      <c r="J352" s="2"/>
      <c r="O352" s="2"/>
    </row>
    <row r="353" ht="12.0" customHeight="1">
      <c r="B353" s="1"/>
      <c r="J353" s="2"/>
      <c r="O353" s="2"/>
    </row>
    <row r="354" ht="12.0" customHeight="1">
      <c r="B354" s="1"/>
      <c r="J354" s="2"/>
      <c r="O354" s="2"/>
    </row>
    <row r="355" ht="12.0" customHeight="1">
      <c r="B355" s="1"/>
      <c r="J355" s="2"/>
      <c r="O355" s="2"/>
    </row>
    <row r="356" ht="12.0" customHeight="1">
      <c r="B356" s="1"/>
      <c r="J356" s="2"/>
      <c r="O356" s="2"/>
    </row>
    <row r="357" ht="12.0" customHeight="1">
      <c r="B357" s="1"/>
      <c r="J357" s="2"/>
      <c r="O357" s="2"/>
    </row>
    <row r="358" ht="12.0" customHeight="1">
      <c r="B358" s="1"/>
      <c r="J358" s="2"/>
      <c r="O358" s="2"/>
    </row>
    <row r="359" ht="12.0" customHeight="1">
      <c r="B359" s="1"/>
      <c r="J359" s="2"/>
      <c r="O359" s="2"/>
    </row>
    <row r="360" ht="12.0" customHeight="1">
      <c r="B360" s="1"/>
      <c r="J360" s="2"/>
      <c r="O360" s="2"/>
    </row>
    <row r="361" ht="12.0" customHeight="1">
      <c r="B361" s="1"/>
      <c r="J361" s="2"/>
      <c r="O361" s="2"/>
    </row>
    <row r="362" ht="12.0" customHeight="1">
      <c r="B362" s="1"/>
      <c r="J362" s="2"/>
      <c r="O362" s="2"/>
    </row>
    <row r="363" ht="12.0" customHeight="1">
      <c r="B363" s="1"/>
      <c r="J363" s="2"/>
      <c r="O363" s="2"/>
    </row>
    <row r="364" ht="12.0" customHeight="1">
      <c r="B364" s="1"/>
      <c r="J364" s="2"/>
      <c r="O364" s="2"/>
    </row>
    <row r="365" ht="12.0" customHeight="1">
      <c r="B365" s="1"/>
      <c r="J365" s="2"/>
      <c r="O365" s="2"/>
    </row>
    <row r="366" ht="12.0" customHeight="1">
      <c r="B366" s="1"/>
      <c r="J366" s="2"/>
      <c r="O366" s="2"/>
    </row>
    <row r="367" ht="12.0" customHeight="1">
      <c r="B367" s="1"/>
      <c r="J367" s="2"/>
      <c r="O367" s="2"/>
    </row>
    <row r="368" ht="12.0" customHeight="1">
      <c r="B368" s="1"/>
      <c r="J368" s="2"/>
      <c r="O368" s="2"/>
    </row>
    <row r="369" ht="12.0" customHeight="1">
      <c r="B369" s="1"/>
      <c r="J369" s="2"/>
      <c r="O369" s="2"/>
    </row>
    <row r="370" ht="12.0" customHeight="1">
      <c r="B370" s="1"/>
      <c r="J370" s="2"/>
      <c r="O370" s="2"/>
    </row>
    <row r="371" ht="12.0" customHeight="1">
      <c r="B371" s="1"/>
      <c r="J371" s="2"/>
      <c r="O371" s="2"/>
    </row>
    <row r="372" ht="12.0" customHeight="1">
      <c r="B372" s="1"/>
      <c r="J372" s="2"/>
      <c r="O372" s="2"/>
    </row>
    <row r="373" ht="12.0" customHeight="1">
      <c r="B373" s="1"/>
      <c r="J373" s="2"/>
      <c r="O373" s="2"/>
    </row>
    <row r="374" ht="12.0" customHeight="1">
      <c r="B374" s="1"/>
      <c r="J374" s="2"/>
      <c r="O374" s="2"/>
    </row>
    <row r="375" ht="12.0" customHeight="1">
      <c r="B375" s="1"/>
      <c r="J375" s="2"/>
      <c r="O375" s="2"/>
    </row>
    <row r="376" ht="12.0" customHeight="1">
      <c r="B376" s="1"/>
      <c r="J376" s="2"/>
      <c r="O376" s="2"/>
    </row>
    <row r="377" ht="12.0" customHeight="1">
      <c r="B377" s="1"/>
      <c r="J377" s="2"/>
      <c r="O377" s="2"/>
    </row>
    <row r="378" ht="12.0" customHeight="1">
      <c r="B378" s="1"/>
      <c r="J378" s="2"/>
      <c r="O378" s="2"/>
    </row>
    <row r="379" ht="12.0" customHeight="1">
      <c r="B379" s="1"/>
      <c r="J379" s="2"/>
      <c r="O379" s="2"/>
    </row>
    <row r="380" ht="12.0" customHeight="1">
      <c r="B380" s="1"/>
      <c r="J380" s="2"/>
      <c r="O380" s="2"/>
    </row>
    <row r="381" ht="12.0" customHeight="1">
      <c r="B381" s="1"/>
      <c r="J381" s="2"/>
      <c r="O381" s="2"/>
    </row>
    <row r="382" ht="12.0" customHeight="1">
      <c r="B382" s="1"/>
      <c r="J382" s="2"/>
      <c r="O382" s="2"/>
    </row>
    <row r="383" ht="12.0" customHeight="1">
      <c r="B383" s="1"/>
      <c r="J383" s="2"/>
      <c r="O383" s="2"/>
    </row>
    <row r="384" ht="12.0" customHeight="1">
      <c r="B384" s="1"/>
      <c r="J384" s="2"/>
      <c r="O384" s="2"/>
    </row>
    <row r="385" ht="12.0" customHeight="1">
      <c r="B385" s="1"/>
      <c r="J385" s="2"/>
      <c r="O385" s="2"/>
    </row>
    <row r="386" ht="12.0" customHeight="1">
      <c r="B386" s="1"/>
      <c r="J386" s="2"/>
      <c r="O386" s="2"/>
    </row>
    <row r="387" ht="12.0" customHeight="1">
      <c r="B387" s="1"/>
      <c r="J387" s="2"/>
      <c r="O387" s="2"/>
    </row>
    <row r="388" ht="12.0" customHeight="1">
      <c r="B388" s="1"/>
      <c r="J388" s="2"/>
      <c r="O388" s="2"/>
    </row>
    <row r="389" ht="12.0" customHeight="1">
      <c r="B389" s="1"/>
      <c r="J389" s="2"/>
      <c r="O389" s="2"/>
    </row>
    <row r="390" ht="12.0" customHeight="1">
      <c r="B390" s="1"/>
      <c r="J390" s="2"/>
      <c r="O390" s="2"/>
    </row>
    <row r="391" ht="12.0" customHeight="1">
      <c r="B391" s="1"/>
      <c r="J391" s="2"/>
      <c r="O391" s="2"/>
    </row>
    <row r="392" ht="12.0" customHeight="1">
      <c r="B392" s="1"/>
      <c r="J392" s="2"/>
      <c r="O392" s="2"/>
    </row>
    <row r="393" ht="12.0" customHeight="1">
      <c r="B393" s="1"/>
      <c r="J393" s="2"/>
      <c r="O393" s="2"/>
    </row>
    <row r="394" ht="12.0" customHeight="1">
      <c r="B394" s="1"/>
      <c r="J394" s="2"/>
      <c r="O394" s="2"/>
    </row>
    <row r="395" ht="12.0" customHeight="1">
      <c r="B395" s="1"/>
      <c r="J395" s="2"/>
      <c r="O395" s="2"/>
    </row>
    <row r="396" ht="12.0" customHeight="1">
      <c r="B396" s="1"/>
      <c r="J396" s="2"/>
      <c r="O396" s="2"/>
    </row>
    <row r="397" ht="12.0" customHeight="1">
      <c r="B397" s="1"/>
      <c r="J397" s="2"/>
      <c r="O397" s="2"/>
    </row>
    <row r="398" ht="12.0" customHeight="1">
      <c r="B398" s="1"/>
      <c r="J398" s="2"/>
      <c r="O398" s="2"/>
    </row>
    <row r="399" ht="12.0" customHeight="1">
      <c r="B399" s="1"/>
      <c r="J399" s="2"/>
      <c r="O399" s="2"/>
    </row>
    <row r="400" ht="12.0" customHeight="1">
      <c r="B400" s="1"/>
      <c r="J400" s="2"/>
      <c r="O400" s="2"/>
    </row>
    <row r="401" ht="12.0" customHeight="1">
      <c r="B401" s="1"/>
      <c r="J401" s="2"/>
      <c r="O401" s="2"/>
    </row>
    <row r="402" ht="12.0" customHeight="1">
      <c r="B402" s="1"/>
      <c r="J402" s="2"/>
      <c r="O402" s="2"/>
    </row>
    <row r="403" ht="12.0" customHeight="1">
      <c r="B403" s="1"/>
      <c r="J403" s="2"/>
      <c r="O403" s="2"/>
    </row>
    <row r="404" ht="12.0" customHeight="1">
      <c r="B404" s="1"/>
      <c r="J404" s="2"/>
      <c r="O404" s="2"/>
    </row>
    <row r="405" ht="12.0" customHeight="1">
      <c r="B405" s="1"/>
      <c r="J405" s="2"/>
      <c r="O405" s="2"/>
    </row>
    <row r="406" ht="12.0" customHeight="1">
      <c r="B406" s="1"/>
      <c r="J406" s="2"/>
      <c r="O406" s="2"/>
    </row>
    <row r="407" ht="12.0" customHeight="1">
      <c r="B407" s="1"/>
      <c r="J407" s="2"/>
      <c r="O407" s="2"/>
    </row>
    <row r="408" ht="12.0" customHeight="1">
      <c r="B408" s="1"/>
      <c r="J408" s="2"/>
      <c r="O408" s="2"/>
    </row>
    <row r="409" ht="12.0" customHeight="1">
      <c r="B409" s="1"/>
      <c r="J409" s="2"/>
      <c r="O409" s="2"/>
    </row>
    <row r="410" ht="12.0" customHeight="1">
      <c r="B410" s="1"/>
      <c r="J410" s="2"/>
      <c r="O410" s="2"/>
    </row>
    <row r="411" ht="12.0" customHeight="1">
      <c r="B411" s="1"/>
      <c r="J411" s="2"/>
      <c r="O411" s="2"/>
    </row>
    <row r="412" ht="12.0" customHeight="1">
      <c r="B412" s="1"/>
      <c r="J412" s="2"/>
      <c r="O412" s="2"/>
    </row>
    <row r="413" ht="12.0" customHeight="1">
      <c r="B413" s="1"/>
      <c r="J413" s="2"/>
      <c r="O413" s="2"/>
    </row>
    <row r="414" ht="12.0" customHeight="1">
      <c r="B414" s="1"/>
      <c r="J414" s="2"/>
      <c r="O414" s="2"/>
    </row>
    <row r="415" ht="12.0" customHeight="1">
      <c r="B415" s="1"/>
      <c r="J415" s="2"/>
      <c r="O415" s="2"/>
    </row>
    <row r="416" ht="12.0" customHeight="1">
      <c r="B416" s="1"/>
      <c r="J416" s="2"/>
      <c r="O416" s="2"/>
    </row>
    <row r="417" ht="12.0" customHeight="1">
      <c r="B417" s="1"/>
      <c r="J417" s="2"/>
      <c r="O417" s="2"/>
    </row>
    <row r="418" ht="12.0" customHeight="1">
      <c r="B418" s="1"/>
      <c r="J418" s="2"/>
      <c r="O418" s="2"/>
    </row>
    <row r="419" ht="12.0" customHeight="1">
      <c r="B419" s="1"/>
      <c r="J419" s="2"/>
      <c r="O419" s="2"/>
    </row>
    <row r="420" ht="12.0" customHeight="1">
      <c r="B420" s="1"/>
      <c r="J420" s="2"/>
      <c r="O420" s="2"/>
    </row>
    <row r="421" ht="12.0" customHeight="1">
      <c r="B421" s="1"/>
      <c r="J421" s="2"/>
      <c r="O421" s="2"/>
    </row>
    <row r="422" ht="12.0" customHeight="1">
      <c r="B422" s="1"/>
      <c r="J422" s="2"/>
      <c r="O422" s="2"/>
    </row>
    <row r="423" ht="12.0" customHeight="1">
      <c r="B423" s="1"/>
      <c r="J423" s="2"/>
      <c r="O423" s="2"/>
    </row>
    <row r="424" ht="12.0" customHeight="1">
      <c r="B424" s="1"/>
      <c r="J424" s="2"/>
      <c r="O424" s="2"/>
    </row>
    <row r="425" ht="12.0" customHeight="1">
      <c r="B425" s="1"/>
      <c r="J425" s="2"/>
      <c r="O425" s="2"/>
    </row>
    <row r="426" ht="12.0" customHeight="1">
      <c r="B426" s="1"/>
      <c r="J426" s="2"/>
      <c r="O426" s="2"/>
    </row>
    <row r="427" ht="12.0" customHeight="1">
      <c r="B427" s="1"/>
      <c r="J427" s="2"/>
      <c r="O427" s="2"/>
    </row>
    <row r="428" ht="12.0" customHeight="1">
      <c r="B428" s="1"/>
      <c r="J428" s="2"/>
      <c r="O428" s="2"/>
    </row>
    <row r="429" ht="12.0" customHeight="1">
      <c r="B429" s="1"/>
      <c r="J429" s="2"/>
      <c r="O429" s="2"/>
    </row>
    <row r="430" ht="12.0" customHeight="1">
      <c r="B430" s="1"/>
      <c r="J430" s="2"/>
      <c r="O430" s="2"/>
    </row>
    <row r="431" ht="12.0" customHeight="1">
      <c r="B431" s="1"/>
      <c r="J431" s="2"/>
      <c r="O431" s="2"/>
    </row>
    <row r="432" ht="12.0" customHeight="1">
      <c r="B432" s="1"/>
      <c r="J432" s="2"/>
      <c r="O432" s="2"/>
    </row>
    <row r="433" ht="12.0" customHeight="1">
      <c r="B433" s="1"/>
      <c r="J433" s="2"/>
      <c r="O433" s="2"/>
    </row>
    <row r="434" ht="12.0" customHeight="1">
      <c r="B434" s="1"/>
      <c r="J434" s="2"/>
      <c r="O434" s="2"/>
    </row>
    <row r="435" ht="12.0" customHeight="1">
      <c r="B435" s="1"/>
      <c r="J435" s="2"/>
      <c r="O435" s="2"/>
    </row>
    <row r="436" ht="12.0" customHeight="1">
      <c r="B436" s="1"/>
      <c r="J436" s="2"/>
      <c r="O436" s="2"/>
    </row>
    <row r="437" ht="12.0" customHeight="1">
      <c r="B437" s="1"/>
      <c r="J437" s="2"/>
      <c r="O437" s="2"/>
    </row>
    <row r="438" ht="12.0" customHeight="1">
      <c r="B438" s="1"/>
      <c r="J438" s="2"/>
      <c r="O438" s="2"/>
    </row>
    <row r="439" ht="12.0" customHeight="1">
      <c r="B439" s="1"/>
      <c r="J439" s="2"/>
      <c r="O439" s="2"/>
    </row>
    <row r="440" ht="12.0" customHeight="1">
      <c r="B440" s="1"/>
      <c r="J440" s="2"/>
      <c r="O440" s="2"/>
    </row>
    <row r="441" ht="12.0" customHeight="1">
      <c r="B441" s="1"/>
      <c r="J441" s="2"/>
      <c r="O441" s="2"/>
    </row>
    <row r="442" ht="12.0" customHeight="1">
      <c r="B442" s="1"/>
      <c r="J442" s="2"/>
      <c r="O442" s="2"/>
    </row>
    <row r="443" ht="12.0" customHeight="1">
      <c r="B443" s="1"/>
      <c r="J443" s="2"/>
      <c r="O443" s="2"/>
    </row>
    <row r="444" ht="12.0" customHeight="1">
      <c r="B444" s="1"/>
      <c r="J444" s="2"/>
      <c r="O444" s="2"/>
    </row>
    <row r="445" ht="12.0" customHeight="1">
      <c r="B445" s="1"/>
      <c r="J445" s="2"/>
      <c r="O445" s="2"/>
    </row>
    <row r="446" ht="12.0" customHeight="1">
      <c r="B446" s="1"/>
      <c r="J446" s="2"/>
      <c r="O446" s="2"/>
    </row>
    <row r="447" ht="12.0" customHeight="1">
      <c r="B447" s="1"/>
      <c r="J447" s="2"/>
      <c r="O447" s="2"/>
    </row>
    <row r="448" ht="12.0" customHeight="1">
      <c r="B448" s="1"/>
      <c r="J448" s="2"/>
      <c r="O448" s="2"/>
    </row>
    <row r="449" ht="12.0" customHeight="1">
      <c r="B449" s="1"/>
      <c r="J449" s="2"/>
      <c r="O449" s="2"/>
    </row>
    <row r="450" ht="12.0" customHeight="1">
      <c r="B450" s="1"/>
      <c r="J450" s="2"/>
      <c r="O450" s="2"/>
    </row>
    <row r="451" ht="12.0" customHeight="1">
      <c r="B451" s="1"/>
      <c r="J451" s="2"/>
      <c r="O451" s="2"/>
    </row>
    <row r="452" ht="12.0" customHeight="1">
      <c r="B452" s="1"/>
      <c r="J452" s="2"/>
      <c r="O452" s="2"/>
    </row>
    <row r="453" ht="12.0" customHeight="1">
      <c r="B453" s="1"/>
      <c r="J453" s="2"/>
      <c r="O453" s="2"/>
    </row>
    <row r="454" ht="12.0" customHeight="1">
      <c r="B454" s="1"/>
      <c r="J454" s="2"/>
      <c r="O454" s="2"/>
    </row>
    <row r="455" ht="12.0" customHeight="1">
      <c r="B455" s="1"/>
      <c r="J455" s="2"/>
      <c r="O455" s="2"/>
    </row>
    <row r="456" ht="12.0" customHeight="1">
      <c r="B456" s="1"/>
      <c r="J456" s="2"/>
      <c r="O456" s="2"/>
    </row>
    <row r="457" ht="12.0" customHeight="1">
      <c r="B457" s="1"/>
      <c r="J457" s="2"/>
      <c r="O457" s="2"/>
    </row>
    <row r="458" ht="12.0" customHeight="1">
      <c r="B458" s="1"/>
      <c r="J458" s="2"/>
      <c r="O458" s="2"/>
    </row>
    <row r="459" ht="12.0" customHeight="1">
      <c r="B459" s="1"/>
      <c r="J459" s="2"/>
      <c r="O459" s="2"/>
    </row>
    <row r="460" ht="12.0" customHeight="1">
      <c r="B460" s="1"/>
      <c r="J460" s="2"/>
      <c r="O460" s="2"/>
    </row>
    <row r="461" ht="12.0" customHeight="1">
      <c r="B461" s="1"/>
      <c r="J461" s="2"/>
      <c r="O461" s="2"/>
    </row>
    <row r="462" ht="12.0" customHeight="1">
      <c r="B462" s="1"/>
      <c r="J462" s="2"/>
      <c r="O462" s="2"/>
    </row>
    <row r="463" ht="12.0" customHeight="1">
      <c r="B463" s="1"/>
      <c r="J463" s="2"/>
      <c r="O463" s="2"/>
    </row>
    <row r="464" ht="12.0" customHeight="1">
      <c r="B464" s="1"/>
      <c r="J464" s="2"/>
      <c r="O464" s="2"/>
    </row>
    <row r="465" ht="12.0" customHeight="1">
      <c r="B465" s="1"/>
      <c r="J465" s="2"/>
      <c r="O465" s="2"/>
    </row>
    <row r="466" ht="12.0" customHeight="1">
      <c r="B466" s="1"/>
      <c r="J466" s="2"/>
      <c r="O466" s="2"/>
    </row>
    <row r="467" ht="12.0" customHeight="1">
      <c r="B467" s="1"/>
      <c r="J467" s="2"/>
      <c r="O467" s="2"/>
    </row>
    <row r="468" ht="12.0" customHeight="1">
      <c r="B468" s="1"/>
      <c r="J468" s="2"/>
      <c r="O468" s="2"/>
    </row>
    <row r="469" ht="12.0" customHeight="1">
      <c r="B469" s="1"/>
      <c r="J469" s="2"/>
      <c r="O469" s="2"/>
    </row>
    <row r="470" ht="12.0" customHeight="1">
      <c r="B470" s="1"/>
      <c r="J470" s="2"/>
      <c r="O470" s="2"/>
    </row>
    <row r="471" ht="12.0" customHeight="1">
      <c r="B471" s="1"/>
      <c r="J471" s="2"/>
      <c r="O471" s="2"/>
    </row>
    <row r="472" ht="12.0" customHeight="1">
      <c r="B472" s="1"/>
      <c r="J472" s="2"/>
      <c r="O472" s="2"/>
    </row>
    <row r="473" ht="12.0" customHeight="1">
      <c r="B473" s="1"/>
      <c r="J473" s="2"/>
      <c r="O473" s="2"/>
    </row>
    <row r="474" ht="12.0" customHeight="1">
      <c r="B474" s="1"/>
      <c r="J474" s="2"/>
      <c r="O474" s="2"/>
    </row>
    <row r="475" ht="12.0" customHeight="1">
      <c r="B475" s="1"/>
      <c r="J475" s="2"/>
      <c r="O475" s="2"/>
    </row>
    <row r="476" ht="12.0" customHeight="1">
      <c r="B476" s="1"/>
      <c r="J476" s="2"/>
      <c r="O476" s="2"/>
    </row>
    <row r="477" ht="12.0" customHeight="1">
      <c r="B477" s="1"/>
      <c r="J477" s="2"/>
      <c r="O477" s="2"/>
    </row>
    <row r="478" ht="12.0" customHeight="1">
      <c r="B478" s="1"/>
      <c r="J478" s="2"/>
      <c r="O478" s="2"/>
    </row>
    <row r="479" ht="12.0" customHeight="1">
      <c r="B479" s="1"/>
      <c r="J479" s="2"/>
      <c r="O479" s="2"/>
    </row>
    <row r="480" ht="12.0" customHeight="1">
      <c r="B480" s="1"/>
      <c r="J480" s="2"/>
      <c r="O480" s="2"/>
    </row>
    <row r="481" ht="12.0" customHeight="1">
      <c r="B481" s="1"/>
      <c r="J481" s="2"/>
      <c r="O481" s="2"/>
    </row>
    <row r="482" ht="12.0" customHeight="1">
      <c r="B482" s="1"/>
      <c r="J482" s="2"/>
      <c r="O482" s="2"/>
    </row>
    <row r="483" ht="12.0" customHeight="1">
      <c r="B483" s="1"/>
      <c r="J483" s="2"/>
      <c r="O483" s="2"/>
    </row>
    <row r="484" ht="12.0" customHeight="1">
      <c r="B484" s="1"/>
      <c r="J484" s="2"/>
      <c r="O484" s="2"/>
    </row>
    <row r="485" ht="12.0" customHeight="1">
      <c r="B485" s="1"/>
      <c r="J485" s="2"/>
      <c r="O485" s="2"/>
    </row>
    <row r="486" ht="12.0" customHeight="1">
      <c r="B486" s="1"/>
      <c r="J486" s="2"/>
      <c r="O486" s="2"/>
    </row>
    <row r="487" ht="12.0" customHeight="1">
      <c r="B487" s="1"/>
      <c r="J487" s="2"/>
      <c r="O487" s="2"/>
    </row>
    <row r="488" ht="12.0" customHeight="1">
      <c r="B488" s="1"/>
      <c r="J488" s="2"/>
      <c r="O488" s="2"/>
    </row>
    <row r="489" ht="12.0" customHeight="1">
      <c r="B489" s="1"/>
      <c r="J489" s="2"/>
      <c r="O489" s="2"/>
    </row>
    <row r="490" ht="12.0" customHeight="1">
      <c r="B490" s="1"/>
      <c r="J490" s="2"/>
      <c r="O490" s="2"/>
    </row>
    <row r="491" ht="12.0" customHeight="1">
      <c r="B491" s="1"/>
      <c r="J491" s="2"/>
      <c r="O491" s="2"/>
    </row>
    <row r="492" ht="12.0" customHeight="1">
      <c r="B492" s="1"/>
      <c r="J492" s="2"/>
      <c r="O492" s="2"/>
    </row>
    <row r="493" ht="12.0" customHeight="1">
      <c r="B493" s="1"/>
      <c r="J493" s="2"/>
      <c r="O493" s="2"/>
    </row>
    <row r="494" ht="12.0" customHeight="1">
      <c r="B494" s="1"/>
      <c r="J494" s="2"/>
      <c r="O494" s="2"/>
    </row>
    <row r="495" ht="12.0" customHeight="1">
      <c r="B495" s="1"/>
      <c r="J495" s="2"/>
      <c r="O495" s="2"/>
    </row>
    <row r="496" ht="12.0" customHeight="1">
      <c r="B496" s="1"/>
      <c r="J496" s="2"/>
      <c r="O496" s="2"/>
    </row>
    <row r="497" ht="12.0" customHeight="1">
      <c r="B497" s="1"/>
      <c r="J497" s="2"/>
      <c r="O497" s="2"/>
    </row>
    <row r="498" ht="12.0" customHeight="1">
      <c r="B498" s="1"/>
      <c r="J498" s="2"/>
      <c r="O498" s="2"/>
    </row>
    <row r="499" ht="12.0" customHeight="1">
      <c r="B499" s="1"/>
      <c r="J499" s="2"/>
      <c r="O499" s="2"/>
    </row>
    <row r="500" ht="12.0" customHeight="1">
      <c r="B500" s="1"/>
      <c r="J500" s="2"/>
      <c r="O500" s="2"/>
    </row>
    <row r="501" ht="12.0" customHeight="1">
      <c r="B501" s="1"/>
      <c r="J501" s="2"/>
      <c r="O501" s="2"/>
    </row>
    <row r="502" ht="12.0" customHeight="1">
      <c r="B502" s="1"/>
      <c r="J502" s="2"/>
      <c r="O502" s="2"/>
    </row>
    <row r="503" ht="12.0" customHeight="1">
      <c r="B503" s="1"/>
      <c r="J503" s="2"/>
      <c r="O503" s="2"/>
    </row>
    <row r="504" ht="12.0" customHeight="1">
      <c r="B504" s="1"/>
      <c r="J504" s="2"/>
      <c r="O504" s="2"/>
    </row>
    <row r="505" ht="12.0" customHeight="1">
      <c r="B505" s="1"/>
      <c r="J505" s="2"/>
      <c r="O505" s="2"/>
    </row>
    <row r="506" ht="12.0" customHeight="1">
      <c r="B506" s="1"/>
      <c r="J506" s="2"/>
      <c r="O506" s="2"/>
    </row>
    <row r="507" ht="12.0" customHeight="1">
      <c r="B507" s="1"/>
      <c r="J507" s="2"/>
      <c r="O507" s="2"/>
    </row>
    <row r="508" ht="12.0" customHeight="1">
      <c r="B508" s="1"/>
      <c r="J508" s="2"/>
      <c r="O508" s="2"/>
    </row>
    <row r="509" ht="12.0" customHeight="1">
      <c r="B509" s="1"/>
      <c r="J509" s="2"/>
      <c r="O509" s="2"/>
    </row>
    <row r="510" ht="12.0" customHeight="1">
      <c r="B510" s="1"/>
      <c r="J510" s="2"/>
      <c r="O510" s="2"/>
    </row>
    <row r="511" ht="12.0" customHeight="1">
      <c r="B511" s="1"/>
      <c r="J511" s="2"/>
      <c r="O511" s="2"/>
    </row>
    <row r="512" ht="12.0" customHeight="1">
      <c r="B512" s="1"/>
      <c r="J512" s="2"/>
      <c r="O512" s="2"/>
    </row>
    <row r="513" ht="12.0" customHeight="1">
      <c r="B513" s="1"/>
      <c r="J513" s="2"/>
      <c r="O513" s="2"/>
    </row>
    <row r="514" ht="12.0" customHeight="1">
      <c r="B514" s="1"/>
      <c r="J514" s="2"/>
      <c r="O514" s="2"/>
    </row>
    <row r="515" ht="12.0" customHeight="1">
      <c r="B515" s="1"/>
      <c r="J515" s="2"/>
      <c r="O515" s="2"/>
    </row>
    <row r="516" ht="12.0" customHeight="1">
      <c r="B516" s="1"/>
      <c r="J516" s="2"/>
      <c r="O516" s="2"/>
    </row>
    <row r="517" ht="12.0" customHeight="1">
      <c r="B517" s="1"/>
      <c r="J517" s="2"/>
      <c r="O517" s="2"/>
    </row>
    <row r="518" ht="12.0" customHeight="1">
      <c r="B518" s="1"/>
      <c r="J518" s="2"/>
      <c r="O518" s="2"/>
    </row>
    <row r="519" ht="12.0" customHeight="1">
      <c r="B519" s="1"/>
      <c r="J519" s="2"/>
      <c r="O519" s="2"/>
    </row>
    <row r="520" ht="12.0" customHeight="1">
      <c r="B520" s="1"/>
      <c r="J520" s="2"/>
      <c r="O520" s="2"/>
    </row>
    <row r="521" ht="12.0" customHeight="1">
      <c r="B521" s="1"/>
      <c r="J521" s="2"/>
      <c r="O521" s="2"/>
    </row>
    <row r="522" ht="12.0" customHeight="1">
      <c r="B522" s="1"/>
      <c r="J522" s="2"/>
      <c r="O522" s="2"/>
    </row>
    <row r="523" ht="12.0" customHeight="1">
      <c r="B523" s="1"/>
      <c r="J523" s="2"/>
      <c r="O523" s="2"/>
    </row>
    <row r="524" ht="12.0" customHeight="1">
      <c r="B524" s="1"/>
      <c r="J524" s="2"/>
      <c r="O524" s="2"/>
    </row>
    <row r="525" ht="12.0" customHeight="1">
      <c r="B525" s="1"/>
      <c r="J525" s="2"/>
      <c r="O525" s="2"/>
    </row>
    <row r="526" ht="12.0" customHeight="1">
      <c r="B526" s="1"/>
      <c r="J526" s="2"/>
      <c r="O526" s="2"/>
    </row>
    <row r="527" ht="12.0" customHeight="1">
      <c r="B527" s="1"/>
      <c r="J527" s="2"/>
      <c r="O527" s="2"/>
    </row>
    <row r="528" ht="12.0" customHeight="1">
      <c r="B528" s="1"/>
      <c r="J528" s="2"/>
      <c r="O528" s="2"/>
    </row>
    <row r="529" ht="12.0" customHeight="1">
      <c r="B529" s="1"/>
      <c r="J529" s="2"/>
      <c r="O529" s="2"/>
    </row>
    <row r="530" ht="12.0" customHeight="1">
      <c r="B530" s="1"/>
      <c r="J530" s="2"/>
      <c r="O530" s="2"/>
    </row>
    <row r="531" ht="12.0" customHeight="1">
      <c r="B531" s="1"/>
      <c r="J531" s="2"/>
      <c r="O531" s="2"/>
    </row>
    <row r="532" ht="12.0" customHeight="1">
      <c r="B532" s="1"/>
      <c r="J532" s="2"/>
      <c r="O532" s="2"/>
    </row>
    <row r="533" ht="12.0" customHeight="1">
      <c r="B533" s="1"/>
      <c r="J533" s="2"/>
      <c r="O533" s="2"/>
    </row>
    <row r="534" ht="12.0" customHeight="1">
      <c r="B534" s="1"/>
      <c r="J534" s="2"/>
      <c r="O534" s="2"/>
    </row>
    <row r="535" ht="12.0" customHeight="1">
      <c r="B535" s="1"/>
      <c r="J535" s="2"/>
      <c r="O535" s="2"/>
    </row>
    <row r="536" ht="12.0" customHeight="1">
      <c r="B536" s="1"/>
      <c r="J536" s="2"/>
      <c r="O536" s="2"/>
    </row>
    <row r="537" ht="12.0" customHeight="1">
      <c r="B537" s="1"/>
      <c r="J537" s="2"/>
      <c r="O537" s="2"/>
    </row>
    <row r="538" ht="12.0" customHeight="1">
      <c r="B538" s="1"/>
      <c r="J538" s="2"/>
      <c r="O538" s="2"/>
    </row>
    <row r="539" ht="12.0" customHeight="1">
      <c r="B539" s="1"/>
      <c r="J539" s="2"/>
      <c r="O539" s="2"/>
    </row>
    <row r="540" ht="12.0" customHeight="1">
      <c r="B540" s="1"/>
      <c r="J540" s="2"/>
      <c r="O540" s="2"/>
    </row>
    <row r="541" ht="12.0" customHeight="1">
      <c r="B541" s="1"/>
      <c r="J541" s="2"/>
      <c r="O541" s="2"/>
    </row>
    <row r="542" ht="12.0" customHeight="1">
      <c r="B542" s="1"/>
      <c r="J542" s="2"/>
      <c r="O542" s="2"/>
    </row>
    <row r="543" ht="12.0" customHeight="1">
      <c r="B543" s="1"/>
      <c r="J543" s="2"/>
      <c r="O543" s="2"/>
    </row>
    <row r="544" ht="12.0" customHeight="1">
      <c r="B544" s="1"/>
      <c r="J544" s="2"/>
      <c r="O544" s="2"/>
    </row>
    <row r="545" ht="12.0" customHeight="1">
      <c r="B545" s="1"/>
      <c r="J545" s="2"/>
      <c r="O545" s="2"/>
    </row>
    <row r="546" ht="12.0" customHeight="1">
      <c r="B546" s="1"/>
      <c r="J546" s="2"/>
      <c r="O546" s="2"/>
    </row>
    <row r="547" ht="12.0" customHeight="1">
      <c r="B547" s="1"/>
      <c r="J547" s="2"/>
      <c r="O547" s="2"/>
    </row>
    <row r="548" ht="12.0" customHeight="1">
      <c r="B548" s="1"/>
      <c r="J548" s="2"/>
      <c r="O548" s="2"/>
    </row>
    <row r="549" ht="12.0" customHeight="1">
      <c r="B549" s="1"/>
      <c r="J549" s="2"/>
      <c r="O549" s="2"/>
    </row>
    <row r="550" ht="12.0" customHeight="1">
      <c r="B550" s="1"/>
      <c r="J550" s="2"/>
      <c r="O550" s="2"/>
    </row>
    <row r="551" ht="12.0" customHeight="1">
      <c r="B551" s="1"/>
      <c r="J551" s="2"/>
      <c r="O551" s="2"/>
    </row>
    <row r="552" ht="12.0" customHeight="1">
      <c r="B552" s="1"/>
      <c r="J552" s="2"/>
      <c r="O552" s="2"/>
    </row>
    <row r="553" ht="12.0" customHeight="1">
      <c r="B553" s="1"/>
      <c r="J553" s="2"/>
      <c r="O553" s="2"/>
    </row>
    <row r="554" ht="12.0" customHeight="1">
      <c r="B554" s="1"/>
      <c r="J554" s="2"/>
      <c r="O554" s="2"/>
    </row>
    <row r="555" ht="12.0" customHeight="1">
      <c r="B555" s="1"/>
      <c r="J555" s="2"/>
      <c r="O555" s="2"/>
    </row>
    <row r="556" ht="12.0" customHeight="1">
      <c r="B556" s="1"/>
      <c r="J556" s="2"/>
      <c r="O556" s="2"/>
    </row>
    <row r="557" ht="12.0" customHeight="1">
      <c r="B557" s="1"/>
      <c r="J557" s="2"/>
      <c r="O557" s="2"/>
    </row>
    <row r="558" ht="12.0" customHeight="1">
      <c r="B558" s="1"/>
      <c r="J558" s="2"/>
      <c r="O558" s="2"/>
    </row>
    <row r="559" ht="12.0" customHeight="1">
      <c r="B559" s="1"/>
      <c r="J559" s="2"/>
      <c r="O559" s="2"/>
    </row>
    <row r="560" ht="12.0" customHeight="1">
      <c r="B560" s="1"/>
      <c r="J560" s="2"/>
      <c r="O560" s="2"/>
    </row>
    <row r="561" ht="12.0" customHeight="1">
      <c r="B561" s="1"/>
      <c r="J561" s="2"/>
      <c r="O561" s="2"/>
    </row>
    <row r="562" ht="12.0" customHeight="1">
      <c r="B562" s="1"/>
      <c r="J562" s="2"/>
      <c r="O562" s="2"/>
    </row>
    <row r="563" ht="12.0" customHeight="1">
      <c r="B563" s="1"/>
      <c r="J563" s="2"/>
      <c r="O563" s="2"/>
    </row>
    <row r="564" ht="12.0" customHeight="1">
      <c r="B564" s="1"/>
      <c r="J564" s="2"/>
      <c r="O564" s="2"/>
    </row>
    <row r="565" ht="12.0" customHeight="1">
      <c r="B565" s="1"/>
      <c r="J565" s="2"/>
      <c r="O565" s="2"/>
    </row>
    <row r="566" ht="12.0" customHeight="1">
      <c r="B566" s="1"/>
      <c r="J566" s="2"/>
      <c r="O566" s="2"/>
    </row>
    <row r="567" ht="12.0" customHeight="1">
      <c r="B567" s="1"/>
      <c r="J567" s="2"/>
      <c r="O567" s="2"/>
    </row>
    <row r="568" ht="12.0" customHeight="1">
      <c r="B568" s="1"/>
      <c r="J568" s="2"/>
      <c r="O568" s="2"/>
    </row>
    <row r="569" ht="12.0" customHeight="1">
      <c r="B569" s="1"/>
      <c r="J569" s="2"/>
      <c r="O569" s="2"/>
    </row>
    <row r="570" ht="12.0" customHeight="1">
      <c r="B570" s="1"/>
      <c r="J570" s="2"/>
      <c r="O570" s="2"/>
    </row>
    <row r="571" ht="12.0" customHeight="1">
      <c r="B571" s="1"/>
      <c r="J571" s="2"/>
      <c r="O571" s="2"/>
    </row>
    <row r="572" ht="12.0" customHeight="1">
      <c r="B572" s="1"/>
      <c r="J572" s="2"/>
      <c r="O572" s="2"/>
    </row>
    <row r="573" ht="12.0" customHeight="1">
      <c r="B573" s="1"/>
      <c r="J573" s="2"/>
      <c r="O573" s="2"/>
    </row>
    <row r="574" ht="12.0" customHeight="1">
      <c r="B574" s="1"/>
      <c r="J574" s="2"/>
      <c r="O574" s="2"/>
    </row>
    <row r="575" ht="12.0" customHeight="1">
      <c r="B575" s="1"/>
      <c r="J575" s="2"/>
      <c r="O575" s="2"/>
    </row>
    <row r="576" ht="12.0" customHeight="1">
      <c r="B576" s="1"/>
      <c r="J576" s="2"/>
      <c r="O576" s="2"/>
    </row>
    <row r="577" ht="12.0" customHeight="1">
      <c r="B577" s="1"/>
      <c r="J577" s="2"/>
      <c r="O577" s="2"/>
    </row>
    <row r="578" ht="12.0" customHeight="1">
      <c r="B578" s="1"/>
      <c r="J578" s="2"/>
      <c r="O578" s="2"/>
    </row>
    <row r="579" ht="12.0" customHeight="1">
      <c r="B579" s="1"/>
      <c r="J579" s="2"/>
      <c r="O579" s="2"/>
    </row>
    <row r="580" ht="12.0" customHeight="1">
      <c r="B580" s="1"/>
      <c r="J580" s="2"/>
      <c r="O580" s="2"/>
    </row>
    <row r="581" ht="12.0" customHeight="1">
      <c r="B581" s="1"/>
      <c r="J581" s="2"/>
      <c r="O581" s="2"/>
    </row>
    <row r="582" ht="12.0" customHeight="1">
      <c r="B582" s="1"/>
      <c r="J582" s="2"/>
      <c r="O582" s="2"/>
    </row>
    <row r="583" ht="12.0" customHeight="1">
      <c r="B583" s="1"/>
      <c r="J583" s="2"/>
      <c r="O583" s="2"/>
    </row>
    <row r="584" ht="12.0" customHeight="1">
      <c r="B584" s="1"/>
      <c r="J584" s="2"/>
      <c r="O584" s="2"/>
    </row>
    <row r="585" ht="12.0" customHeight="1">
      <c r="B585" s="1"/>
      <c r="J585" s="2"/>
      <c r="O585" s="2"/>
    </row>
    <row r="586" ht="12.0" customHeight="1">
      <c r="B586" s="1"/>
      <c r="J586" s="2"/>
      <c r="O586" s="2"/>
    </row>
    <row r="587" ht="12.0" customHeight="1">
      <c r="B587" s="1"/>
      <c r="J587" s="2"/>
      <c r="O587" s="2"/>
    </row>
    <row r="588" ht="12.0" customHeight="1">
      <c r="B588" s="1"/>
      <c r="J588" s="2"/>
      <c r="O588" s="2"/>
    </row>
    <row r="589" ht="12.0" customHeight="1">
      <c r="B589" s="1"/>
      <c r="J589" s="2"/>
      <c r="O589" s="2"/>
    </row>
    <row r="590" ht="12.0" customHeight="1">
      <c r="B590" s="1"/>
      <c r="J590" s="2"/>
      <c r="O590" s="2"/>
    </row>
    <row r="591" ht="12.0" customHeight="1">
      <c r="B591" s="1"/>
      <c r="J591" s="2"/>
      <c r="O591" s="2"/>
    </row>
    <row r="592" ht="12.0" customHeight="1">
      <c r="B592" s="1"/>
      <c r="J592" s="2"/>
      <c r="O592" s="2"/>
    </row>
    <row r="593" ht="12.0" customHeight="1">
      <c r="B593" s="1"/>
      <c r="J593" s="2"/>
      <c r="O593" s="2"/>
    </row>
    <row r="594" ht="12.0" customHeight="1">
      <c r="B594" s="1"/>
      <c r="J594" s="2"/>
      <c r="O594" s="2"/>
    </row>
    <row r="595" ht="12.0" customHeight="1">
      <c r="B595" s="1"/>
      <c r="J595" s="2"/>
      <c r="O595" s="2"/>
    </row>
    <row r="596" ht="12.0" customHeight="1">
      <c r="B596" s="1"/>
      <c r="J596" s="2"/>
      <c r="O596" s="2"/>
    </row>
    <row r="597" ht="12.0" customHeight="1">
      <c r="B597" s="1"/>
      <c r="J597" s="2"/>
      <c r="O597" s="2"/>
    </row>
    <row r="598" ht="12.0" customHeight="1">
      <c r="B598" s="1"/>
      <c r="J598" s="2"/>
      <c r="O598" s="2"/>
    </row>
    <row r="599" ht="12.0" customHeight="1">
      <c r="B599" s="1"/>
      <c r="J599" s="2"/>
      <c r="O599" s="2"/>
    </row>
    <row r="600" ht="12.0" customHeight="1">
      <c r="B600" s="1"/>
      <c r="J600" s="2"/>
      <c r="O600" s="2"/>
    </row>
    <row r="601" ht="12.0" customHeight="1">
      <c r="B601" s="1"/>
      <c r="J601" s="2"/>
      <c r="O601" s="2"/>
    </row>
    <row r="602" ht="12.0" customHeight="1">
      <c r="B602" s="1"/>
      <c r="J602" s="2"/>
      <c r="O602" s="2"/>
    </row>
    <row r="603" ht="12.0" customHeight="1">
      <c r="B603" s="1"/>
      <c r="J603" s="2"/>
      <c r="O603" s="2"/>
    </row>
    <row r="604" ht="12.0" customHeight="1">
      <c r="B604" s="1"/>
      <c r="J604" s="2"/>
      <c r="O604" s="2"/>
    </row>
    <row r="605" ht="12.0" customHeight="1">
      <c r="B605" s="1"/>
      <c r="J605" s="2"/>
      <c r="O605" s="2"/>
    </row>
    <row r="606" ht="12.0" customHeight="1">
      <c r="B606" s="1"/>
      <c r="J606" s="2"/>
      <c r="O606" s="2"/>
    </row>
    <row r="607" ht="12.0" customHeight="1">
      <c r="B607" s="1"/>
      <c r="J607" s="2"/>
      <c r="O607" s="2"/>
    </row>
    <row r="608" ht="12.0" customHeight="1">
      <c r="B608" s="1"/>
      <c r="J608" s="2"/>
      <c r="O608" s="2"/>
    </row>
    <row r="609" ht="12.0" customHeight="1">
      <c r="B609" s="1"/>
      <c r="J609" s="2"/>
      <c r="O609" s="2"/>
    </row>
    <row r="610" ht="12.0" customHeight="1">
      <c r="B610" s="1"/>
      <c r="J610" s="2"/>
      <c r="O610" s="2"/>
    </row>
    <row r="611" ht="12.0" customHeight="1">
      <c r="B611" s="1"/>
      <c r="J611" s="2"/>
      <c r="O611" s="2"/>
    </row>
    <row r="612" ht="12.0" customHeight="1">
      <c r="B612" s="1"/>
      <c r="J612" s="2"/>
      <c r="O612" s="2"/>
    </row>
    <row r="613" ht="12.0" customHeight="1">
      <c r="B613" s="1"/>
      <c r="J613" s="2"/>
      <c r="O613" s="2"/>
    </row>
    <row r="614" ht="12.0" customHeight="1">
      <c r="B614" s="1"/>
      <c r="J614" s="2"/>
      <c r="O614" s="2"/>
    </row>
    <row r="615" ht="12.0" customHeight="1">
      <c r="B615" s="1"/>
      <c r="J615" s="2"/>
      <c r="O615" s="2"/>
    </row>
    <row r="616" ht="12.0" customHeight="1">
      <c r="B616" s="1"/>
      <c r="J616" s="2"/>
      <c r="O616" s="2"/>
    </row>
    <row r="617" ht="12.0" customHeight="1">
      <c r="B617" s="1"/>
      <c r="J617" s="2"/>
      <c r="O617" s="2"/>
    </row>
    <row r="618" ht="12.0" customHeight="1">
      <c r="B618" s="1"/>
      <c r="J618" s="2"/>
      <c r="O618" s="2"/>
    </row>
    <row r="619" ht="12.0" customHeight="1">
      <c r="B619" s="1"/>
      <c r="J619" s="2"/>
      <c r="O619" s="2"/>
    </row>
    <row r="620" ht="12.0" customHeight="1">
      <c r="B620" s="1"/>
      <c r="J620" s="2"/>
      <c r="O620" s="2"/>
    </row>
    <row r="621" ht="12.0" customHeight="1">
      <c r="B621" s="1"/>
      <c r="J621" s="2"/>
      <c r="O621" s="2"/>
    </row>
    <row r="622" ht="12.0" customHeight="1">
      <c r="B622" s="1"/>
      <c r="J622" s="2"/>
      <c r="O622" s="2"/>
    </row>
    <row r="623" ht="12.0" customHeight="1">
      <c r="B623" s="1"/>
      <c r="J623" s="2"/>
      <c r="O623" s="2"/>
    </row>
    <row r="624" ht="12.0" customHeight="1">
      <c r="B624" s="1"/>
      <c r="J624" s="2"/>
      <c r="O624" s="2"/>
    </row>
    <row r="625" ht="12.0" customHeight="1">
      <c r="B625" s="1"/>
      <c r="J625" s="2"/>
      <c r="O625" s="2"/>
    </row>
    <row r="626" ht="12.0" customHeight="1">
      <c r="B626" s="1"/>
      <c r="J626" s="2"/>
      <c r="O626" s="2"/>
    </row>
    <row r="627" ht="12.0" customHeight="1">
      <c r="B627" s="1"/>
      <c r="J627" s="2"/>
      <c r="O627" s="2"/>
    </row>
    <row r="628" ht="12.0" customHeight="1">
      <c r="B628" s="1"/>
      <c r="J628" s="2"/>
      <c r="O628" s="2"/>
    </row>
    <row r="629" ht="12.0" customHeight="1">
      <c r="B629" s="1"/>
      <c r="J629" s="2"/>
      <c r="O629" s="2"/>
    </row>
    <row r="630" ht="12.0" customHeight="1">
      <c r="B630" s="1"/>
      <c r="J630" s="2"/>
      <c r="O630" s="2"/>
    </row>
    <row r="631" ht="12.0" customHeight="1">
      <c r="B631" s="1"/>
      <c r="J631" s="2"/>
      <c r="O631" s="2"/>
    </row>
    <row r="632" ht="12.0" customHeight="1">
      <c r="B632" s="1"/>
      <c r="J632" s="2"/>
      <c r="O632" s="2"/>
    </row>
    <row r="633" ht="12.0" customHeight="1">
      <c r="B633" s="1"/>
      <c r="J633" s="2"/>
      <c r="O633" s="2"/>
    </row>
    <row r="634" ht="12.0" customHeight="1">
      <c r="B634" s="1"/>
      <c r="J634" s="2"/>
      <c r="O634" s="2"/>
    </row>
    <row r="635" ht="12.0" customHeight="1">
      <c r="B635" s="1"/>
      <c r="J635" s="2"/>
      <c r="O635" s="2"/>
    </row>
    <row r="636" ht="12.0" customHeight="1">
      <c r="B636" s="1"/>
      <c r="J636" s="2"/>
      <c r="O636" s="2"/>
    </row>
    <row r="637" ht="12.0" customHeight="1">
      <c r="B637" s="1"/>
      <c r="J637" s="2"/>
      <c r="O637" s="2"/>
    </row>
    <row r="638" ht="12.0" customHeight="1">
      <c r="B638" s="1"/>
      <c r="J638" s="2"/>
      <c r="O638" s="2"/>
    </row>
    <row r="639" ht="12.0" customHeight="1">
      <c r="B639" s="1"/>
      <c r="J639" s="2"/>
      <c r="O639" s="2"/>
    </row>
    <row r="640" ht="12.0" customHeight="1">
      <c r="B640" s="1"/>
      <c r="J640" s="2"/>
      <c r="O640" s="2"/>
    </row>
    <row r="641" ht="12.0" customHeight="1">
      <c r="B641" s="1"/>
      <c r="J641" s="2"/>
      <c r="O641" s="2"/>
    </row>
    <row r="642" ht="12.0" customHeight="1">
      <c r="B642" s="1"/>
      <c r="J642" s="2"/>
      <c r="O642" s="2"/>
    </row>
    <row r="643" ht="12.0" customHeight="1">
      <c r="B643" s="1"/>
      <c r="J643" s="2"/>
      <c r="O643" s="2"/>
    </row>
    <row r="644" ht="12.0" customHeight="1">
      <c r="B644" s="1"/>
      <c r="J644" s="2"/>
      <c r="O644" s="2"/>
    </row>
    <row r="645" ht="12.0" customHeight="1">
      <c r="B645" s="1"/>
      <c r="J645" s="2"/>
      <c r="O645" s="2"/>
    </row>
    <row r="646" ht="12.0" customHeight="1">
      <c r="B646" s="1"/>
      <c r="J646" s="2"/>
      <c r="O646" s="2"/>
    </row>
    <row r="647" ht="12.0" customHeight="1">
      <c r="B647" s="1"/>
      <c r="J647" s="2"/>
      <c r="O647" s="2"/>
    </row>
    <row r="648" ht="12.0" customHeight="1">
      <c r="B648" s="1"/>
      <c r="J648" s="2"/>
      <c r="O648" s="2"/>
    </row>
    <row r="649" ht="12.0" customHeight="1">
      <c r="B649" s="1"/>
      <c r="J649" s="2"/>
      <c r="O649" s="2"/>
    </row>
    <row r="650" ht="12.0" customHeight="1">
      <c r="B650" s="1"/>
      <c r="J650" s="2"/>
      <c r="O650" s="2"/>
    </row>
    <row r="651" ht="12.0" customHeight="1">
      <c r="B651" s="1"/>
      <c r="J651" s="2"/>
      <c r="O651" s="2"/>
    </row>
    <row r="652" ht="12.0" customHeight="1">
      <c r="B652" s="1"/>
      <c r="J652" s="2"/>
      <c r="O652" s="2"/>
    </row>
    <row r="653" ht="12.0" customHeight="1">
      <c r="B653" s="1"/>
      <c r="J653" s="2"/>
      <c r="O653" s="2"/>
    </row>
    <row r="654" ht="12.0" customHeight="1">
      <c r="B654" s="1"/>
      <c r="J654" s="2"/>
      <c r="O654" s="2"/>
    </row>
    <row r="655" ht="12.0" customHeight="1">
      <c r="B655" s="1"/>
      <c r="J655" s="2"/>
      <c r="O655" s="2"/>
    </row>
    <row r="656" ht="12.0" customHeight="1">
      <c r="B656" s="1"/>
      <c r="J656" s="2"/>
      <c r="O656" s="2"/>
    </row>
    <row r="657" ht="12.0" customHeight="1">
      <c r="B657" s="1"/>
      <c r="J657" s="2"/>
      <c r="O657" s="2"/>
    </row>
    <row r="658" ht="12.0" customHeight="1">
      <c r="B658" s="1"/>
      <c r="J658" s="2"/>
      <c r="O658" s="2"/>
    </row>
    <row r="659" ht="12.0" customHeight="1">
      <c r="B659" s="1"/>
      <c r="J659" s="2"/>
      <c r="O659" s="2"/>
    </row>
    <row r="660" ht="12.0" customHeight="1">
      <c r="B660" s="1"/>
      <c r="J660" s="2"/>
      <c r="O660" s="2"/>
    </row>
    <row r="661" ht="12.0" customHeight="1">
      <c r="B661" s="1"/>
      <c r="J661" s="2"/>
      <c r="O661" s="2"/>
    </row>
    <row r="662" ht="12.0" customHeight="1">
      <c r="B662" s="1"/>
      <c r="J662" s="2"/>
      <c r="O662" s="2"/>
    </row>
    <row r="663" ht="12.0" customHeight="1">
      <c r="B663" s="1"/>
      <c r="J663" s="2"/>
      <c r="O663" s="2"/>
    </row>
    <row r="664" ht="12.0" customHeight="1">
      <c r="B664" s="1"/>
      <c r="J664" s="2"/>
      <c r="O664" s="2"/>
    </row>
    <row r="665" ht="12.0" customHeight="1">
      <c r="B665" s="1"/>
      <c r="J665" s="2"/>
      <c r="O665" s="2"/>
    </row>
    <row r="666" ht="12.0" customHeight="1">
      <c r="B666" s="1"/>
      <c r="J666" s="2"/>
      <c r="O666" s="2"/>
    </row>
    <row r="667" ht="12.0" customHeight="1">
      <c r="B667" s="1"/>
      <c r="J667" s="2"/>
      <c r="O667" s="2"/>
    </row>
    <row r="668" ht="12.0" customHeight="1">
      <c r="B668" s="1"/>
      <c r="J668" s="2"/>
      <c r="O668" s="2"/>
    </row>
    <row r="669" ht="12.0" customHeight="1">
      <c r="B669" s="1"/>
      <c r="J669" s="2"/>
      <c r="O669" s="2"/>
    </row>
    <row r="670" ht="12.0" customHeight="1">
      <c r="B670" s="1"/>
      <c r="J670" s="2"/>
      <c r="O670" s="2"/>
    </row>
    <row r="671" ht="12.0" customHeight="1">
      <c r="B671" s="1"/>
      <c r="J671" s="2"/>
      <c r="O671" s="2"/>
    </row>
    <row r="672" ht="12.0" customHeight="1">
      <c r="B672" s="1"/>
      <c r="J672" s="2"/>
      <c r="O672" s="2"/>
    </row>
    <row r="673" ht="12.0" customHeight="1">
      <c r="B673" s="1"/>
      <c r="J673" s="2"/>
      <c r="O673" s="2"/>
    </row>
    <row r="674" ht="12.0" customHeight="1">
      <c r="B674" s="1"/>
      <c r="J674" s="2"/>
      <c r="O674" s="2"/>
    </row>
    <row r="675" ht="12.0" customHeight="1">
      <c r="B675" s="1"/>
      <c r="J675" s="2"/>
      <c r="O675" s="2"/>
    </row>
    <row r="676" ht="12.0" customHeight="1">
      <c r="B676" s="1"/>
      <c r="J676" s="2"/>
      <c r="O676" s="2"/>
    </row>
    <row r="677" ht="12.0" customHeight="1">
      <c r="B677" s="1"/>
      <c r="J677" s="2"/>
      <c r="O677" s="2"/>
    </row>
    <row r="678" ht="12.0" customHeight="1">
      <c r="B678" s="1"/>
      <c r="J678" s="2"/>
      <c r="O678" s="2"/>
    </row>
    <row r="679" ht="12.0" customHeight="1">
      <c r="B679" s="1"/>
      <c r="J679" s="2"/>
      <c r="O679" s="2"/>
    </row>
    <row r="680" ht="12.0" customHeight="1">
      <c r="B680" s="1"/>
      <c r="J680" s="2"/>
      <c r="O680" s="2"/>
    </row>
    <row r="681" ht="12.0" customHeight="1">
      <c r="B681" s="1"/>
      <c r="J681" s="2"/>
      <c r="O681" s="2"/>
    </row>
    <row r="682" ht="12.0" customHeight="1">
      <c r="B682" s="1"/>
      <c r="J682" s="2"/>
      <c r="O682" s="2"/>
    </row>
    <row r="683" ht="12.0" customHeight="1">
      <c r="B683" s="1"/>
      <c r="J683" s="2"/>
      <c r="O683" s="2"/>
    </row>
    <row r="684" ht="12.0" customHeight="1">
      <c r="B684" s="1"/>
      <c r="J684" s="2"/>
      <c r="O684" s="2"/>
    </row>
    <row r="685" ht="12.0" customHeight="1">
      <c r="B685" s="1"/>
      <c r="J685" s="2"/>
      <c r="O685" s="2"/>
    </row>
    <row r="686" ht="12.0" customHeight="1">
      <c r="B686" s="1"/>
      <c r="J686" s="2"/>
      <c r="O686" s="2"/>
    </row>
    <row r="687" ht="12.0" customHeight="1">
      <c r="B687" s="1"/>
      <c r="J687" s="2"/>
      <c r="O687" s="2"/>
    </row>
    <row r="688" ht="12.0" customHeight="1">
      <c r="B688" s="1"/>
      <c r="J688" s="2"/>
      <c r="O688" s="2"/>
    </row>
    <row r="689" ht="12.0" customHeight="1">
      <c r="B689" s="1"/>
      <c r="J689" s="2"/>
      <c r="O689" s="2"/>
    </row>
    <row r="690" ht="12.0" customHeight="1">
      <c r="B690" s="1"/>
      <c r="J690" s="2"/>
      <c r="O690" s="2"/>
    </row>
    <row r="691" ht="12.0" customHeight="1">
      <c r="B691" s="1"/>
      <c r="J691" s="2"/>
      <c r="O691" s="2"/>
    </row>
    <row r="692" ht="12.0" customHeight="1">
      <c r="B692" s="1"/>
      <c r="J692" s="2"/>
      <c r="O692" s="2"/>
    </row>
    <row r="693" ht="12.0" customHeight="1">
      <c r="B693" s="1"/>
      <c r="J693" s="2"/>
      <c r="O693" s="2"/>
    </row>
    <row r="694" ht="12.0" customHeight="1">
      <c r="B694" s="1"/>
      <c r="J694" s="2"/>
      <c r="O694" s="2"/>
    </row>
    <row r="695" ht="12.0" customHeight="1">
      <c r="B695" s="1"/>
      <c r="J695" s="2"/>
      <c r="O695" s="2"/>
    </row>
    <row r="696" ht="12.0" customHeight="1">
      <c r="B696" s="1"/>
      <c r="J696" s="2"/>
      <c r="O696" s="2"/>
    </row>
    <row r="697" ht="12.0" customHeight="1">
      <c r="B697" s="1"/>
      <c r="J697" s="2"/>
      <c r="O697" s="2"/>
    </row>
    <row r="698" ht="12.0" customHeight="1">
      <c r="B698" s="1"/>
      <c r="J698" s="2"/>
      <c r="O698" s="2"/>
    </row>
    <row r="699" ht="12.0" customHeight="1">
      <c r="B699" s="1"/>
      <c r="J699" s="2"/>
      <c r="O699" s="2"/>
    </row>
    <row r="700" ht="12.0" customHeight="1">
      <c r="B700" s="1"/>
      <c r="J700" s="2"/>
      <c r="O700" s="2"/>
    </row>
    <row r="701" ht="12.0" customHeight="1">
      <c r="B701" s="1"/>
      <c r="J701" s="2"/>
      <c r="O701" s="2"/>
    </row>
    <row r="702" ht="12.0" customHeight="1">
      <c r="B702" s="1"/>
      <c r="J702" s="2"/>
      <c r="O702" s="2"/>
    </row>
    <row r="703" ht="12.0" customHeight="1">
      <c r="B703" s="1"/>
      <c r="J703" s="2"/>
      <c r="O703" s="2"/>
    </row>
    <row r="704" ht="12.0" customHeight="1">
      <c r="B704" s="1"/>
      <c r="J704" s="2"/>
      <c r="O704" s="2"/>
    </row>
    <row r="705" ht="12.0" customHeight="1">
      <c r="B705" s="1"/>
      <c r="J705" s="2"/>
      <c r="O705" s="2"/>
    </row>
    <row r="706" ht="12.0" customHeight="1">
      <c r="B706" s="1"/>
      <c r="J706" s="2"/>
      <c r="O706" s="2"/>
    </row>
    <row r="707" ht="12.0" customHeight="1">
      <c r="B707" s="1"/>
      <c r="J707" s="2"/>
      <c r="O707" s="2"/>
    </row>
    <row r="708" ht="12.0" customHeight="1">
      <c r="B708" s="1"/>
      <c r="J708" s="2"/>
      <c r="O708" s="2"/>
    </row>
    <row r="709" ht="12.0" customHeight="1">
      <c r="B709" s="1"/>
      <c r="J709" s="2"/>
      <c r="O709" s="2"/>
    </row>
    <row r="710" ht="12.0" customHeight="1">
      <c r="B710" s="1"/>
      <c r="J710" s="2"/>
      <c r="O710" s="2"/>
    </row>
    <row r="711" ht="12.0" customHeight="1">
      <c r="B711" s="1"/>
      <c r="J711" s="2"/>
      <c r="O711" s="2"/>
    </row>
    <row r="712" ht="12.0" customHeight="1">
      <c r="B712" s="1"/>
      <c r="J712" s="2"/>
      <c r="O712" s="2"/>
    </row>
    <row r="713" ht="12.0" customHeight="1">
      <c r="B713" s="1"/>
      <c r="J713" s="2"/>
      <c r="O713" s="2"/>
    </row>
    <row r="714" ht="12.0" customHeight="1">
      <c r="B714" s="1"/>
      <c r="J714" s="2"/>
      <c r="O714" s="2"/>
    </row>
    <row r="715" ht="12.0" customHeight="1">
      <c r="B715" s="1"/>
      <c r="J715" s="2"/>
      <c r="O715" s="2"/>
    </row>
    <row r="716" ht="12.0" customHeight="1">
      <c r="B716" s="1"/>
      <c r="J716" s="2"/>
      <c r="O716" s="2"/>
    </row>
    <row r="717" ht="12.0" customHeight="1">
      <c r="B717" s="1"/>
      <c r="J717" s="2"/>
      <c r="O717" s="2"/>
    </row>
    <row r="718" ht="12.0" customHeight="1">
      <c r="B718" s="1"/>
      <c r="J718" s="2"/>
      <c r="O718" s="2"/>
    </row>
    <row r="719" ht="12.0" customHeight="1">
      <c r="B719" s="1"/>
      <c r="J719" s="2"/>
      <c r="O719" s="2"/>
    </row>
    <row r="720" ht="12.0" customHeight="1">
      <c r="B720" s="1"/>
      <c r="J720" s="2"/>
      <c r="O720" s="2"/>
    </row>
    <row r="721" ht="12.0" customHeight="1">
      <c r="B721" s="1"/>
      <c r="J721" s="2"/>
      <c r="O721" s="2"/>
    </row>
    <row r="722" ht="12.0" customHeight="1">
      <c r="B722" s="1"/>
      <c r="J722" s="2"/>
      <c r="O722" s="2"/>
    </row>
    <row r="723" ht="12.0" customHeight="1">
      <c r="B723" s="1"/>
      <c r="J723" s="2"/>
      <c r="O723" s="2"/>
    </row>
    <row r="724" ht="12.0" customHeight="1">
      <c r="B724" s="1"/>
      <c r="J724" s="2"/>
      <c r="O724" s="2"/>
    </row>
    <row r="725" ht="12.0" customHeight="1">
      <c r="B725" s="1"/>
      <c r="J725" s="2"/>
      <c r="O725" s="2"/>
    </row>
    <row r="726" ht="12.0" customHeight="1">
      <c r="B726" s="1"/>
      <c r="J726" s="2"/>
      <c r="O726" s="2"/>
    </row>
    <row r="727" ht="12.0" customHeight="1">
      <c r="B727" s="1"/>
      <c r="J727" s="2"/>
      <c r="O727" s="2"/>
    </row>
    <row r="728" ht="12.0" customHeight="1">
      <c r="B728" s="1"/>
      <c r="J728" s="2"/>
      <c r="O728" s="2"/>
    </row>
    <row r="729" ht="12.0" customHeight="1">
      <c r="B729" s="1"/>
      <c r="J729" s="2"/>
      <c r="O729" s="2"/>
    </row>
    <row r="730" ht="12.0" customHeight="1">
      <c r="B730" s="1"/>
      <c r="J730" s="2"/>
      <c r="O730" s="2"/>
    </row>
    <row r="731" ht="12.0" customHeight="1">
      <c r="B731" s="1"/>
      <c r="J731" s="2"/>
      <c r="O731" s="2"/>
    </row>
    <row r="732" ht="12.0" customHeight="1">
      <c r="B732" s="1"/>
      <c r="J732" s="2"/>
      <c r="O732" s="2"/>
    </row>
    <row r="733" ht="12.0" customHeight="1">
      <c r="B733" s="1"/>
      <c r="J733" s="2"/>
      <c r="O733" s="2"/>
    </row>
    <row r="734" ht="12.0" customHeight="1">
      <c r="B734" s="1"/>
      <c r="J734" s="2"/>
      <c r="O734" s="2"/>
    </row>
    <row r="735" ht="12.0" customHeight="1">
      <c r="B735" s="1"/>
      <c r="J735" s="2"/>
      <c r="O735" s="2"/>
    </row>
    <row r="736" ht="12.0" customHeight="1">
      <c r="B736" s="1"/>
      <c r="J736" s="2"/>
      <c r="O736" s="2"/>
    </row>
    <row r="737" ht="12.0" customHeight="1">
      <c r="B737" s="1"/>
      <c r="J737" s="2"/>
      <c r="O737" s="2"/>
    </row>
    <row r="738" ht="12.0" customHeight="1">
      <c r="B738" s="1"/>
      <c r="J738" s="2"/>
      <c r="O738" s="2"/>
    </row>
    <row r="739" ht="12.0" customHeight="1">
      <c r="B739" s="1"/>
      <c r="J739" s="2"/>
      <c r="O739" s="2"/>
    </row>
    <row r="740" ht="12.0" customHeight="1">
      <c r="B740" s="1"/>
      <c r="J740" s="2"/>
      <c r="O740" s="2"/>
    </row>
    <row r="741" ht="12.0" customHeight="1">
      <c r="B741" s="1"/>
      <c r="J741" s="2"/>
      <c r="O741" s="2"/>
    </row>
    <row r="742" ht="12.0" customHeight="1">
      <c r="B742" s="1"/>
      <c r="J742" s="2"/>
      <c r="O742" s="2"/>
    </row>
    <row r="743" ht="12.0" customHeight="1">
      <c r="B743" s="1"/>
      <c r="J743" s="2"/>
      <c r="O743" s="2"/>
    </row>
    <row r="744" ht="12.0" customHeight="1">
      <c r="B744" s="1"/>
      <c r="J744" s="2"/>
      <c r="O744" s="2"/>
    </row>
    <row r="745" ht="12.0" customHeight="1">
      <c r="B745" s="1"/>
      <c r="J745" s="2"/>
      <c r="O745" s="2"/>
    </row>
    <row r="746" ht="12.0" customHeight="1">
      <c r="B746" s="1"/>
      <c r="J746" s="2"/>
      <c r="O746" s="2"/>
    </row>
    <row r="747" ht="12.0" customHeight="1">
      <c r="B747" s="1"/>
      <c r="J747" s="2"/>
      <c r="O747" s="2"/>
    </row>
    <row r="748" ht="12.0" customHeight="1">
      <c r="B748" s="1"/>
      <c r="J748" s="2"/>
      <c r="O748" s="2"/>
    </row>
    <row r="749" ht="12.0" customHeight="1">
      <c r="B749" s="1"/>
      <c r="J749" s="2"/>
      <c r="O749" s="2"/>
    </row>
    <row r="750" ht="12.0" customHeight="1">
      <c r="B750" s="1"/>
      <c r="J750" s="2"/>
      <c r="O750" s="2"/>
    </row>
    <row r="751" ht="12.0" customHeight="1">
      <c r="B751" s="1"/>
      <c r="J751" s="2"/>
      <c r="O751" s="2"/>
    </row>
    <row r="752" ht="12.0" customHeight="1">
      <c r="B752" s="1"/>
      <c r="J752" s="2"/>
      <c r="O752" s="2"/>
    </row>
    <row r="753" ht="12.0" customHeight="1">
      <c r="B753" s="1"/>
      <c r="J753" s="2"/>
      <c r="O753" s="2"/>
    </row>
    <row r="754" ht="12.0" customHeight="1">
      <c r="B754" s="1"/>
      <c r="J754" s="2"/>
      <c r="O754" s="2"/>
    </row>
    <row r="755" ht="12.0" customHeight="1">
      <c r="B755" s="1"/>
      <c r="J755" s="2"/>
      <c r="O755" s="2"/>
    </row>
    <row r="756" ht="12.0" customHeight="1">
      <c r="B756" s="1"/>
      <c r="J756" s="2"/>
      <c r="O756" s="2"/>
    </row>
    <row r="757" ht="12.0" customHeight="1">
      <c r="B757" s="1"/>
      <c r="J757" s="2"/>
      <c r="O757" s="2"/>
    </row>
    <row r="758" ht="12.0" customHeight="1">
      <c r="B758" s="1"/>
      <c r="J758" s="2"/>
      <c r="O758" s="2"/>
    </row>
    <row r="759" ht="12.0" customHeight="1">
      <c r="B759" s="1"/>
      <c r="J759" s="2"/>
      <c r="O759" s="2"/>
    </row>
    <row r="760" ht="12.0" customHeight="1">
      <c r="B760" s="1"/>
      <c r="J760" s="2"/>
      <c r="O760" s="2"/>
    </row>
    <row r="761" ht="12.0" customHeight="1">
      <c r="B761" s="1"/>
      <c r="J761" s="2"/>
      <c r="O761" s="2"/>
    </row>
    <row r="762" ht="12.0" customHeight="1">
      <c r="B762" s="1"/>
      <c r="J762" s="2"/>
      <c r="O762" s="2"/>
    </row>
    <row r="763" ht="12.0" customHeight="1">
      <c r="B763" s="1"/>
      <c r="J763" s="2"/>
      <c r="O763" s="2"/>
    </row>
    <row r="764" ht="12.0" customHeight="1">
      <c r="B764" s="1"/>
      <c r="J764" s="2"/>
      <c r="O764" s="2"/>
    </row>
    <row r="765" ht="12.0" customHeight="1">
      <c r="B765" s="1"/>
      <c r="J765" s="2"/>
      <c r="O765" s="2"/>
    </row>
    <row r="766" ht="12.0" customHeight="1">
      <c r="B766" s="1"/>
      <c r="J766" s="2"/>
      <c r="O766" s="2"/>
    </row>
    <row r="767" ht="12.0" customHeight="1">
      <c r="B767" s="1"/>
      <c r="J767" s="2"/>
      <c r="O767" s="2"/>
    </row>
    <row r="768" ht="12.0" customHeight="1">
      <c r="B768" s="1"/>
      <c r="J768" s="2"/>
      <c r="O768" s="2"/>
    </row>
    <row r="769" ht="12.0" customHeight="1">
      <c r="B769" s="1"/>
      <c r="J769" s="2"/>
      <c r="O769" s="2"/>
    </row>
    <row r="770" ht="12.0" customHeight="1">
      <c r="B770" s="1"/>
      <c r="J770" s="2"/>
      <c r="O770" s="2"/>
    </row>
    <row r="771" ht="12.0" customHeight="1">
      <c r="B771" s="1"/>
      <c r="J771" s="2"/>
      <c r="O771" s="2"/>
    </row>
    <row r="772" ht="12.0" customHeight="1">
      <c r="B772" s="1"/>
      <c r="J772" s="2"/>
      <c r="O772" s="2"/>
    </row>
    <row r="773" ht="12.0" customHeight="1">
      <c r="B773" s="1"/>
      <c r="J773" s="2"/>
      <c r="O773" s="2"/>
    </row>
    <row r="774" ht="12.0" customHeight="1">
      <c r="B774" s="1"/>
      <c r="J774" s="2"/>
      <c r="O774" s="2"/>
    </row>
    <row r="775" ht="12.0" customHeight="1">
      <c r="B775" s="1"/>
      <c r="J775" s="2"/>
      <c r="O775" s="2"/>
    </row>
    <row r="776" ht="12.0" customHeight="1">
      <c r="B776" s="1"/>
      <c r="J776" s="2"/>
      <c r="O776" s="2"/>
    </row>
    <row r="777" ht="12.0" customHeight="1">
      <c r="B777" s="1"/>
      <c r="J777" s="2"/>
      <c r="O777" s="2"/>
    </row>
    <row r="778" ht="12.0" customHeight="1">
      <c r="B778" s="1"/>
      <c r="J778" s="2"/>
      <c r="O778" s="2"/>
    </row>
    <row r="779" ht="12.0" customHeight="1">
      <c r="B779" s="1"/>
      <c r="J779" s="2"/>
      <c r="O779" s="2"/>
    </row>
    <row r="780" ht="12.0" customHeight="1">
      <c r="B780" s="1"/>
      <c r="J780" s="2"/>
      <c r="O780" s="2"/>
    </row>
    <row r="781" ht="12.0" customHeight="1">
      <c r="B781" s="1"/>
      <c r="J781" s="2"/>
      <c r="O781" s="2"/>
    </row>
    <row r="782" ht="12.0" customHeight="1">
      <c r="B782" s="1"/>
      <c r="J782" s="2"/>
      <c r="O782" s="2"/>
    </row>
    <row r="783" ht="12.0" customHeight="1">
      <c r="B783" s="1"/>
      <c r="J783" s="2"/>
      <c r="O783" s="2"/>
    </row>
    <row r="784" ht="12.0" customHeight="1">
      <c r="B784" s="1"/>
      <c r="J784" s="2"/>
      <c r="O784" s="2"/>
    </row>
    <row r="785" ht="12.0" customHeight="1">
      <c r="B785" s="1"/>
      <c r="J785" s="2"/>
      <c r="O785" s="2"/>
    </row>
    <row r="786" ht="12.0" customHeight="1">
      <c r="B786" s="1"/>
      <c r="J786" s="2"/>
      <c r="O786" s="2"/>
    </row>
    <row r="787" ht="12.0" customHeight="1">
      <c r="B787" s="1"/>
      <c r="J787" s="2"/>
      <c r="O787" s="2"/>
    </row>
    <row r="788" ht="12.0" customHeight="1">
      <c r="B788" s="1"/>
      <c r="J788" s="2"/>
      <c r="O788" s="2"/>
    </row>
    <row r="789" ht="12.0" customHeight="1">
      <c r="B789" s="1"/>
      <c r="J789" s="2"/>
      <c r="O789" s="2"/>
    </row>
    <row r="790" ht="12.0" customHeight="1">
      <c r="B790" s="1"/>
      <c r="J790" s="2"/>
      <c r="O790" s="2"/>
    </row>
    <row r="791" ht="12.0" customHeight="1">
      <c r="B791" s="1"/>
      <c r="J791" s="2"/>
      <c r="O791" s="2"/>
    </row>
    <row r="792" ht="12.0" customHeight="1">
      <c r="B792" s="1"/>
      <c r="J792" s="2"/>
      <c r="O792" s="2"/>
    </row>
    <row r="793" ht="12.0" customHeight="1">
      <c r="B793" s="1"/>
      <c r="J793" s="2"/>
      <c r="O793" s="2"/>
    </row>
    <row r="794" ht="12.0" customHeight="1">
      <c r="B794" s="1"/>
      <c r="J794" s="2"/>
      <c r="O794" s="2"/>
    </row>
    <row r="795" ht="12.0" customHeight="1">
      <c r="B795" s="1"/>
      <c r="J795" s="2"/>
      <c r="O795" s="2"/>
    </row>
    <row r="796" ht="12.0" customHeight="1">
      <c r="B796" s="1"/>
      <c r="J796" s="2"/>
      <c r="O796" s="2"/>
    </row>
    <row r="797" ht="12.0" customHeight="1">
      <c r="B797" s="1"/>
      <c r="J797" s="2"/>
      <c r="O797" s="2"/>
    </row>
    <row r="798" ht="12.0" customHeight="1">
      <c r="B798" s="1"/>
      <c r="J798" s="2"/>
      <c r="O798" s="2"/>
    </row>
    <row r="799" ht="12.0" customHeight="1">
      <c r="B799" s="1"/>
      <c r="J799" s="2"/>
      <c r="O799" s="2"/>
    </row>
    <row r="800" ht="12.0" customHeight="1">
      <c r="B800" s="1"/>
      <c r="J800" s="2"/>
      <c r="O800" s="2"/>
    </row>
    <row r="801" ht="12.0" customHeight="1">
      <c r="B801" s="1"/>
      <c r="J801" s="2"/>
      <c r="O801" s="2"/>
    </row>
    <row r="802" ht="12.0" customHeight="1">
      <c r="B802" s="1"/>
      <c r="J802" s="2"/>
      <c r="O802" s="2"/>
    </row>
    <row r="803" ht="12.0" customHeight="1">
      <c r="B803" s="1"/>
      <c r="J803" s="2"/>
      <c r="O803" s="2"/>
    </row>
    <row r="804" ht="12.0" customHeight="1">
      <c r="B804" s="1"/>
      <c r="J804" s="2"/>
      <c r="O804" s="2"/>
    </row>
    <row r="805" ht="12.0" customHeight="1">
      <c r="B805" s="1"/>
      <c r="J805" s="2"/>
      <c r="O805" s="2"/>
    </row>
    <row r="806" ht="12.0" customHeight="1">
      <c r="B806" s="1"/>
      <c r="J806" s="2"/>
      <c r="O806" s="2"/>
    </row>
    <row r="807" ht="12.0" customHeight="1">
      <c r="B807" s="1"/>
      <c r="J807" s="2"/>
      <c r="O807" s="2"/>
    </row>
    <row r="808" ht="12.0" customHeight="1">
      <c r="B808" s="1"/>
      <c r="J808" s="2"/>
      <c r="O808" s="2"/>
    </row>
    <row r="809" ht="12.0" customHeight="1">
      <c r="B809" s="1"/>
      <c r="J809" s="2"/>
      <c r="O809" s="2"/>
    </row>
    <row r="810" ht="12.0" customHeight="1">
      <c r="B810" s="1"/>
      <c r="J810" s="2"/>
      <c r="O810" s="2"/>
    </row>
    <row r="811" ht="12.0" customHeight="1">
      <c r="B811" s="1"/>
      <c r="J811" s="2"/>
      <c r="O811" s="2"/>
    </row>
    <row r="812" ht="12.0" customHeight="1">
      <c r="B812" s="1"/>
      <c r="J812" s="2"/>
      <c r="O812" s="2"/>
    </row>
    <row r="813" ht="12.0" customHeight="1">
      <c r="B813" s="1"/>
      <c r="J813" s="2"/>
      <c r="O813" s="2"/>
    </row>
    <row r="814" ht="12.0" customHeight="1">
      <c r="B814" s="1"/>
      <c r="J814" s="2"/>
      <c r="O814" s="2"/>
    </row>
    <row r="815" ht="12.0" customHeight="1">
      <c r="B815" s="1"/>
      <c r="J815" s="2"/>
      <c r="O815" s="2"/>
    </row>
    <row r="816" ht="12.0" customHeight="1">
      <c r="B816" s="1"/>
      <c r="J816" s="2"/>
      <c r="O816" s="2"/>
    </row>
    <row r="817" ht="12.0" customHeight="1">
      <c r="B817" s="1"/>
      <c r="J817" s="2"/>
      <c r="O817" s="2"/>
    </row>
    <row r="818" ht="12.0" customHeight="1">
      <c r="B818" s="1"/>
      <c r="J818" s="2"/>
      <c r="O818" s="2"/>
    </row>
    <row r="819" ht="12.0" customHeight="1">
      <c r="B819" s="1"/>
      <c r="J819" s="2"/>
      <c r="O819" s="2"/>
    </row>
    <row r="820" ht="12.0" customHeight="1">
      <c r="B820" s="1"/>
      <c r="J820" s="2"/>
      <c r="O820" s="2"/>
    </row>
    <row r="821" ht="12.0" customHeight="1">
      <c r="B821" s="1"/>
      <c r="J821" s="2"/>
      <c r="O821" s="2"/>
    </row>
    <row r="822" ht="12.0" customHeight="1">
      <c r="B822" s="1"/>
      <c r="J822" s="2"/>
      <c r="O822" s="2"/>
    </row>
    <row r="823" ht="12.0" customHeight="1">
      <c r="B823" s="1"/>
      <c r="J823" s="2"/>
      <c r="O823" s="2"/>
    </row>
    <row r="824" ht="12.0" customHeight="1">
      <c r="B824" s="1"/>
      <c r="J824" s="2"/>
      <c r="O824" s="2"/>
    </row>
    <row r="825" ht="12.0" customHeight="1">
      <c r="B825" s="1"/>
      <c r="J825" s="2"/>
      <c r="O825" s="2"/>
    </row>
    <row r="826" ht="12.0" customHeight="1">
      <c r="B826" s="1"/>
      <c r="J826" s="2"/>
      <c r="O826" s="2"/>
    </row>
    <row r="827" ht="12.0" customHeight="1">
      <c r="B827" s="1"/>
      <c r="J827" s="2"/>
      <c r="O827" s="2"/>
    </row>
    <row r="828" ht="12.0" customHeight="1">
      <c r="B828" s="1"/>
      <c r="J828" s="2"/>
      <c r="O828" s="2"/>
    </row>
    <row r="829" ht="12.0" customHeight="1">
      <c r="B829" s="1"/>
      <c r="J829" s="2"/>
      <c r="O829" s="2"/>
    </row>
    <row r="830" ht="12.0" customHeight="1">
      <c r="B830" s="1"/>
      <c r="J830" s="2"/>
      <c r="O830" s="2"/>
    </row>
    <row r="831" ht="12.0" customHeight="1">
      <c r="B831" s="1"/>
      <c r="J831" s="2"/>
      <c r="O831" s="2"/>
    </row>
    <row r="832" ht="12.0" customHeight="1">
      <c r="B832" s="1"/>
      <c r="J832" s="2"/>
      <c r="O832" s="2"/>
    </row>
    <row r="833" ht="12.0" customHeight="1">
      <c r="B833" s="1"/>
      <c r="J833" s="2"/>
      <c r="O833" s="2"/>
    </row>
    <row r="834" ht="12.0" customHeight="1">
      <c r="B834" s="1"/>
      <c r="J834" s="2"/>
      <c r="O834" s="2"/>
    </row>
    <row r="835" ht="12.0" customHeight="1">
      <c r="B835" s="1"/>
      <c r="J835" s="2"/>
      <c r="O835" s="2"/>
    </row>
    <row r="836" ht="12.0" customHeight="1">
      <c r="B836" s="1"/>
      <c r="J836" s="2"/>
      <c r="O836" s="2"/>
    </row>
    <row r="837" ht="12.0" customHeight="1">
      <c r="B837" s="1"/>
      <c r="J837" s="2"/>
      <c r="O837" s="2"/>
    </row>
    <row r="838" ht="12.0" customHeight="1">
      <c r="B838" s="1"/>
      <c r="J838" s="2"/>
      <c r="O838" s="2"/>
    </row>
    <row r="839" ht="12.0" customHeight="1">
      <c r="B839" s="1"/>
      <c r="J839" s="2"/>
      <c r="O839" s="2"/>
    </row>
    <row r="840" ht="12.0" customHeight="1">
      <c r="B840" s="1"/>
      <c r="J840" s="2"/>
      <c r="O840" s="2"/>
    </row>
    <row r="841" ht="12.0" customHeight="1">
      <c r="B841" s="1"/>
      <c r="J841" s="2"/>
      <c r="O841" s="2"/>
    </row>
    <row r="842" ht="12.0" customHeight="1">
      <c r="B842" s="1"/>
      <c r="J842" s="2"/>
      <c r="O842" s="2"/>
    </row>
    <row r="843" ht="12.0" customHeight="1">
      <c r="B843" s="1"/>
      <c r="J843" s="2"/>
      <c r="O843" s="2"/>
    </row>
    <row r="844" ht="12.0" customHeight="1">
      <c r="B844" s="1"/>
      <c r="J844" s="2"/>
      <c r="O844" s="2"/>
    </row>
    <row r="845" ht="12.0" customHeight="1">
      <c r="B845" s="1"/>
      <c r="J845" s="2"/>
      <c r="O845" s="2"/>
    </row>
    <row r="846" ht="12.0" customHeight="1">
      <c r="B846" s="1"/>
      <c r="J846" s="2"/>
      <c r="O846" s="2"/>
    </row>
    <row r="847" ht="12.0" customHeight="1">
      <c r="B847" s="1"/>
      <c r="J847" s="2"/>
      <c r="O847" s="2"/>
    </row>
    <row r="848" ht="12.0" customHeight="1">
      <c r="B848" s="1"/>
      <c r="J848" s="2"/>
      <c r="O848" s="2"/>
    </row>
    <row r="849" ht="12.0" customHeight="1">
      <c r="B849" s="1"/>
      <c r="J849" s="2"/>
      <c r="O849" s="2"/>
    </row>
    <row r="850" ht="12.0" customHeight="1">
      <c r="B850" s="1"/>
      <c r="J850" s="2"/>
      <c r="O850" s="2"/>
    </row>
    <row r="851" ht="12.0" customHeight="1">
      <c r="B851" s="1"/>
      <c r="J851" s="2"/>
      <c r="O851" s="2"/>
    </row>
    <row r="852" ht="12.0" customHeight="1">
      <c r="B852" s="1"/>
      <c r="J852" s="2"/>
      <c r="O852" s="2"/>
    </row>
    <row r="853" ht="12.0" customHeight="1">
      <c r="B853" s="1"/>
      <c r="J853" s="2"/>
      <c r="O853" s="2"/>
    </row>
    <row r="854" ht="12.0" customHeight="1">
      <c r="B854" s="1"/>
      <c r="J854" s="2"/>
      <c r="O854" s="2"/>
    </row>
    <row r="855" ht="12.0" customHeight="1">
      <c r="B855" s="1"/>
      <c r="J855" s="2"/>
      <c r="O855" s="2"/>
    </row>
    <row r="856" ht="12.0" customHeight="1">
      <c r="B856" s="1"/>
      <c r="J856" s="2"/>
      <c r="O856" s="2"/>
    </row>
    <row r="857" ht="12.0" customHeight="1">
      <c r="B857" s="1"/>
      <c r="J857" s="2"/>
      <c r="O857" s="2"/>
    </row>
    <row r="858" ht="12.0" customHeight="1">
      <c r="B858" s="1"/>
      <c r="J858" s="2"/>
      <c r="O858" s="2"/>
    </row>
    <row r="859" ht="12.0" customHeight="1">
      <c r="B859" s="1"/>
      <c r="J859" s="2"/>
      <c r="O859" s="2"/>
    </row>
    <row r="860" ht="12.0" customHeight="1">
      <c r="B860" s="1"/>
      <c r="J860" s="2"/>
      <c r="O860" s="2"/>
    </row>
    <row r="861" ht="12.0" customHeight="1">
      <c r="B861" s="1"/>
      <c r="J861" s="2"/>
      <c r="O861" s="2"/>
    </row>
    <row r="862" ht="12.0" customHeight="1">
      <c r="B862" s="1"/>
      <c r="J862" s="2"/>
      <c r="O862" s="2"/>
    </row>
    <row r="863" ht="12.0" customHeight="1">
      <c r="B863" s="1"/>
      <c r="J863" s="2"/>
      <c r="O863" s="2"/>
    </row>
    <row r="864" ht="12.0" customHeight="1">
      <c r="B864" s="1"/>
      <c r="J864" s="2"/>
      <c r="O864" s="2"/>
    </row>
    <row r="865" ht="12.0" customHeight="1">
      <c r="B865" s="1"/>
      <c r="J865" s="2"/>
      <c r="O865" s="2"/>
    </row>
    <row r="866" ht="12.0" customHeight="1">
      <c r="B866" s="1"/>
      <c r="J866" s="2"/>
      <c r="O866" s="2"/>
    </row>
    <row r="867" ht="12.0" customHeight="1">
      <c r="B867" s="1"/>
      <c r="J867" s="2"/>
      <c r="O867" s="2"/>
    </row>
    <row r="868" ht="12.0" customHeight="1">
      <c r="B868" s="1"/>
      <c r="J868" s="2"/>
      <c r="O868" s="2"/>
    </row>
    <row r="869" ht="12.0" customHeight="1">
      <c r="B869" s="1"/>
      <c r="J869" s="2"/>
      <c r="O869" s="2"/>
    </row>
    <row r="870" ht="12.0" customHeight="1">
      <c r="B870" s="1"/>
      <c r="J870" s="2"/>
      <c r="O870" s="2"/>
    </row>
    <row r="871" ht="12.0" customHeight="1">
      <c r="B871" s="1"/>
      <c r="J871" s="2"/>
      <c r="O871" s="2"/>
    </row>
    <row r="872" ht="12.0" customHeight="1">
      <c r="B872" s="1"/>
      <c r="J872" s="2"/>
      <c r="O872" s="2"/>
    </row>
    <row r="873" ht="12.0" customHeight="1">
      <c r="B873" s="1"/>
      <c r="J873" s="2"/>
      <c r="O873" s="2"/>
    </row>
    <row r="874" ht="12.0" customHeight="1">
      <c r="B874" s="1"/>
      <c r="J874" s="2"/>
      <c r="O874" s="2"/>
    </row>
    <row r="875" ht="12.0" customHeight="1">
      <c r="B875" s="1"/>
      <c r="J875" s="2"/>
      <c r="O875" s="2"/>
    </row>
    <row r="876" ht="12.0" customHeight="1">
      <c r="B876" s="1"/>
      <c r="J876" s="2"/>
      <c r="O876" s="2"/>
    </row>
    <row r="877" ht="12.0" customHeight="1">
      <c r="B877" s="1"/>
      <c r="J877" s="2"/>
      <c r="O877" s="2"/>
    </row>
    <row r="878" ht="12.0" customHeight="1">
      <c r="B878" s="1"/>
      <c r="J878" s="2"/>
      <c r="O878" s="2"/>
    </row>
    <row r="879" ht="12.0" customHeight="1">
      <c r="B879" s="1"/>
      <c r="J879" s="2"/>
      <c r="O879" s="2"/>
    </row>
    <row r="880" ht="12.0" customHeight="1">
      <c r="B880" s="1"/>
      <c r="J880" s="2"/>
      <c r="O880" s="2"/>
    </row>
    <row r="881" ht="12.0" customHeight="1">
      <c r="B881" s="1"/>
      <c r="J881" s="2"/>
      <c r="O881" s="2"/>
    </row>
    <row r="882" ht="12.0" customHeight="1">
      <c r="B882" s="1"/>
      <c r="J882" s="2"/>
      <c r="O882" s="2"/>
    </row>
    <row r="883" ht="12.0" customHeight="1">
      <c r="B883" s="1"/>
      <c r="J883" s="2"/>
      <c r="O883" s="2"/>
    </row>
    <row r="884" ht="12.0" customHeight="1">
      <c r="B884" s="1"/>
      <c r="J884" s="2"/>
      <c r="O884" s="2"/>
    </row>
    <row r="885" ht="12.0" customHeight="1">
      <c r="B885" s="1"/>
      <c r="J885" s="2"/>
      <c r="O885" s="2"/>
    </row>
    <row r="886" ht="12.0" customHeight="1">
      <c r="B886" s="1"/>
      <c r="J886" s="2"/>
      <c r="O886" s="2"/>
    </row>
    <row r="887" ht="12.0" customHeight="1">
      <c r="B887" s="1"/>
      <c r="J887" s="2"/>
      <c r="O887" s="2"/>
    </row>
    <row r="888" ht="12.0" customHeight="1">
      <c r="B888" s="1"/>
      <c r="J888" s="2"/>
      <c r="O888" s="2"/>
    </row>
    <row r="889" ht="12.0" customHeight="1">
      <c r="B889" s="1"/>
      <c r="J889" s="2"/>
      <c r="O889" s="2"/>
    </row>
    <row r="890" ht="12.0" customHeight="1">
      <c r="B890" s="1"/>
      <c r="J890" s="2"/>
      <c r="O890" s="2"/>
    </row>
    <row r="891" ht="12.0" customHeight="1">
      <c r="B891" s="1"/>
      <c r="J891" s="2"/>
      <c r="O891" s="2"/>
    </row>
    <row r="892" ht="12.0" customHeight="1">
      <c r="B892" s="1"/>
      <c r="J892" s="2"/>
      <c r="O892" s="2"/>
    </row>
    <row r="893" ht="12.0" customHeight="1">
      <c r="B893" s="1"/>
      <c r="J893" s="2"/>
      <c r="O893" s="2"/>
    </row>
    <row r="894" ht="12.0" customHeight="1">
      <c r="B894" s="1"/>
      <c r="J894" s="2"/>
      <c r="O894" s="2"/>
    </row>
    <row r="895" ht="12.0" customHeight="1">
      <c r="B895" s="1"/>
      <c r="J895" s="2"/>
      <c r="O895" s="2"/>
    </row>
    <row r="896" ht="12.0" customHeight="1">
      <c r="B896" s="1"/>
      <c r="J896" s="2"/>
      <c r="O896" s="2"/>
    </row>
    <row r="897" ht="12.0" customHeight="1">
      <c r="B897" s="1"/>
      <c r="J897" s="2"/>
      <c r="O897" s="2"/>
    </row>
    <row r="898" ht="12.0" customHeight="1">
      <c r="B898" s="1"/>
      <c r="J898" s="2"/>
      <c r="O898" s="2"/>
    </row>
    <row r="899" ht="12.0" customHeight="1">
      <c r="B899" s="1"/>
      <c r="J899" s="2"/>
      <c r="O899" s="2"/>
    </row>
    <row r="900" ht="12.0" customHeight="1">
      <c r="B900" s="1"/>
      <c r="J900" s="2"/>
      <c r="O900" s="2"/>
    </row>
    <row r="901" ht="12.0" customHeight="1">
      <c r="B901" s="1"/>
      <c r="J901" s="2"/>
      <c r="O901" s="2"/>
    </row>
    <row r="902" ht="12.0" customHeight="1">
      <c r="B902" s="1"/>
      <c r="J902" s="2"/>
      <c r="O902" s="2"/>
    </row>
    <row r="903" ht="12.0" customHeight="1">
      <c r="B903" s="1"/>
      <c r="J903" s="2"/>
      <c r="O903" s="2"/>
    </row>
    <row r="904" ht="12.0" customHeight="1">
      <c r="B904" s="1"/>
      <c r="J904" s="2"/>
      <c r="O904" s="2"/>
    </row>
    <row r="905" ht="12.0" customHeight="1">
      <c r="B905" s="1"/>
      <c r="J905" s="2"/>
      <c r="O905" s="2"/>
    </row>
    <row r="906" ht="12.0" customHeight="1">
      <c r="B906" s="1"/>
      <c r="J906" s="2"/>
      <c r="O906" s="2"/>
    </row>
    <row r="907" ht="12.0" customHeight="1">
      <c r="B907" s="1"/>
      <c r="J907" s="2"/>
      <c r="O907" s="2"/>
    </row>
    <row r="908" ht="12.0" customHeight="1">
      <c r="B908" s="1"/>
      <c r="J908" s="2"/>
      <c r="O908" s="2"/>
    </row>
    <row r="909" ht="12.0" customHeight="1">
      <c r="B909" s="1"/>
      <c r="J909" s="2"/>
      <c r="O909" s="2"/>
    </row>
    <row r="910" ht="12.0" customHeight="1">
      <c r="B910" s="1"/>
      <c r="J910" s="2"/>
      <c r="O910" s="2"/>
    </row>
    <row r="911" ht="12.0" customHeight="1">
      <c r="B911" s="1"/>
      <c r="J911" s="2"/>
      <c r="O911" s="2"/>
    </row>
    <row r="912" ht="12.0" customHeight="1">
      <c r="B912" s="1"/>
      <c r="J912" s="2"/>
      <c r="O912" s="2"/>
    </row>
    <row r="913" ht="12.0" customHeight="1">
      <c r="B913" s="1"/>
      <c r="J913" s="2"/>
      <c r="O913" s="2"/>
    </row>
    <row r="914" ht="12.0" customHeight="1">
      <c r="B914" s="1"/>
      <c r="J914" s="2"/>
      <c r="O914" s="2"/>
    </row>
    <row r="915" ht="12.0" customHeight="1">
      <c r="B915" s="1"/>
      <c r="J915" s="2"/>
      <c r="O915" s="2"/>
    </row>
    <row r="916" ht="12.0" customHeight="1">
      <c r="B916" s="1"/>
      <c r="J916" s="2"/>
      <c r="O916" s="2"/>
    </row>
    <row r="917" ht="12.0" customHeight="1">
      <c r="B917" s="1"/>
      <c r="J917" s="2"/>
      <c r="O917" s="2"/>
    </row>
    <row r="918" ht="12.0" customHeight="1">
      <c r="B918" s="1"/>
      <c r="J918" s="2"/>
      <c r="O918" s="2"/>
    </row>
    <row r="919" ht="12.0" customHeight="1">
      <c r="B919" s="1"/>
      <c r="J919" s="2"/>
      <c r="O919" s="2"/>
    </row>
    <row r="920" ht="12.0" customHeight="1">
      <c r="B920" s="1"/>
      <c r="J920" s="2"/>
      <c r="O920" s="2"/>
    </row>
    <row r="921" ht="12.0" customHeight="1">
      <c r="B921" s="1"/>
      <c r="J921" s="2"/>
      <c r="O921" s="2"/>
    </row>
    <row r="922" ht="12.0" customHeight="1">
      <c r="B922" s="1"/>
      <c r="J922" s="2"/>
      <c r="O922" s="2"/>
    </row>
    <row r="923" ht="12.0" customHeight="1">
      <c r="B923" s="1"/>
      <c r="J923" s="2"/>
      <c r="O923" s="2"/>
    </row>
    <row r="924" ht="12.0" customHeight="1">
      <c r="B924" s="1"/>
      <c r="J924" s="2"/>
      <c r="O924" s="2"/>
    </row>
    <row r="925" ht="12.0" customHeight="1">
      <c r="B925" s="1"/>
      <c r="J925" s="2"/>
      <c r="O925" s="2"/>
    </row>
    <row r="926" ht="12.0" customHeight="1">
      <c r="B926" s="1"/>
      <c r="J926" s="2"/>
      <c r="O926" s="2"/>
    </row>
    <row r="927" ht="12.0" customHeight="1">
      <c r="B927" s="1"/>
      <c r="J927" s="2"/>
      <c r="O927" s="2"/>
    </row>
    <row r="928" ht="12.0" customHeight="1">
      <c r="B928" s="1"/>
      <c r="J928" s="2"/>
      <c r="O928" s="2"/>
    </row>
    <row r="929" ht="12.0" customHeight="1">
      <c r="B929" s="1"/>
      <c r="J929" s="2"/>
      <c r="O929" s="2"/>
    </row>
    <row r="930" ht="12.0" customHeight="1">
      <c r="B930" s="1"/>
      <c r="J930" s="2"/>
      <c r="O930" s="2"/>
    </row>
    <row r="931" ht="12.0" customHeight="1">
      <c r="B931" s="1"/>
      <c r="J931" s="2"/>
      <c r="O931" s="2"/>
    </row>
    <row r="932" ht="12.0" customHeight="1">
      <c r="B932" s="1"/>
      <c r="J932" s="2"/>
      <c r="O932" s="2"/>
    </row>
    <row r="933" ht="12.0" customHeight="1">
      <c r="B933" s="1"/>
      <c r="J933" s="2"/>
      <c r="O933" s="2"/>
    </row>
    <row r="934" ht="12.0" customHeight="1">
      <c r="B934" s="1"/>
      <c r="J934" s="2"/>
      <c r="O934" s="2"/>
    </row>
    <row r="935" ht="12.0" customHeight="1">
      <c r="B935" s="1"/>
      <c r="J935" s="2"/>
      <c r="O935" s="2"/>
    </row>
    <row r="936" ht="12.0" customHeight="1">
      <c r="B936" s="1"/>
      <c r="J936" s="2"/>
      <c r="O936" s="2"/>
    </row>
    <row r="937" ht="12.0" customHeight="1">
      <c r="B937" s="1"/>
      <c r="J937" s="2"/>
      <c r="O937" s="2"/>
    </row>
    <row r="938" ht="12.0" customHeight="1">
      <c r="B938" s="1"/>
      <c r="J938" s="2"/>
      <c r="O938" s="2"/>
    </row>
    <row r="939" ht="12.0" customHeight="1">
      <c r="B939" s="1"/>
      <c r="J939" s="2"/>
      <c r="O939" s="2"/>
    </row>
    <row r="940" ht="12.0" customHeight="1">
      <c r="B940" s="1"/>
      <c r="J940" s="2"/>
      <c r="O940" s="2"/>
    </row>
    <row r="941" ht="12.0" customHeight="1">
      <c r="B941" s="1"/>
      <c r="J941" s="2"/>
      <c r="O941" s="2"/>
    </row>
    <row r="942" ht="12.0" customHeight="1">
      <c r="B942" s="1"/>
      <c r="J942" s="2"/>
      <c r="O942" s="2"/>
    </row>
    <row r="943" ht="12.0" customHeight="1">
      <c r="B943" s="1"/>
      <c r="J943" s="2"/>
      <c r="O943" s="2"/>
    </row>
    <row r="944" ht="12.0" customHeight="1">
      <c r="B944" s="1"/>
      <c r="J944" s="2"/>
      <c r="O944" s="2"/>
    </row>
    <row r="945" ht="12.0" customHeight="1">
      <c r="B945" s="1"/>
      <c r="J945" s="2"/>
      <c r="O945" s="2"/>
    </row>
    <row r="946" ht="12.0" customHeight="1">
      <c r="B946" s="1"/>
      <c r="J946" s="2"/>
      <c r="O946" s="2"/>
    </row>
    <row r="947" ht="12.0" customHeight="1">
      <c r="B947" s="1"/>
      <c r="J947" s="2"/>
      <c r="O947" s="2"/>
    </row>
    <row r="948" ht="12.0" customHeight="1">
      <c r="B948" s="1"/>
      <c r="J948" s="2"/>
      <c r="O948" s="2"/>
    </row>
    <row r="949" ht="12.0" customHeight="1">
      <c r="B949" s="1"/>
      <c r="J949" s="2"/>
      <c r="O949" s="2"/>
    </row>
    <row r="950" ht="12.0" customHeight="1">
      <c r="B950" s="1"/>
      <c r="J950" s="2"/>
      <c r="O950" s="2"/>
    </row>
    <row r="951" ht="12.0" customHeight="1">
      <c r="B951" s="1"/>
      <c r="J951" s="2"/>
      <c r="O951" s="2"/>
    </row>
    <row r="952" ht="12.0" customHeight="1">
      <c r="B952" s="1"/>
      <c r="J952" s="2"/>
      <c r="O952" s="2"/>
    </row>
    <row r="953" ht="12.0" customHeight="1">
      <c r="B953" s="1"/>
      <c r="J953" s="2"/>
      <c r="O953" s="2"/>
    </row>
    <row r="954" ht="12.0" customHeight="1">
      <c r="B954" s="1"/>
      <c r="J954" s="2"/>
      <c r="O954" s="2"/>
    </row>
    <row r="955" ht="12.0" customHeight="1">
      <c r="B955" s="1"/>
      <c r="J955" s="2"/>
      <c r="O955" s="2"/>
    </row>
    <row r="956" ht="12.0" customHeight="1">
      <c r="B956" s="1"/>
      <c r="J956" s="2"/>
      <c r="O956" s="2"/>
    </row>
    <row r="957" ht="12.0" customHeight="1">
      <c r="B957" s="1"/>
      <c r="J957" s="2"/>
      <c r="O957" s="2"/>
    </row>
    <row r="958" ht="12.0" customHeight="1">
      <c r="B958" s="1"/>
      <c r="J958" s="2"/>
      <c r="O958" s="2"/>
    </row>
    <row r="959" ht="12.0" customHeight="1">
      <c r="B959" s="1"/>
      <c r="J959" s="2"/>
      <c r="O959" s="2"/>
    </row>
    <row r="960" ht="12.0" customHeight="1">
      <c r="B960" s="1"/>
      <c r="J960" s="2"/>
      <c r="O960" s="2"/>
    </row>
    <row r="961" ht="12.0" customHeight="1">
      <c r="B961" s="1"/>
      <c r="J961" s="2"/>
      <c r="O961" s="2"/>
    </row>
    <row r="962" ht="12.0" customHeight="1">
      <c r="B962" s="1"/>
      <c r="J962" s="2"/>
      <c r="O962" s="2"/>
    </row>
    <row r="963" ht="12.0" customHeight="1">
      <c r="B963" s="1"/>
      <c r="J963" s="2"/>
      <c r="O963" s="2"/>
    </row>
    <row r="964" ht="12.0" customHeight="1">
      <c r="B964" s="1"/>
      <c r="J964" s="2"/>
      <c r="O964" s="2"/>
    </row>
    <row r="965" ht="12.0" customHeight="1">
      <c r="B965" s="1"/>
      <c r="J965" s="2"/>
      <c r="O965" s="2"/>
    </row>
    <row r="966" ht="12.0" customHeight="1">
      <c r="B966" s="1"/>
      <c r="J966" s="2"/>
      <c r="O966" s="2"/>
    </row>
    <row r="967" ht="12.0" customHeight="1">
      <c r="B967" s="1"/>
      <c r="J967" s="2"/>
      <c r="O967" s="2"/>
    </row>
    <row r="968" ht="12.0" customHeight="1">
      <c r="B968" s="1"/>
      <c r="J968" s="2"/>
      <c r="O968" s="2"/>
    </row>
    <row r="969" ht="12.0" customHeight="1">
      <c r="B969" s="1"/>
      <c r="J969" s="2"/>
      <c r="O969" s="2"/>
    </row>
    <row r="970" ht="12.0" customHeight="1">
      <c r="B970" s="1"/>
      <c r="J970" s="2"/>
      <c r="O970" s="2"/>
    </row>
    <row r="971" ht="12.0" customHeight="1">
      <c r="B971" s="1"/>
      <c r="J971" s="2"/>
      <c r="O971" s="2"/>
    </row>
    <row r="972" ht="12.0" customHeight="1">
      <c r="B972" s="1"/>
      <c r="J972" s="2"/>
      <c r="O972" s="2"/>
    </row>
    <row r="973" ht="12.0" customHeight="1">
      <c r="B973" s="1"/>
      <c r="J973" s="2"/>
      <c r="O973" s="2"/>
    </row>
    <row r="974" ht="12.0" customHeight="1">
      <c r="B974" s="1"/>
      <c r="J974" s="2"/>
      <c r="O974" s="2"/>
    </row>
    <row r="975" ht="12.0" customHeight="1">
      <c r="B975" s="1"/>
      <c r="J975" s="2"/>
      <c r="O975" s="2"/>
    </row>
    <row r="976" ht="12.0" customHeight="1">
      <c r="B976" s="1"/>
      <c r="J976" s="2"/>
      <c r="O976" s="2"/>
    </row>
    <row r="977" ht="12.0" customHeight="1">
      <c r="B977" s="1"/>
      <c r="J977" s="2"/>
      <c r="O977" s="2"/>
    </row>
    <row r="978" ht="12.0" customHeight="1">
      <c r="B978" s="1"/>
      <c r="J978" s="2"/>
      <c r="O978" s="2"/>
    </row>
    <row r="979" ht="12.0" customHeight="1">
      <c r="B979" s="1"/>
      <c r="J979" s="2"/>
      <c r="O979" s="2"/>
    </row>
    <row r="980" ht="12.0" customHeight="1">
      <c r="B980" s="1"/>
      <c r="J980" s="2"/>
      <c r="O980" s="2"/>
    </row>
    <row r="981" ht="12.0" customHeight="1">
      <c r="B981" s="1"/>
      <c r="J981" s="2"/>
      <c r="O981" s="2"/>
    </row>
    <row r="982" ht="12.0" customHeight="1">
      <c r="B982" s="1"/>
      <c r="J982" s="2"/>
      <c r="O982" s="2"/>
    </row>
    <row r="983" ht="12.0" customHeight="1">
      <c r="B983" s="1"/>
      <c r="J983" s="2"/>
      <c r="O983" s="2"/>
    </row>
    <row r="984" ht="12.0" customHeight="1">
      <c r="B984" s="1"/>
      <c r="J984" s="2"/>
      <c r="O984" s="2"/>
    </row>
    <row r="985" ht="12.0" customHeight="1">
      <c r="B985" s="1"/>
      <c r="J985" s="2"/>
      <c r="O985" s="2"/>
    </row>
    <row r="986" ht="12.0" customHeight="1">
      <c r="B986" s="1"/>
      <c r="J986" s="2"/>
      <c r="O986" s="2"/>
    </row>
    <row r="987" ht="12.0" customHeight="1">
      <c r="B987" s="1"/>
      <c r="J987" s="2"/>
      <c r="O987" s="2"/>
    </row>
    <row r="988" ht="12.0" customHeight="1">
      <c r="B988" s="1"/>
      <c r="J988" s="2"/>
      <c r="O988" s="2"/>
    </row>
    <row r="989" ht="12.0" customHeight="1">
      <c r="B989" s="1"/>
      <c r="J989" s="2"/>
      <c r="O989" s="2"/>
    </row>
    <row r="990" ht="12.0" customHeight="1">
      <c r="B990" s="1"/>
      <c r="J990" s="2"/>
      <c r="O990" s="2"/>
    </row>
    <row r="991" ht="12.0" customHeight="1">
      <c r="B991" s="1"/>
      <c r="J991" s="2"/>
      <c r="O991" s="2"/>
    </row>
    <row r="992" ht="12.0" customHeight="1">
      <c r="B992" s="1"/>
      <c r="J992" s="2"/>
      <c r="O992" s="2"/>
    </row>
    <row r="993" ht="12.0" customHeight="1">
      <c r="B993" s="1"/>
      <c r="J993" s="2"/>
      <c r="O993" s="2"/>
    </row>
    <row r="994" ht="12.0" customHeight="1">
      <c r="B994" s="1"/>
      <c r="J994" s="2"/>
      <c r="O994" s="2"/>
    </row>
    <row r="995" ht="12.0" customHeight="1">
      <c r="B995" s="1"/>
      <c r="J995" s="2"/>
      <c r="O995" s="2"/>
    </row>
    <row r="996" ht="12.0" customHeight="1">
      <c r="B996" s="1"/>
      <c r="J996" s="2"/>
      <c r="O996" s="2"/>
    </row>
    <row r="997" ht="12.0" customHeight="1">
      <c r="B997" s="1"/>
      <c r="J997" s="2"/>
      <c r="O997" s="2"/>
    </row>
    <row r="998" ht="12.0" customHeight="1">
      <c r="B998" s="1"/>
      <c r="J998" s="2"/>
      <c r="O998" s="2"/>
    </row>
    <row r="999" ht="12.0" customHeight="1">
      <c r="B999" s="1"/>
      <c r="J999" s="2"/>
      <c r="O999" s="2"/>
    </row>
    <row r="1000" ht="12.0" customHeight="1">
      <c r="B1000" s="1"/>
      <c r="J1000" s="2"/>
      <c r="O1000" s="2"/>
    </row>
  </sheetData>
  <mergeCells count="22">
    <mergeCell ref="I6:J6"/>
    <mergeCell ref="K6:L6"/>
    <mergeCell ref="N6:O6"/>
    <mergeCell ref="E7:G7"/>
    <mergeCell ref="H7:J7"/>
    <mergeCell ref="K7:M7"/>
    <mergeCell ref="B18:B20"/>
    <mergeCell ref="B53:B55"/>
    <mergeCell ref="B56:B59"/>
    <mergeCell ref="B60:B62"/>
    <mergeCell ref="B63:B65"/>
    <mergeCell ref="B67:B69"/>
    <mergeCell ref="B70:B72"/>
    <mergeCell ref="B73:B75"/>
    <mergeCell ref="B76:B78"/>
    <mergeCell ref="B21:B25"/>
    <mergeCell ref="B26:B30"/>
    <mergeCell ref="B35:B37"/>
    <mergeCell ref="B38:B40"/>
    <mergeCell ref="B41:B43"/>
    <mergeCell ref="B44:B46"/>
    <mergeCell ref="B47:B52"/>
  </mergeCells>
  <dataValidations>
    <dataValidation type="list" allowBlank="1" showErrorMessage="1" sqref="I21">
      <formula1>"STOCK BRICKS,BLOCKS,FACE BRICKS,NO BRICKWORK DONE"</formula1>
    </dataValidation>
    <dataValidation type="list" allowBlank="1" showErrorMessage="1" sqref="I26">
      <formula1>"CONCRETE ROOF TILES,IBR,CORRUGATED ROOFING SHEETS,NO ROOFING DONE"</formula1>
    </dataValidation>
    <dataValidation type="list" allowBlank="1" showErrorMessage="1" sqref="I18 I35 I38 I41 I44 I53 I60 I63 I67 I70 I73 I76 I81">
      <formula1>"YES,NO"</formula1>
    </dataValidation>
    <dataValidation type="list" allowBlank="1" showErrorMessage="1" sqref="N17:N18 N21 N26 N31 N35 N38 N41 N44 N47 N53 N56 N60 N63 N67 N70 N73 N76 N81">
      <formula1>"DELAPIDATED,POOR,FAIR,GOOD,VERY GOOD,EXCELLENT,NOT APPLICABLE"</formula1>
    </dataValidation>
    <dataValidation type="list" allowBlank="1" showErrorMessage="1" sqref="I56">
      <formula1>"STEEL WINDOW FRAMES,ALUMINIUM WINDOW FRAMES,NO WINDOWS FITTED"</formula1>
    </dataValidation>
    <dataValidation type="list" allowBlank="1" showErrorMessage="1" sqref="I47">
      <formula1>"VINYL FLOORING,TILING FLOORING,NO FLOORING"</formula1>
    </dataValidation>
    <dataValidation type="list" allowBlank="1" showErrorMessage="1" sqref="I12">
      <formula1>"2010-2013,2014-2021,2021-2023"</formula1>
    </dataValidation>
    <dataValidation type="list" allowBlank="1" showErrorMessage="1" sqref="I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5707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4.63"/>
    <col customWidth="1" min="3" max="3" width="20.88"/>
    <col customWidth="1" hidden="1" min="4" max="4" width="33.75"/>
    <col customWidth="1" hidden="1" min="5" max="5" width="15.13"/>
    <col customWidth="1" hidden="1" min="6" max="8" width="20.25"/>
    <col customWidth="1" hidden="1" min="9" max="9" width="20.38"/>
    <col customWidth="1" min="10" max="10" width="16.88"/>
    <col customWidth="1" min="11" max="11" width="13.75"/>
    <col customWidth="1" min="12" max="12" width="14.63"/>
    <col customWidth="1" min="13" max="13" width="13.38"/>
    <col customWidth="1" min="14" max="26" width="9.0"/>
  </cols>
  <sheetData>
    <row r="1" ht="12.0" customHeight="1">
      <c r="K1" s="2"/>
      <c r="M1" s="2"/>
    </row>
    <row r="2" ht="12.0" customHeight="1">
      <c r="K2" s="2"/>
      <c r="M2" s="2"/>
    </row>
    <row r="3" ht="12.0" customHeight="1">
      <c r="K3" s="2"/>
      <c r="M3" s="2"/>
    </row>
    <row r="4" ht="12.0" customHeight="1">
      <c r="A4" s="788"/>
      <c r="B4" s="4" t="s">
        <v>165</v>
      </c>
      <c r="C4" s="439"/>
      <c r="D4" s="439"/>
      <c r="E4" s="439"/>
      <c r="F4" s="440"/>
      <c r="G4" s="440"/>
      <c r="H4" s="440"/>
      <c r="I4" s="440"/>
      <c r="J4" s="440"/>
      <c r="K4" s="789"/>
      <c r="L4" s="440"/>
      <c r="M4" s="789"/>
      <c r="N4" s="440"/>
      <c r="O4" s="440"/>
      <c r="P4" s="440"/>
    </row>
    <row r="5" ht="33.75" customHeight="1">
      <c r="A5" s="788"/>
      <c r="B5" s="352"/>
      <c r="C5" s="439"/>
      <c r="D5" s="439"/>
      <c r="E5" s="439"/>
      <c r="F5" s="440"/>
      <c r="G5" s="440"/>
      <c r="H5" s="440"/>
      <c r="I5" s="440"/>
      <c r="J5" s="440"/>
      <c r="K5" s="789"/>
      <c r="L5" s="440"/>
      <c r="M5" s="789"/>
      <c r="N5" s="440"/>
      <c r="O5" s="440"/>
      <c r="P5" s="440"/>
    </row>
    <row r="6" ht="12.0" hidden="1" customHeight="1">
      <c r="A6" s="788"/>
      <c r="B6" s="442"/>
      <c r="C6" s="439"/>
      <c r="D6" s="439"/>
      <c r="E6" s="439"/>
      <c r="F6" s="440"/>
      <c r="G6" s="440"/>
      <c r="H6" s="440"/>
      <c r="I6" s="440"/>
      <c r="J6" s="440"/>
      <c r="K6" s="789"/>
      <c r="L6" s="440"/>
      <c r="M6" s="789"/>
      <c r="N6" s="440"/>
      <c r="O6" s="440"/>
      <c r="P6" s="440"/>
    </row>
    <row r="7" ht="30.0" customHeight="1">
      <c r="J7" s="790" t="s">
        <v>2</v>
      </c>
      <c r="K7" s="7"/>
      <c r="L7" s="8" t="s">
        <v>3</v>
      </c>
      <c r="M7" s="7"/>
    </row>
    <row r="8" ht="40.5" hidden="1" customHeight="1">
      <c r="B8" s="632"/>
      <c r="C8" s="632"/>
      <c r="D8" s="632"/>
      <c r="E8" s="632"/>
      <c r="F8" s="535" t="s">
        <v>79</v>
      </c>
      <c r="G8" s="274"/>
      <c r="H8" s="7"/>
      <c r="I8" s="758" t="s">
        <v>166</v>
      </c>
      <c r="J8" s="791"/>
      <c r="K8" s="792"/>
      <c r="M8" s="2"/>
    </row>
    <row r="9" ht="49.5" customHeight="1">
      <c r="B9" s="167" t="s">
        <v>6</v>
      </c>
      <c r="C9" s="167" t="s">
        <v>7</v>
      </c>
      <c r="D9" s="793"/>
      <c r="E9" s="361" t="s">
        <v>8</v>
      </c>
      <c r="F9" s="362" t="s">
        <v>9</v>
      </c>
      <c r="G9" s="362" t="s">
        <v>10</v>
      </c>
      <c r="H9" s="362" t="s">
        <v>11</v>
      </c>
      <c r="I9" s="363" t="s">
        <v>12</v>
      </c>
      <c r="J9" s="794" t="s">
        <v>13</v>
      </c>
      <c r="K9" s="169" t="s">
        <v>14</v>
      </c>
      <c r="L9" s="795" t="s">
        <v>18</v>
      </c>
      <c r="M9" s="169" t="s">
        <v>14</v>
      </c>
    </row>
    <row r="10" ht="30.0" hidden="1" customHeight="1">
      <c r="B10" s="255"/>
      <c r="C10" s="174"/>
      <c r="D10" s="174"/>
      <c r="E10" s="37"/>
      <c r="F10" s="541">
        <v>3.0</v>
      </c>
      <c r="G10" s="541">
        <v>2.0</v>
      </c>
      <c r="H10" s="541">
        <v>1.0</v>
      </c>
      <c r="I10" s="277"/>
      <c r="J10" s="796"/>
      <c r="K10" s="740"/>
      <c r="L10" s="17"/>
      <c r="M10" s="115"/>
    </row>
    <row r="11" ht="30.0" customHeight="1">
      <c r="B11" s="255"/>
      <c r="C11" s="184" t="s">
        <v>19</v>
      </c>
      <c r="D11" s="383"/>
      <c r="E11" s="48"/>
      <c r="F11" s="797"/>
      <c r="G11" s="797"/>
      <c r="H11" s="797"/>
      <c r="I11" s="283"/>
      <c r="J11" s="188">
        <v>500.0</v>
      </c>
      <c r="K11" s="189"/>
      <c r="L11" s="193"/>
      <c r="M11" s="197"/>
    </row>
    <row r="12" ht="30.0" customHeight="1">
      <c r="B12" s="255"/>
      <c r="C12" s="194" t="s">
        <v>20</v>
      </c>
      <c r="D12" s="185" t="s">
        <v>81</v>
      </c>
      <c r="E12" s="54"/>
      <c r="F12" s="797"/>
      <c r="G12" s="797"/>
      <c r="H12" s="797"/>
      <c r="I12" s="56"/>
      <c r="J12" s="196" t="s">
        <v>9</v>
      </c>
      <c r="K12" s="197"/>
      <c r="L12" s="193"/>
      <c r="M12" s="197"/>
    </row>
    <row r="13" ht="30.0" hidden="1" customHeight="1">
      <c r="B13" s="255"/>
      <c r="C13" s="198"/>
      <c r="D13" s="185" t="s">
        <v>11</v>
      </c>
      <c r="E13" s="54"/>
      <c r="F13" s="797"/>
      <c r="G13" s="797"/>
      <c r="H13" s="797"/>
      <c r="I13" s="56"/>
      <c r="J13" s="56"/>
      <c r="K13" s="285"/>
      <c r="L13" s="17"/>
      <c r="M13" s="798"/>
    </row>
    <row r="14" ht="30.0" hidden="1" customHeight="1">
      <c r="B14" s="255"/>
      <c r="C14" s="198"/>
      <c r="D14" s="185" t="s">
        <v>10</v>
      </c>
      <c r="E14" s="54"/>
      <c r="F14" s="797"/>
      <c r="G14" s="797"/>
      <c r="H14" s="797"/>
      <c r="I14" s="56"/>
      <c r="J14" s="56"/>
      <c r="K14" s="58"/>
      <c r="L14" s="17"/>
      <c r="M14" s="799"/>
    </row>
    <row r="15" ht="30.0" hidden="1" customHeight="1">
      <c r="B15" s="255"/>
      <c r="C15" s="198"/>
      <c r="D15" s="185" t="s">
        <v>9</v>
      </c>
      <c r="E15" s="17"/>
      <c r="F15" s="797"/>
      <c r="G15" s="797"/>
      <c r="H15" s="797"/>
      <c r="I15" s="56"/>
      <c r="J15" s="56"/>
      <c r="K15" s="58"/>
      <c r="L15" s="17"/>
      <c r="M15" s="799"/>
    </row>
    <row r="16" ht="30.0" hidden="1" customHeight="1">
      <c r="B16" s="255"/>
      <c r="C16" s="198"/>
      <c r="D16" s="185" t="s">
        <v>21</v>
      </c>
      <c r="E16" s="63">
        <v>1.24</v>
      </c>
      <c r="F16" s="797"/>
      <c r="G16" s="455">
        <v>1.25</v>
      </c>
      <c r="H16" s="455">
        <v>1.32</v>
      </c>
      <c r="I16" s="56"/>
      <c r="J16" s="56"/>
      <c r="K16" s="58"/>
      <c r="L16" s="17"/>
      <c r="M16" s="800"/>
    </row>
    <row r="17" ht="30.0" customHeight="1">
      <c r="B17" s="61">
        <v>1.0</v>
      </c>
      <c r="C17" s="65" t="s">
        <v>22</v>
      </c>
      <c r="D17" s="65"/>
      <c r="E17" s="65"/>
      <c r="F17" s="67">
        <f>798.891273247496*E16</f>
        <v>990.6251788</v>
      </c>
      <c r="G17" s="303">
        <f t="shared" ref="G17:G34" si="1">F17/$G$16</f>
        <v>792.5001431</v>
      </c>
      <c r="H17" s="303">
        <f t="shared" ref="H17:H34" si="2">F17/$H$16</f>
        <v>750.4736203</v>
      </c>
      <c r="I17" s="68"/>
      <c r="J17" s="461"/>
      <c r="K17" s="70">
        <f>IF(J12="2010-2013",J11*H17,IF(J12="2014-2021",J11*G17,IF(J12="2021-2023",J11*F17,-2)))</f>
        <v>495312.5894</v>
      </c>
      <c r="L17" s="207" t="s">
        <v>23</v>
      </c>
      <c r="M17" s="801">
        <f t="shared" ref="M17:M18" si="3">IF(L17="Delapidated",K17*0.6,IF(L17="Poor",K17*0.7,IF(L17="Fair",K17*0.8,IF(L17="Good",K17*0.85,IF(L17="Very Good",K17*0.9,IF(L17="Excellent",K17*1,IF(L17="Not Applicable",K17*1,0)))))))</f>
        <v>495312.5894</v>
      </c>
    </row>
    <row r="18" ht="30.0" customHeight="1">
      <c r="B18" s="61">
        <v>2.0</v>
      </c>
      <c r="C18" s="208" t="s">
        <v>24</v>
      </c>
      <c r="D18" s="208"/>
      <c r="E18" s="208"/>
      <c r="F18" s="303"/>
      <c r="G18" s="303">
        <f t="shared" si="1"/>
        <v>0</v>
      </c>
      <c r="H18" s="303">
        <f t="shared" si="2"/>
        <v>0</v>
      </c>
      <c r="I18" s="68"/>
      <c r="J18" s="72" t="s">
        <v>25</v>
      </c>
      <c r="K18" s="70">
        <f>IF(J18="YES",IF(J12="2010-2013",H19*$J$11,IF(J12="2014-2021",G19*$J$11,IF(J12="2021-2023",F19*$J$11,0))),0)</f>
        <v>240417.2662</v>
      </c>
      <c r="L18" s="207" t="s">
        <v>23</v>
      </c>
      <c r="M18" s="801">
        <f t="shared" si="3"/>
        <v>240417.2662</v>
      </c>
    </row>
    <row r="19" ht="30.0" hidden="1" customHeight="1">
      <c r="B19" s="61"/>
      <c r="C19" s="79" t="s">
        <v>25</v>
      </c>
      <c r="D19" s="220"/>
      <c r="E19" s="220"/>
      <c r="F19" s="303">
        <f>387.769784172662*E16</f>
        <v>480.8345324</v>
      </c>
      <c r="G19" s="303">
        <f t="shared" si="1"/>
        <v>384.6676259</v>
      </c>
      <c r="H19" s="303">
        <f t="shared" si="2"/>
        <v>364.2685851</v>
      </c>
      <c r="I19" s="77">
        <v>1.0</v>
      </c>
      <c r="J19" s="68"/>
      <c r="K19" s="70"/>
      <c r="L19" s="34"/>
      <c r="M19" s="802"/>
    </row>
    <row r="20" ht="30.0" hidden="1" customHeight="1">
      <c r="B20" s="61"/>
      <c r="C20" s="79" t="s">
        <v>26</v>
      </c>
      <c r="D20" s="220"/>
      <c r="E20" s="220"/>
      <c r="F20" s="303">
        <v>0.0</v>
      </c>
      <c r="G20" s="303">
        <f t="shared" si="1"/>
        <v>0</v>
      </c>
      <c r="H20" s="303">
        <f t="shared" si="2"/>
        <v>0</v>
      </c>
      <c r="I20" s="77">
        <v>2.0</v>
      </c>
      <c r="J20" s="68"/>
      <c r="K20" s="70"/>
      <c r="L20" s="34"/>
      <c r="M20" s="802"/>
    </row>
    <row r="21" ht="30.0" customHeight="1">
      <c r="B21" s="61">
        <v>3.0</v>
      </c>
      <c r="C21" s="208" t="s">
        <v>27</v>
      </c>
      <c r="D21" s="803"/>
      <c r="E21" s="803"/>
      <c r="F21" s="467"/>
      <c r="G21" s="303">
        <f t="shared" si="1"/>
        <v>0</v>
      </c>
      <c r="H21" s="303">
        <f t="shared" si="2"/>
        <v>0</v>
      </c>
      <c r="I21" s="68"/>
      <c r="J21" s="72" t="s">
        <v>28</v>
      </c>
      <c r="K21" s="70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319158.97</v>
      </c>
      <c r="L21" s="207" t="s">
        <v>23</v>
      </c>
      <c r="M21" s="801">
        <f>IF(L21="Delapidated",K21*0.6,IF(L21="Poor",K21*0.7,IF(L21="Fair",K21*0.8,IF(L21="Good",K21*0.85,IF(L21="Very Good",K21*0.9,IF(L21="Excellent",K21*1,IF(L21="Not Applicable",K21*1,0)))))))</f>
        <v>319158.97</v>
      </c>
    </row>
    <row r="22" ht="30.0" hidden="1" customHeight="1">
      <c r="B22" s="61"/>
      <c r="C22" s="79" t="s">
        <v>28</v>
      </c>
      <c r="D22" s="220"/>
      <c r="E22" s="220"/>
      <c r="F22" s="67">
        <f>514.772532188841*E16</f>
        <v>638.3179399</v>
      </c>
      <c r="G22" s="303">
        <f t="shared" si="1"/>
        <v>510.6543519</v>
      </c>
      <c r="H22" s="303">
        <f t="shared" si="2"/>
        <v>483.5741969</v>
      </c>
      <c r="I22" s="77">
        <v>1.0</v>
      </c>
      <c r="J22" s="68"/>
      <c r="K22" s="70"/>
      <c r="L22" s="34"/>
      <c r="M22" s="801"/>
    </row>
    <row r="23" ht="30.0" hidden="1" customHeight="1">
      <c r="B23" s="61"/>
      <c r="C23" s="79" t="s">
        <v>29</v>
      </c>
      <c r="D23" s="220"/>
      <c r="E23" s="220"/>
      <c r="F23" s="67">
        <f>F22*0.8</f>
        <v>510.6543519</v>
      </c>
      <c r="G23" s="303">
        <f t="shared" si="1"/>
        <v>408.5234815</v>
      </c>
      <c r="H23" s="303">
        <f t="shared" si="2"/>
        <v>386.8593575</v>
      </c>
      <c r="I23" s="77">
        <v>2.0</v>
      </c>
      <c r="J23" s="68"/>
      <c r="K23" s="70"/>
      <c r="L23" s="34"/>
      <c r="M23" s="801"/>
    </row>
    <row r="24" ht="30.0" hidden="1" customHeight="1">
      <c r="B24" s="61"/>
      <c r="C24" s="79" t="s">
        <v>30</v>
      </c>
      <c r="D24" s="220"/>
      <c r="E24" s="220"/>
      <c r="F24" s="67">
        <f>F22*1.3</f>
        <v>829.8133219</v>
      </c>
      <c r="G24" s="303">
        <f t="shared" si="1"/>
        <v>663.8506575</v>
      </c>
      <c r="H24" s="303">
        <f t="shared" si="2"/>
        <v>628.646456</v>
      </c>
      <c r="I24" s="77">
        <v>3.0</v>
      </c>
      <c r="J24" s="68"/>
      <c r="K24" s="70"/>
      <c r="L24" s="34"/>
      <c r="M24" s="801"/>
    </row>
    <row r="25" ht="30.0" hidden="1" customHeight="1">
      <c r="B25" s="61"/>
      <c r="C25" s="79" t="s">
        <v>31</v>
      </c>
      <c r="D25" s="220"/>
      <c r="E25" s="220"/>
      <c r="F25" s="67">
        <v>0.0</v>
      </c>
      <c r="G25" s="303">
        <f t="shared" si="1"/>
        <v>0</v>
      </c>
      <c r="H25" s="303">
        <f t="shared" si="2"/>
        <v>0</v>
      </c>
      <c r="I25" s="77">
        <v>4.0</v>
      </c>
      <c r="J25" s="68"/>
      <c r="K25" s="70"/>
      <c r="L25" s="34"/>
      <c r="M25" s="802"/>
    </row>
    <row r="26" ht="30.0" customHeight="1">
      <c r="B26" s="61">
        <v>4.0</v>
      </c>
      <c r="C26" s="208" t="s">
        <v>127</v>
      </c>
      <c r="D26" s="803"/>
      <c r="E26" s="803"/>
      <c r="F26" s="467"/>
      <c r="G26" s="303">
        <f t="shared" si="1"/>
        <v>0</v>
      </c>
      <c r="H26" s="303">
        <f t="shared" si="2"/>
        <v>0</v>
      </c>
      <c r="I26" s="68"/>
      <c r="J26" s="72" t="s">
        <v>34</v>
      </c>
      <c r="K26" s="70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128960</v>
      </c>
      <c r="L26" s="207" t="s">
        <v>23</v>
      </c>
      <c r="M26" s="801">
        <f>IF(L26="Delapidated",K26*0.6,IF(L26="Poor",K26*0.7,IF(L26="Fair",K26*0.8,IF(L26="Good",K26*0.85,IF(L26="Very Good",K26*0.9,IF(L26="Excellent",K26*1,IF(L26="Not Applicable",K26*1,0)))))))</f>
        <v>128960</v>
      </c>
    </row>
    <row r="27" ht="30.0" hidden="1" customHeight="1">
      <c r="B27" s="61"/>
      <c r="C27" s="79" t="s">
        <v>33</v>
      </c>
      <c r="D27" s="220"/>
      <c r="E27" s="220"/>
      <c r="F27" s="67">
        <f>130*E16</f>
        <v>161.2</v>
      </c>
      <c r="G27" s="303">
        <f t="shared" si="1"/>
        <v>128.96</v>
      </c>
      <c r="H27" s="303">
        <f t="shared" si="2"/>
        <v>122.1212121</v>
      </c>
      <c r="I27" s="77">
        <v>1.0</v>
      </c>
      <c r="J27" s="68"/>
      <c r="K27" s="70"/>
      <c r="L27" s="34"/>
      <c r="M27" s="801"/>
    </row>
    <row r="28" ht="30.0" hidden="1" customHeight="1">
      <c r="B28" s="61"/>
      <c r="C28" s="79" t="s">
        <v>34</v>
      </c>
      <c r="D28" s="220"/>
      <c r="E28" s="220"/>
      <c r="F28" s="67">
        <f>F27*1.6</f>
        <v>257.92</v>
      </c>
      <c r="G28" s="303">
        <f t="shared" si="1"/>
        <v>206.336</v>
      </c>
      <c r="H28" s="303">
        <f t="shared" si="2"/>
        <v>195.3939394</v>
      </c>
      <c r="I28" s="77">
        <v>2.0</v>
      </c>
      <c r="J28" s="68"/>
      <c r="K28" s="70"/>
      <c r="L28" s="34"/>
      <c r="M28" s="801"/>
    </row>
    <row r="29" ht="30.0" hidden="1" customHeight="1">
      <c r="B29" s="61"/>
      <c r="C29" s="79" t="s">
        <v>35</v>
      </c>
      <c r="D29" s="220"/>
      <c r="E29" s="220"/>
      <c r="F29" s="67">
        <f>F27*0.6</f>
        <v>96.72</v>
      </c>
      <c r="G29" s="303">
        <f t="shared" si="1"/>
        <v>77.376</v>
      </c>
      <c r="H29" s="303">
        <f t="shared" si="2"/>
        <v>73.27272727</v>
      </c>
      <c r="I29" s="77">
        <v>3.0</v>
      </c>
      <c r="J29" s="68"/>
      <c r="K29" s="70"/>
      <c r="L29" s="34"/>
      <c r="M29" s="801"/>
    </row>
    <row r="30" ht="30.0" hidden="1" customHeight="1">
      <c r="B30" s="61"/>
      <c r="C30" s="79" t="s">
        <v>36</v>
      </c>
      <c r="D30" s="220"/>
      <c r="E30" s="220"/>
      <c r="F30" s="67">
        <v>0.0</v>
      </c>
      <c r="G30" s="303">
        <f t="shared" si="1"/>
        <v>0</v>
      </c>
      <c r="H30" s="303">
        <f t="shared" si="2"/>
        <v>0</v>
      </c>
      <c r="I30" s="77">
        <v>4.0</v>
      </c>
      <c r="J30" s="68"/>
      <c r="K30" s="70"/>
      <c r="L30" s="34"/>
      <c r="M30" s="802"/>
    </row>
    <row r="31" ht="30.0" customHeight="1">
      <c r="B31" s="456">
        <v>5.0</v>
      </c>
      <c r="C31" s="92" t="s">
        <v>158</v>
      </c>
      <c r="D31" s="220"/>
      <c r="E31" s="220"/>
      <c r="F31" s="67"/>
      <c r="G31" s="303">
        <f t="shared" si="1"/>
        <v>0</v>
      </c>
      <c r="H31" s="303">
        <f t="shared" si="2"/>
        <v>0</v>
      </c>
      <c r="I31" s="77"/>
      <c r="J31" s="72" t="s">
        <v>137</v>
      </c>
      <c r="K31" s="70">
        <f>IF(J31="TIMBER ROOF TRUSSES",IF(J12="2010-2013",H32*$J$11,IF(J12="2014-2021",G32*$J$11,IF(J12="2021-2023",F32*$J$11,0))),IF(J31="STRUCTURAL STEEL TRUSSES",IF(J12="2010-2013",H33*$J$11,IF(J12="2014-2021",G33*$J$11,IF(J12="2021-2023",F33*$J$11,0))),0))</f>
        <v>682000</v>
      </c>
      <c r="L31" s="72" t="s">
        <v>23</v>
      </c>
      <c r="M31" s="211">
        <f>IF(L31="Delapidated",K31*0.6,IF(L31="Poor",K31*0.7,IF(L31="Fair",K31*0.8,IF(L31="Good",K31*0.85,IF(L31="Very Good",K31*0.9,IF(L31="Excellent",K31*1,IF(L31="Not Applicable",K31*1,0)))))))</f>
        <v>682000</v>
      </c>
      <c r="N31" s="553"/>
    </row>
    <row r="32" ht="30.0" hidden="1" customHeight="1">
      <c r="B32" s="456"/>
      <c r="C32" s="79" t="s">
        <v>38</v>
      </c>
      <c r="D32" s="220"/>
      <c r="E32" s="220"/>
      <c r="F32" s="67">
        <f>550*E16</f>
        <v>682</v>
      </c>
      <c r="G32" s="303">
        <f t="shared" si="1"/>
        <v>545.6</v>
      </c>
      <c r="H32" s="303">
        <f t="shared" si="2"/>
        <v>516.6666667</v>
      </c>
      <c r="I32" s="77"/>
      <c r="J32" s="68"/>
      <c r="K32" s="70"/>
      <c r="L32" s="34"/>
      <c r="M32" s="802"/>
    </row>
    <row r="33" ht="30.0" hidden="1" customHeight="1">
      <c r="B33" s="456"/>
      <c r="C33" s="79" t="s">
        <v>137</v>
      </c>
      <c r="D33" s="220"/>
      <c r="E33" s="220"/>
      <c r="F33" s="67">
        <f>1100*E16</f>
        <v>1364</v>
      </c>
      <c r="G33" s="303">
        <f t="shared" si="1"/>
        <v>1091.2</v>
      </c>
      <c r="H33" s="303">
        <f t="shared" si="2"/>
        <v>1033.333333</v>
      </c>
      <c r="I33" s="77"/>
      <c r="J33" s="68"/>
      <c r="K33" s="70"/>
      <c r="L33" s="34"/>
      <c r="M33" s="802"/>
    </row>
    <row r="34" ht="30.0" hidden="1" customHeight="1">
      <c r="B34" s="456"/>
      <c r="C34" s="79" t="s">
        <v>41</v>
      </c>
      <c r="D34" s="220"/>
      <c r="E34" s="220"/>
      <c r="F34" s="67">
        <v>0.0</v>
      </c>
      <c r="G34" s="303">
        <f t="shared" si="1"/>
        <v>0</v>
      </c>
      <c r="H34" s="303">
        <f t="shared" si="2"/>
        <v>0</v>
      </c>
      <c r="I34" s="77"/>
      <c r="J34" s="68"/>
      <c r="K34" s="70"/>
      <c r="L34" s="34"/>
      <c r="M34" s="802"/>
    </row>
    <row r="35" ht="30.0" customHeight="1">
      <c r="B35" s="61">
        <v>6.0</v>
      </c>
      <c r="C35" s="208" t="s">
        <v>119</v>
      </c>
      <c r="D35" s="803"/>
      <c r="E35" s="803"/>
      <c r="F35" s="303"/>
      <c r="G35" s="303"/>
      <c r="H35" s="303"/>
      <c r="I35" s="68"/>
      <c r="J35" s="72" t="s">
        <v>25</v>
      </c>
      <c r="K35" s="70">
        <f>IF(J35="YES",IF(J12="2010-2013",H36*$J$11,IF(J12="2014-2021",G36*$J$11,IF(J12="2021-2023",F36*$J$11,0))),0)</f>
        <v>4600.847926</v>
      </c>
      <c r="L35" s="207" t="s">
        <v>23</v>
      </c>
      <c r="M35" s="801">
        <f>IF(L35="Delapidated",K35*0.6,IF(L35="Poor",K35*0.7,IF(L35="Fair",K35*0.8,IF(L35="Good",K35*0.85,IF(L35="Very Good",K35*0.9,IF(L35="Excellent",K35*1,IF(L35="Not Applicable",K35*1,0)))))))</f>
        <v>4600.847926</v>
      </c>
    </row>
    <row r="36" ht="30.0" hidden="1" customHeight="1">
      <c r="B36" s="61"/>
      <c r="C36" s="79" t="s">
        <v>25</v>
      </c>
      <c r="D36" s="220"/>
      <c r="E36" s="220"/>
      <c r="F36" s="67">
        <f>86.0872675250358*8.62%*E16</f>
        <v>9.201695851</v>
      </c>
      <c r="G36" s="303">
        <f t="shared" ref="G36:G37" si="4">F36/$G$16</f>
        <v>7.361356681</v>
      </c>
      <c r="H36" s="303">
        <f t="shared" ref="H36:H37" si="5">F36/$H$16</f>
        <v>6.970981705</v>
      </c>
      <c r="I36" s="77">
        <v>1.0</v>
      </c>
      <c r="J36" s="68"/>
      <c r="K36" s="70"/>
      <c r="L36" s="34"/>
      <c r="M36" s="801"/>
    </row>
    <row r="37" ht="30.0" hidden="1" customHeight="1">
      <c r="B37" s="61"/>
      <c r="C37" s="79" t="s">
        <v>26</v>
      </c>
      <c r="D37" s="220"/>
      <c r="E37" s="220"/>
      <c r="F37" s="67">
        <v>0.0</v>
      </c>
      <c r="G37" s="303">
        <f t="shared" si="4"/>
        <v>0</v>
      </c>
      <c r="H37" s="303">
        <f t="shared" si="5"/>
        <v>0</v>
      </c>
      <c r="I37" s="77">
        <v>2.0</v>
      </c>
      <c r="J37" s="68"/>
      <c r="K37" s="70"/>
      <c r="L37" s="34"/>
      <c r="M37" s="802"/>
    </row>
    <row r="38" ht="30.0" customHeight="1">
      <c r="B38" s="61">
        <v>7.0</v>
      </c>
      <c r="C38" s="208" t="s">
        <v>45</v>
      </c>
      <c r="D38" s="803"/>
      <c r="E38" s="803"/>
      <c r="F38" s="303"/>
      <c r="G38" s="303"/>
      <c r="H38" s="303"/>
      <c r="I38" s="68"/>
      <c r="J38" s="72" t="s">
        <v>25</v>
      </c>
      <c r="K38" s="70">
        <f>IF(J38="YES",IF(J12="2010-2013",H39*$J$11,IF(J12="2014-2021",G39*$J$11,IF(J12="2021-2023",F39*$J$11,0))),0)</f>
        <v>39571.56209</v>
      </c>
      <c r="L38" s="207" t="s">
        <v>23</v>
      </c>
      <c r="M38" s="801">
        <f>IF(L38="Delapidated",K38*0.6,IF(L38="Poor",K38*0.7,IF(L38="Fair",K38*0.8,IF(L38="Good",K38*0.85,IF(L38="Very Good",K38*0.9,IF(L38="Excellent",K38*1,IF(L38="Not Applicable",K38*1,0)))))))</f>
        <v>39571.56209</v>
      </c>
    </row>
    <row r="39" ht="30.0" hidden="1" customHeight="1">
      <c r="B39" s="61"/>
      <c r="C39" s="79" t="s">
        <v>25</v>
      </c>
      <c r="D39" s="220"/>
      <c r="E39" s="220"/>
      <c r="F39" s="67">
        <f>86.0872675250358*74.14%*E16</f>
        <v>79.14312418</v>
      </c>
      <c r="G39" s="303">
        <f t="shared" ref="G39:G40" si="6">F39/$G$16</f>
        <v>63.31449934</v>
      </c>
      <c r="H39" s="303">
        <f t="shared" ref="H39:H40" si="7">F39/$H$16</f>
        <v>59.95691226</v>
      </c>
      <c r="I39" s="77">
        <v>1.0</v>
      </c>
      <c r="J39" s="68"/>
      <c r="K39" s="70"/>
      <c r="L39" s="34"/>
      <c r="M39" s="802"/>
    </row>
    <row r="40" ht="30.0" hidden="1" customHeight="1">
      <c r="B40" s="61"/>
      <c r="C40" s="79" t="s">
        <v>26</v>
      </c>
      <c r="D40" s="220"/>
      <c r="E40" s="220"/>
      <c r="F40" s="67">
        <v>0.0</v>
      </c>
      <c r="G40" s="303">
        <f t="shared" si="6"/>
        <v>0</v>
      </c>
      <c r="H40" s="303">
        <f t="shared" si="7"/>
        <v>0</v>
      </c>
      <c r="I40" s="77">
        <v>2.0</v>
      </c>
      <c r="J40" s="68"/>
      <c r="K40" s="70"/>
      <c r="L40" s="34"/>
      <c r="M40" s="802"/>
    </row>
    <row r="41" ht="30.0" hidden="1" customHeight="1">
      <c r="B41" s="61">
        <v>8.0</v>
      </c>
      <c r="C41" s="208" t="s">
        <v>49</v>
      </c>
      <c r="D41" s="803"/>
      <c r="E41" s="803"/>
      <c r="F41" s="303"/>
      <c r="G41" s="303"/>
      <c r="H41" s="303"/>
      <c r="I41" s="68"/>
      <c r="J41" s="72" t="s">
        <v>26</v>
      </c>
      <c r="K41" s="70">
        <f>IF(J41="YES",IF(J12="2010-2013",H42*$J$11,IF(J12="2014-2021",G42*$J$11,IF(J12="2021-2023",F42*$J$11,0))),0)</f>
        <v>0</v>
      </c>
      <c r="L41" s="207" t="s">
        <v>23</v>
      </c>
      <c r="M41" s="801">
        <f>IF(L41="Delapidated",K41*0.6,IF(L41="Poor",K41*0.7,IF(L41="Fair",K41*0.8,IF(L41="Good",K41*0.85,IF(L41="Very Good",K41*0.9,IF(L41="Excellent",K41*1,IF(L41="Not Applicable",K41*1,0)))))))</f>
        <v>0</v>
      </c>
    </row>
    <row r="42" ht="30.0" hidden="1" customHeight="1">
      <c r="B42" s="61"/>
      <c r="C42" s="79" t="s">
        <v>25</v>
      </c>
      <c r="D42" s="220"/>
      <c r="E42" s="220"/>
      <c r="F42" s="67">
        <f>86.0872675250358*17.24%*E16</f>
        <v>18.4033917</v>
      </c>
      <c r="G42" s="303">
        <f t="shared" ref="G42:G43" si="8">F42/$G$16</f>
        <v>14.72271336</v>
      </c>
      <c r="H42" s="303">
        <f t="shared" ref="H42:H43" si="9">F42/$H$16</f>
        <v>13.94196341</v>
      </c>
      <c r="I42" s="77">
        <v>1.0</v>
      </c>
      <c r="J42" s="68"/>
      <c r="K42" s="70"/>
      <c r="L42" s="34"/>
      <c r="M42" s="801"/>
    </row>
    <row r="43" ht="30.0" hidden="1" customHeight="1">
      <c r="B43" s="61"/>
      <c r="C43" s="79" t="s">
        <v>26</v>
      </c>
      <c r="D43" s="220"/>
      <c r="E43" s="220"/>
      <c r="F43" s="67">
        <v>0.0</v>
      </c>
      <c r="G43" s="303">
        <f t="shared" si="8"/>
        <v>0</v>
      </c>
      <c r="H43" s="303">
        <f t="shared" si="9"/>
        <v>0</v>
      </c>
      <c r="I43" s="77">
        <v>2.0</v>
      </c>
      <c r="J43" s="68"/>
      <c r="K43" s="70"/>
      <c r="L43" s="34"/>
      <c r="M43" s="802"/>
    </row>
    <row r="44" ht="30.0" customHeight="1">
      <c r="B44" s="61">
        <v>9.0</v>
      </c>
      <c r="C44" s="208" t="s">
        <v>50</v>
      </c>
      <c r="D44" s="803"/>
      <c r="E44" s="803"/>
      <c r="F44" s="303"/>
      <c r="G44" s="303"/>
      <c r="H44" s="303"/>
      <c r="I44" s="68"/>
      <c r="J44" s="72" t="s">
        <v>25</v>
      </c>
      <c r="K44" s="70">
        <f>IF(J44="YES",IF(J12="2010-2013",H45*$J$11,IF(J12="2014-2021",G45*$J$11,IF(J12="2021-2023",F45*$J$11,0))),0)</f>
        <v>19235.61151</v>
      </c>
      <c r="L44" s="207" t="s">
        <v>23</v>
      </c>
      <c r="M44" s="801">
        <f>IF(L44="Delapidated",K44*0.6,IF(L44="Poor",K44*0.7,IF(L44="Fair",K44*0.8,IF(L44="Good",K44*0.85,IF(L44="Very Good",K44*0.9,IF(L44="Excellent",K44*1,IF(L44="Not Applicable",K44*1,0)))))))</f>
        <v>19235.61151</v>
      </c>
    </row>
    <row r="45" ht="30.0" hidden="1" customHeight="1">
      <c r="B45" s="61"/>
      <c r="C45" s="79" t="s">
        <v>25</v>
      </c>
      <c r="D45" s="220"/>
      <c r="E45" s="220"/>
      <c r="F45" s="303">
        <f>31.0251798561151*E16</f>
        <v>38.47122302</v>
      </c>
      <c r="G45" s="303">
        <f t="shared" ref="G45:G46" si="10">F45/$G$16</f>
        <v>30.77697842</v>
      </c>
      <c r="H45" s="303">
        <f t="shared" ref="H45:H46" si="11">F45/$H$16</f>
        <v>29.14486593</v>
      </c>
      <c r="I45" s="77">
        <v>1.0</v>
      </c>
      <c r="J45" s="68"/>
      <c r="K45" s="70"/>
      <c r="L45" s="34"/>
      <c r="M45" s="801"/>
    </row>
    <row r="46" ht="30.0" hidden="1" customHeight="1">
      <c r="B46" s="61"/>
      <c r="C46" s="79" t="s">
        <v>26</v>
      </c>
      <c r="D46" s="220"/>
      <c r="E46" s="220"/>
      <c r="F46" s="303">
        <v>0.0</v>
      </c>
      <c r="G46" s="303">
        <f t="shared" si="10"/>
        <v>0</v>
      </c>
      <c r="H46" s="303">
        <f t="shared" si="11"/>
        <v>0</v>
      </c>
      <c r="I46" s="77">
        <v>2.0</v>
      </c>
      <c r="J46" s="68"/>
      <c r="K46" s="70"/>
      <c r="L46" s="34"/>
      <c r="M46" s="802"/>
    </row>
    <row r="47" ht="30.0" customHeight="1">
      <c r="B47" s="44">
        <v>10.0</v>
      </c>
      <c r="C47" s="92" t="s">
        <v>51</v>
      </c>
      <c r="D47" s="220"/>
      <c r="E47" s="220"/>
      <c r="F47" s="303"/>
      <c r="G47" s="303"/>
      <c r="H47" s="303"/>
      <c r="I47" s="77"/>
      <c r="J47" s="72" t="s">
        <v>52</v>
      </c>
      <c r="K47" s="70">
        <f>IF(J47="VINYL FLOORING",IF(J12="2010-2013",H48*$J$11,IF(J12="2014-2021",G48*$J$11,IF(J12="2021-2023",F48*$J$11,0))),IF(J47="TILING FLOORING",IF(J12="2010-2013",H49*$J$11,IF(J12="2014-2021",G49*$J$11,IF(J12="2021-2023",F49*$J$11,0))),IF(J47="WOODEN FLOORING",IF(J12="2010-2013",H50*$J$11,IF(J12="2014-2021",G50*$J$11,IF(J12="2021-2023",F50*$J$11,0))),IF(J47="CARPETS FLOORING",IF(J12="2010-2013",H51*$J$11,IF(J12="2014-2021",G51*$J$11,IF(J12="2021-2023",F51*$J$11,0))),0))))</f>
        <v>34791.36691</v>
      </c>
      <c r="L47" s="207" t="s">
        <v>23</v>
      </c>
      <c r="M47" s="801">
        <f>IF(L47="Delapidated",K47*0.6,IF(L47="Poor",K47*0.7,IF(L47="Fair",K47*0.8,IF(L47="Good",K47*0.85,IF(L47="Very Good",K47*0.9,IF(L47="Excellent",K47*1,IF(L47="Not Applicable",K47*1,0)))))))</f>
        <v>34791.36691</v>
      </c>
    </row>
    <row r="48" ht="30.0" hidden="1" customHeight="1">
      <c r="B48" s="44"/>
      <c r="C48" s="79" t="s">
        <v>53</v>
      </c>
      <c r="D48" s="220"/>
      <c r="E48" s="220"/>
      <c r="F48" s="303">
        <f>F49*0.7</f>
        <v>48.70791367</v>
      </c>
      <c r="G48" s="303">
        <f t="shared" ref="G48:G52" si="12">F48/$G$16</f>
        <v>38.96633094</v>
      </c>
      <c r="H48" s="303">
        <f t="shared" ref="H48:H52" si="13">F48/$H$16</f>
        <v>36.8999346</v>
      </c>
      <c r="I48" s="77">
        <v>1.0</v>
      </c>
      <c r="J48" s="68"/>
      <c r="K48" s="70"/>
      <c r="L48" s="34"/>
      <c r="M48" s="801"/>
    </row>
    <row r="49" ht="30.0" hidden="1" customHeight="1">
      <c r="B49" s="44"/>
      <c r="C49" s="79" t="s">
        <v>52</v>
      </c>
      <c r="D49" s="220"/>
      <c r="E49" s="220"/>
      <c r="F49" s="303">
        <f>70.1438848920863*0.8*E16</f>
        <v>69.58273381</v>
      </c>
      <c r="G49" s="303">
        <f t="shared" si="12"/>
        <v>55.66618705</v>
      </c>
      <c r="H49" s="303">
        <f t="shared" si="13"/>
        <v>52.71419228</v>
      </c>
      <c r="I49" s="77">
        <v>2.0</v>
      </c>
      <c r="J49" s="68"/>
      <c r="K49" s="70"/>
      <c r="L49" s="34"/>
      <c r="M49" s="801"/>
    </row>
    <row r="50" ht="30.0" hidden="1" customHeight="1">
      <c r="B50" s="44"/>
      <c r="C50" s="79" t="s">
        <v>155</v>
      </c>
      <c r="D50" s="220"/>
      <c r="E50" s="220"/>
      <c r="F50" s="303">
        <f>F49*1.2</f>
        <v>83.49928058</v>
      </c>
      <c r="G50" s="303">
        <f t="shared" si="12"/>
        <v>66.79942446</v>
      </c>
      <c r="H50" s="303">
        <f t="shared" si="13"/>
        <v>63.25703074</v>
      </c>
      <c r="I50" s="77">
        <v>3.0</v>
      </c>
      <c r="J50" s="68"/>
      <c r="K50" s="70"/>
      <c r="L50" s="34"/>
      <c r="M50" s="801"/>
    </row>
    <row r="51" ht="30.0" hidden="1" customHeight="1">
      <c r="B51" s="44"/>
      <c r="C51" s="79" t="s">
        <v>55</v>
      </c>
      <c r="D51" s="220"/>
      <c r="E51" s="220"/>
      <c r="F51" s="303">
        <f>F49*1.3</f>
        <v>90.45755396</v>
      </c>
      <c r="G51" s="303">
        <f t="shared" si="12"/>
        <v>72.36604317</v>
      </c>
      <c r="H51" s="303">
        <f t="shared" si="13"/>
        <v>68.52844997</v>
      </c>
      <c r="I51" s="77">
        <v>4.0</v>
      </c>
      <c r="J51" s="68"/>
      <c r="K51" s="70"/>
      <c r="L51" s="34"/>
      <c r="M51" s="801"/>
    </row>
    <row r="52" ht="30.0" hidden="1" customHeight="1">
      <c r="B52" s="44"/>
      <c r="C52" s="79" t="s">
        <v>56</v>
      </c>
      <c r="D52" s="220"/>
      <c r="E52" s="220"/>
      <c r="F52" s="303">
        <v>0.0</v>
      </c>
      <c r="G52" s="303">
        <f t="shared" si="12"/>
        <v>0</v>
      </c>
      <c r="H52" s="303">
        <f t="shared" si="13"/>
        <v>0</v>
      </c>
      <c r="I52" s="77">
        <v>5.0</v>
      </c>
      <c r="J52" s="68"/>
      <c r="K52" s="70"/>
      <c r="L52" s="34"/>
      <c r="M52" s="802"/>
    </row>
    <row r="53" ht="30.0" hidden="1" customHeight="1">
      <c r="B53" s="61">
        <v>11.0</v>
      </c>
      <c r="C53" s="92" t="s">
        <v>162</v>
      </c>
      <c r="D53" s="92"/>
      <c r="E53" s="92"/>
      <c r="F53" s="303"/>
      <c r="G53" s="303"/>
      <c r="H53" s="303"/>
      <c r="I53" s="77"/>
      <c r="J53" s="72" t="s">
        <v>26</v>
      </c>
      <c r="K53" s="70">
        <f>IF(J53="YES",IF(J12="2010-2013",H54*$J$11,IF(J12="2014-2021",G54*$J$11,IF(J12="2021-2023",F54*$J$11,0))),0)</f>
        <v>0</v>
      </c>
      <c r="L53" s="207" t="s">
        <v>23</v>
      </c>
      <c r="M53" s="801">
        <f>IF(L53="Delapidated",K53*0.6,IF(L53="Poor",K53*0.7,IF(L53="Fair",K53*0.8,IF(L53="Good",K53*0.85,IF(L53="Very Good",K53*0.9,IF(L53="Excellent",K53*1,IF(L53="Not Applicable",K53*1,0)))))))</f>
        <v>0</v>
      </c>
    </row>
    <row r="54" ht="30.0" hidden="1" customHeight="1">
      <c r="B54" s="61"/>
      <c r="C54" s="79" t="s">
        <v>25</v>
      </c>
      <c r="D54" s="220"/>
      <c r="E54" s="220"/>
      <c r="F54" s="67">
        <f>750*E16</f>
        <v>930</v>
      </c>
      <c r="G54" s="303">
        <f t="shared" ref="G54:G55" si="14">F54/$G$16</f>
        <v>744</v>
      </c>
      <c r="H54" s="303">
        <f t="shared" ref="H54:H55" si="15">F54/$H$16</f>
        <v>704.5454545</v>
      </c>
      <c r="I54" s="77"/>
      <c r="J54" s="68"/>
      <c r="K54" s="70"/>
      <c r="L54" s="34"/>
      <c r="M54" s="801"/>
    </row>
    <row r="55" ht="30.0" hidden="1" customHeight="1">
      <c r="B55" s="61"/>
      <c r="C55" s="79" t="s">
        <v>26</v>
      </c>
      <c r="D55" s="220"/>
      <c r="E55" s="220"/>
      <c r="F55" s="303">
        <v>0.0</v>
      </c>
      <c r="G55" s="303">
        <f t="shared" si="14"/>
        <v>0</v>
      </c>
      <c r="H55" s="303">
        <f t="shared" si="15"/>
        <v>0</v>
      </c>
      <c r="I55" s="77"/>
      <c r="J55" s="68"/>
      <c r="K55" s="70"/>
      <c r="L55" s="34"/>
      <c r="M55" s="801"/>
    </row>
    <row r="56" ht="30.0" customHeight="1">
      <c r="B56" s="61">
        <v>12.0</v>
      </c>
      <c r="C56" s="208" t="s">
        <v>57</v>
      </c>
      <c r="D56" s="803"/>
      <c r="E56" s="803"/>
      <c r="F56" s="303"/>
      <c r="G56" s="303"/>
      <c r="H56" s="303"/>
      <c r="I56" s="68"/>
      <c r="J56" s="72" t="s">
        <v>58</v>
      </c>
      <c r="K56" s="70">
        <f>IF(J56="STEEL WINDOW FRAMES",IF(J12="2010-2013",H57*$J$11,IF(J12="2014-2021",G57*$J$11,IF(J12="2021-2023",F57*$J$11,0))),IF(J56="ALUMINIUM WINDOW FRAMES",IF(J12="2010-2013",H58*$J$11,IF(J12="2014-2021",G58*$J$11,IF(J12="2021-2023",F58*$J$11,0))),0))</f>
        <v>144045.7797</v>
      </c>
      <c r="L56" s="207" t="s">
        <v>23</v>
      </c>
      <c r="M56" s="801">
        <f>IF(L56="Delapidated",K56*0.6,IF(L56="Poor",K56*0.7,IF(L56="Fair",K56*0.8,IF(L56="Good",K56*0.85,IF(L56="Very Good",K56*0.9,IF(L56="Excellent",K56*1,IF(L56="Not Applicable",K56*1,0)))))))</f>
        <v>144045.7797</v>
      </c>
    </row>
    <row r="57" ht="30.0" hidden="1" customHeight="1">
      <c r="B57" s="61"/>
      <c r="C57" s="79" t="s">
        <v>59</v>
      </c>
      <c r="D57" s="220"/>
      <c r="E57" s="220"/>
      <c r="F57" s="67">
        <f>F58*0.3</f>
        <v>86.42746781</v>
      </c>
      <c r="G57" s="303">
        <f t="shared" ref="G57:G59" si="16">F57/$G$16</f>
        <v>69.14197425</v>
      </c>
      <c r="H57" s="303">
        <f t="shared" ref="H57:H59" si="17">F57/$H$16</f>
        <v>65.4753544</v>
      </c>
      <c r="I57" s="77">
        <v>1.0</v>
      </c>
      <c r="J57" s="68"/>
      <c r="K57" s="70"/>
      <c r="L57" s="34"/>
      <c r="M57" s="802"/>
    </row>
    <row r="58" ht="30.0" hidden="1" customHeight="1">
      <c r="B58" s="61"/>
      <c r="C58" s="79" t="s">
        <v>58</v>
      </c>
      <c r="D58" s="220"/>
      <c r="E58" s="220"/>
      <c r="F58" s="67">
        <f>232.331902718169*E16</f>
        <v>288.0915594</v>
      </c>
      <c r="G58" s="303">
        <f t="shared" si="16"/>
        <v>230.4732475</v>
      </c>
      <c r="H58" s="303">
        <f t="shared" si="17"/>
        <v>218.2511813</v>
      </c>
      <c r="I58" s="77">
        <v>2.0</v>
      </c>
      <c r="J58" s="68"/>
      <c r="K58" s="70"/>
      <c r="L58" s="34"/>
      <c r="M58" s="801"/>
    </row>
    <row r="59" ht="30.0" hidden="1" customHeight="1">
      <c r="B59" s="61"/>
      <c r="C59" s="79" t="s">
        <v>60</v>
      </c>
      <c r="D59" s="220"/>
      <c r="E59" s="220"/>
      <c r="F59" s="67">
        <v>0.0</v>
      </c>
      <c r="G59" s="303">
        <f t="shared" si="16"/>
        <v>0</v>
      </c>
      <c r="H59" s="303">
        <f t="shared" si="17"/>
        <v>0</v>
      </c>
      <c r="I59" s="77">
        <v>3.0</v>
      </c>
      <c r="J59" s="68"/>
      <c r="K59" s="70"/>
      <c r="L59" s="34"/>
      <c r="M59" s="802"/>
    </row>
    <row r="60" ht="30.0" customHeight="1">
      <c r="B60" s="61">
        <v>13.0</v>
      </c>
      <c r="C60" s="208" t="s">
        <v>61</v>
      </c>
      <c r="D60" s="803"/>
      <c r="E60" s="803"/>
      <c r="F60" s="303"/>
      <c r="G60" s="303"/>
      <c r="H60" s="303"/>
      <c r="I60" s="68"/>
      <c r="J60" s="72" t="s">
        <v>25</v>
      </c>
      <c r="K60" s="70">
        <f>IF(J60="YES",IF(J12="2010-2013",H61*$J$11,IF(J12="2014-2021",G61*$J$11,IF(J12="2021-2023",F61*$J$11,0))),0)</f>
        <v>174890.5579</v>
      </c>
      <c r="L60" s="207" t="s">
        <v>23</v>
      </c>
      <c r="M60" s="801">
        <f>IF(L60="Delapidated",K60*0.6,IF(L60="Poor",K60*0.7,IF(L60="Fair",K60*0.8,IF(L60="Good",K60*0.85,IF(L60="Very Good",K60*0.9,IF(L60="Excellent",K60*1,IF(L60="Not Applicable",K60*1,0)))))))</f>
        <v>174890.5579</v>
      </c>
    </row>
    <row r="61" ht="30.0" hidden="1" customHeight="1">
      <c r="B61" s="61"/>
      <c r="C61" s="79" t="s">
        <v>25</v>
      </c>
      <c r="D61" s="220"/>
      <c r="E61" s="220"/>
      <c r="F61" s="67">
        <f>282.081545064378*E16</f>
        <v>349.7811159</v>
      </c>
      <c r="G61" s="303">
        <f t="shared" ref="G61:G62" si="18">F61/$G$16</f>
        <v>279.8248927</v>
      </c>
      <c r="H61" s="303">
        <f t="shared" ref="H61:H62" si="19">F61/$H$16</f>
        <v>264.9856938</v>
      </c>
      <c r="I61" s="77">
        <v>1.0</v>
      </c>
      <c r="J61" s="68"/>
      <c r="K61" s="70"/>
      <c r="L61" s="34"/>
      <c r="M61" s="801"/>
    </row>
    <row r="62" ht="30.0" hidden="1" customHeight="1">
      <c r="B62" s="61"/>
      <c r="C62" s="79" t="s">
        <v>26</v>
      </c>
      <c r="D62" s="220"/>
      <c r="E62" s="220"/>
      <c r="F62" s="67">
        <v>0.0</v>
      </c>
      <c r="G62" s="303">
        <f t="shared" si="18"/>
        <v>0</v>
      </c>
      <c r="H62" s="303">
        <f t="shared" si="19"/>
        <v>0</v>
      </c>
      <c r="I62" s="77">
        <v>2.0</v>
      </c>
      <c r="J62" s="68"/>
      <c r="K62" s="70"/>
      <c r="L62" s="34"/>
      <c r="M62" s="802"/>
    </row>
    <row r="63" ht="30.0" customHeight="1">
      <c r="B63" s="61">
        <v>14.0</v>
      </c>
      <c r="C63" s="208" t="s">
        <v>62</v>
      </c>
      <c r="D63" s="803"/>
      <c r="E63" s="803"/>
      <c r="F63" s="467"/>
      <c r="G63" s="303"/>
      <c r="H63" s="303"/>
      <c r="I63" s="68"/>
      <c r="J63" s="72" t="s">
        <v>25</v>
      </c>
      <c r="K63" s="70">
        <f>IF(J63="YES",IF(J12="2010-2013",H64*$J$11,IF(J12="2014-2021",G64*$J$11,IF(J12="2021-2023",F64*$J$11,0))),0)</f>
        <v>27900</v>
      </c>
      <c r="L63" s="207" t="s">
        <v>23</v>
      </c>
      <c r="M63" s="801">
        <f>IF(L63="Delapidated",K63*0.6,IF(L63="Poor",K63*0.7,IF(L63="Fair",K63*0.8,IF(L63="Good",K63*0.85,IF(L63="Very Good",K63*0.9,IF(L63="Excellent",K63*1,IF(L63="Not Applicable",K63*1,0)))))))</f>
        <v>27900</v>
      </c>
    </row>
    <row r="64" ht="30.0" hidden="1" customHeight="1">
      <c r="B64" s="61"/>
      <c r="C64" s="79" t="s">
        <v>25</v>
      </c>
      <c r="D64" s="220"/>
      <c r="E64" s="220"/>
      <c r="F64" s="67">
        <f>45*E16</f>
        <v>55.8</v>
      </c>
      <c r="G64" s="303">
        <f t="shared" ref="G64:G65" si="20">F64/$G$16</f>
        <v>44.64</v>
      </c>
      <c r="H64" s="303">
        <f t="shared" ref="H64:H65" si="21">F64/$H$16</f>
        <v>42.27272727</v>
      </c>
      <c r="I64" s="77">
        <v>1.0</v>
      </c>
      <c r="J64" s="68"/>
      <c r="K64" s="70"/>
      <c r="L64" s="34"/>
      <c r="M64" s="801"/>
    </row>
    <row r="65" ht="30.0" hidden="1" customHeight="1">
      <c r="B65" s="61"/>
      <c r="C65" s="79" t="s">
        <v>26</v>
      </c>
      <c r="D65" s="220"/>
      <c r="E65" s="220"/>
      <c r="F65" s="67">
        <v>0.0</v>
      </c>
      <c r="G65" s="303">
        <f t="shared" si="20"/>
        <v>0</v>
      </c>
      <c r="H65" s="303">
        <f t="shared" si="21"/>
        <v>0</v>
      </c>
      <c r="I65" s="77">
        <v>2.0</v>
      </c>
      <c r="J65" s="68"/>
      <c r="K65" s="70"/>
      <c r="L65" s="34"/>
      <c r="M65" s="802"/>
    </row>
    <row r="66" ht="30.0" customHeight="1">
      <c r="A66" s="34"/>
      <c r="B66" s="44"/>
      <c r="C66" s="214" t="s">
        <v>167</v>
      </c>
      <c r="D66" s="66"/>
      <c r="E66" s="66"/>
      <c r="F66" s="67"/>
      <c r="G66" s="67"/>
      <c r="H66" s="67"/>
      <c r="I66" s="49">
        <v>3.0</v>
      </c>
      <c r="J66" s="227">
        <v>5.0</v>
      </c>
      <c r="K66" s="34"/>
      <c r="L66" s="199"/>
      <c r="M66" s="199"/>
      <c r="N66" s="45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B67" s="61">
        <v>15.0</v>
      </c>
      <c r="C67" s="208" t="s">
        <v>93</v>
      </c>
      <c r="D67" s="803"/>
      <c r="E67" s="803"/>
      <c r="F67" s="303"/>
      <c r="G67" s="303"/>
      <c r="H67" s="303"/>
      <c r="I67" s="68"/>
      <c r="J67" s="72" t="s">
        <v>25</v>
      </c>
      <c r="K67" s="70">
        <f>IF(J67="YES",IF(J12="2010-2013",H68*J66,IF(J12="2014-2021",G68*J66,IF(J12="2021-2023",F68*J66,0))),0)</f>
        <v>75000</v>
      </c>
      <c r="L67" s="207" t="s">
        <v>23</v>
      </c>
      <c r="M67" s="801">
        <f>IF(L67="Delapidated",K67*0.6,IF(L67="Poor",K67*0.7,IF(L67="Fair",K67*0.8,IF(L67="Good",K67*0.85,IF(L67="Very Good",K67*0.9,IF(L67="Excellent",K67*1,IF(L67="Not Applicable",K67*1,0)))))))</f>
        <v>75000</v>
      </c>
    </row>
    <row r="68" ht="30.0" hidden="1" customHeight="1">
      <c r="B68" s="61"/>
      <c r="C68" s="79" t="s">
        <v>25</v>
      </c>
      <c r="D68" s="220"/>
      <c r="E68" s="220"/>
      <c r="F68" s="67">
        <v>15000.0</v>
      </c>
      <c r="G68" s="303">
        <f t="shared" ref="G68:G69" si="22">F68/$G$16</f>
        <v>12000</v>
      </c>
      <c r="H68" s="303">
        <f t="shared" ref="H68:H69" si="23">F68/$H$16</f>
        <v>11363.63636</v>
      </c>
      <c r="I68" s="77">
        <v>1.0</v>
      </c>
      <c r="J68" s="68"/>
      <c r="K68" s="70"/>
      <c r="L68" s="34"/>
      <c r="M68" s="801"/>
    </row>
    <row r="69" ht="30.0" hidden="1" customHeight="1">
      <c r="B69" s="61"/>
      <c r="C69" s="79" t="s">
        <v>26</v>
      </c>
      <c r="D69" s="220"/>
      <c r="E69" s="220"/>
      <c r="F69" s="67">
        <v>0.0</v>
      </c>
      <c r="G69" s="303">
        <f t="shared" si="22"/>
        <v>0</v>
      </c>
      <c r="H69" s="303">
        <f t="shared" si="23"/>
        <v>0</v>
      </c>
      <c r="I69" s="77">
        <v>2.0</v>
      </c>
      <c r="J69" s="68"/>
      <c r="K69" s="785"/>
      <c r="L69" s="34"/>
      <c r="M69" s="802"/>
    </row>
    <row r="70" ht="30.0" customHeight="1">
      <c r="B70" s="61">
        <v>15.0</v>
      </c>
      <c r="C70" s="208" t="s">
        <v>65</v>
      </c>
      <c r="D70" s="803"/>
      <c r="E70" s="803"/>
      <c r="F70" s="303"/>
      <c r="G70" s="303"/>
      <c r="H70" s="303"/>
      <c r="I70" s="68"/>
      <c r="J70" s="72" t="s">
        <v>25</v>
      </c>
      <c r="K70" s="70">
        <f>IF(J70="YES",IF(J12="2010-2013",H71*$J$11,IF(J12="2014-2021",G71*$J$11,IF(J12="2021-2023",F71*$J$11,0))),0)</f>
        <v>116039.3419</v>
      </c>
      <c r="L70" s="207" t="s">
        <v>23</v>
      </c>
      <c r="M70" s="801">
        <f>IF(L70="Delapidated",K70*0.6,IF(L70="Poor",K70*0.7,IF(L70="Fair",K70*0.8,IF(L70="Good",K70*0.85,IF(L70="Very Good",K70*0.9,IF(L70="Excellent",K70*1,IF(L70="Not Applicable",K70*1,0)))))))</f>
        <v>116039.3419</v>
      </c>
    </row>
    <row r="71" ht="30.0" hidden="1" customHeight="1">
      <c r="B71" s="61"/>
      <c r="C71" s="79" t="s">
        <v>25</v>
      </c>
      <c r="D71" s="220"/>
      <c r="E71" s="220"/>
      <c r="F71" s="67">
        <f>187.160228898426*E16</f>
        <v>232.0786838</v>
      </c>
      <c r="G71" s="303">
        <f t="shared" ref="G71:G72" si="24">F71/$G$16</f>
        <v>185.6629471</v>
      </c>
      <c r="H71" s="303">
        <f t="shared" ref="H71:H72" si="25">F71/$H$16</f>
        <v>175.8171847</v>
      </c>
      <c r="I71" s="77">
        <v>1.0</v>
      </c>
      <c r="J71" s="68"/>
      <c r="K71" s="70"/>
      <c r="L71" s="34"/>
      <c r="M71" s="801"/>
    </row>
    <row r="72" ht="30.0" hidden="1" customHeight="1">
      <c r="B72" s="61"/>
      <c r="C72" s="79" t="s">
        <v>26</v>
      </c>
      <c r="D72" s="220"/>
      <c r="E72" s="220"/>
      <c r="F72" s="67">
        <v>0.0</v>
      </c>
      <c r="G72" s="303">
        <f t="shared" si="24"/>
        <v>0</v>
      </c>
      <c r="H72" s="303">
        <f t="shared" si="25"/>
        <v>0</v>
      </c>
      <c r="I72" s="77">
        <v>2.0</v>
      </c>
      <c r="J72" s="68"/>
      <c r="K72" s="70"/>
      <c r="L72" s="34"/>
      <c r="M72" s="802"/>
    </row>
    <row r="73" ht="30.0" customHeight="1">
      <c r="B73" s="61">
        <v>16.0</v>
      </c>
      <c r="C73" s="208" t="s">
        <v>94</v>
      </c>
      <c r="D73" s="803"/>
      <c r="E73" s="803"/>
      <c r="F73" s="303"/>
      <c r="G73" s="303"/>
      <c r="H73" s="303"/>
      <c r="I73" s="68"/>
      <c r="J73" s="72" t="s">
        <v>25</v>
      </c>
      <c r="K73" s="70">
        <f>IF(J73="YES",IF(J12="2010-2013",H74*$J$11,IF(J12="2014-2021",G74*$J$11,IF(J12="2021-2023",F74*$J$11,0))),0)</f>
        <v>293036.4807</v>
      </c>
      <c r="L73" s="207" t="s">
        <v>23</v>
      </c>
      <c r="M73" s="801">
        <f>IF(L73="Delapidated",K73*0.6,IF(L73="Poor",K73*0.7,IF(L73="Fair",K73*0.8,IF(L73="Good",K73*0.85,IF(L73="Very Good",K73*0.9,IF(L73="Excellent",K73*1,IF(L73="Not Applicable",K73*1,0)))))))</f>
        <v>293036.4807</v>
      </c>
    </row>
    <row r="74" ht="30.0" hidden="1" customHeight="1">
      <c r="B74" s="61"/>
      <c r="C74" s="79" t="s">
        <v>25</v>
      </c>
      <c r="D74" s="220"/>
      <c r="E74" s="220"/>
      <c r="F74" s="67">
        <f>472.639484978541*E16</f>
        <v>586.0729614</v>
      </c>
      <c r="G74" s="303">
        <f t="shared" ref="G74:G75" si="26">F74/$G$16</f>
        <v>468.8583691</v>
      </c>
      <c r="H74" s="303">
        <f t="shared" ref="H74:H75" si="27">F74/$H$16</f>
        <v>443.9946677</v>
      </c>
      <c r="I74" s="77">
        <v>1.0</v>
      </c>
      <c r="J74" s="68"/>
      <c r="K74" s="70"/>
      <c r="L74" s="17"/>
      <c r="M74" s="799"/>
    </row>
    <row r="75" ht="30.0" hidden="1" customHeight="1">
      <c r="B75" s="61"/>
      <c r="C75" s="79" t="s">
        <v>26</v>
      </c>
      <c r="D75" s="220"/>
      <c r="E75" s="220"/>
      <c r="F75" s="67">
        <v>0.0</v>
      </c>
      <c r="G75" s="303">
        <f t="shared" si="26"/>
        <v>0</v>
      </c>
      <c r="H75" s="303">
        <f t="shared" si="27"/>
        <v>0</v>
      </c>
      <c r="I75" s="77">
        <v>2.0</v>
      </c>
      <c r="J75" s="68"/>
      <c r="K75" s="70"/>
      <c r="L75" s="250"/>
      <c r="M75" s="799"/>
    </row>
    <row r="76" ht="30.0" customHeight="1">
      <c r="B76" s="61">
        <v>17.0</v>
      </c>
      <c r="C76" s="208" t="s">
        <v>68</v>
      </c>
      <c r="D76" s="803"/>
      <c r="E76" s="803"/>
      <c r="F76" s="303"/>
      <c r="G76" s="303"/>
      <c r="H76" s="303"/>
      <c r="I76" s="68"/>
      <c r="J76" s="72" t="s">
        <v>25</v>
      </c>
      <c r="K76" s="70">
        <f>IF(J76="YES",IF(J12="2010-2013",H77*$J$11,IF(J12="2014-2021",G77*$J$11,IF(J12="2021-2023",F77*$J$11,0))),0)</f>
        <v>74400</v>
      </c>
      <c r="L76" s="207" t="s">
        <v>23</v>
      </c>
      <c r="M76" s="801">
        <f>IF(L76="Delapidated",K76*0.6,IF(L76="Poor",K76*0.7,IF(L76="Fair",K76*0.8,IF(L76="Good",K76*0.85,IF(L76="Very Good",K76*0.9,IF(L76="Excellent",K76*1,IF(L76="Not Applicable",K76*1,0)))))))</f>
        <v>74400</v>
      </c>
    </row>
    <row r="77" ht="30.0" hidden="1" customHeight="1">
      <c r="B77" s="61"/>
      <c r="C77" s="79" t="s">
        <v>25</v>
      </c>
      <c r="D77" s="220"/>
      <c r="E77" s="220"/>
      <c r="F77" s="303">
        <f>120*E16</f>
        <v>148.8</v>
      </c>
      <c r="G77" s="303">
        <f t="shared" ref="G77:G79" si="28">F77/$G$16</f>
        <v>119.04</v>
      </c>
      <c r="H77" s="303">
        <f t="shared" ref="H77:H79" si="29">F77/$H$16</f>
        <v>112.7272727</v>
      </c>
      <c r="I77" s="77">
        <v>1.0</v>
      </c>
      <c r="J77" s="322"/>
      <c r="K77" s="70"/>
      <c r="L77" s="17"/>
      <c r="M77" s="800"/>
    </row>
    <row r="78" ht="30.0" hidden="1" customHeight="1">
      <c r="B78" s="61"/>
      <c r="C78" s="79" t="s">
        <v>26</v>
      </c>
      <c r="D78" s="220"/>
      <c r="E78" s="220"/>
      <c r="F78" s="467">
        <v>0.0</v>
      </c>
      <c r="G78" s="303">
        <f t="shared" si="28"/>
        <v>0</v>
      </c>
      <c r="H78" s="303">
        <f t="shared" si="29"/>
        <v>0</v>
      </c>
      <c r="I78" s="77">
        <v>2.0</v>
      </c>
      <c r="J78" s="322"/>
      <c r="K78" s="58"/>
      <c r="L78" s="34"/>
      <c r="M78" s="802"/>
    </row>
    <row r="79" ht="30.0" hidden="1" customHeight="1">
      <c r="A79" s="386"/>
      <c r="B79" s="193"/>
      <c r="C79" s="220"/>
      <c r="D79" s="220"/>
      <c r="E79" s="220"/>
      <c r="F79" s="380"/>
      <c r="G79" s="303">
        <f t="shared" si="28"/>
        <v>0</v>
      </c>
      <c r="H79" s="303">
        <f t="shared" si="29"/>
        <v>0</v>
      </c>
      <c r="I79" s="222"/>
      <c r="J79" s="314"/>
      <c r="K79" s="787"/>
      <c r="L79" s="17"/>
      <c r="M79" s="804"/>
      <c r="N79" s="386"/>
      <c r="O79" s="386"/>
      <c r="P79" s="386"/>
      <c r="Q79" s="386"/>
      <c r="R79" s="386"/>
      <c r="S79" s="386"/>
      <c r="T79" s="386"/>
      <c r="U79" s="386"/>
      <c r="V79" s="386"/>
      <c r="W79" s="386"/>
      <c r="X79" s="386"/>
      <c r="Y79" s="386"/>
      <c r="Z79" s="386"/>
    </row>
    <row r="80" ht="30.0" customHeight="1">
      <c r="A80" s="386"/>
      <c r="B80" s="193"/>
      <c r="C80" s="220"/>
      <c r="D80" s="220"/>
      <c r="E80" s="220"/>
      <c r="F80" s="380"/>
      <c r="G80" s="303"/>
      <c r="H80" s="303"/>
      <c r="I80" s="222"/>
      <c r="J80" s="480"/>
      <c r="K80" s="197"/>
      <c r="L80" s="193"/>
      <c r="M80" s="197"/>
      <c r="N80" s="386"/>
      <c r="O80" s="386"/>
      <c r="P80" s="386"/>
      <c r="Q80" s="386"/>
      <c r="R80" s="386"/>
      <c r="S80" s="386"/>
      <c r="T80" s="386"/>
      <c r="U80" s="386"/>
      <c r="V80" s="386"/>
      <c r="W80" s="386"/>
      <c r="X80" s="386"/>
      <c r="Y80" s="386"/>
      <c r="Z80" s="386"/>
    </row>
    <row r="81" ht="30.0" customHeight="1">
      <c r="B81" s="44"/>
      <c r="C81" s="214" t="s">
        <v>69</v>
      </c>
      <c r="D81" s="220"/>
      <c r="E81" s="220"/>
      <c r="F81" s="467"/>
      <c r="G81" s="303">
        <f t="shared" ref="G81:G83" si="30">F81/$G$16</f>
        <v>0</v>
      </c>
      <c r="H81" s="303">
        <f t="shared" ref="H81:H83" si="31">F81/$H$16</f>
        <v>0</v>
      </c>
      <c r="I81" s="90"/>
      <c r="J81" s="227">
        <v>0.0</v>
      </c>
      <c r="K81" s="189"/>
      <c r="L81" s="193"/>
      <c r="M81" s="610"/>
    </row>
    <row r="82" ht="30.0" customHeight="1">
      <c r="B82" s="44">
        <v>18.0</v>
      </c>
      <c r="C82" s="92" t="s">
        <v>70</v>
      </c>
      <c r="D82" s="220"/>
      <c r="E82" s="220"/>
      <c r="F82" s="467">
        <v>3596.0</v>
      </c>
      <c r="G82" s="303">
        <f t="shared" si="30"/>
        <v>2876.8</v>
      </c>
      <c r="H82" s="303">
        <f t="shared" si="31"/>
        <v>2724.242424</v>
      </c>
      <c r="I82" s="77"/>
      <c r="J82" s="229" t="s">
        <v>25</v>
      </c>
      <c r="K82" s="58">
        <f>IF(J82="YES",IF(J12="2010-2013",H83*J81,IF(J12="2014-2021",G83*J81,IF(J12="2021-2023",F83*J81,0))),0)</f>
        <v>0</v>
      </c>
      <c r="L82" s="207" t="s">
        <v>23</v>
      </c>
      <c r="M82" s="801">
        <f>IF(L82="Delapidated",K82*0.6,IF(L82="Poor",K82*0.7,IF(L82="Fair",K82*0.8,IF(L82="Good",K82*0.85,IF(L82="Very Good",K82*0.9,IF(L82="Excellent",K82*1,IF(L82="Not Applicable",K82*1,0)))))))</f>
        <v>0</v>
      </c>
    </row>
    <row r="83" ht="30.0" hidden="1" customHeight="1">
      <c r="B83" s="44"/>
      <c r="C83" s="79" t="s">
        <v>25</v>
      </c>
      <c r="D83" s="220"/>
      <c r="E83" s="220"/>
      <c r="F83" s="467">
        <f>2900*E16</f>
        <v>3596</v>
      </c>
      <c r="G83" s="303">
        <f t="shared" si="30"/>
        <v>2876.8</v>
      </c>
      <c r="H83" s="303">
        <f t="shared" si="31"/>
        <v>2724.242424</v>
      </c>
      <c r="I83" s="77"/>
      <c r="J83" s="71"/>
      <c r="K83" s="58"/>
      <c r="L83" s="17"/>
      <c r="M83" s="261"/>
    </row>
    <row r="84" ht="30.0" hidden="1" customHeight="1">
      <c r="B84" s="83"/>
      <c r="C84" s="236" t="s">
        <v>26</v>
      </c>
      <c r="D84" s="220"/>
      <c r="E84" s="220"/>
      <c r="F84" s="467"/>
      <c r="G84" s="467"/>
      <c r="H84" s="467"/>
      <c r="I84" s="77"/>
      <c r="J84" s="103"/>
      <c r="K84" s="58"/>
      <c r="L84" s="17"/>
      <c r="M84" s="115"/>
    </row>
    <row r="85" ht="30.0" customHeight="1">
      <c r="A85" s="386"/>
      <c r="B85" s="343"/>
      <c r="C85" s="250"/>
      <c r="D85" s="805"/>
      <c r="E85" s="805"/>
      <c r="F85" s="314"/>
      <c r="G85" s="314"/>
      <c r="H85" s="314"/>
      <c r="I85" s="335"/>
      <c r="J85" s="723"/>
      <c r="K85" s="189"/>
      <c r="L85" s="17"/>
      <c r="M85" s="738"/>
      <c r="N85" s="386"/>
      <c r="O85" s="386"/>
      <c r="P85" s="386"/>
      <c r="Q85" s="386"/>
      <c r="R85" s="386"/>
      <c r="S85" s="386"/>
      <c r="T85" s="386"/>
      <c r="U85" s="386"/>
      <c r="V85" s="386"/>
      <c r="W85" s="386"/>
      <c r="X85" s="386"/>
      <c r="Y85" s="386"/>
      <c r="Z85" s="386"/>
    </row>
    <row r="86" ht="30.0" hidden="1" customHeight="1">
      <c r="B86" s="119"/>
      <c r="C86" s="561" t="s">
        <v>71</v>
      </c>
      <c r="D86" s="806"/>
      <c r="E86" s="806"/>
      <c r="F86" s="562"/>
      <c r="G86" s="562"/>
      <c r="H86" s="562"/>
      <c r="I86" s="807"/>
      <c r="J86" s="140"/>
      <c r="K86" s="727"/>
      <c r="L86" s="17"/>
      <c r="M86" s="115"/>
    </row>
    <row r="87" ht="30.0" hidden="1" customHeight="1">
      <c r="B87" s="119"/>
      <c r="C87" s="565" t="s">
        <v>72</v>
      </c>
      <c r="D87" s="808"/>
      <c r="E87" s="808"/>
      <c r="F87" s="71"/>
      <c r="G87" s="71"/>
      <c r="H87" s="71"/>
      <c r="I87" s="333"/>
      <c r="J87" s="809"/>
      <c r="K87" s="41"/>
      <c r="L87" s="17"/>
      <c r="M87" s="266" t="str">
        <f>M91/G11</f>
        <v>#DIV/0!</v>
      </c>
    </row>
    <row r="88" ht="30.0" hidden="1" customHeight="1">
      <c r="B88" s="119"/>
      <c r="C88" s="17"/>
      <c r="D88" s="810"/>
      <c r="E88" s="810"/>
      <c r="F88" s="97"/>
      <c r="G88" s="97"/>
      <c r="H88" s="97"/>
      <c r="I88" s="335"/>
      <c r="J88" s="811">
        <v>30.0</v>
      </c>
      <c r="K88" s="106"/>
      <c r="L88" s="17"/>
      <c r="M88" s="261"/>
    </row>
    <row r="89" ht="30.0" hidden="1" customHeight="1">
      <c r="B89" s="119"/>
      <c r="C89" s="561" t="s">
        <v>71</v>
      </c>
      <c r="D89" s="806"/>
      <c r="E89" s="806"/>
      <c r="F89" s="562"/>
      <c r="G89" s="562"/>
      <c r="H89" s="562"/>
      <c r="I89" s="722"/>
      <c r="J89" s="812" t="s">
        <v>25</v>
      </c>
      <c r="K89" s="727">
        <f>IF(J89="YES",IF(J12="2010-2013",H90*J88,IF(J12="2014-2021",G90*J88,IF(J12="2021-2023",F90*J88,0))),0)</f>
        <v>0</v>
      </c>
      <c r="L89" s="17"/>
      <c r="M89" s="261"/>
    </row>
    <row r="90" ht="30.0" hidden="1" customHeight="1">
      <c r="B90" s="119"/>
      <c r="C90" s="567" t="s">
        <v>73</v>
      </c>
      <c r="D90" s="813"/>
      <c r="E90" s="813"/>
      <c r="F90" s="338"/>
      <c r="G90" s="338"/>
      <c r="H90" s="338"/>
      <c r="I90" s="339"/>
      <c r="J90" s="140"/>
      <c r="K90" s="663"/>
      <c r="L90" s="17"/>
      <c r="M90" s="261"/>
    </row>
    <row r="91" ht="30.0" customHeight="1">
      <c r="B91" s="119"/>
      <c r="C91" s="17"/>
      <c r="D91" s="814"/>
      <c r="E91" s="814"/>
      <c r="F91" s="341"/>
      <c r="G91" s="341"/>
      <c r="H91" s="341"/>
      <c r="I91" s="339"/>
      <c r="J91" s="340" t="s">
        <v>143</v>
      </c>
      <c r="K91" s="265">
        <f>SUM(K17:K84)</f>
        <v>2869360.374</v>
      </c>
      <c r="L91" s="17"/>
      <c r="M91" s="266">
        <f>SUM(M17:M82)</f>
        <v>2869360.374</v>
      </c>
    </row>
    <row r="92" ht="30.0" customHeight="1">
      <c r="A92" s="386"/>
      <c r="B92" s="343"/>
      <c r="C92" s="250"/>
      <c r="D92" s="815"/>
      <c r="E92" s="815"/>
      <c r="F92" s="728"/>
      <c r="G92" s="728"/>
      <c r="H92" s="728"/>
      <c r="I92" s="339"/>
      <c r="J92" s="340"/>
      <c r="K92" s="714"/>
      <c r="L92" s="250"/>
      <c r="M92" s="738"/>
      <c r="N92" s="386"/>
      <c r="O92" s="386"/>
      <c r="P92" s="386"/>
      <c r="Q92" s="386"/>
      <c r="R92" s="386"/>
      <c r="S92" s="386"/>
      <c r="T92" s="386"/>
      <c r="U92" s="386"/>
      <c r="V92" s="386"/>
      <c r="W92" s="386"/>
      <c r="X92" s="386"/>
      <c r="Y92" s="386"/>
      <c r="Z92" s="386"/>
    </row>
    <row r="93" ht="30.0" customHeight="1">
      <c r="B93" s="17"/>
      <c r="C93" s="17"/>
      <c r="D93" s="810"/>
      <c r="E93" s="810"/>
      <c r="F93" s="344"/>
      <c r="G93" s="344"/>
      <c r="H93" s="344"/>
      <c r="I93" s="345"/>
      <c r="J93" s="138" t="s">
        <v>131</v>
      </c>
      <c r="K93" s="265">
        <f>K91/J11</f>
        <v>5738.720748</v>
      </c>
      <c r="L93" s="17"/>
      <c r="M93" s="266">
        <f>M91/J11</f>
        <v>5738.720748</v>
      </c>
    </row>
    <row r="94" ht="12.0" customHeight="1">
      <c r="D94" s="816"/>
      <c r="E94" s="816"/>
      <c r="F94" s="632"/>
      <c r="K94" s="2"/>
      <c r="M94" s="2"/>
    </row>
    <row r="95" ht="12.0" customHeight="1">
      <c r="K95" s="2"/>
      <c r="M95" s="2"/>
    </row>
    <row r="96" ht="12.0" customHeight="1">
      <c r="K96" s="2"/>
      <c r="M96" s="2"/>
    </row>
    <row r="97" ht="12.0" customHeight="1">
      <c r="K97" s="2"/>
      <c r="M97" s="2"/>
    </row>
    <row r="98" ht="12.0" customHeight="1">
      <c r="K98" s="2"/>
      <c r="M98" s="2"/>
    </row>
    <row r="99" ht="12.0" customHeight="1">
      <c r="K99" s="2"/>
      <c r="M99" s="2"/>
    </row>
    <row r="100" ht="12.0" customHeight="1">
      <c r="K100" s="2"/>
      <c r="M100" s="2"/>
    </row>
    <row r="101" ht="12.0" customHeight="1">
      <c r="K101" s="2"/>
      <c r="M101" s="2"/>
    </row>
    <row r="102" ht="12.0" customHeight="1">
      <c r="K102" s="2"/>
      <c r="M102" s="2"/>
    </row>
    <row r="103" ht="12.0" customHeight="1">
      <c r="K103" s="2"/>
      <c r="M103" s="2"/>
    </row>
    <row r="104" ht="12.0" customHeight="1">
      <c r="K104" s="2"/>
      <c r="M104" s="2"/>
    </row>
    <row r="105" ht="12.0" customHeight="1">
      <c r="K105" s="2"/>
      <c r="M105" s="2"/>
    </row>
    <row r="106" ht="12.0" customHeight="1">
      <c r="K106" s="2"/>
      <c r="M106" s="2"/>
    </row>
    <row r="107" ht="12.0" customHeight="1">
      <c r="K107" s="2"/>
      <c r="M107" s="2"/>
    </row>
    <row r="108" ht="12.0" customHeight="1">
      <c r="K108" s="2"/>
      <c r="M108" s="2"/>
    </row>
    <row r="109" ht="12.0" customHeight="1">
      <c r="K109" s="2"/>
      <c r="M109" s="2"/>
    </row>
    <row r="110" ht="12.0" customHeight="1">
      <c r="K110" s="2"/>
      <c r="M110" s="2"/>
    </row>
    <row r="111" ht="12.0" customHeight="1">
      <c r="K111" s="2"/>
      <c r="M111" s="2"/>
    </row>
    <row r="112" ht="12.0" customHeight="1">
      <c r="K112" s="2"/>
      <c r="M112" s="2"/>
    </row>
    <row r="113" ht="12.0" customHeight="1">
      <c r="K113" s="2"/>
      <c r="M113" s="2"/>
    </row>
    <row r="114" ht="12.0" customHeight="1">
      <c r="K114" s="2"/>
      <c r="M114" s="2"/>
    </row>
    <row r="115" ht="12.0" customHeight="1">
      <c r="K115" s="2"/>
      <c r="M115" s="2"/>
    </row>
    <row r="116" ht="12.0" customHeight="1">
      <c r="K116" s="2"/>
      <c r="M116" s="2"/>
    </row>
    <row r="117" ht="12.0" customHeight="1">
      <c r="K117" s="2"/>
      <c r="M117" s="2"/>
    </row>
    <row r="118" ht="12.0" customHeight="1">
      <c r="K118" s="2"/>
      <c r="M118" s="2"/>
    </row>
    <row r="119" ht="12.0" customHeight="1">
      <c r="K119" s="2"/>
      <c r="M119" s="2"/>
    </row>
    <row r="120" ht="12.0" customHeight="1">
      <c r="K120" s="2"/>
      <c r="M120" s="2"/>
    </row>
    <row r="121" ht="12.0" customHeight="1">
      <c r="K121" s="2"/>
      <c r="M121" s="2"/>
    </row>
    <row r="122" ht="12.0" customHeight="1">
      <c r="K122" s="2"/>
      <c r="M122" s="2"/>
    </row>
    <row r="123" ht="12.0" customHeight="1">
      <c r="K123" s="2"/>
      <c r="M123" s="2"/>
    </row>
    <row r="124" ht="12.0" customHeight="1">
      <c r="K124" s="2"/>
      <c r="M124" s="2"/>
    </row>
    <row r="125" ht="12.0" customHeight="1">
      <c r="K125" s="2"/>
      <c r="M125" s="2"/>
    </row>
    <row r="126" ht="12.0" customHeight="1">
      <c r="K126" s="2"/>
      <c r="M126" s="2"/>
    </row>
    <row r="127" ht="12.0" customHeight="1">
      <c r="K127" s="2"/>
      <c r="M127" s="2"/>
    </row>
    <row r="128" ht="12.0" customHeight="1">
      <c r="K128" s="2"/>
      <c r="M128" s="2"/>
    </row>
    <row r="129" ht="12.0" customHeight="1">
      <c r="K129" s="2"/>
      <c r="M129" s="2"/>
    </row>
    <row r="130" ht="12.0" customHeight="1">
      <c r="K130" s="2"/>
      <c r="M130" s="2"/>
    </row>
    <row r="131" ht="12.0" customHeight="1">
      <c r="K131" s="2"/>
      <c r="M131" s="2"/>
    </row>
    <row r="132" ht="12.0" customHeight="1">
      <c r="K132" s="2"/>
      <c r="M132" s="2"/>
    </row>
    <row r="133" ht="12.0" customHeight="1">
      <c r="K133" s="2"/>
      <c r="M133" s="2"/>
    </row>
    <row r="134" ht="12.0" customHeight="1">
      <c r="K134" s="2"/>
      <c r="M134" s="2"/>
    </row>
    <row r="135" ht="12.0" customHeight="1">
      <c r="K135" s="2"/>
      <c r="M135" s="2"/>
    </row>
    <row r="136" ht="12.0" customHeight="1">
      <c r="K136" s="2"/>
      <c r="M136" s="2"/>
    </row>
    <row r="137" ht="12.0" customHeight="1">
      <c r="K137" s="2"/>
      <c r="M137" s="2"/>
    </row>
    <row r="138" ht="12.0" customHeight="1">
      <c r="K138" s="2"/>
      <c r="M138" s="2"/>
    </row>
    <row r="139" ht="12.0" customHeight="1">
      <c r="K139" s="2"/>
      <c r="M139" s="2"/>
    </row>
    <row r="140" ht="12.0" customHeight="1">
      <c r="K140" s="2"/>
      <c r="M140" s="2"/>
    </row>
    <row r="141" ht="12.0" customHeight="1">
      <c r="K141" s="2"/>
      <c r="M141" s="2"/>
    </row>
    <row r="142" ht="12.0" customHeight="1">
      <c r="K142" s="2"/>
      <c r="M142" s="2"/>
    </row>
    <row r="143" ht="12.0" customHeight="1">
      <c r="K143" s="2"/>
      <c r="M143" s="2"/>
    </row>
    <row r="144" ht="12.0" customHeight="1">
      <c r="K144" s="2"/>
      <c r="M144" s="2"/>
    </row>
    <row r="145" ht="12.0" customHeight="1">
      <c r="K145" s="2"/>
      <c r="M145" s="2"/>
    </row>
    <row r="146" ht="12.0" customHeight="1">
      <c r="K146" s="2"/>
      <c r="M146" s="2"/>
    </row>
    <row r="147" ht="12.0" customHeight="1">
      <c r="K147" s="2"/>
      <c r="M147" s="2"/>
    </row>
    <row r="148" ht="12.0" customHeight="1">
      <c r="K148" s="2"/>
      <c r="M148" s="2"/>
    </row>
    <row r="149" ht="12.0" customHeight="1">
      <c r="K149" s="2"/>
      <c r="M149" s="2"/>
    </row>
    <row r="150" ht="12.0" customHeight="1">
      <c r="K150" s="2"/>
      <c r="M150" s="2"/>
    </row>
    <row r="151" ht="12.0" customHeight="1">
      <c r="K151" s="2"/>
      <c r="M151" s="2"/>
    </row>
    <row r="152" ht="12.0" customHeight="1">
      <c r="K152" s="2"/>
      <c r="M152" s="2"/>
    </row>
    <row r="153" ht="12.0" customHeight="1">
      <c r="K153" s="2"/>
      <c r="M153" s="2"/>
    </row>
    <row r="154" ht="12.0" customHeight="1">
      <c r="K154" s="2"/>
      <c r="M154" s="2"/>
    </row>
    <row r="155" ht="12.0" customHeight="1">
      <c r="K155" s="2"/>
      <c r="M155" s="2"/>
    </row>
    <row r="156" ht="12.0" customHeight="1">
      <c r="K156" s="2"/>
      <c r="M156" s="2"/>
    </row>
    <row r="157" ht="12.0" customHeight="1">
      <c r="K157" s="2"/>
      <c r="M157" s="2"/>
    </row>
    <row r="158" ht="12.0" customHeight="1">
      <c r="K158" s="2"/>
      <c r="M158" s="2"/>
    </row>
    <row r="159" ht="12.0" customHeight="1">
      <c r="K159" s="2"/>
      <c r="M159" s="2"/>
    </row>
    <row r="160" ht="12.0" customHeight="1">
      <c r="K160" s="2"/>
      <c r="M160" s="2"/>
    </row>
    <row r="161" ht="12.0" customHeight="1">
      <c r="K161" s="2"/>
      <c r="M161" s="2"/>
    </row>
    <row r="162" ht="12.0" customHeight="1">
      <c r="K162" s="2"/>
      <c r="M162" s="2"/>
    </row>
    <row r="163" ht="12.0" customHeight="1">
      <c r="K163" s="2"/>
      <c r="M163" s="2"/>
    </row>
    <row r="164" ht="12.0" customHeight="1">
      <c r="K164" s="2"/>
      <c r="M164" s="2"/>
    </row>
    <row r="165" ht="12.0" customHeight="1">
      <c r="K165" s="2"/>
      <c r="M165" s="2"/>
    </row>
    <row r="166" ht="12.0" customHeight="1">
      <c r="K166" s="2"/>
      <c r="M166" s="2"/>
    </row>
    <row r="167" ht="12.0" customHeight="1">
      <c r="K167" s="2"/>
      <c r="M167" s="2"/>
    </row>
    <row r="168" ht="12.0" customHeight="1">
      <c r="K168" s="2"/>
      <c r="M168" s="2"/>
    </row>
    <row r="169" ht="12.0" customHeight="1">
      <c r="K169" s="2"/>
      <c r="M169" s="2"/>
    </row>
    <row r="170" ht="12.0" customHeight="1">
      <c r="K170" s="2"/>
      <c r="M170" s="2"/>
    </row>
    <row r="171" ht="12.0" customHeight="1">
      <c r="K171" s="2"/>
      <c r="M171" s="2"/>
    </row>
    <row r="172" ht="12.0" customHeight="1">
      <c r="K172" s="2"/>
      <c r="M172" s="2"/>
    </row>
    <row r="173" ht="12.0" customHeight="1">
      <c r="K173" s="2"/>
      <c r="M173" s="2"/>
    </row>
    <row r="174" ht="12.0" customHeight="1">
      <c r="K174" s="2"/>
      <c r="M174" s="2"/>
    </row>
    <row r="175" ht="12.0" customHeight="1">
      <c r="K175" s="2"/>
      <c r="M175" s="2"/>
    </row>
    <row r="176" ht="12.0" customHeight="1">
      <c r="K176" s="2"/>
      <c r="M176" s="2"/>
    </row>
    <row r="177" ht="12.0" customHeight="1">
      <c r="K177" s="2"/>
      <c r="M177" s="2"/>
    </row>
    <row r="178" ht="12.0" customHeight="1">
      <c r="K178" s="2"/>
      <c r="M178" s="2"/>
    </row>
    <row r="179" ht="12.0" customHeight="1">
      <c r="K179" s="2"/>
      <c r="M179" s="2"/>
    </row>
    <row r="180" ht="12.0" customHeight="1">
      <c r="K180" s="2"/>
      <c r="M180" s="2"/>
    </row>
    <row r="181" ht="12.0" customHeight="1">
      <c r="K181" s="2"/>
      <c r="M181" s="2"/>
    </row>
    <row r="182" ht="12.0" customHeight="1">
      <c r="K182" s="2"/>
      <c r="M182" s="2"/>
    </row>
    <row r="183" ht="12.0" customHeight="1">
      <c r="K183" s="2"/>
      <c r="M183" s="2"/>
    </row>
    <row r="184" ht="12.0" customHeight="1">
      <c r="K184" s="2"/>
      <c r="M184" s="2"/>
    </row>
    <row r="185" ht="12.0" customHeight="1">
      <c r="K185" s="2"/>
      <c r="M185" s="2"/>
    </row>
    <row r="186" ht="12.0" customHeight="1">
      <c r="K186" s="2"/>
      <c r="M186" s="2"/>
    </row>
    <row r="187" ht="12.0" customHeight="1">
      <c r="K187" s="2"/>
      <c r="M187" s="2"/>
    </row>
    <row r="188" ht="12.0" customHeight="1">
      <c r="K188" s="2"/>
      <c r="M188" s="2"/>
    </row>
    <row r="189" ht="12.0" customHeight="1">
      <c r="K189" s="2"/>
      <c r="M189" s="2"/>
    </row>
    <row r="190" ht="12.0" customHeight="1">
      <c r="K190" s="2"/>
      <c r="M190" s="2"/>
    </row>
    <row r="191" ht="12.0" customHeight="1">
      <c r="K191" s="2"/>
      <c r="M191" s="2"/>
    </row>
    <row r="192" ht="12.0" customHeight="1">
      <c r="K192" s="2"/>
      <c r="M192" s="2"/>
    </row>
    <row r="193" ht="12.0" customHeight="1">
      <c r="K193" s="2"/>
      <c r="M193" s="2"/>
    </row>
    <row r="194" ht="12.0" customHeight="1">
      <c r="K194" s="2"/>
      <c r="M194" s="2"/>
    </row>
    <row r="195" ht="12.0" customHeight="1">
      <c r="K195" s="2"/>
      <c r="M195" s="2"/>
    </row>
    <row r="196" ht="12.0" customHeight="1">
      <c r="K196" s="2"/>
      <c r="M196" s="2"/>
    </row>
    <row r="197" ht="12.0" customHeight="1">
      <c r="K197" s="2"/>
      <c r="M197" s="2"/>
    </row>
    <row r="198" ht="12.0" customHeight="1">
      <c r="K198" s="2"/>
      <c r="M198" s="2"/>
    </row>
    <row r="199" ht="12.0" customHeight="1">
      <c r="K199" s="2"/>
      <c r="M199" s="2"/>
    </row>
    <row r="200" ht="12.0" customHeight="1">
      <c r="K200" s="2"/>
      <c r="M200" s="2"/>
    </row>
    <row r="201" ht="12.0" customHeight="1">
      <c r="K201" s="2"/>
      <c r="M201" s="2"/>
    </row>
    <row r="202" ht="12.0" customHeight="1">
      <c r="K202" s="2"/>
      <c r="M202" s="2"/>
    </row>
    <row r="203" ht="12.0" customHeight="1">
      <c r="K203" s="2"/>
      <c r="M203" s="2"/>
    </row>
    <row r="204" ht="12.0" customHeight="1">
      <c r="K204" s="2"/>
      <c r="M204" s="2"/>
    </row>
    <row r="205" ht="12.0" customHeight="1">
      <c r="K205" s="2"/>
      <c r="M205" s="2"/>
    </row>
    <row r="206" ht="12.0" customHeight="1">
      <c r="K206" s="2"/>
      <c r="M206" s="2"/>
    </row>
    <row r="207" ht="12.0" customHeight="1">
      <c r="K207" s="2"/>
      <c r="M207" s="2"/>
    </row>
    <row r="208" ht="12.0" customHeight="1">
      <c r="K208" s="2"/>
      <c r="M208" s="2"/>
    </row>
    <row r="209" ht="12.0" customHeight="1">
      <c r="K209" s="2"/>
      <c r="M209" s="2"/>
    </row>
    <row r="210" ht="12.0" customHeight="1">
      <c r="K210" s="2"/>
      <c r="M210" s="2"/>
    </row>
    <row r="211" ht="12.0" customHeight="1">
      <c r="K211" s="2"/>
      <c r="M211" s="2"/>
    </row>
    <row r="212" ht="12.0" customHeight="1">
      <c r="K212" s="2"/>
      <c r="M212" s="2"/>
    </row>
    <row r="213" ht="12.0" customHeight="1">
      <c r="K213" s="2"/>
      <c r="M213" s="2"/>
    </row>
    <row r="214" ht="12.0" customHeight="1">
      <c r="K214" s="2"/>
      <c r="M214" s="2"/>
    </row>
    <row r="215" ht="12.0" customHeight="1">
      <c r="K215" s="2"/>
      <c r="M215" s="2"/>
    </row>
    <row r="216" ht="12.0" customHeight="1">
      <c r="K216" s="2"/>
      <c r="M216" s="2"/>
    </row>
    <row r="217" ht="12.0" customHeight="1">
      <c r="K217" s="2"/>
      <c r="M217" s="2"/>
    </row>
    <row r="218" ht="12.0" customHeight="1">
      <c r="K218" s="2"/>
      <c r="M218" s="2"/>
    </row>
    <row r="219" ht="12.0" customHeight="1">
      <c r="K219" s="2"/>
      <c r="M219" s="2"/>
    </row>
    <row r="220" ht="12.0" customHeight="1">
      <c r="K220" s="2"/>
      <c r="M220" s="2"/>
    </row>
    <row r="221" ht="12.0" customHeight="1">
      <c r="K221" s="2"/>
      <c r="M221" s="2"/>
    </row>
    <row r="222" ht="12.0" customHeight="1">
      <c r="K222" s="2"/>
      <c r="M222" s="2"/>
    </row>
    <row r="223" ht="12.0" customHeight="1">
      <c r="K223" s="2"/>
      <c r="M223" s="2"/>
    </row>
    <row r="224" ht="12.0" customHeight="1">
      <c r="K224" s="2"/>
      <c r="M224" s="2"/>
    </row>
    <row r="225" ht="12.0" customHeight="1">
      <c r="K225" s="2"/>
      <c r="M225" s="2"/>
    </row>
    <row r="226" ht="12.0" customHeight="1">
      <c r="K226" s="2"/>
      <c r="M226" s="2"/>
    </row>
    <row r="227" ht="12.0" customHeight="1">
      <c r="K227" s="2"/>
      <c r="M227" s="2"/>
    </row>
    <row r="228" ht="12.0" customHeight="1">
      <c r="K228" s="2"/>
      <c r="M228" s="2"/>
    </row>
    <row r="229" ht="12.0" customHeight="1">
      <c r="K229" s="2"/>
      <c r="M229" s="2"/>
    </row>
    <row r="230" ht="12.0" customHeight="1">
      <c r="K230" s="2"/>
      <c r="M230" s="2"/>
    </row>
    <row r="231" ht="12.0" customHeight="1">
      <c r="K231" s="2"/>
      <c r="M231" s="2"/>
    </row>
    <row r="232" ht="12.0" customHeight="1">
      <c r="K232" s="2"/>
      <c r="M232" s="2"/>
    </row>
    <row r="233" ht="12.0" customHeight="1">
      <c r="K233" s="2"/>
      <c r="M233" s="2"/>
    </row>
    <row r="234" ht="12.0" customHeight="1">
      <c r="K234" s="2"/>
      <c r="M234" s="2"/>
    </row>
    <row r="235" ht="12.0" customHeight="1">
      <c r="K235" s="2"/>
      <c r="M235" s="2"/>
    </row>
    <row r="236" ht="12.0" customHeight="1">
      <c r="K236" s="2"/>
      <c r="M236" s="2"/>
    </row>
    <row r="237" ht="12.0" customHeight="1">
      <c r="K237" s="2"/>
      <c r="M237" s="2"/>
    </row>
    <row r="238" ht="12.0" customHeight="1">
      <c r="K238" s="2"/>
      <c r="M238" s="2"/>
    </row>
    <row r="239" ht="12.0" customHeight="1">
      <c r="K239" s="2"/>
      <c r="M239" s="2"/>
    </row>
    <row r="240" ht="12.0" customHeight="1">
      <c r="K240" s="2"/>
      <c r="M240" s="2"/>
    </row>
    <row r="241" ht="12.0" customHeight="1">
      <c r="K241" s="2"/>
      <c r="M241" s="2"/>
    </row>
    <row r="242" ht="12.0" customHeight="1">
      <c r="K242" s="2"/>
      <c r="M242" s="2"/>
    </row>
    <row r="243" ht="12.0" customHeight="1">
      <c r="K243" s="2"/>
      <c r="M243" s="2"/>
    </row>
    <row r="244" ht="12.0" customHeight="1">
      <c r="K244" s="2"/>
      <c r="M244" s="2"/>
    </row>
    <row r="245" ht="12.0" customHeight="1">
      <c r="K245" s="2"/>
      <c r="M245" s="2"/>
    </row>
    <row r="246" ht="12.0" customHeight="1">
      <c r="K246" s="2"/>
      <c r="M246" s="2"/>
    </row>
    <row r="247" ht="12.0" customHeight="1">
      <c r="K247" s="2"/>
      <c r="M247" s="2"/>
    </row>
    <row r="248" ht="12.0" customHeight="1">
      <c r="K248" s="2"/>
      <c r="M248" s="2"/>
    </row>
    <row r="249" ht="12.0" customHeight="1">
      <c r="K249" s="2"/>
      <c r="M249" s="2"/>
    </row>
    <row r="250" ht="12.0" customHeight="1">
      <c r="K250" s="2"/>
      <c r="M250" s="2"/>
    </row>
    <row r="251" ht="12.0" customHeight="1">
      <c r="K251" s="2"/>
      <c r="M251" s="2"/>
    </row>
    <row r="252" ht="12.0" customHeight="1">
      <c r="K252" s="2"/>
      <c r="M252" s="2"/>
    </row>
    <row r="253" ht="12.0" customHeight="1">
      <c r="K253" s="2"/>
      <c r="M253" s="2"/>
    </row>
    <row r="254" ht="12.0" customHeight="1">
      <c r="K254" s="2"/>
      <c r="M254" s="2"/>
    </row>
    <row r="255" ht="12.0" customHeight="1">
      <c r="K255" s="2"/>
      <c r="M255" s="2"/>
    </row>
    <row r="256" ht="12.0" customHeight="1">
      <c r="K256" s="2"/>
      <c r="M256" s="2"/>
    </row>
    <row r="257" ht="12.0" customHeight="1">
      <c r="K257" s="2"/>
      <c r="M257" s="2"/>
    </row>
    <row r="258" ht="12.0" customHeight="1">
      <c r="K258" s="2"/>
      <c r="M258" s="2"/>
    </row>
    <row r="259" ht="12.0" customHeight="1">
      <c r="K259" s="2"/>
      <c r="M259" s="2"/>
    </row>
    <row r="260" ht="12.0" customHeight="1">
      <c r="K260" s="2"/>
      <c r="M260" s="2"/>
    </row>
    <row r="261" ht="12.0" customHeight="1">
      <c r="K261" s="2"/>
      <c r="M261" s="2"/>
    </row>
    <row r="262" ht="12.0" customHeight="1">
      <c r="K262" s="2"/>
      <c r="M262" s="2"/>
    </row>
    <row r="263" ht="12.0" customHeight="1">
      <c r="K263" s="2"/>
      <c r="M263" s="2"/>
    </row>
    <row r="264" ht="12.0" customHeight="1">
      <c r="K264" s="2"/>
      <c r="M264" s="2"/>
    </row>
    <row r="265" ht="12.0" customHeight="1">
      <c r="K265" s="2"/>
      <c r="M265" s="2"/>
    </row>
    <row r="266" ht="12.0" customHeight="1">
      <c r="K266" s="2"/>
      <c r="M266" s="2"/>
    </row>
    <row r="267" ht="12.0" customHeight="1">
      <c r="K267" s="2"/>
      <c r="M267" s="2"/>
    </row>
    <row r="268" ht="12.0" customHeight="1">
      <c r="K268" s="2"/>
      <c r="M268" s="2"/>
    </row>
    <row r="269" ht="12.0" customHeight="1">
      <c r="K269" s="2"/>
      <c r="M269" s="2"/>
    </row>
    <row r="270" ht="12.0" customHeight="1">
      <c r="K270" s="2"/>
      <c r="M270" s="2"/>
    </row>
    <row r="271" ht="12.0" customHeight="1">
      <c r="K271" s="2"/>
      <c r="M271" s="2"/>
    </row>
    <row r="272" ht="12.0" customHeight="1">
      <c r="K272" s="2"/>
      <c r="M272" s="2"/>
    </row>
    <row r="273" ht="12.0" customHeight="1">
      <c r="K273" s="2"/>
      <c r="M273" s="2"/>
    </row>
    <row r="274" ht="12.0" customHeight="1">
      <c r="K274" s="2"/>
      <c r="M274" s="2"/>
    </row>
    <row r="275" ht="12.0" customHeight="1">
      <c r="K275" s="2"/>
      <c r="M275" s="2"/>
    </row>
    <row r="276" ht="12.0" customHeight="1">
      <c r="K276" s="2"/>
      <c r="M276" s="2"/>
    </row>
    <row r="277" ht="12.0" customHeight="1">
      <c r="K277" s="2"/>
      <c r="M277" s="2"/>
    </row>
    <row r="278" ht="12.0" customHeight="1">
      <c r="K278" s="2"/>
      <c r="M278" s="2"/>
    </row>
    <row r="279" ht="12.0" customHeight="1">
      <c r="K279" s="2"/>
      <c r="M279" s="2"/>
    </row>
    <row r="280" ht="12.0" customHeight="1">
      <c r="K280" s="2"/>
      <c r="M280" s="2"/>
    </row>
    <row r="281" ht="12.0" customHeight="1">
      <c r="K281" s="2"/>
      <c r="M281" s="2"/>
    </row>
    <row r="282" ht="12.0" customHeight="1">
      <c r="K282" s="2"/>
      <c r="M282" s="2"/>
    </row>
    <row r="283" ht="12.0" customHeight="1">
      <c r="K283" s="2"/>
      <c r="M283" s="2"/>
    </row>
    <row r="284" ht="12.0" customHeight="1">
      <c r="K284" s="2"/>
      <c r="M284" s="2"/>
    </row>
    <row r="285" ht="12.0" customHeight="1">
      <c r="K285" s="2"/>
      <c r="M285" s="2"/>
    </row>
    <row r="286" ht="12.0" customHeight="1">
      <c r="K286" s="2"/>
      <c r="M286" s="2"/>
    </row>
    <row r="287" ht="12.0" customHeight="1">
      <c r="K287" s="2"/>
      <c r="M287" s="2"/>
    </row>
    <row r="288" ht="12.0" customHeight="1">
      <c r="K288" s="2"/>
      <c r="M288" s="2"/>
    </row>
    <row r="289" ht="12.0" customHeight="1">
      <c r="K289" s="2"/>
      <c r="M289" s="2"/>
    </row>
    <row r="290" ht="12.0" customHeight="1">
      <c r="K290" s="2"/>
      <c r="M290" s="2"/>
    </row>
    <row r="291" ht="12.0" customHeight="1">
      <c r="K291" s="2"/>
      <c r="M291" s="2"/>
    </row>
    <row r="292" ht="12.0" customHeight="1">
      <c r="K292" s="2"/>
      <c r="M292" s="2"/>
    </row>
    <row r="293" ht="12.0" customHeight="1">
      <c r="K293" s="2"/>
      <c r="M293" s="2"/>
    </row>
    <row r="294" ht="12.0" customHeight="1">
      <c r="K294" s="2"/>
      <c r="M294" s="2"/>
    </row>
    <row r="295" ht="12.0" customHeight="1">
      <c r="K295" s="2"/>
      <c r="M295" s="2"/>
    </row>
    <row r="296" ht="12.0" customHeight="1">
      <c r="K296" s="2"/>
      <c r="M296" s="2"/>
    </row>
    <row r="297" ht="12.0" customHeight="1">
      <c r="K297" s="2"/>
      <c r="M297" s="2"/>
    </row>
    <row r="298" ht="12.0" customHeight="1">
      <c r="K298" s="2"/>
      <c r="M298" s="2"/>
    </row>
    <row r="299" ht="12.0" customHeight="1">
      <c r="K299" s="2"/>
      <c r="M299" s="2"/>
    </row>
    <row r="300" ht="12.0" customHeight="1">
      <c r="K300" s="2"/>
      <c r="M300" s="2"/>
    </row>
    <row r="301" ht="12.0" customHeight="1">
      <c r="K301" s="2"/>
      <c r="M301" s="2"/>
    </row>
    <row r="302" ht="12.0" customHeight="1">
      <c r="K302" s="2"/>
      <c r="M302" s="2"/>
    </row>
    <row r="303" ht="12.0" customHeight="1">
      <c r="K303" s="2"/>
      <c r="M303" s="2"/>
    </row>
    <row r="304" ht="12.0" customHeight="1">
      <c r="K304" s="2"/>
      <c r="M304" s="2"/>
    </row>
    <row r="305" ht="12.0" customHeight="1">
      <c r="K305" s="2"/>
      <c r="M305" s="2"/>
    </row>
    <row r="306" ht="12.0" customHeight="1">
      <c r="K306" s="2"/>
      <c r="M306" s="2"/>
    </row>
    <row r="307" ht="12.0" customHeight="1">
      <c r="K307" s="2"/>
      <c r="M307" s="2"/>
    </row>
    <row r="308" ht="12.0" customHeight="1">
      <c r="K308" s="2"/>
      <c r="M308" s="2"/>
    </row>
    <row r="309" ht="12.0" customHeight="1">
      <c r="K309" s="2"/>
      <c r="M309" s="2"/>
    </row>
    <row r="310" ht="12.0" customHeight="1">
      <c r="K310" s="2"/>
      <c r="M310" s="2"/>
    </row>
    <row r="311" ht="12.0" customHeight="1">
      <c r="K311" s="2"/>
      <c r="M311" s="2"/>
    </row>
    <row r="312" ht="12.0" customHeight="1">
      <c r="K312" s="2"/>
      <c r="M312" s="2"/>
    </row>
    <row r="313" ht="12.0" customHeight="1">
      <c r="K313" s="2"/>
      <c r="M313" s="2"/>
    </row>
    <row r="314" ht="12.0" customHeight="1">
      <c r="K314" s="2"/>
      <c r="M314" s="2"/>
    </row>
    <row r="315" ht="12.0" customHeight="1">
      <c r="K315" s="2"/>
      <c r="M315" s="2"/>
    </row>
    <row r="316" ht="12.0" customHeight="1">
      <c r="K316" s="2"/>
      <c r="M316" s="2"/>
    </row>
    <row r="317" ht="12.0" customHeight="1">
      <c r="K317" s="2"/>
      <c r="M317" s="2"/>
    </row>
    <row r="318" ht="12.0" customHeight="1">
      <c r="K318" s="2"/>
      <c r="M318" s="2"/>
    </row>
    <row r="319" ht="12.0" customHeight="1">
      <c r="K319" s="2"/>
      <c r="M319" s="2"/>
    </row>
    <row r="320" ht="12.0" customHeight="1">
      <c r="K320" s="2"/>
      <c r="M320" s="2"/>
    </row>
    <row r="321" ht="12.0" customHeight="1">
      <c r="K321" s="2"/>
      <c r="M321" s="2"/>
    </row>
    <row r="322" ht="12.0" customHeight="1">
      <c r="K322" s="2"/>
      <c r="M322" s="2"/>
    </row>
    <row r="323" ht="12.0" customHeight="1">
      <c r="K323" s="2"/>
      <c r="M323" s="2"/>
    </row>
    <row r="324" ht="12.0" customHeight="1">
      <c r="K324" s="2"/>
      <c r="M324" s="2"/>
    </row>
    <row r="325" ht="12.0" customHeight="1">
      <c r="K325" s="2"/>
      <c r="M325" s="2"/>
    </row>
    <row r="326" ht="12.0" customHeight="1">
      <c r="K326" s="2"/>
      <c r="M326" s="2"/>
    </row>
    <row r="327" ht="12.0" customHeight="1">
      <c r="K327" s="2"/>
      <c r="M327" s="2"/>
    </row>
    <row r="328" ht="12.0" customHeight="1">
      <c r="K328" s="2"/>
      <c r="M328" s="2"/>
    </row>
    <row r="329" ht="12.0" customHeight="1">
      <c r="K329" s="2"/>
      <c r="M329" s="2"/>
    </row>
    <row r="330" ht="12.0" customHeight="1">
      <c r="K330" s="2"/>
      <c r="M330" s="2"/>
    </row>
    <row r="331" ht="12.0" customHeight="1">
      <c r="K331" s="2"/>
      <c r="M331" s="2"/>
    </row>
    <row r="332" ht="12.0" customHeight="1">
      <c r="K332" s="2"/>
      <c r="M332" s="2"/>
    </row>
    <row r="333" ht="12.0" customHeight="1">
      <c r="K333" s="2"/>
      <c r="M333" s="2"/>
    </row>
    <row r="334" ht="12.0" customHeight="1">
      <c r="K334" s="2"/>
      <c r="M334" s="2"/>
    </row>
    <row r="335" ht="12.0" customHeight="1">
      <c r="K335" s="2"/>
      <c r="M335" s="2"/>
    </row>
    <row r="336" ht="12.0" customHeight="1">
      <c r="K336" s="2"/>
      <c r="M336" s="2"/>
    </row>
    <row r="337" ht="12.0" customHeight="1">
      <c r="K337" s="2"/>
      <c r="M337" s="2"/>
    </row>
    <row r="338" ht="12.0" customHeight="1">
      <c r="K338" s="2"/>
      <c r="M338" s="2"/>
    </row>
    <row r="339" ht="12.0" customHeight="1">
      <c r="K339" s="2"/>
      <c r="M339" s="2"/>
    </row>
    <row r="340" ht="12.0" customHeight="1">
      <c r="K340" s="2"/>
      <c r="M340" s="2"/>
    </row>
    <row r="341" ht="12.0" customHeight="1">
      <c r="K341" s="2"/>
      <c r="M341" s="2"/>
    </row>
    <row r="342" ht="12.0" customHeight="1">
      <c r="K342" s="2"/>
      <c r="M342" s="2"/>
    </row>
    <row r="343" ht="12.0" customHeight="1">
      <c r="K343" s="2"/>
      <c r="M343" s="2"/>
    </row>
    <row r="344" ht="12.0" customHeight="1">
      <c r="K344" s="2"/>
      <c r="M344" s="2"/>
    </row>
    <row r="345" ht="12.0" customHeight="1">
      <c r="K345" s="2"/>
      <c r="M345" s="2"/>
    </row>
    <row r="346" ht="12.0" customHeight="1">
      <c r="K346" s="2"/>
      <c r="M346" s="2"/>
    </row>
    <row r="347" ht="12.0" customHeight="1">
      <c r="K347" s="2"/>
      <c r="M347" s="2"/>
    </row>
    <row r="348" ht="12.0" customHeight="1">
      <c r="K348" s="2"/>
      <c r="M348" s="2"/>
    </row>
    <row r="349" ht="12.0" customHeight="1">
      <c r="K349" s="2"/>
      <c r="M349" s="2"/>
    </row>
    <row r="350" ht="12.0" customHeight="1">
      <c r="K350" s="2"/>
      <c r="M350" s="2"/>
    </row>
    <row r="351" ht="12.0" customHeight="1">
      <c r="K351" s="2"/>
      <c r="M351" s="2"/>
    </row>
    <row r="352" ht="12.0" customHeight="1">
      <c r="K352" s="2"/>
      <c r="M352" s="2"/>
    </row>
    <row r="353" ht="12.0" customHeight="1">
      <c r="K353" s="2"/>
      <c r="M353" s="2"/>
    </row>
    <row r="354" ht="12.0" customHeight="1">
      <c r="K354" s="2"/>
      <c r="M354" s="2"/>
    </row>
    <row r="355" ht="12.0" customHeight="1">
      <c r="K355" s="2"/>
      <c r="M355" s="2"/>
    </row>
    <row r="356" ht="12.0" customHeight="1">
      <c r="K356" s="2"/>
      <c r="M356" s="2"/>
    </row>
    <row r="357" ht="12.0" customHeight="1">
      <c r="K357" s="2"/>
      <c r="M357" s="2"/>
    </row>
    <row r="358" ht="12.0" customHeight="1">
      <c r="K358" s="2"/>
      <c r="M358" s="2"/>
    </row>
    <row r="359" ht="12.0" customHeight="1">
      <c r="K359" s="2"/>
      <c r="M359" s="2"/>
    </row>
    <row r="360" ht="12.0" customHeight="1">
      <c r="K360" s="2"/>
      <c r="M360" s="2"/>
    </row>
    <row r="361" ht="12.0" customHeight="1">
      <c r="K361" s="2"/>
      <c r="M361" s="2"/>
    </row>
    <row r="362" ht="12.0" customHeight="1">
      <c r="K362" s="2"/>
      <c r="M362" s="2"/>
    </row>
    <row r="363" ht="12.0" customHeight="1">
      <c r="K363" s="2"/>
      <c r="M363" s="2"/>
    </row>
    <row r="364" ht="12.0" customHeight="1">
      <c r="K364" s="2"/>
      <c r="M364" s="2"/>
    </row>
    <row r="365" ht="12.0" customHeight="1">
      <c r="K365" s="2"/>
      <c r="M365" s="2"/>
    </row>
    <row r="366" ht="12.0" customHeight="1">
      <c r="K366" s="2"/>
      <c r="M366" s="2"/>
    </row>
    <row r="367" ht="12.0" customHeight="1">
      <c r="K367" s="2"/>
      <c r="M367" s="2"/>
    </row>
    <row r="368" ht="12.0" customHeight="1">
      <c r="K368" s="2"/>
      <c r="M368" s="2"/>
    </row>
    <row r="369" ht="12.0" customHeight="1">
      <c r="K369" s="2"/>
      <c r="M369" s="2"/>
    </row>
    <row r="370" ht="12.0" customHeight="1">
      <c r="K370" s="2"/>
      <c r="M370" s="2"/>
    </row>
    <row r="371" ht="12.0" customHeight="1">
      <c r="K371" s="2"/>
      <c r="M371" s="2"/>
    </row>
    <row r="372" ht="12.0" customHeight="1">
      <c r="K372" s="2"/>
      <c r="M372" s="2"/>
    </row>
    <row r="373" ht="12.0" customHeight="1">
      <c r="K373" s="2"/>
      <c r="M373" s="2"/>
    </row>
    <row r="374" ht="12.0" customHeight="1">
      <c r="K374" s="2"/>
      <c r="M374" s="2"/>
    </row>
    <row r="375" ht="12.0" customHeight="1">
      <c r="K375" s="2"/>
      <c r="M375" s="2"/>
    </row>
    <row r="376" ht="12.0" customHeight="1">
      <c r="K376" s="2"/>
      <c r="M376" s="2"/>
    </row>
    <row r="377" ht="12.0" customHeight="1">
      <c r="K377" s="2"/>
      <c r="M377" s="2"/>
    </row>
    <row r="378" ht="12.0" customHeight="1">
      <c r="K378" s="2"/>
      <c r="M378" s="2"/>
    </row>
    <row r="379" ht="12.0" customHeight="1">
      <c r="K379" s="2"/>
      <c r="M379" s="2"/>
    </row>
    <row r="380" ht="12.0" customHeight="1">
      <c r="K380" s="2"/>
      <c r="M380" s="2"/>
    </row>
    <row r="381" ht="12.0" customHeight="1">
      <c r="K381" s="2"/>
      <c r="M381" s="2"/>
    </row>
    <row r="382" ht="12.0" customHeight="1">
      <c r="K382" s="2"/>
      <c r="M382" s="2"/>
    </row>
    <row r="383" ht="12.0" customHeight="1">
      <c r="K383" s="2"/>
      <c r="M383" s="2"/>
    </row>
    <row r="384" ht="12.0" customHeight="1">
      <c r="K384" s="2"/>
      <c r="M384" s="2"/>
    </row>
    <row r="385" ht="12.0" customHeight="1">
      <c r="K385" s="2"/>
      <c r="M385" s="2"/>
    </row>
    <row r="386" ht="12.0" customHeight="1">
      <c r="K386" s="2"/>
      <c r="M386" s="2"/>
    </row>
    <row r="387" ht="12.0" customHeight="1">
      <c r="K387" s="2"/>
      <c r="M387" s="2"/>
    </row>
    <row r="388" ht="12.0" customHeight="1">
      <c r="K388" s="2"/>
      <c r="M388" s="2"/>
    </row>
    <row r="389" ht="12.0" customHeight="1">
      <c r="K389" s="2"/>
      <c r="M389" s="2"/>
    </row>
    <row r="390" ht="12.0" customHeight="1">
      <c r="K390" s="2"/>
      <c r="M390" s="2"/>
    </row>
    <row r="391" ht="12.0" customHeight="1">
      <c r="K391" s="2"/>
      <c r="M391" s="2"/>
    </row>
    <row r="392" ht="12.0" customHeight="1">
      <c r="K392" s="2"/>
      <c r="M392" s="2"/>
    </row>
    <row r="393" ht="12.0" customHeight="1">
      <c r="K393" s="2"/>
      <c r="M393" s="2"/>
    </row>
    <row r="394" ht="12.0" customHeight="1">
      <c r="K394" s="2"/>
      <c r="M394" s="2"/>
    </row>
    <row r="395" ht="12.0" customHeight="1">
      <c r="K395" s="2"/>
      <c r="M395" s="2"/>
    </row>
    <row r="396" ht="12.0" customHeight="1">
      <c r="K396" s="2"/>
      <c r="M396" s="2"/>
    </row>
    <row r="397" ht="12.0" customHeight="1">
      <c r="K397" s="2"/>
      <c r="M397" s="2"/>
    </row>
    <row r="398" ht="12.0" customHeight="1">
      <c r="K398" s="2"/>
      <c r="M398" s="2"/>
    </row>
    <row r="399" ht="12.0" customHeight="1">
      <c r="K399" s="2"/>
      <c r="M399" s="2"/>
    </row>
    <row r="400" ht="12.0" customHeight="1">
      <c r="K400" s="2"/>
      <c r="M400" s="2"/>
    </row>
    <row r="401" ht="12.0" customHeight="1">
      <c r="K401" s="2"/>
      <c r="M401" s="2"/>
    </row>
    <row r="402" ht="12.0" customHeight="1">
      <c r="K402" s="2"/>
      <c r="M402" s="2"/>
    </row>
    <row r="403" ht="12.0" customHeight="1">
      <c r="K403" s="2"/>
      <c r="M403" s="2"/>
    </row>
    <row r="404" ht="12.0" customHeight="1">
      <c r="K404" s="2"/>
      <c r="M404" s="2"/>
    </row>
    <row r="405" ht="12.0" customHeight="1">
      <c r="K405" s="2"/>
      <c r="M405" s="2"/>
    </row>
    <row r="406" ht="12.0" customHeight="1">
      <c r="K406" s="2"/>
      <c r="M406" s="2"/>
    </row>
    <row r="407" ht="12.0" customHeight="1">
      <c r="K407" s="2"/>
      <c r="M407" s="2"/>
    </row>
    <row r="408" ht="12.0" customHeight="1">
      <c r="K408" s="2"/>
      <c r="M408" s="2"/>
    </row>
    <row r="409" ht="12.0" customHeight="1">
      <c r="K409" s="2"/>
      <c r="M409" s="2"/>
    </row>
    <row r="410" ht="12.0" customHeight="1">
      <c r="K410" s="2"/>
      <c r="M410" s="2"/>
    </row>
    <row r="411" ht="12.0" customHeight="1">
      <c r="K411" s="2"/>
      <c r="M411" s="2"/>
    </row>
    <row r="412" ht="12.0" customHeight="1">
      <c r="K412" s="2"/>
      <c r="M412" s="2"/>
    </row>
    <row r="413" ht="12.0" customHeight="1">
      <c r="K413" s="2"/>
      <c r="M413" s="2"/>
    </row>
    <row r="414" ht="12.0" customHeight="1">
      <c r="K414" s="2"/>
      <c r="M414" s="2"/>
    </row>
    <row r="415" ht="12.0" customHeight="1">
      <c r="K415" s="2"/>
      <c r="M415" s="2"/>
    </row>
    <row r="416" ht="12.0" customHeight="1">
      <c r="K416" s="2"/>
      <c r="M416" s="2"/>
    </row>
    <row r="417" ht="12.0" customHeight="1">
      <c r="K417" s="2"/>
      <c r="M417" s="2"/>
    </row>
    <row r="418" ht="12.0" customHeight="1">
      <c r="K418" s="2"/>
      <c r="M418" s="2"/>
    </row>
    <row r="419" ht="12.0" customHeight="1">
      <c r="K419" s="2"/>
      <c r="M419" s="2"/>
    </row>
    <row r="420" ht="12.0" customHeight="1">
      <c r="K420" s="2"/>
      <c r="M420" s="2"/>
    </row>
    <row r="421" ht="12.0" customHeight="1">
      <c r="K421" s="2"/>
      <c r="M421" s="2"/>
    </row>
    <row r="422" ht="12.0" customHeight="1">
      <c r="K422" s="2"/>
      <c r="M422" s="2"/>
    </row>
    <row r="423" ht="12.0" customHeight="1">
      <c r="K423" s="2"/>
      <c r="M423" s="2"/>
    </row>
    <row r="424" ht="12.0" customHeight="1">
      <c r="K424" s="2"/>
      <c r="M424" s="2"/>
    </row>
    <row r="425" ht="12.0" customHeight="1">
      <c r="K425" s="2"/>
      <c r="M425" s="2"/>
    </row>
    <row r="426" ht="12.0" customHeight="1">
      <c r="K426" s="2"/>
      <c r="M426" s="2"/>
    </row>
    <row r="427" ht="12.0" customHeight="1">
      <c r="K427" s="2"/>
      <c r="M427" s="2"/>
    </row>
    <row r="428" ht="12.0" customHeight="1">
      <c r="K428" s="2"/>
      <c r="M428" s="2"/>
    </row>
    <row r="429" ht="12.0" customHeight="1">
      <c r="K429" s="2"/>
      <c r="M429" s="2"/>
    </row>
    <row r="430" ht="12.0" customHeight="1">
      <c r="K430" s="2"/>
      <c r="M430" s="2"/>
    </row>
    <row r="431" ht="12.0" customHeight="1">
      <c r="K431" s="2"/>
      <c r="M431" s="2"/>
    </row>
    <row r="432" ht="12.0" customHeight="1">
      <c r="K432" s="2"/>
      <c r="M432" s="2"/>
    </row>
    <row r="433" ht="12.0" customHeight="1">
      <c r="K433" s="2"/>
      <c r="M433" s="2"/>
    </row>
    <row r="434" ht="12.0" customHeight="1">
      <c r="K434" s="2"/>
      <c r="M434" s="2"/>
    </row>
    <row r="435" ht="12.0" customHeight="1">
      <c r="K435" s="2"/>
      <c r="M435" s="2"/>
    </row>
    <row r="436" ht="12.0" customHeight="1">
      <c r="K436" s="2"/>
      <c r="M436" s="2"/>
    </row>
    <row r="437" ht="12.0" customHeight="1">
      <c r="K437" s="2"/>
      <c r="M437" s="2"/>
    </row>
    <row r="438" ht="12.0" customHeight="1">
      <c r="K438" s="2"/>
      <c r="M438" s="2"/>
    </row>
    <row r="439" ht="12.0" customHeight="1">
      <c r="K439" s="2"/>
      <c r="M439" s="2"/>
    </row>
    <row r="440" ht="12.0" customHeight="1">
      <c r="K440" s="2"/>
      <c r="M440" s="2"/>
    </row>
    <row r="441" ht="12.0" customHeight="1">
      <c r="K441" s="2"/>
      <c r="M441" s="2"/>
    </row>
    <row r="442" ht="12.0" customHeight="1">
      <c r="K442" s="2"/>
      <c r="M442" s="2"/>
    </row>
    <row r="443" ht="12.0" customHeight="1">
      <c r="K443" s="2"/>
      <c r="M443" s="2"/>
    </row>
    <row r="444" ht="12.0" customHeight="1">
      <c r="K444" s="2"/>
      <c r="M444" s="2"/>
    </row>
    <row r="445" ht="12.0" customHeight="1">
      <c r="K445" s="2"/>
      <c r="M445" s="2"/>
    </row>
    <row r="446" ht="12.0" customHeight="1">
      <c r="K446" s="2"/>
      <c r="M446" s="2"/>
    </row>
    <row r="447" ht="12.0" customHeight="1">
      <c r="K447" s="2"/>
      <c r="M447" s="2"/>
    </row>
    <row r="448" ht="12.0" customHeight="1">
      <c r="K448" s="2"/>
      <c r="M448" s="2"/>
    </row>
    <row r="449" ht="12.0" customHeight="1">
      <c r="K449" s="2"/>
      <c r="M449" s="2"/>
    </row>
    <row r="450" ht="12.0" customHeight="1">
      <c r="K450" s="2"/>
      <c r="M450" s="2"/>
    </row>
    <row r="451" ht="12.0" customHeight="1">
      <c r="K451" s="2"/>
      <c r="M451" s="2"/>
    </row>
    <row r="452" ht="12.0" customHeight="1">
      <c r="K452" s="2"/>
      <c r="M452" s="2"/>
    </row>
    <row r="453" ht="12.0" customHeight="1">
      <c r="K453" s="2"/>
      <c r="M453" s="2"/>
    </row>
    <row r="454" ht="12.0" customHeight="1">
      <c r="K454" s="2"/>
      <c r="M454" s="2"/>
    </row>
    <row r="455" ht="12.0" customHeight="1">
      <c r="K455" s="2"/>
      <c r="M455" s="2"/>
    </row>
    <row r="456" ht="12.0" customHeight="1">
      <c r="K456" s="2"/>
      <c r="M456" s="2"/>
    </row>
    <row r="457" ht="12.0" customHeight="1">
      <c r="K457" s="2"/>
      <c r="M457" s="2"/>
    </row>
    <row r="458" ht="12.0" customHeight="1">
      <c r="K458" s="2"/>
      <c r="M458" s="2"/>
    </row>
    <row r="459" ht="12.0" customHeight="1">
      <c r="K459" s="2"/>
      <c r="M459" s="2"/>
    </row>
    <row r="460" ht="12.0" customHeight="1">
      <c r="K460" s="2"/>
      <c r="M460" s="2"/>
    </row>
    <row r="461" ht="12.0" customHeight="1">
      <c r="K461" s="2"/>
      <c r="M461" s="2"/>
    </row>
    <row r="462" ht="12.0" customHeight="1">
      <c r="K462" s="2"/>
      <c r="M462" s="2"/>
    </row>
    <row r="463" ht="12.0" customHeight="1">
      <c r="K463" s="2"/>
      <c r="M463" s="2"/>
    </row>
    <row r="464" ht="12.0" customHeight="1">
      <c r="K464" s="2"/>
      <c r="M464" s="2"/>
    </row>
    <row r="465" ht="12.0" customHeight="1">
      <c r="K465" s="2"/>
      <c r="M465" s="2"/>
    </row>
    <row r="466" ht="12.0" customHeight="1">
      <c r="K466" s="2"/>
      <c r="M466" s="2"/>
    </row>
    <row r="467" ht="12.0" customHeight="1">
      <c r="K467" s="2"/>
      <c r="M467" s="2"/>
    </row>
    <row r="468" ht="12.0" customHeight="1">
      <c r="K468" s="2"/>
      <c r="M468" s="2"/>
    </row>
    <row r="469" ht="12.0" customHeight="1">
      <c r="K469" s="2"/>
      <c r="M469" s="2"/>
    </row>
    <row r="470" ht="12.0" customHeight="1">
      <c r="K470" s="2"/>
      <c r="M470" s="2"/>
    </row>
    <row r="471" ht="12.0" customHeight="1">
      <c r="K471" s="2"/>
      <c r="M471" s="2"/>
    </row>
    <row r="472" ht="12.0" customHeight="1">
      <c r="K472" s="2"/>
      <c r="M472" s="2"/>
    </row>
    <row r="473" ht="12.0" customHeight="1">
      <c r="K473" s="2"/>
      <c r="M473" s="2"/>
    </row>
    <row r="474" ht="12.0" customHeight="1">
      <c r="K474" s="2"/>
      <c r="M474" s="2"/>
    </row>
    <row r="475" ht="12.0" customHeight="1">
      <c r="K475" s="2"/>
      <c r="M475" s="2"/>
    </row>
    <row r="476" ht="12.0" customHeight="1">
      <c r="K476" s="2"/>
      <c r="M476" s="2"/>
    </row>
    <row r="477" ht="12.0" customHeight="1">
      <c r="K477" s="2"/>
      <c r="M477" s="2"/>
    </row>
    <row r="478" ht="12.0" customHeight="1">
      <c r="K478" s="2"/>
      <c r="M478" s="2"/>
    </row>
    <row r="479" ht="12.0" customHeight="1">
      <c r="K479" s="2"/>
      <c r="M479" s="2"/>
    </row>
    <row r="480" ht="12.0" customHeight="1">
      <c r="K480" s="2"/>
      <c r="M480" s="2"/>
    </row>
    <row r="481" ht="12.0" customHeight="1">
      <c r="K481" s="2"/>
      <c r="M481" s="2"/>
    </row>
    <row r="482" ht="12.0" customHeight="1">
      <c r="K482" s="2"/>
      <c r="M482" s="2"/>
    </row>
    <row r="483" ht="12.0" customHeight="1">
      <c r="K483" s="2"/>
      <c r="M483" s="2"/>
    </row>
    <row r="484" ht="12.0" customHeight="1">
      <c r="K484" s="2"/>
      <c r="M484" s="2"/>
    </row>
    <row r="485" ht="12.0" customHeight="1">
      <c r="K485" s="2"/>
      <c r="M485" s="2"/>
    </row>
    <row r="486" ht="12.0" customHeight="1">
      <c r="K486" s="2"/>
      <c r="M486" s="2"/>
    </row>
    <row r="487" ht="12.0" customHeight="1">
      <c r="K487" s="2"/>
      <c r="M487" s="2"/>
    </row>
    <row r="488" ht="12.0" customHeight="1">
      <c r="K488" s="2"/>
      <c r="M488" s="2"/>
    </row>
    <row r="489" ht="12.0" customHeight="1">
      <c r="K489" s="2"/>
      <c r="M489" s="2"/>
    </row>
    <row r="490" ht="12.0" customHeight="1">
      <c r="K490" s="2"/>
      <c r="M490" s="2"/>
    </row>
    <row r="491" ht="12.0" customHeight="1">
      <c r="K491" s="2"/>
      <c r="M491" s="2"/>
    </row>
    <row r="492" ht="12.0" customHeight="1">
      <c r="K492" s="2"/>
      <c r="M492" s="2"/>
    </row>
    <row r="493" ht="12.0" customHeight="1">
      <c r="K493" s="2"/>
      <c r="M493" s="2"/>
    </row>
    <row r="494" ht="12.0" customHeight="1">
      <c r="K494" s="2"/>
      <c r="M494" s="2"/>
    </row>
    <row r="495" ht="12.0" customHeight="1">
      <c r="K495" s="2"/>
      <c r="M495" s="2"/>
    </row>
    <row r="496" ht="12.0" customHeight="1">
      <c r="K496" s="2"/>
      <c r="M496" s="2"/>
    </row>
    <row r="497" ht="12.0" customHeight="1">
      <c r="K497" s="2"/>
      <c r="M497" s="2"/>
    </row>
    <row r="498" ht="12.0" customHeight="1">
      <c r="K498" s="2"/>
      <c r="M498" s="2"/>
    </row>
    <row r="499" ht="12.0" customHeight="1">
      <c r="K499" s="2"/>
      <c r="M499" s="2"/>
    </row>
    <row r="500" ht="12.0" customHeight="1">
      <c r="K500" s="2"/>
      <c r="M500" s="2"/>
    </row>
    <row r="501" ht="12.0" customHeight="1">
      <c r="K501" s="2"/>
      <c r="M501" s="2"/>
    </row>
    <row r="502" ht="12.0" customHeight="1">
      <c r="K502" s="2"/>
      <c r="M502" s="2"/>
    </row>
    <row r="503" ht="12.0" customHeight="1">
      <c r="K503" s="2"/>
      <c r="M503" s="2"/>
    </row>
    <row r="504" ht="12.0" customHeight="1">
      <c r="K504" s="2"/>
      <c r="M504" s="2"/>
    </row>
    <row r="505" ht="12.0" customHeight="1">
      <c r="K505" s="2"/>
      <c r="M505" s="2"/>
    </row>
    <row r="506" ht="12.0" customHeight="1">
      <c r="K506" s="2"/>
      <c r="M506" s="2"/>
    </row>
    <row r="507" ht="12.0" customHeight="1">
      <c r="K507" s="2"/>
      <c r="M507" s="2"/>
    </row>
    <row r="508" ht="12.0" customHeight="1">
      <c r="K508" s="2"/>
      <c r="M508" s="2"/>
    </row>
    <row r="509" ht="12.0" customHeight="1">
      <c r="K509" s="2"/>
      <c r="M509" s="2"/>
    </row>
    <row r="510" ht="12.0" customHeight="1">
      <c r="K510" s="2"/>
      <c r="M510" s="2"/>
    </row>
    <row r="511" ht="12.0" customHeight="1">
      <c r="K511" s="2"/>
      <c r="M511" s="2"/>
    </row>
    <row r="512" ht="12.0" customHeight="1">
      <c r="K512" s="2"/>
      <c r="M512" s="2"/>
    </row>
    <row r="513" ht="12.0" customHeight="1">
      <c r="K513" s="2"/>
      <c r="M513" s="2"/>
    </row>
    <row r="514" ht="12.0" customHeight="1">
      <c r="K514" s="2"/>
      <c r="M514" s="2"/>
    </row>
    <row r="515" ht="12.0" customHeight="1">
      <c r="K515" s="2"/>
      <c r="M515" s="2"/>
    </row>
    <row r="516" ht="12.0" customHeight="1">
      <c r="K516" s="2"/>
      <c r="M516" s="2"/>
    </row>
    <row r="517" ht="12.0" customHeight="1">
      <c r="K517" s="2"/>
      <c r="M517" s="2"/>
    </row>
    <row r="518" ht="12.0" customHeight="1">
      <c r="K518" s="2"/>
      <c r="M518" s="2"/>
    </row>
    <row r="519" ht="12.0" customHeight="1">
      <c r="K519" s="2"/>
      <c r="M519" s="2"/>
    </row>
    <row r="520" ht="12.0" customHeight="1">
      <c r="K520" s="2"/>
      <c r="M520" s="2"/>
    </row>
    <row r="521" ht="12.0" customHeight="1">
      <c r="K521" s="2"/>
      <c r="M521" s="2"/>
    </row>
    <row r="522" ht="12.0" customHeight="1">
      <c r="K522" s="2"/>
      <c r="M522" s="2"/>
    </row>
    <row r="523" ht="12.0" customHeight="1">
      <c r="K523" s="2"/>
      <c r="M523" s="2"/>
    </row>
    <row r="524" ht="12.0" customHeight="1">
      <c r="K524" s="2"/>
      <c r="M524" s="2"/>
    </row>
    <row r="525" ht="12.0" customHeight="1">
      <c r="K525" s="2"/>
      <c r="M525" s="2"/>
    </row>
    <row r="526" ht="12.0" customHeight="1">
      <c r="K526" s="2"/>
      <c r="M526" s="2"/>
    </row>
    <row r="527" ht="12.0" customHeight="1">
      <c r="K527" s="2"/>
      <c r="M527" s="2"/>
    </row>
    <row r="528" ht="12.0" customHeight="1">
      <c r="K528" s="2"/>
      <c r="M528" s="2"/>
    </row>
    <row r="529" ht="12.0" customHeight="1">
      <c r="K529" s="2"/>
      <c r="M529" s="2"/>
    </row>
    <row r="530" ht="12.0" customHeight="1">
      <c r="K530" s="2"/>
      <c r="M530" s="2"/>
    </row>
    <row r="531" ht="12.0" customHeight="1">
      <c r="K531" s="2"/>
      <c r="M531" s="2"/>
    </row>
    <row r="532" ht="12.0" customHeight="1">
      <c r="K532" s="2"/>
      <c r="M532" s="2"/>
    </row>
    <row r="533" ht="12.0" customHeight="1">
      <c r="K533" s="2"/>
      <c r="M533" s="2"/>
    </row>
    <row r="534" ht="12.0" customHeight="1">
      <c r="K534" s="2"/>
      <c r="M534" s="2"/>
    </row>
    <row r="535" ht="12.0" customHeight="1">
      <c r="K535" s="2"/>
      <c r="M535" s="2"/>
    </row>
    <row r="536" ht="12.0" customHeight="1">
      <c r="K536" s="2"/>
      <c r="M536" s="2"/>
    </row>
    <row r="537" ht="12.0" customHeight="1">
      <c r="K537" s="2"/>
      <c r="M537" s="2"/>
    </row>
    <row r="538" ht="12.0" customHeight="1">
      <c r="K538" s="2"/>
      <c r="M538" s="2"/>
    </row>
    <row r="539" ht="12.0" customHeight="1">
      <c r="K539" s="2"/>
      <c r="M539" s="2"/>
    </row>
    <row r="540" ht="12.0" customHeight="1">
      <c r="K540" s="2"/>
      <c r="M540" s="2"/>
    </row>
    <row r="541" ht="12.0" customHeight="1">
      <c r="K541" s="2"/>
      <c r="M541" s="2"/>
    </row>
    <row r="542" ht="12.0" customHeight="1">
      <c r="K542" s="2"/>
      <c r="M542" s="2"/>
    </row>
    <row r="543" ht="12.0" customHeight="1">
      <c r="K543" s="2"/>
      <c r="M543" s="2"/>
    </row>
    <row r="544" ht="12.0" customHeight="1">
      <c r="K544" s="2"/>
      <c r="M544" s="2"/>
    </row>
    <row r="545" ht="12.0" customHeight="1">
      <c r="K545" s="2"/>
      <c r="M545" s="2"/>
    </row>
    <row r="546" ht="12.0" customHeight="1">
      <c r="K546" s="2"/>
      <c r="M546" s="2"/>
    </row>
    <row r="547" ht="12.0" customHeight="1">
      <c r="K547" s="2"/>
      <c r="M547" s="2"/>
    </row>
    <row r="548" ht="12.0" customHeight="1">
      <c r="K548" s="2"/>
      <c r="M548" s="2"/>
    </row>
    <row r="549" ht="12.0" customHeight="1">
      <c r="K549" s="2"/>
      <c r="M549" s="2"/>
    </row>
    <row r="550" ht="12.0" customHeight="1">
      <c r="K550" s="2"/>
      <c r="M550" s="2"/>
    </row>
    <row r="551" ht="12.0" customHeight="1">
      <c r="K551" s="2"/>
      <c r="M551" s="2"/>
    </row>
    <row r="552" ht="12.0" customHeight="1">
      <c r="K552" s="2"/>
      <c r="M552" s="2"/>
    </row>
    <row r="553" ht="12.0" customHeight="1">
      <c r="K553" s="2"/>
      <c r="M553" s="2"/>
    </row>
    <row r="554" ht="12.0" customHeight="1">
      <c r="K554" s="2"/>
      <c r="M554" s="2"/>
    </row>
    <row r="555" ht="12.0" customHeight="1">
      <c r="K555" s="2"/>
      <c r="M555" s="2"/>
    </row>
    <row r="556" ht="12.0" customHeight="1">
      <c r="K556" s="2"/>
      <c r="M556" s="2"/>
    </row>
    <row r="557" ht="12.0" customHeight="1">
      <c r="K557" s="2"/>
      <c r="M557" s="2"/>
    </row>
    <row r="558" ht="12.0" customHeight="1">
      <c r="K558" s="2"/>
      <c r="M558" s="2"/>
    </row>
    <row r="559" ht="12.0" customHeight="1">
      <c r="K559" s="2"/>
      <c r="M559" s="2"/>
    </row>
    <row r="560" ht="12.0" customHeight="1">
      <c r="K560" s="2"/>
      <c r="M560" s="2"/>
    </row>
    <row r="561" ht="12.0" customHeight="1">
      <c r="K561" s="2"/>
      <c r="M561" s="2"/>
    </row>
    <row r="562" ht="12.0" customHeight="1">
      <c r="K562" s="2"/>
      <c r="M562" s="2"/>
    </row>
    <row r="563" ht="12.0" customHeight="1">
      <c r="K563" s="2"/>
      <c r="M563" s="2"/>
    </row>
    <row r="564" ht="12.0" customHeight="1">
      <c r="K564" s="2"/>
      <c r="M564" s="2"/>
    </row>
    <row r="565" ht="12.0" customHeight="1">
      <c r="K565" s="2"/>
      <c r="M565" s="2"/>
    </row>
    <row r="566" ht="12.0" customHeight="1">
      <c r="K566" s="2"/>
      <c r="M566" s="2"/>
    </row>
    <row r="567" ht="12.0" customHeight="1">
      <c r="K567" s="2"/>
      <c r="M567" s="2"/>
    </row>
    <row r="568" ht="12.0" customHeight="1">
      <c r="K568" s="2"/>
      <c r="M568" s="2"/>
    </row>
    <row r="569" ht="12.0" customHeight="1">
      <c r="K569" s="2"/>
      <c r="M569" s="2"/>
    </row>
    <row r="570" ht="12.0" customHeight="1">
      <c r="K570" s="2"/>
      <c r="M570" s="2"/>
    </row>
    <row r="571" ht="12.0" customHeight="1">
      <c r="K571" s="2"/>
      <c r="M571" s="2"/>
    </row>
    <row r="572" ht="12.0" customHeight="1">
      <c r="K572" s="2"/>
      <c r="M572" s="2"/>
    </row>
    <row r="573" ht="12.0" customHeight="1">
      <c r="K573" s="2"/>
      <c r="M573" s="2"/>
    </row>
    <row r="574" ht="12.0" customHeight="1">
      <c r="K574" s="2"/>
      <c r="M574" s="2"/>
    </row>
    <row r="575" ht="12.0" customHeight="1">
      <c r="K575" s="2"/>
      <c r="M575" s="2"/>
    </row>
    <row r="576" ht="12.0" customHeight="1">
      <c r="K576" s="2"/>
      <c r="M576" s="2"/>
    </row>
    <row r="577" ht="12.0" customHeight="1">
      <c r="K577" s="2"/>
      <c r="M577" s="2"/>
    </row>
    <row r="578" ht="12.0" customHeight="1">
      <c r="K578" s="2"/>
      <c r="M578" s="2"/>
    </row>
    <row r="579" ht="12.0" customHeight="1">
      <c r="K579" s="2"/>
      <c r="M579" s="2"/>
    </row>
    <row r="580" ht="12.0" customHeight="1">
      <c r="K580" s="2"/>
      <c r="M580" s="2"/>
    </row>
    <row r="581" ht="12.0" customHeight="1">
      <c r="K581" s="2"/>
      <c r="M581" s="2"/>
    </row>
    <row r="582" ht="12.0" customHeight="1">
      <c r="K582" s="2"/>
      <c r="M582" s="2"/>
    </row>
    <row r="583" ht="12.0" customHeight="1">
      <c r="K583" s="2"/>
      <c r="M583" s="2"/>
    </row>
    <row r="584" ht="12.0" customHeight="1">
      <c r="K584" s="2"/>
      <c r="M584" s="2"/>
    </row>
    <row r="585" ht="12.0" customHeight="1">
      <c r="K585" s="2"/>
      <c r="M585" s="2"/>
    </row>
    <row r="586" ht="12.0" customHeight="1">
      <c r="K586" s="2"/>
      <c r="M586" s="2"/>
    </row>
    <row r="587" ht="12.0" customHeight="1">
      <c r="K587" s="2"/>
      <c r="M587" s="2"/>
    </row>
    <row r="588" ht="12.0" customHeight="1">
      <c r="K588" s="2"/>
      <c r="M588" s="2"/>
    </row>
    <row r="589" ht="12.0" customHeight="1">
      <c r="K589" s="2"/>
      <c r="M589" s="2"/>
    </row>
    <row r="590" ht="12.0" customHeight="1">
      <c r="K590" s="2"/>
      <c r="M590" s="2"/>
    </row>
    <row r="591" ht="12.0" customHeight="1">
      <c r="K591" s="2"/>
      <c r="M591" s="2"/>
    </row>
    <row r="592" ht="12.0" customHeight="1">
      <c r="K592" s="2"/>
      <c r="M592" s="2"/>
    </row>
    <row r="593" ht="12.0" customHeight="1">
      <c r="K593" s="2"/>
      <c r="M593" s="2"/>
    </row>
    <row r="594" ht="12.0" customHeight="1">
      <c r="K594" s="2"/>
      <c r="M594" s="2"/>
    </row>
    <row r="595" ht="12.0" customHeight="1">
      <c r="K595" s="2"/>
      <c r="M595" s="2"/>
    </row>
    <row r="596" ht="12.0" customHeight="1">
      <c r="K596" s="2"/>
      <c r="M596" s="2"/>
    </row>
    <row r="597" ht="12.0" customHeight="1">
      <c r="K597" s="2"/>
      <c r="M597" s="2"/>
    </row>
    <row r="598" ht="12.0" customHeight="1">
      <c r="K598" s="2"/>
      <c r="M598" s="2"/>
    </row>
    <row r="599" ht="12.0" customHeight="1">
      <c r="K599" s="2"/>
      <c r="M599" s="2"/>
    </row>
    <row r="600" ht="12.0" customHeight="1">
      <c r="K600" s="2"/>
      <c r="M600" s="2"/>
    </row>
    <row r="601" ht="12.0" customHeight="1">
      <c r="K601" s="2"/>
      <c r="M601" s="2"/>
    </row>
    <row r="602" ht="12.0" customHeight="1">
      <c r="K602" s="2"/>
      <c r="M602" s="2"/>
    </row>
    <row r="603" ht="12.0" customHeight="1">
      <c r="K603" s="2"/>
      <c r="M603" s="2"/>
    </row>
    <row r="604" ht="12.0" customHeight="1">
      <c r="K604" s="2"/>
      <c r="M604" s="2"/>
    </row>
    <row r="605" ht="12.0" customHeight="1">
      <c r="K605" s="2"/>
      <c r="M605" s="2"/>
    </row>
    <row r="606" ht="12.0" customHeight="1">
      <c r="K606" s="2"/>
      <c r="M606" s="2"/>
    </row>
    <row r="607" ht="12.0" customHeight="1">
      <c r="K607" s="2"/>
      <c r="M607" s="2"/>
    </row>
    <row r="608" ht="12.0" customHeight="1">
      <c r="K608" s="2"/>
      <c r="M608" s="2"/>
    </row>
    <row r="609" ht="12.0" customHeight="1">
      <c r="K609" s="2"/>
      <c r="M609" s="2"/>
    </row>
    <row r="610" ht="12.0" customHeight="1">
      <c r="K610" s="2"/>
      <c r="M610" s="2"/>
    </row>
    <row r="611" ht="12.0" customHeight="1">
      <c r="K611" s="2"/>
      <c r="M611" s="2"/>
    </row>
    <row r="612" ht="12.0" customHeight="1">
      <c r="K612" s="2"/>
      <c r="M612" s="2"/>
    </row>
    <row r="613" ht="12.0" customHeight="1">
      <c r="K613" s="2"/>
      <c r="M613" s="2"/>
    </row>
    <row r="614" ht="12.0" customHeight="1">
      <c r="K614" s="2"/>
      <c r="M614" s="2"/>
    </row>
    <row r="615" ht="12.0" customHeight="1">
      <c r="K615" s="2"/>
      <c r="M615" s="2"/>
    </row>
    <row r="616" ht="12.0" customHeight="1">
      <c r="K616" s="2"/>
      <c r="M616" s="2"/>
    </row>
    <row r="617" ht="12.0" customHeight="1">
      <c r="K617" s="2"/>
      <c r="M617" s="2"/>
    </row>
    <row r="618" ht="12.0" customHeight="1">
      <c r="K618" s="2"/>
      <c r="M618" s="2"/>
    </row>
    <row r="619" ht="12.0" customHeight="1">
      <c r="K619" s="2"/>
      <c r="M619" s="2"/>
    </row>
    <row r="620" ht="12.0" customHeight="1">
      <c r="K620" s="2"/>
      <c r="M620" s="2"/>
    </row>
    <row r="621" ht="12.0" customHeight="1">
      <c r="K621" s="2"/>
      <c r="M621" s="2"/>
    </row>
    <row r="622" ht="12.0" customHeight="1">
      <c r="K622" s="2"/>
      <c r="M622" s="2"/>
    </row>
    <row r="623" ht="12.0" customHeight="1">
      <c r="K623" s="2"/>
      <c r="M623" s="2"/>
    </row>
    <row r="624" ht="12.0" customHeight="1">
      <c r="K624" s="2"/>
      <c r="M624" s="2"/>
    </row>
    <row r="625" ht="12.0" customHeight="1">
      <c r="K625" s="2"/>
      <c r="M625" s="2"/>
    </row>
    <row r="626" ht="12.0" customHeight="1">
      <c r="K626" s="2"/>
      <c r="M626" s="2"/>
    </row>
    <row r="627" ht="12.0" customHeight="1">
      <c r="K627" s="2"/>
      <c r="M627" s="2"/>
    </row>
    <row r="628" ht="12.0" customHeight="1">
      <c r="K628" s="2"/>
      <c r="M628" s="2"/>
    </row>
    <row r="629" ht="12.0" customHeight="1">
      <c r="K629" s="2"/>
      <c r="M629" s="2"/>
    </row>
    <row r="630" ht="12.0" customHeight="1">
      <c r="K630" s="2"/>
      <c r="M630" s="2"/>
    </row>
    <row r="631" ht="12.0" customHeight="1">
      <c r="K631" s="2"/>
      <c r="M631" s="2"/>
    </row>
    <row r="632" ht="12.0" customHeight="1">
      <c r="K632" s="2"/>
      <c r="M632" s="2"/>
    </row>
    <row r="633" ht="12.0" customHeight="1">
      <c r="K633" s="2"/>
      <c r="M633" s="2"/>
    </row>
    <row r="634" ht="12.0" customHeight="1">
      <c r="K634" s="2"/>
      <c r="M634" s="2"/>
    </row>
    <row r="635" ht="12.0" customHeight="1">
      <c r="K635" s="2"/>
      <c r="M635" s="2"/>
    </row>
    <row r="636" ht="12.0" customHeight="1">
      <c r="K636" s="2"/>
      <c r="M636" s="2"/>
    </row>
    <row r="637" ht="12.0" customHeight="1">
      <c r="K637" s="2"/>
      <c r="M637" s="2"/>
    </row>
    <row r="638" ht="12.0" customHeight="1">
      <c r="K638" s="2"/>
      <c r="M638" s="2"/>
    </row>
    <row r="639" ht="12.0" customHeight="1">
      <c r="K639" s="2"/>
      <c r="M639" s="2"/>
    </row>
    <row r="640" ht="12.0" customHeight="1">
      <c r="K640" s="2"/>
      <c r="M640" s="2"/>
    </row>
    <row r="641" ht="12.0" customHeight="1">
      <c r="K641" s="2"/>
      <c r="M641" s="2"/>
    </row>
    <row r="642" ht="12.0" customHeight="1">
      <c r="K642" s="2"/>
      <c r="M642" s="2"/>
    </row>
    <row r="643" ht="12.0" customHeight="1">
      <c r="K643" s="2"/>
      <c r="M643" s="2"/>
    </row>
    <row r="644" ht="12.0" customHeight="1">
      <c r="K644" s="2"/>
      <c r="M644" s="2"/>
    </row>
    <row r="645" ht="12.0" customHeight="1">
      <c r="K645" s="2"/>
      <c r="M645" s="2"/>
    </row>
    <row r="646" ht="12.0" customHeight="1">
      <c r="K646" s="2"/>
      <c r="M646" s="2"/>
    </row>
    <row r="647" ht="12.0" customHeight="1">
      <c r="K647" s="2"/>
      <c r="M647" s="2"/>
    </row>
    <row r="648" ht="12.0" customHeight="1">
      <c r="K648" s="2"/>
      <c r="M648" s="2"/>
    </row>
    <row r="649" ht="12.0" customHeight="1">
      <c r="K649" s="2"/>
      <c r="M649" s="2"/>
    </row>
    <row r="650" ht="12.0" customHeight="1">
      <c r="K650" s="2"/>
      <c r="M650" s="2"/>
    </row>
    <row r="651" ht="12.0" customHeight="1">
      <c r="K651" s="2"/>
      <c r="M651" s="2"/>
    </row>
    <row r="652" ht="12.0" customHeight="1">
      <c r="K652" s="2"/>
      <c r="M652" s="2"/>
    </row>
    <row r="653" ht="12.0" customHeight="1">
      <c r="K653" s="2"/>
      <c r="M653" s="2"/>
    </row>
    <row r="654" ht="12.0" customHeight="1">
      <c r="K654" s="2"/>
      <c r="M654" s="2"/>
    </row>
    <row r="655" ht="12.0" customHeight="1">
      <c r="K655" s="2"/>
      <c r="M655" s="2"/>
    </row>
    <row r="656" ht="12.0" customHeight="1">
      <c r="K656" s="2"/>
      <c r="M656" s="2"/>
    </row>
    <row r="657" ht="12.0" customHeight="1">
      <c r="K657" s="2"/>
      <c r="M657" s="2"/>
    </row>
    <row r="658" ht="12.0" customHeight="1">
      <c r="K658" s="2"/>
      <c r="M658" s="2"/>
    </row>
    <row r="659" ht="12.0" customHeight="1">
      <c r="K659" s="2"/>
      <c r="M659" s="2"/>
    </row>
    <row r="660" ht="12.0" customHeight="1">
      <c r="K660" s="2"/>
      <c r="M660" s="2"/>
    </row>
    <row r="661" ht="12.0" customHeight="1">
      <c r="K661" s="2"/>
      <c r="M661" s="2"/>
    </row>
    <row r="662" ht="12.0" customHeight="1">
      <c r="K662" s="2"/>
      <c r="M662" s="2"/>
    </row>
    <row r="663" ht="12.0" customHeight="1">
      <c r="K663" s="2"/>
      <c r="M663" s="2"/>
    </row>
    <row r="664" ht="12.0" customHeight="1">
      <c r="K664" s="2"/>
      <c r="M664" s="2"/>
    </row>
    <row r="665" ht="12.0" customHeight="1">
      <c r="K665" s="2"/>
      <c r="M665" s="2"/>
    </row>
    <row r="666" ht="12.0" customHeight="1">
      <c r="K666" s="2"/>
      <c r="M666" s="2"/>
    </row>
    <row r="667" ht="12.0" customHeight="1">
      <c r="K667" s="2"/>
      <c r="M667" s="2"/>
    </row>
    <row r="668" ht="12.0" customHeight="1">
      <c r="K668" s="2"/>
      <c r="M668" s="2"/>
    </row>
    <row r="669" ht="12.0" customHeight="1">
      <c r="K669" s="2"/>
      <c r="M669" s="2"/>
    </row>
    <row r="670" ht="12.0" customHeight="1">
      <c r="K670" s="2"/>
      <c r="M670" s="2"/>
    </row>
    <row r="671" ht="12.0" customHeight="1">
      <c r="K671" s="2"/>
      <c r="M671" s="2"/>
    </row>
    <row r="672" ht="12.0" customHeight="1">
      <c r="K672" s="2"/>
      <c r="M672" s="2"/>
    </row>
    <row r="673" ht="12.0" customHeight="1">
      <c r="K673" s="2"/>
      <c r="M673" s="2"/>
    </row>
    <row r="674" ht="12.0" customHeight="1">
      <c r="K674" s="2"/>
      <c r="M674" s="2"/>
    </row>
    <row r="675" ht="12.0" customHeight="1">
      <c r="K675" s="2"/>
      <c r="M675" s="2"/>
    </row>
    <row r="676" ht="12.0" customHeight="1">
      <c r="K676" s="2"/>
      <c r="M676" s="2"/>
    </row>
    <row r="677" ht="12.0" customHeight="1">
      <c r="K677" s="2"/>
      <c r="M677" s="2"/>
    </row>
    <row r="678" ht="12.0" customHeight="1">
      <c r="K678" s="2"/>
      <c r="M678" s="2"/>
    </row>
    <row r="679" ht="12.0" customHeight="1">
      <c r="K679" s="2"/>
      <c r="M679" s="2"/>
    </row>
    <row r="680" ht="12.0" customHeight="1">
      <c r="K680" s="2"/>
      <c r="M680" s="2"/>
    </row>
    <row r="681" ht="12.0" customHeight="1">
      <c r="K681" s="2"/>
      <c r="M681" s="2"/>
    </row>
    <row r="682" ht="12.0" customHeight="1">
      <c r="K682" s="2"/>
      <c r="M682" s="2"/>
    </row>
    <row r="683" ht="12.0" customHeight="1">
      <c r="K683" s="2"/>
      <c r="M683" s="2"/>
    </row>
    <row r="684" ht="12.0" customHeight="1">
      <c r="K684" s="2"/>
      <c r="M684" s="2"/>
    </row>
    <row r="685" ht="12.0" customHeight="1">
      <c r="K685" s="2"/>
      <c r="M685" s="2"/>
    </row>
    <row r="686" ht="12.0" customHeight="1">
      <c r="K686" s="2"/>
      <c r="M686" s="2"/>
    </row>
    <row r="687" ht="12.0" customHeight="1">
      <c r="K687" s="2"/>
      <c r="M687" s="2"/>
    </row>
    <row r="688" ht="12.0" customHeight="1">
      <c r="K688" s="2"/>
      <c r="M688" s="2"/>
    </row>
    <row r="689" ht="12.0" customHeight="1">
      <c r="K689" s="2"/>
      <c r="M689" s="2"/>
    </row>
    <row r="690" ht="12.0" customHeight="1">
      <c r="K690" s="2"/>
      <c r="M690" s="2"/>
    </row>
    <row r="691" ht="12.0" customHeight="1">
      <c r="K691" s="2"/>
      <c r="M691" s="2"/>
    </row>
    <row r="692" ht="12.0" customHeight="1">
      <c r="K692" s="2"/>
      <c r="M692" s="2"/>
    </row>
    <row r="693" ht="12.0" customHeight="1">
      <c r="K693" s="2"/>
      <c r="M693" s="2"/>
    </row>
    <row r="694" ht="12.0" customHeight="1">
      <c r="K694" s="2"/>
      <c r="M694" s="2"/>
    </row>
    <row r="695" ht="12.0" customHeight="1">
      <c r="K695" s="2"/>
      <c r="M695" s="2"/>
    </row>
    <row r="696" ht="12.0" customHeight="1">
      <c r="K696" s="2"/>
      <c r="M696" s="2"/>
    </row>
    <row r="697" ht="12.0" customHeight="1">
      <c r="K697" s="2"/>
      <c r="M697" s="2"/>
    </row>
    <row r="698" ht="12.0" customHeight="1">
      <c r="K698" s="2"/>
      <c r="M698" s="2"/>
    </row>
    <row r="699" ht="12.0" customHeight="1">
      <c r="K699" s="2"/>
      <c r="M699" s="2"/>
    </row>
    <row r="700" ht="12.0" customHeight="1">
      <c r="K700" s="2"/>
      <c r="M700" s="2"/>
    </row>
    <row r="701" ht="12.0" customHeight="1">
      <c r="K701" s="2"/>
      <c r="M701" s="2"/>
    </row>
    <row r="702" ht="12.0" customHeight="1">
      <c r="K702" s="2"/>
      <c r="M702" s="2"/>
    </row>
    <row r="703" ht="12.0" customHeight="1">
      <c r="K703" s="2"/>
      <c r="M703" s="2"/>
    </row>
    <row r="704" ht="12.0" customHeight="1">
      <c r="K704" s="2"/>
      <c r="M704" s="2"/>
    </row>
    <row r="705" ht="12.0" customHeight="1">
      <c r="K705" s="2"/>
      <c r="M705" s="2"/>
    </row>
    <row r="706" ht="12.0" customHeight="1">
      <c r="K706" s="2"/>
      <c r="M706" s="2"/>
    </row>
    <row r="707" ht="12.0" customHeight="1">
      <c r="K707" s="2"/>
      <c r="M707" s="2"/>
    </row>
    <row r="708" ht="12.0" customHeight="1">
      <c r="K708" s="2"/>
      <c r="M708" s="2"/>
    </row>
    <row r="709" ht="12.0" customHeight="1">
      <c r="K709" s="2"/>
      <c r="M709" s="2"/>
    </row>
    <row r="710" ht="12.0" customHeight="1">
      <c r="K710" s="2"/>
      <c r="M710" s="2"/>
    </row>
    <row r="711" ht="12.0" customHeight="1">
      <c r="K711" s="2"/>
      <c r="M711" s="2"/>
    </row>
    <row r="712" ht="12.0" customHeight="1">
      <c r="K712" s="2"/>
      <c r="M712" s="2"/>
    </row>
    <row r="713" ht="12.0" customHeight="1">
      <c r="K713" s="2"/>
      <c r="M713" s="2"/>
    </row>
    <row r="714" ht="12.0" customHeight="1">
      <c r="K714" s="2"/>
      <c r="M714" s="2"/>
    </row>
    <row r="715" ht="12.0" customHeight="1">
      <c r="K715" s="2"/>
      <c r="M715" s="2"/>
    </row>
    <row r="716" ht="12.0" customHeight="1">
      <c r="K716" s="2"/>
      <c r="M716" s="2"/>
    </row>
    <row r="717" ht="12.0" customHeight="1">
      <c r="K717" s="2"/>
      <c r="M717" s="2"/>
    </row>
    <row r="718" ht="12.0" customHeight="1">
      <c r="K718" s="2"/>
      <c r="M718" s="2"/>
    </row>
    <row r="719" ht="12.0" customHeight="1">
      <c r="K719" s="2"/>
      <c r="M719" s="2"/>
    </row>
    <row r="720" ht="12.0" customHeight="1">
      <c r="K720" s="2"/>
      <c r="M720" s="2"/>
    </row>
    <row r="721" ht="12.0" customHeight="1">
      <c r="K721" s="2"/>
      <c r="M721" s="2"/>
    </row>
    <row r="722" ht="12.0" customHeight="1">
      <c r="K722" s="2"/>
      <c r="M722" s="2"/>
    </row>
    <row r="723" ht="12.0" customHeight="1">
      <c r="K723" s="2"/>
      <c r="M723" s="2"/>
    </row>
    <row r="724" ht="12.0" customHeight="1">
      <c r="K724" s="2"/>
      <c r="M724" s="2"/>
    </row>
    <row r="725" ht="12.0" customHeight="1">
      <c r="K725" s="2"/>
      <c r="M725" s="2"/>
    </row>
    <row r="726" ht="12.0" customHeight="1">
      <c r="K726" s="2"/>
      <c r="M726" s="2"/>
    </row>
    <row r="727" ht="12.0" customHeight="1">
      <c r="K727" s="2"/>
      <c r="M727" s="2"/>
    </row>
    <row r="728" ht="12.0" customHeight="1">
      <c r="K728" s="2"/>
      <c r="M728" s="2"/>
    </row>
    <row r="729" ht="12.0" customHeight="1">
      <c r="K729" s="2"/>
      <c r="M729" s="2"/>
    </row>
    <row r="730" ht="12.0" customHeight="1">
      <c r="K730" s="2"/>
      <c r="M730" s="2"/>
    </row>
    <row r="731" ht="12.0" customHeight="1">
      <c r="K731" s="2"/>
      <c r="M731" s="2"/>
    </row>
    <row r="732" ht="12.0" customHeight="1">
      <c r="K732" s="2"/>
      <c r="M732" s="2"/>
    </row>
    <row r="733" ht="12.0" customHeight="1">
      <c r="K733" s="2"/>
      <c r="M733" s="2"/>
    </row>
    <row r="734" ht="12.0" customHeight="1">
      <c r="K734" s="2"/>
      <c r="M734" s="2"/>
    </row>
    <row r="735" ht="12.0" customHeight="1">
      <c r="K735" s="2"/>
      <c r="M735" s="2"/>
    </row>
    <row r="736" ht="12.0" customHeight="1">
      <c r="K736" s="2"/>
      <c r="M736" s="2"/>
    </row>
    <row r="737" ht="12.0" customHeight="1">
      <c r="K737" s="2"/>
      <c r="M737" s="2"/>
    </row>
    <row r="738" ht="12.0" customHeight="1">
      <c r="K738" s="2"/>
      <c r="M738" s="2"/>
    </row>
    <row r="739" ht="12.0" customHeight="1">
      <c r="K739" s="2"/>
      <c r="M739" s="2"/>
    </row>
    <row r="740" ht="12.0" customHeight="1">
      <c r="K740" s="2"/>
      <c r="M740" s="2"/>
    </row>
    <row r="741" ht="12.0" customHeight="1">
      <c r="K741" s="2"/>
      <c r="M741" s="2"/>
    </row>
    <row r="742" ht="12.0" customHeight="1">
      <c r="K742" s="2"/>
      <c r="M742" s="2"/>
    </row>
    <row r="743" ht="12.0" customHeight="1">
      <c r="K743" s="2"/>
      <c r="M743" s="2"/>
    </row>
    <row r="744" ht="12.0" customHeight="1">
      <c r="K744" s="2"/>
      <c r="M744" s="2"/>
    </row>
    <row r="745" ht="12.0" customHeight="1">
      <c r="K745" s="2"/>
      <c r="M745" s="2"/>
    </row>
    <row r="746" ht="12.0" customHeight="1">
      <c r="K746" s="2"/>
      <c r="M746" s="2"/>
    </row>
    <row r="747" ht="12.0" customHeight="1">
      <c r="K747" s="2"/>
      <c r="M747" s="2"/>
    </row>
    <row r="748" ht="12.0" customHeight="1">
      <c r="K748" s="2"/>
      <c r="M748" s="2"/>
    </row>
    <row r="749" ht="12.0" customHeight="1">
      <c r="K749" s="2"/>
      <c r="M749" s="2"/>
    </row>
    <row r="750" ht="12.0" customHeight="1">
      <c r="K750" s="2"/>
      <c r="M750" s="2"/>
    </row>
    <row r="751" ht="12.0" customHeight="1">
      <c r="K751" s="2"/>
      <c r="M751" s="2"/>
    </row>
    <row r="752" ht="12.0" customHeight="1">
      <c r="K752" s="2"/>
      <c r="M752" s="2"/>
    </row>
    <row r="753" ht="12.0" customHeight="1">
      <c r="K753" s="2"/>
      <c r="M753" s="2"/>
    </row>
    <row r="754" ht="12.0" customHeight="1">
      <c r="K754" s="2"/>
      <c r="M754" s="2"/>
    </row>
    <row r="755" ht="12.0" customHeight="1">
      <c r="K755" s="2"/>
      <c r="M755" s="2"/>
    </row>
    <row r="756" ht="12.0" customHeight="1">
      <c r="K756" s="2"/>
      <c r="M756" s="2"/>
    </row>
    <row r="757" ht="12.0" customHeight="1">
      <c r="K757" s="2"/>
      <c r="M757" s="2"/>
    </row>
    <row r="758" ht="12.0" customHeight="1">
      <c r="K758" s="2"/>
      <c r="M758" s="2"/>
    </row>
    <row r="759" ht="12.0" customHeight="1">
      <c r="K759" s="2"/>
      <c r="M759" s="2"/>
    </row>
    <row r="760" ht="12.0" customHeight="1">
      <c r="K760" s="2"/>
      <c r="M760" s="2"/>
    </row>
    <row r="761" ht="12.0" customHeight="1">
      <c r="K761" s="2"/>
      <c r="M761" s="2"/>
    </row>
    <row r="762" ht="12.0" customHeight="1">
      <c r="K762" s="2"/>
      <c r="M762" s="2"/>
    </row>
    <row r="763" ht="12.0" customHeight="1">
      <c r="K763" s="2"/>
      <c r="M763" s="2"/>
    </row>
    <row r="764" ht="12.0" customHeight="1">
      <c r="K764" s="2"/>
      <c r="M764" s="2"/>
    </row>
    <row r="765" ht="12.0" customHeight="1">
      <c r="K765" s="2"/>
      <c r="M765" s="2"/>
    </row>
    <row r="766" ht="12.0" customHeight="1">
      <c r="K766" s="2"/>
      <c r="M766" s="2"/>
    </row>
    <row r="767" ht="12.0" customHeight="1">
      <c r="K767" s="2"/>
      <c r="M767" s="2"/>
    </row>
    <row r="768" ht="12.0" customHeight="1">
      <c r="K768" s="2"/>
      <c r="M768" s="2"/>
    </row>
    <row r="769" ht="12.0" customHeight="1">
      <c r="K769" s="2"/>
      <c r="M769" s="2"/>
    </row>
    <row r="770" ht="12.0" customHeight="1">
      <c r="K770" s="2"/>
      <c r="M770" s="2"/>
    </row>
    <row r="771" ht="12.0" customHeight="1">
      <c r="K771" s="2"/>
      <c r="M771" s="2"/>
    </row>
    <row r="772" ht="12.0" customHeight="1">
      <c r="K772" s="2"/>
      <c r="M772" s="2"/>
    </row>
    <row r="773" ht="12.0" customHeight="1">
      <c r="K773" s="2"/>
      <c r="M773" s="2"/>
    </row>
    <row r="774" ht="12.0" customHeight="1">
      <c r="K774" s="2"/>
      <c r="M774" s="2"/>
    </row>
    <row r="775" ht="12.0" customHeight="1">
      <c r="K775" s="2"/>
      <c r="M775" s="2"/>
    </row>
    <row r="776" ht="12.0" customHeight="1">
      <c r="K776" s="2"/>
      <c r="M776" s="2"/>
    </row>
    <row r="777" ht="12.0" customHeight="1">
      <c r="K777" s="2"/>
      <c r="M777" s="2"/>
    </row>
    <row r="778" ht="12.0" customHeight="1">
      <c r="K778" s="2"/>
      <c r="M778" s="2"/>
    </row>
    <row r="779" ht="12.0" customHeight="1">
      <c r="K779" s="2"/>
      <c r="M779" s="2"/>
    </row>
    <row r="780" ht="12.0" customHeight="1">
      <c r="K780" s="2"/>
      <c r="M780" s="2"/>
    </row>
    <row r="781" ht="12.0" customHeight="1">
      <c r="K781" s="2"/>
      <c r="M781" s="2"/>
    </row>
    <row r="782" ht="12.0" customHeight="1">
      <c r="K782" s="2"/>
      <c r="M782" s="2"/>
    </row>
    <row r="783" ht="12.0" customHeight="1">
      <c r="K783" s="2"/>
      <c r="M783" s="2"/>
    </row>
    <row r="784" ht="12.0" customHeight="1">
      <c r="K784" s="2"/>
      <c r="M784" s="2"/>
    </row>
    <row r="785" ht="12.0" customHeight="1">
      <c r="K785" s="2"/>
      <c r="M785" s="2"/>
    </row>
    <row r="786" ht="12.0" customHeight="1">
      <c r="K786" s="2"/>
      <c r="M786" s="2"/>
    </row>
    <row r="787" ht="12.0" customHeight="1">
      <c r="K787" s="2"/>
      <c r="M787" s="2"/>
    </row>
    <row r="788" ht="12.0" customHeight="1">
      <c r="K788" s="2"/>
      <c r="M788" s="2"/>
    </row>
    <row r="789" ht="12.0" customHeight="1">
      <c r="K789" s="2"/>
      <c r="M789" s="2"/>
    </row>
    <row r="790" ht="12.0" customHeight="1">
      <c r="K790" s="2"/>
      <c r="M790" s="2"/>
    </row>
    <row r="791" ht="12.0" customHeight="1">
      <c r="K791" s="2"/>
      <c r="M791" s="2"/>
    </row>
    <row r="792" ht="12.0" customHeight="1">
      <c r="K792" s="2"/>
      <c r="M792" s="2"/>
    </row>
    <row r="793" ht="12.0" customHeight="1">
      <c r="K793" s="2"/>
      <c r="M793" s="2"/>
    </row>
    <row r="794" ht="12.0" customHeight="1">
      <c r="K794" s="2"/>
      <c r="M794" s="2"/>
    </row>
    <row r="795" ht="12.0" customHeight="1">
      <c r="K795" s="2"/>
      <c r="M795" s="2"/>
    </row>
    <row r="796" ht="12.0" customHeight="1">
      <c r="K796" s="2"/>
      <c r="M796" s="2"/>
    </row>
    <row r="797" ht="12.0" customHeight="1">
      <c r="K797" s="2"/>
      <c r="M797" s="2"/>
    </row>
    <row r="798" ht="12.0" customHeight="1">
      <c r="K798" s="2"/>
      <c r="M798" s="2"/>
    </row>
    <row r="799" ht="12.0" customHeight="1">
      <c r="K799" s="2"/>
      <c r="M799" s="2"/>
    </row>
    <row r="800" ht="12.0" customHeight="1">
      <c r="K800" s="2"/>
      <c r="M800" s="2"/>
    </row>
    <row r="801" ht="12.0" customHeight="1">
      <c r="K801" s="2"/>
      <c r="M801" s="2"/>
    </row>
    <row r="802" ht="12.0" customHeight="1">
      <c r="K802" s="2"/>
      <c r="M802" s="2"/>
    </row>
    <row r="803" ht="12.0" customHeight="1">
      <c r="K803" s="2"/>
      <c r="M803" s="2"/>
    </row>
    <row r="804" ht="12.0" customHeight="1">
      <c r="K804" s="2"/>
      <c r="M804" s="2"/>
    </row>
    <row r="805" ht="12.0" customHeight="1">
      <c r="K805" s="2"/>
      <c r="M805" s="2"/>
    </row>
    <row r="806" ht="12.0" customHeight="1">
      <c r="K806" s="2"/>
      <c r="M806" s="2"/>
    </row>
    <row r="807" ht="12.0" customHeight="1">
      <c r="K807" s="2"/>
      <c r="M807" s="2"/>
    </row>
    <row r="808" ht="12.0" customHeight="1">
      <c r="K808" s="2"/>
      <c r="M808" s="2"/>
    </row>
    <row r="809" ht="12.0" customHeight="1">
      <c r="K809" s="2"/>
      <c r="M809" s="2"/>
    </row>
    <row r="810" ht="12.0" customHeight="1">
      <c r="K810" s="2"/>
      <c r="M810" s="2"/>
    </row>
    <row r="811" ht="12.0" customHeight="1">
      <c r="K811" s="2"/>
      <c r="M811" s="2"/>
    </row>
    <row r="812" ht="12.0" customHeight="1">
      <c r="K812" s="2"/>
      <c r="M812" s="2"/>
    </row>
    <row r="813" ht="12.0" customHeight="1">
      <c r="K813" s="2"/>
      <c r="M813" s="2"/>
    </row>
    <row r="814" ht="12.0" customHeight="1">
      <c r="K814" s="2"/>
      <c r="M814" s="2"/>
    </row>
    <row r="815" ht="12.0" customHeight="1">
      <c r="K815" s="2"/>
      <c r="M815" s="2"/>
    </row>
    <row r="816" ht="12.0" customHeight="1">
      <c r="K816" s="2"/>
      <c r="M816" s="2"/>
    </row>
    <row r="817" ht="12.0" customHeight="1">
      <c r="K817" s="2"/>
      <c r="M817" s="2"/>
    </row>
    <row r="818" ht="12.0" customHeight="1">
      <c r="K818" s="2"/>
      <c r="M818" s="2"/>
    </row>
    <row r="819" ht="12.0" customHeight="1">
      <c r="K819" s="2"/>
      <c r="M819" s="2"/>
    </row>
    <row r="820" ht="12.0" customHeight="1">
      <c r="K820" s="2"/>
      <c r="M820" s="2"/>
    </row>
    <row r="821" ht="12.0" customHeight="1">
      <c r="K821" s="2"/>
      <c r="M821" s="2"/>
    </row>
    <row r="822" ht="12.0" customHeight="1">
      <c r="K822" s="2"/>
      <c r="M822" s="2"/>
    </row>
    <row r="823" ht="12.0" customHeight="1">
      <c r="K823" s="2"/>
      <c r="M823" s="2"/>
    </row>
    <row r="824" ht="12.0" customHeight="1">
      <c r="K824" s="2"/>
      <c r="M824" s="2"/>
    </row>
    <row r="825" ht="12.0" customHeight="1">
      <c r="K825" s="2"/>
      <c r="M825" s="2"/>
    </row>
    <row r="826" ht="12.0" customHeight="1">
      <c r="K826" s="2"/>
      <c r="M826" s="2"/>
    </row>
    <row r="827" ht="12.0" customHeight="1">
      <c r="K827" s="2"/>
      <c r="M827" s="2"/>
    </row>
    <row r="828" ht="12.0" customHeight="1">
      <c r="K828" s="2"/>
      <c r="M828" s="2"/>
    </row>
    <row r="829" ht="12.0" customHeight="1">
      <c r="K829" s="2"/>
      <c r="M829" s="2"/>
    </row>
    <row r="830" ht="12.0" customHeight="1">
      <c r="K830" s="2"/>
      <c r="M830" s="2"/>
    </row>
    <row r="831" ht="12.0" customHeight="1">
      <c r="K831" s="2"/>
      <c r="M831" s="2"/>
    </row>
    <row r="832" ht="12.0" customHeight="1">
      <c r="K832" s="2"/>
      <c r="M832" s="2"/>
    </row>
    <row r="833" ht="12.0" customHeight="1">
      <c r="K833" s="2"/>
      <c r="M833" s="2"/>
    </row>
    <row r="834" ht="12.0" customHeight="1">
      <c r="K834" s="2"/>
      <c r="M834" s="2"/>
    </row>
    <row r="835" ht="12.0" customHeight="1">
      <c r="K835" s="2"/>
      <c r="M835" s="2"/>
    </row>
    <row r="836" ht="12.0" customHeight="1">
      <c r="K836" s="2"/>
      <c r="M836" s="2"/>
    </row>
    <row r="837" ht="12.0" customHeight="1">
      <c r="K837" s="2"/>
      <c r="M837" s="2"/>
    </row>
    <row r="838" ht="12.0" customHeight="1">
      <c r="K838" s="2"/>
      <c r="M838" s="2"/>
    </row>
    <row r="839" ht="12.0" customHeight="1">
      <c r="K839" s="2"/>
      <c r="M839" s="2"/>
    </row>
    <row r="840" ht="12.0" customHeight="1">
      <c r="K840" s="2"/>
      <c r="M840" s="2"/>
    </row>
    <row r="841" ht="12.0" customHeight="1">
      <c r="K841" s="2"/>
      <c r="M841" s="2"/>
    </row>
    <row r="842" ht="12.0" customHeight="1">
      <c r="K842" s="2"/>
      <c r="M842" s="2"/>
    </row>
    <row r="843" ht="12.0" customHeight="1">
      <c r="K843" s="2"/>
      <c r="M843" s="2"/>
    </row>
    <row r="844" ht="12.0" customHeight="1">
      <c r="K844" s="2"/>
      <c r="M844" s="2"/>
    </row>
    <row r="845" ht="12.0" customHeight="1">
      <c r="K845" s="2"/>
      <c r="M845" s="2"/>
    </row>
    <row r="846" ht="12.0" customHeight="1">
      <c r="K846" s="2"/>
      <c r="M846" s="2"/>
    </row>
    <row r="847" ht="12.0" customHeight="1">
      <c r="K847" s="2"/>
      <c r="M847" s="2"/>
    </row>
    <row r="848" ht="12.0" customHeight="1">
      <c r="K848" s="2"/>
      <c r="M848" s="2"/>
    </row>
    <row r="849" ht="12.0" customHeight="1">
      <c r="K849" s="2"/>
      <c r="M849" s="2"/>
    </row>
    <row r="850" ht="12.0" customHeight="1">
      <c r="K850" s="2"/>
      <c r="M850" s="2"/>
    </row>
    <row r="851" ht="12.0" customHeight="1">
      <c r="K851" s="2"/>
      <c r="M851" s="2"/>
    </row>
    <row r="852" ht="12.0" customHeight="1">
      <c r="K852" s="2"/>
      <c r="M852" s="2"/>
    </row>
    <row r="853" ht="12.0" customHeight="1">
      <c r="K853" s="2"/>
      <c r="M853" s="2"/>
    </row>
    <row r="854" ht="12.0" customHeight="1">
      <c r="K854" s="2"/>
      <c r="M854" s="2"/>
    </row>
    <row r="855" ht="12.0" customHeight="1">
      <c r="K855" s="2"/>
      <c r="M855" s="2"/>
    </row>
    <row r="856" ht="12.0" customHeight="1">
      <c r="K856" s="2"/>
      <c r="M856" s="2"/>
    </row>
    <row r="857" ht="12.0" customHeight="1">
      <c r="K857" s="2"/>
      <c r="M857" s="2"/>
    </row>
    <row r="858" ht="12.0" customHeight="1">
      <c r="K858" s="2"/>
      <c r="M858" s="2"/>
    </row>
    <row r="859" ht="12.0" customHeight="1">
      <c r="K859" s="2"/>
      <c r="M859" s="2"/>
    </row>
    <row r="860" ht="12.0" customHeight="1">
      <c r="K860" s="2"/>
      <c r="M860" s="2"/>
    </row>
    <row r="861" ht="12.0" customHeight="1">
      <c r="K861" s="2"/>
      <c r="M861" s="2"/>
    </row>
    <row r="862" ht="12.0" customHeight="1">
      <c r="K862" s="2"/>
      <c r="M862" s="2"/>
    </row>
    <row r="863" ht="12.0" customHeight="1">
      <c r="K863" s="2"/>
      <c r="M863" s="2"/>
    </row>
    <row r="864" ht="12.0" customHeight="1">
      <c r="K864" s="2"/>
      <c r="M864" s="2"/>
    </row>
    <row r="865" ht="12.0" customHeight="1">
      <c r="K865" s="2"/>
      <c r="M865" s="2"/>
    </row>
    <row r="866" ht="12.0" customHeight="1">
      <c r="K866" s="2"/>
      <c r="M866" s="2"/>
    </row>
    <row r="867" ht="12.0" customHeight="1">
      <c r="K867" s="2"/>
      <c r="M867" s="2"/>
    </row>
    <row r="868" ht="12.0" customHeight="1">
      <c r="K868" s="2"/>
      <c r="M868" s="2"/>
    </row>
    <row r="869" ht="12.0" customHeight="1">
      <c r="K869" s="2"/>
      <c r="M869" s="2"/>
    </row>
    <row r="870" ht="12.0" customHeight="1">
      <c r="K870" s="2"/>
      <c r="M870" s="2"/>
    </row>
    <row r="871" ht="12.0" customHeight="1">
      <c r="K871" s="2"/>
      <c r="M871" s="2"/>
    </row>
    <row r="872" ht="12.0" customHeight="1">
      <c r="K872" s="2"/>
      <c r="M872" s="2"/>
    </row>
    <row r="873" ht="12.0" customHeight="1">
      <c r="K873" s="2"/>
      <c r="M873" s="2"/>
    </row>
    <row r="874" ht="12.0" customHeight="1">
      <c r="K874" s="2"/>
      <c r="M874" s="2"/>
    </row>
    <row r="875" ht="12.0" customHeight="1">
      <c r="K875" s="2"/>
      <c r="M875" s="2"/>
    </row>
    <row r="876" ht="12.0" customHeight="1">
      <c r="K876" s="2"/>
      <c r="M876" s="2"/>
    </row>
    <row r="877" ht="12.0" customHeight="1">
      <c r="K877" s="2"/>
      <c r="M877" s="2"/>
    </row>
    <row r="878" ht="12.0" customHeight="1">
      <c r="K878" s="2"/>
      <c r="M878" s="2"/>
    </row>
    <row r="879" ht="12.0" customHeight="1">
      <c r="K879" s="2"/>
      <c r="M879" s="2"/>
    </row>
    <row r="880" ht="12.0" customHeight="1">
      <c r="K880" s="2"/>
      <c r="M880" s="2"/>
    </row>
    <row r="881" ht="12.0" customHeight="1">
      <c r="K881" s="2"/>
      <c r="M881" s="2"/>
    </row>
    <row r="882" ht="12.0" customHeight="1">
      <c r="K882" s="2"/>
      <c r="M882" s="2"/>
    </row>
    <row r="883" ht="12.0" customHeight="1">
      <c r="K883" s="2"/>
      <c r="M883" s="2"/>
    </row>
    <row r="884" ht="12.0" customHeight="1">
      <c r="K884" s="2"/>
      <c r="M884" s="2"/>
    </row>
    <row r="885" ht="12.0" customHeight="1">
      <c r="K885" s="2"/>
      <c r="M885" s="2"/>
    </row>
    <row r="886" ht="12.0" customHeight="1">
      <c r="K886" s="2"/>
      <c r="M886" s="2"/>
    </row>
    <row r="887" ht="12.0" customHeight="1">
      <c r="K887" s="2"/>
      <c r="M887" s="2"/>
    </row>
    <row r="888" ht="12.0" customHeight="1">
      <c r="K888" s="2"/>
      <c r="M888" s="2"/>
    </row>
    <row r="889" ht="12.0" customHeight="1">
      <c r="K889" s="2"/>
      <c r="M889" s="2"/>
    </row>
    <row r="890" ht="12.0" customHeight="1">
      <c r="K890" s="2"/>
      <c r="M890" s="2"/>
    </row>
    <row r="891" ht="12.0" customHeight="1">
      <c r="K891" s="2"/>
      <c r="M891" s="2"/>
    </row>
    <row r="892" ht="12.0" customHeight="1">
      <c r="K892" s="2"/>
      <c r="M892" s="2"/>
    </row>
    <row r="893" ht="12.0" customHeight="1">
      <c r="K893" s="2"/>
      <c r="M893" s="2"/>
    </row>
    <row r="894" ht="12.0" customHeight="1">
      <c r="K894" s="2"/>
      <c r="M894" s="2"/>
    </row>
    <row r="895" ht="12.0" customHeight="1">
      <c r="K895" s="2"/>
      <c r="M895" s="2"/>
    </row>
    <row r="896" ht="12.0" customHeight="1">
      <c r="K896" s="2"/>
      <c r="M896" s="2"/>
    </row>
    <row r="897" ht="12.0" customHeight="1">
      <c r="K897" s="2"/>
      <c r="M897" s="2"/>
    </row>
    <row r="898" ht="12.0" customHeight="1">
      <c r="K898" s="2"/>
      <c r="M898" s="2"/>
    </row>
    <row r="899" ht="12.0" customHeight="1">
      <c r="K899" s="2"/>
      <c r="M899" s="2"/>
    </row>
    <row r="900" ht="12.0" customHeight="1">
      <c r="K900" s="2"/>
      <c r="M900" s="2"/>
    </row>
    <row r="901" ht="12.0" customHeight="1">
      <c r="K901" s="2"/>
      <c r="M901" s="2"/>
    </row>
    <row r="902" ht="12.0" customHeight="1">
      <c r="K902" s="2"/>
      <c r="M902" s="2"/>
    </row>
    <row r="903" ht="12.0" customHeight="1">
      <c r="K903" s="2"/>
      <c r="M903" s="2"/>
    </row>
    <row r="904" ht="12.0" customHeight="1">
      <c r="K904" s="2"/>
      <c r="M904" s="2"/>
    </row>
    <row r="905" ht="12.0" customHeight="1">
      <c r="K905" s="2"/>
      <c r="M905" s="2"/>
    </row>
    <row r="906" ht="12.0" customHeight="1">
      <c r="K906" s="2"/>
      <c r="M906" s="2"/>
    </row>
    <row r="907" ht="12.0" customHeight="1">
      <c r="K907" s="2"/>
      <c r="M907" s="2"/>
    </row>
    <row r="908" ht="12.0" customHeight="1">
      <c r="K908" s="2"/>
      <c r="M908" s="2"/>
    </row>
    <row r="909" ht="12.0" customHeight="1">
      <c r="K909" s="2"/>
      <c r="M909" s="2"/>
    </row>
    <row r="910" ht="12.0" customHeight="1">
      <c r="K910" s="2"/>
      <c r="M910" s="2"/>
    </row>
    <row r="911" ht="12.0" customHeight="1">
      <c r="K911" s="2"/>
      <c r="M911" s="2"/>
    </row>
    <row r="912" ht="12.0" customHeight="1">
      <c r="K912" s="2"/>
      <c r="M912" s="2"/>
    </row>
    <row r="913" ht="12.0" customHeight="1">
      <c r="K913" s="2"/>
      <c r="M913" s="2"/>
    </row>
    <row r="914" ht="12.0" customHeight="1">
      <c r="K914" s="2"/>
      <c r="M914" s="2"/>
    </row>
    <row r="915" ht="12.0" customHeight="1">
      <c r="K915" s="2"/>
      <c r="M915" s="2"/>
    </row>
    <row r="916" ht="12.0" customHeight="1">
      <c r="K916" s="2"/>
      <c r="M916" s="2"/>
    </row>
    <row r="917" ht="12.0" customHeight="1">
      <c r="K917" s="2"/>
      <c r="M917" s="2"/>
    </row>
    <row r="918" ht="12.0" customHeight="1">
      <c r="K918" s="2"/>
      <c r="M918" s="2"/>
    </row>
    <row r="919" ht="12.0" customHeight="1">
      <c r="K919" s="2"/>
      <c r="M919" s="2"/>
    </row>
    <row r="920" ht="12.0" customHeight="1">
      <c r="K920" s="2"/>
      <c r="M920" s="2"/>
    </row>
    <row r="921" ht="12.0" customHeight="1">
      <c r="K921" s="2"/>
      <c r="M921" s="2"/>
    </row>
    <row r="922" ht="12.0" customHeight="1">
      <c r="K922" s="2"/>
      <c r="M922" s="2"/>
    </row>
    <row r="923" ht="12.0" customHeight="1">
      <c r="K923" s="2"/>
      <c r="M923" s="2"/>
    </row>
    <row r="924" ht="12.0" customHeight="1">
      <c r="K924" s="2"/>
      <c r="M924" s="2"/>
    </row>
    <row r="925" ht="12.0" customHeight="1">
      <c r="K925" s="2"/>
      <c r="M925" s="2"/>
    </row>
    <row r="926" ht="12.0" customHeight="1">
      <c r="K926" s="2"/>
      <c r="M926" s="2"/>
    </row>
    <row r="927" ht="12.0" customHeight="1">
      <c r="K927" s="2"/>
      <c r="M927" s="2"/>
    </row>
    <row r="928" ht="12.0" customHeight="1">
      <c r="K928" s="2"/>
      <c r="M928" s="2"/>
    </row>
    <row r="929" ht="12.0" customHeight="1">
      <c r="K929" s="2"/>
      <c r="M929" s="2"/>
    </row>
    <row r="930" ht="12.0" customHeight="1">
      <c r="K930" s="2"/>
      <c r="M930" s="2"/>
    </row>
    <row r="931" ht="12.0" customHeight="1">
      <c r="K931" s="2"/>
      <c r="M931" s="2"/>
    </row>
    <row r="932" ht="12.0" customHeight="1">
      <c r="K932" s="2"/>
      <c r="M932" s="2"/>
    </row>
    <row r="933" ht="12.0" customHeight="1">
      <c r="K933" s="2"/>
      <c r="M933" s="2"/>
    </row>
    <row r="934" ht="12.0" customHeight="1">
      <c r="K934" s="2"/>
      <c r="M934" s="2"/>
    </row>
    <row r="935" ht="12.0" customHeight="1">
      <c r="K935" s="2"/>
      <c r="M935" s="2"/>
    </row>
    <row r="936" ht="12.0" customHeight="1">
      <c r="K936" s="2"/>
      <c r="M936" s="2"/>
    </row>
    <row r="937" ht="12.0" customHeight="1">
      <c r="K937" s="2"/>
      <c r="M937" s="2"/>
    </row>
    <row r="938" ht="12.0" customHeight="1">
      <c r="K938" s="2"/>
      <c r="M938" s="2"/>
    </row>
    <row r="939" ht="12.0" customHeight="1">
      <c r="K939" s="2"/>
      <c r="M939" s="2"/>
    </row>
    <row r="940" ht="12.0" customHeight="1">
      <c r="K940" s="2"/>
      <c r="M940" s="2"/>
    </row>
    <row r="941" ht="12.0" customHeight="1">
      <c r="K941" s="2"/>
      <c r="M941" s="2"/>
    </row>
    <row r="942" ht="12.0" customHeight="1">
      <c r="K942" s="2"/>
      <c r="M942" s="2"/>
    </row>
    <row r="943" ht="12.0" customHeight="1">
      <c r="K943" s="2"/>
      <c r="M943" s="2"/>
    </row>
    <row r="944" ht="12.0" customHeight="1">
      <c r="K944" s="2"/>
      <c r="M944" s="2"/>
    </row>
    <row r="945" ht="12.0" customHeight="1">
      <c r="K945" s="2"/>
      <c r="M945" s="2"/>
    </row>
    <row r="946" ht="12.0" customHeight="1">
      <c r="K946" s="2"/>
      <c r="M946" s="2"/>
    </row>
    <row r="947" ht="12.0" customHeight="1">
      <c r="K947" s="2"/>
      <c r="M947" s="2"/>
    </row>
    <row r="948" ht="12.0" customHeight="1">
      <c r="K948" s="2"/>
      <c r="M948" s="2"/>
    </row>
    <row r="949" ht="12.0" customHeight="1">
      <c r="K949" s="2"/>
      <c r="M949" s="2"/>
    </row>
    <row r="950" ht="12.0" customHeight="1">
      <c r="K950" s="2"/>
      <c r="M950" s="2"/>
    </row>
    <row r="951" ht="12.0" customHeight="1">
      <c r="K951" s="2"/>
      <c r="M951" s="2"/>
    </row>
    <row r="952" ht="12.0" customHeight="1">
      <c r="K952" s="2"/>
      <c r="M952" s="2"/>
    </row>
    <row r="953" ht="12.0" customHeight="1">
      <c r="K953" s="2"/>
      <c r="M953" s="2"/>
    </row>
    <row r="954" ht="12.0" customHeight="1">
      <c r="K954" s="2"/>
      <c r="M954" s="2"/>
    </row>
    <row r="955" ht="12.0" customHeight="1">
      <c r="K955" s="2"/>
      <c r="M955" s="2"/>
    </row>
    <row r="956" ht="12.0" customHeight="1">
      <c r="K956" s="2"/>
      <c r="M956" s="2"/>
    </row>
    <row r="957" ht="12.0" customHeight="1">
      <c r="K957" s="2"/>
      <c r="M957" s="2"/>
    </row>
    <row r="958" ht="12.0" customHeight="1">
      <c r="K958" s="2"/>
      <c r="M958" s="2"/>
    </row>
    <row r="959" ht="12.0" customHeight="1">
      <c r="K959" s="2"/>
      <c r="M959" s="2"/>
    </row>
    <row r="960" ht="12.0" customHeight="1">
      <c r="K960" s="2"/>
      <c r="M960" s="2"/>
    </row>
    <row r="961" ht="12.0" customHeight="1">
      <c r="K961" s="2"/>
      <c r="M961" s="2"/>
    </row>
    <row r="962" ht="12.0" customHeight="1">
      <c r="K962" s="2"/>
      <c r="M962" s="2"/>
    </row>
    <row r="963" ht="12.0" customHeight="1">
      <c r="K963" s="2"/>
      <c r="M963" s="2"/>
    </row>
    <row r="964" ht="12.0" customHeight="1">
      <c r="K964" s="2"/>
      <c r="M964" s="2"/>
    </row>
    <row r="965" ht="12.0" customHeight="1">
      <c r="K965" s="2"/>
      <c r="M965" s="2"/>
    </row>
    <row r="966" ht="12.0" customHeight="1">
      <c r="K966" s="2"/>
      <c r="M966" s="2"/>
    </row>
    <row r="967" ht="12.0" customHeight="1">
      <c r="K967" s="2"/>
      <c r="M967" s="2"/>
    </row>
    <row r="968" ht="12.0" customHeight="1">
      <c r="K968" s="2"/>
      <c r="M968" s="2"/>
    </row>
    <row r="969" ht="12.0" customHeight="1">
      <c r="K969" s="2"/>
      <c r="M969" s="2"/>
    </row>
    <row r="970" ht="12.0" customHeight="1">
      <c r="K970" s="2"/>
      <c r="M970" s="2"/>
    </row>
    <row r="971" ht="12.0" customHeight="1">
      <c r="K971" s="2"/>
      <c r="M971" s="2"/>
    </row>
    <row r="972" ht="12.0" customHeight="1">
      <c r="K972" s="2"/>
      <c r="M972" s="2"/>
    </row>
    <row r="973" ht="12.0" customHeight="1">
      <c r="K973" s="2"/>
      <c r="M973" s="2"/>
    </row>
    <row r="974" ht="12.0" customHeight="1">
      <c r="K974" s="2"/>
      <c r="M974" s="2"/>
    </row>
    <row r="975" ht="12.0" customHeight="1">
      <c r="K975" s="2"/>
      <c r="M975" s="2"/>
    </row>
    <row r="976" ht="12.0" customHeight="1">
      <c r="K976" s="2"/>
      <c r="M976" s="2"/>
    </row>
    <row r="977" ht="12.0" customHeight="1">
      <c r="K977" s="2"/>
      <c r="M977" s="2"/>
    </row>
    <row r="978" ht="12.0" customHeight="1">
      <c r="K978" s="2"/>
      <c r="M978" s="2"/>
    </row>
    <row r="979" ht="12.0" customHeight="1">
      <c r="K979" s="2"/>
      <c r="M979" s="2"/>
    </row>
    <row r="980" ht="12.0" customHeight="1">
      <c r="K980" s="2"/>
      <c r="M980" s="2"/>
    </row>
    <row r="981" ht="12.0" customHeight="1">
      <c r="K981" s="2"/>
      <c r="M981" s="2"/>
    </row>
    <row r="982" ht="12.0" customHeight="1">
      <c r="K982" s="2"/>
      <c r="M982" s="2"/>
    </row>
    <row r="983" ht="12.0" customHeight="1">
      <c r="K983" s="2"/>
      <c r="M983" s="2"/>
    </row>
    <row r="984" ht="12.0" customHeight="1">
      <c r="K984" s="2"/>
      <c r="M984" s="2"/>
    </row>
    <row r="985" ht="12.0" customHeight="1">
      <c r="K985" s="2"/>
      <c r="M985" s="2"/>
    </row>
    <row r="986" ht="12.0" customHeight="1">
      <c r="K986" s="2"/>
      <c r="M986" s="2"/>
    </row>
    <row r="987" ht="12.0" customHeight="1">
      <c r="K987" s="2"/>
      <c r="M987" s="2"/>
    </row>
    <row r="988" ht="12.0" customHeight="1">
      <c r="K988" s="2"/>
      <c r="M988" s="2"/>
    </row>
    <row r="989" ht="12.0" customHeight="1">
      <c r="K989" s="2"/>
      <c r="M989" s="2"/>
    </row>
    <row r="990" ht="12.0" customHeight="1">
      <c r="K990" s="2"/>
      <c r="M990" s="2"/>
    </row>
    <row r="991" ht="12.0" customHeight="1">
      <c r="K991" s="2"/>
      <c r="M991" s="2"/>
    </row>
    <row r="992" ht="12.0" customHeight="1">
      <c r="K992" s="2"/>
      <c r="M992" s="2"/>
    </row>
    <row r="993" ht="12.0" customHeight="1">
      <c r="K993" s="2"/>
      <c r="M993" s="2"/>
    </row>
    <row r="994" ht="12.0" customHeight="1">
      <c r="K994" s="2"/>
      <c r="M994" s="2"/>
    </row>
    <row r="995" ht="12.0" customHeight="1">
      <c r="K995" s="2"/>
      <c r="M995" s="2"/>
    </row>
    <row r="996" ht="12.0" customHeight="1">
      <c r="K996" s="2"/>
      <c r="M996" s="2"/>
    </row>
    <row r="997" ht="12.0" customHeight="1">
      <c r="K997" s="2"/>
      <c r="M997" s="2"/>
    </row>
    <row r="998" ht="12.0" customHeight="1">
      <c r="K998" s="2"/>
      <c r="M998" s="2"/>
    </row>
    <row r="999" ht="12.0" customHeight="1">
      <c r="K999" s="2"/>
      <c r="M999" s="2"/>
    </row>
    <row r="1000" ht="12.0" customHeight="1">
      <c r="K1000" s="2"/>
      <c r="M1000" s="2"/>
    </row>
    <row r="1001" ht="12.0" customHeight="1">
      <c r="K1001" s="2"/>
      <c r="M1001" s="2"/>
    </row>
    <row r="1002" ht="12.0" customHeight="1">
      <c r="K1002" s="2"/>
      <c r="M1002" s="2"/>
    </row>
  </sheetData>
  <mergeCells count="3">
    <mergeCell ref="J7:K7"/>
    <mergeCell ref="L7:M7"/>
    <mergeCell ref="F8:H8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1 J44 J53 J60 J63 J67 J70 J73 J76 J82 J89">
      <formula1>"YES,NO"</formula1>
    </dataValidation>
    <dataValidation type="list" allowBlank="1" showErrorMessage="1" sqref="L17:L18 L21 L26 L31 L35 L38 L41 L44 L47 L53 L56 L60 L63 L67 L70 L73 L76 L82">
      <formula1>"DELAPIDATED,POOR,FAIR,GOOD,VERY GOOD,EXCELLENT,NOT APPLICABLE"</formula1>
    </dataValidation>
    <dataValidation type="list" allowBlank="1" showErrorMessage="1" sqref="J56">
      <formula1>"STEEL WINDOW FRAMES,ALUMINIUM WINDOW FRAMES,NO WINDOWS FITTED"</formula1>
    </dataValidation>
    <dataValidation type="list" allowBlank="1" showErrorMessage="1" sqref="J47">
      <formula1>"VINYL FLOORING,TILING FLOORING,NO FLOORING"</formula1>
    </dataValidation>
    <dataValidation type="list" allowBlank="1" showErrorMessage="1" sqref="J12">
      <formula1>"2010-2013,2014-2021,2021-2023"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24.25"/>
    <col customWidth="1" min="4" max="4" width="28.38"/>
    <col customWidth="1" min="5" max="7" width="22.63"/>
    <col customWidth="1" min="8" max="8" width="0.25"/>
    <col customWidth="1" min="9" max="9" width="22.88"/>
    <col customWidth="1" min="10" max="10" width="17.13"/>
    <col customWidth="1" hidden="1" min="11" max="11" width="24.88"/>
    <col customWidth="1" hidden="1" min="12" max="12" width="29.38"/>
    <col customWidth="1" hidden="1" min="13" max="13" width="25.38"/>
    <col customWidth="1" min="14" max="14" width="21.63"/>
    <col customWidth="1" min="15" max="15" width="15.63"/>
    <col customWidth="1" min="16" max="26" width="9.13"/>
  </cols>
  <sheetData>
    <row r="1" ht="12.0" customHeight="1">
      <c r="B1" s="1"/>
      <c r="J1" s="151"/>
      <c r="O1" s="151"/>
    </row>
    <row r="2" ht="12.0" customHeight="1">
      <c r="B2" s="1"/>
      <c r="J2" s="151"/>
      <c r="O2" s="151"/>
    </row>
    <row r="3" ht="12.0" customHeight="1">
      <c r="B3" s="1"/>
      <c r="C3" s="4" t="s">
        <v>168</v>
      </c>
      <c r="J3" s="151"/>
      <c r="O3" s="151"/>
    </row>
    <row r="4" ht="36.0" customHeight="1">
      <c r="B4" s="1"/>
      <c r="C4" s="4"/>
      <c r="J4" s="151"/>
      <c r="O4" s="151"/>
    </row>
    <row r="5" ht="36.0" customHeight="1">
      <c r="B5" s="1"/>
      <c r="C5" s="4"/>
      <c r="J5" s="151"/>
      <c r="O5" s="151"/>
    </row>
    <row r="6" ht="30.0" customHeight="1">
      <c r="B6" s="1"/>
      <c r="C6" s="152"/>
      <c r="I6" s="6" t="s">
        <v>2</v>
      </c>
      <c r="J6" s="7"/>
      <c r="N6" s="8" t="s">
        <v>3</v>
      </c>
      <c r="O6" s="7"/>
    </row>
    <row r="7" ht="49.5" hidden="1" customHeight="1">
      <c r="B7" s="1"/>
      <c r="C7" s="537" t="s">
        <v>121</v>
      </c>
      <c r="D7" s="539"/>
      <c r="E7" s="539"/>
      <c r="F7" s="539"/>
      <c r="G7" s="539"/>
      <c r="H7" s="539"/>
      <c r="I7" s="636"/>
      <c r="J7" s="637"/>
      <c r="K7" s="158"/>
      <c r="L7" s="159"/>
      <c r="M7" s="160"/>
      <c r="N7" s="161"/>
      <c r="O7" s="151"/>
    </row>
    <row r="8" ht="58.5" customHeight="1">
      <c r="A8" s="20"/>
      <c r="B8" s="167" t="s">
        <v>6</v>
      </c>
      <c r="C8" s="167" t="s">
        <v>7</v>
      </c>
      <c r="D8" s="361" t="s">
        <v>8</v>
      </c>
      <c r="E8" s="362" t="s">
        <v>9</v>
      </c>
      <c r="F8" s="362" t="s">
        <v>10</v>
      </c>
      <c r="G8" s="362" t="s">
        <v>11</v>
      </c>
      <c r="H8" s="363" t="s">
        <v>12</v>
      </c>
      <c r="I8" s="817" t="s">
        <v>13</v>
      </c>
      <c r="J8" s="24" t="s">
        <v>14</v>
      </c>
      <c r="K8" s="641" t="s">
        <v>15</v>
      </c>
      <c r="L8" s="642" t="s">
        <v>16</v>
      </c>
      <c r="M8" s="643" t="s">
        <v>17</v>
      </c>
      <c r="N8" s="31" t="s">
        <v>18</v>
      </c>
      <c r="O8" s="24" t="s">
        <v>14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30.0" hidden="1" customHeight="1">
      <c r="A9" s="20"/>
      <c r="B9" s="174"/>
      <c r="C9" s="174"/>
      <c r="D9" s="37"/>
      <c r="E9" s="176">
        <v>3.0</v>
      </c>
      <c r="F9" s="176">
        <v>2.0</v>
      </c>
      <c r="G9" s="176">
        <v>1.0</v>
      </c>
      <c r="H9" s="277"/>
      <c r="I9" s="278"/>
      <c r="J9" s="450"/>
      <c r="K9" s="180"/>
      <c r="L9" s="181"/>
      <c r="M9" s="182"/>
      <c r="N9" s="20"/>
      <c r="O9" s="818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0.0" customHeight="1">
      <c r="A10" s="34"/>
      <c r="B10" s="35"/>
      <c r="C10" s="819" t="s">
        <v>19</v>
      </c>
      <c r="D10" s="48"/>
      <c r="E10" s="820"/>
      <c r="F10" s="820"/>
      <c r="G10" s="820"/>
      <c r="H10" s="39"/>
      <c r="I10" s="40">
        <v>500.0</v>
      </c>
      <c r="J10" s="228"/>
      <c r="K10" s="821" t="str">
        <f t="shared" ref="K10:K11" si="1">AVERAGE(#REF!)</f>
        <v>#REF!</v>
      </c>
      <c r="L10" s="224">
        <v>306.666666666667</v>
      </c>
      <c r="M10" s="612"/>
      <c r="N10" s="193"/>
      <c r="O10" s="191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30.0" hidden="1" customHeight="1">
      <c r="A11" s="17"/>
      <c r="B11" s="61"/>
      <c r="C11" s="822" t="s">
        <v>169</v>
      </c>
      <c r="D11" s="54"/>
      <c r="E11" s="185"/>
      <c r="F11" s="185"/>
      <c r="G11" s="185"/>
      <c r="H11" s="56"/>
      <c r="I11" s="823"/>
      <c r="J11" s="197"/>
      <c r="K11" s="190" t="str">
        <f t="shared" si="1"/>
        <v>#REF!</v>
      </c>
      <c r="L11" s="191">
        <v>345.833333333333</v>
      </c>
      <c r="M11" s="193"/>
      <c r="N11" s="193"/>
      <c r="O11" s="191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customHeight="1">
      <c r="A12" s="17"/>
      <c r="B12" s="61"/>
      <c r="C12" s="194" t="s">
        <v>20</v>
      </c>
      <c r="D12" s="54"/>
      <c r="E12" s="186"/>
      <c r="F12" s="186"/>
      <c r="G12" s="186"/>
      <c r="H12" s="56"/>
      <c r="I12" s="824" t="s">
        <v>9</v>
      </c>
      <c r="J12" s="197"/>
      <c r="K12" s="190"/>
      <c r="L12" s="191"/>
      <c r="M12" s="193"/>
      <c r="N12" s="193"/>
      <c r="O12" s="191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hidden="1" customHeight="1">
      <c r="A13" s="17"/>
      <c r="B13" s="61"/>
      <c r="C13" s="198"/>
      <c r="D13" s="54"/>
      <c r="E13" s="186"/>
      <c r="F13" s="186"/>
      <c r="G13" s="186"/>
      <c r="H13" s="56"/>
      <c r="I13" s="57"/>
      <c r="J13" s="58"/>
      <c r="K13" s="199"/>
      <c r="L13" s="14"/>
      <c r="M13" s="701"/>
      <c r="N13" s="17"/>
      <c r="O13" s="825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hidden="1" customHeight="1">
      <c r="A14" s="17"/>
      <c r="B14" s="61"/>
      <c r="C14" s="198"/>
      <c r="D14" s="17"/>
      <c r="E14" s="186"/>
      <c r="F14" s="186"/>
      <c r="G14" s="186"/>
      <c r="H14" s="56"/>
      <c r="I14" s="57"/>
      <c r="J14" s="58"/>
      <c r="K14" s="199"/>
      <c r="L14" s="14"/>
      <c r="M14" s="701"/>
      <c r="N14" s="17"/>
      <c r="O14" s="82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hidden="1" customHeight="1">
      <c r="A15" s="17"/>
      <c r="B15" s="61"/>
      <c r="C15" s="198"/>
      <c r="D15" s="185"/>
      <c r="E15" s="186"/>
      <c r="F15" s="186"/>
      <c r="G15" s="186"/>
      <c r="H15" s="56"/>
      <c r="I15" s="57"/>
      <c r="J15" s="58"/>
      <c r="K15" s="199"/>
      <c r="L15" s="14"/>
      <c r="M15" s="701"/>
      <c r="N15" s="17"/>
      <c r="O15" s="82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hidden="1" customHeight="1">
      <c r="A16" s="17"/>
      <c r="B16" s="61"/>
      <c r="C16" s="198"/>
      <c r="D16" s="63">
        <v>1.24</v>
      </c>
      <c r="E16" s="186"/>
      <c r="F16" s="203">
        <v>1.25</v>
      </c>
      <c r="G16" s="203">
        <v>1.32</v>
      </c>
      <c r="H16" s="56"/>
      <c r="I16" s="56"/>
      <c r="J16" s="58"/>
      <c r="K16" s="199"/>
      <c r="L16" s="14"/>
      <c r="M16" s="701"/>
      <c r="N16" s="17"/>
      <c r="O16" s="82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/>
      <c r="E17" s="67">
        <f>752.717391304348*D16</f>
        <v>933.3695652</v>
      </c>
      <c r="F17" s="67">
        <f t="shared" ref="F17:F55" si="2">E17/$F$16</f>
        <v>746.6956522</v>
      </c>
      <c r="G17" s="67">
        <f t="shared" ref="G17:G55" si="3">E17/$G$16</f>
        <v>707.0981555</v>
      </c>
      <c r="H17" s="68"/>
      <c r="I17" s="68"/>
      <c r="J17" s="70">
        <f>IF(I12="2010-2013",I10*G17,IF(I12="2014-2021",I10*F17,IF(I12="2021-2023",I10*E17,-2)))</f>
        <v>466684.7826</v>
      </c>
      <c r="K17" s="199" t="str">
        <f t="shared" ref="K17:K18" si="4">AVERAGE(#REF!)</f>
        <v>#REF!</v>
      </c>
      <c r="L17" s="205">
        <v>230833.333333333</v>
      </c>
      <c r="M17" s="206">
        <f t="shared" ref="M17:M18" si="5">L17/$L$10</f>
        <v>752.7173913</v>
      </c>
      <c r="N17" s="207" t="s">
        <v>23</v>
      </c>
      <c r="O17" s="801">
        <f t="shared" ref="O17:O18" si="6">IF(N17="Delapidated",J17*0.6,IF(N17="Poor",J17*0.7,IF(N17="Fair",J17*0.8,IF(N17="Good",J17*0.85,IF(N17="Very Good",J17*0.9,IF(N17="Excellent",J17*1,IF(N17="Not Applicable",J17*1,0)))))))</f>
        <v>466684.7826</v>
      </c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3">
        <f>B17+1</f>
        <v>2</v>
      </c>
      <c r="C18" s="208" t="s">
        <v>24</v>
      </c>
      <c r="D18" s="66"/>
      <c r="E18" s="209"/>
      <c r="F18" s="67">
        <f t="shared" si="2"/>
        <v>0</v>
      </c>
      <c r="G18" s="67">
        <f t="shared" si="3"/>
        <v>0</v>
      </c>
      <c r="H18" s="68"/>
      <c r="I18" s="72" t="s">
        <v>25</v>
      </c>
      <c r="J18" s="70">
        <f>IF(I18="YES",IF(I12="2010-2013",G19*$I$10,IF(I12="2014-2021",F19*$I$10,IF(I12="2021-2023",E19*$I$10,0))),0)</f>
        <v>79521.73913</v>
      </c>
      <c r="K18" s="199" t="str">
        <f t="shared" si="4"/>
        <v>#REF!</v>
      </c>
      <c r="L18" s="205">
        <v>39333.3333333333</v>
      </c>
      <c r="M18" s="206">
        <f t="shared" si="5"/>
        <v>128.2608696</v>
      </c>
      <c r="N18" s="207" t="s">
        <v>23</v>
      </c>
      <c r="O18" s="801">
        <f t="shared" si="6"/>
        <v>79521.73913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hidden="1" customHeight="1">
      <c r="A19" s="34"/>
      <c r="B19" s="84"/>
      <c r="C19" s="79" t="s">
        <v>25</v>
      </c>
      <c r="D19" s="66"/>
      <c r="E19" s="67">
        <f>128.260869565217*D16</f>
        <v>159.0434783</v>
      </c>
      <c r="F19" s="67">
        <f t="shared" si="2"/>
        <v>127.2347826</v>
      </c>
      <c r="G19" s="67">
        <f t="shared" si="3"/>
        <v>120.4874835</v>
      </c>
      <c r="H19" s="77">
        <v>1.0</v>
      </c>
      <c r="I19" s="68"/>
      <c r="J19" s="70"/>
      <c r="K19" s="199"/>
      <c r="L19" s="205"/>
      <c r="M19" s="206"/>
      <c r="N19" s="34"/>
      <c r="O19" s="802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hidden="1" customHeight="1">
      <c r="A20" s="34"/>
      <c r="B20" s="85"/>
      <c r="C20" s="79" t="s">
        <v>26</v>
      </c>
      <c r="D20" s="66"/>
      <c r="E20" s="67">
        <v>0.0</v>
      </c>
      <c r="F20" s="67">
        <f t="shared" si="2"/>
        <v>0</v>
      </c>
      <c r="G20" s="67">
        <f t="shared" si="3"/>
        <v>0</v>
      </c>
      <c r="H20" s="77">
        <v>2.0</v>
      </c>
      <c r="I20" s="68"/>
      <c r="J20" s="70"/>
      <c r="K20" s="199"/>
      <c r="L20" s="205"/>
      <c r="M20" s="206"/>
      <c r="N20" s="34"/>
      <c r="O20" s="802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3">
        <f>B18+1</f>
        <v>3</v>
      </c>
      <c r="C21" s="208" t="s">
        <v>27</v>
      </c>
      <c r="D21" s="66"/>
      <c r="E21" s="67"/>
      <c r="F21" s="67">
        <f t="shared" si="2"/>
        <v>0</v>
      </c>
      <c r="G21" s="67">
        <f t="shared" si="3"/>
        <v>0</v>
      </c>
      <c r="H21" s="68"/>
      <c r="I21" s="72" t="s">
        <v>28</v>
      </c>
      <c r="J21" s="70">
        <f>IF(I21="STOCK BRICKS",IF(I12="2010-2013",G22*$I$10,IF(I12="2014-2021",F22*$I$10,IF(I12="2021-2023",E22*$I$10,0))),IF(I21="BLOCKS",IF(I12="2010-2013",G23*$I$10,IF(I12="2014-2021",F23*$I$10,IF(I12="2021-2023",E23*$I$10,0))),IF(I21="FACE BRICKS",IF(I12="2010-2013",G24*$I$10,IF(I12="2014-2021",F24*$I$10,IF(I12="2021-2023",E24*$I$10,0))),0)))</f>
        <v>282369.5652</v>
      </c>
      <c r="K21" s="199" t="str">
        <f>AVERAGE(#REF!)</f>
        <v>#REF!</v>
      </c>
      <c r="L21" s="205">
        <f>133016.666666667+6650</f>
        <v>139666.6667</v>
      </c>
      <c r="M21" s="206">
        <f>L21/$L$10</f>
        <v>455.4347826</v>
      </c>
      <c r="N21" s="207" t="s">
        <v>23</v>
      </c>
      <c r="O21" s="801">
        <f>IF(N21="Delapidated",J21*0.6,IF(N21="Poor",J21*0.7,IF(N21="Fair",J21*0.8,IF(N21="Good",J21*0.85,IF(N21="Very Good",J21*0.9,IF(N21="Excellent",J21*1,IF(N21="Not Applicable",J21*1,0)))))))</f>
        <v>282369.5652</v>
      </c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hidden="1" customHeight="1">
      <c r="A22" s="34"/>
      <c r="B22" s="84"/>
      <c r="C22" s="79" t="s">
        <v>28</v>
      </c>
      <c r="D22" s="66"/>
      <c r="E22" s="67">
        <f>455.434782608697*D16</f>
        <v>564.7391304</v>
      </c>
      <c r="F22" s="67">
        <f t="shared" si="2"/>
        <v>451.7913043</v>
      </c>
      <c r="G22" s="67">
        <f t="shared" si="3"/>
        <v>427.8326746</v>
      </c>
      <c r="H22" s="77">
        <v>1.0</v>
      </c>
      <c r="I22" s="68"/>
      <c r="J22" s="70"/>
      <c r="K22" s="199"/>
      <c r="L22" s="205"/>
      <c r="M22" s="206"/>
      <c r="N22" s="34"/>
      <c r="O22" s="801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hidden="1" customHeight="1">
      <c r="A23" s="34"/>
      <c r="B23" s="84"/>
      <c r="C23" s="79" t="s">
        <v>29</v>
      </c>
      <c r="D23" s="66"/>
      <c r="E23" s="67">
        <f>E22*0.8</f>
        <v>451.7913043</v>
      </c>
      <c r="F23" s="67">
        <f t="shared" si="2"/>
        <v>361.4330435</v>
      </c>
      <c r="G23" s="67">
        <f t="shared" si="3"/>
        <v>342.2661397</v>
      </c>
      <c r="H23" s="77">
        <v>2.0</v>
      </c>
      <c r="I23" s="68"/>
      <c r="J23" s="70"/>
      <c r="K23" s="199"/>
      <c r="L23" s="205"/>
      <c r="M23" s="206"/>
      <c r="N23" s="34"/>
      <c r="O23" s="801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hidden="1" customHeight="1">
      <c r="A24" s="34"/>
      <c r="B24" s="84"/>
      <c r="C24" s="79" t="s">
        <v>30</v>
      </c>
      <c r="D24" s="66"/>
      <c r="E24" s="67">
        <f>E22*1.3</f>
        <v>734.1608696</v>
      </c>
      <c r="F24" s="67">
        <f t="shared" si="2"/>
        <v>587.3286957</v>
      </c>
      <c r="G24" s="67">
        <f t="shared" si="3"/>
        <v>556.1824769</v>
      </c>
      <c r="H24" s="77">
        <v>3.0</v>
      </c>
      <c r="I24" s="68"/>
      <c r="J24" s="70"/>
      <c r="K24" s="199"/>
      <c r="L24" s="205"/>
      <c r="M24" s="206"/>
      <c r="N24" s="34"/>
      <c r="O24" s="801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hidden="1" customHeight="1">
      <c r="A25" s="34"/>
      <c r="B25" s="85"/>
      <c r="C25" s="79" t="s">
        <v>31</v>
      </c>
      <c r="D25" s="66"/>
      <c r="E25" s="67">
        <v>0.0</v>
      </c>
      <c r="F25" s="67">
        <f t="shared" si="2"/>
        <v>0</v>
      </c>
      <c r="G25" s="67">
        <f t="shared" si="3"/>
        <v>0</v>
      </c>
      <c r="H25" s="77">
        <v>4.0</v>
      </c>
      <c r="I25" s="68"/>
      <c r="J25" s="70"/>
      <c r="K25" s="199"/>
      <c r="L25" s="205"/>
      <c r="M25" s="206"/>
      <c r="N25" s="34"/>
      <c r="O25" s="802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3">
        <f>B21+1</f>
        <v>4</v>
      </c>
      <c r="C26" s="208" t="s">
        <v>127</v>
      </c>
      <c r="D26" s="66"/>
      <c r="E26" s="67"/>
      <c r="F26" s="67">
        <f t="shared" si="2"/>
        <v>0</v>
      </c>
      <c r="G26" s="67">
        <f t="shared" si="3"/>
        <v>0</v>
      </c>
      <c r="H26" s="68"/>
      <c r="I26" s="72" t="s">
        <v>33</v>
      </c>
      <c r="J26" s="70">
        <f>IF(I26="CONCRETE ROOF TILES",IF(I12="2010-2013",G27*$I$10,IF(I12="2014-2021",F27*$I$10,IF(I12="2021-2023",E27*$I$10,0))),IF(I26="IBR",IF(I12="2010-2013",G28*$I$10,IF(I12="2014-2021",F28*$I$10,IF(I12="2021-2023",E237*$I$10,0))),IF(I26="CORRUGATED ROOFING SHEETS",IF(I12="2010-2013",G29*$I$10,IF(I12="2014-2021",F29*$I$10,IF(I12="2021-2023",E29*$I$10,0))),0)))</f>
        <v>80600</v>
      </c>
      <c r="K26" s="199" t="str">
        <f>AVERAGE(#REF!)</f>
        <v>#REF!</v>
      </c>
      <c r="L26" s="205">
        <f>174000+2667</f>
        <v>176667</v>
      </c>
      <c r="M26" s="206">
        <f>L26/$L$10</f>
        <v>576.0880435</v>
      </c>
      <c r="N26" s="207" t="s">
        <v>23</v>
      </c>
      <c r="O26" s="801">
        <f>IF(N26="Delapidated",J26*0.6,IF(N26="Poor",J26*0.7,IF(N26="Fair",J26*0.8,IF(N26="Good",J26*0.85,IF(N26="Very Good",J26*0.9,IF(N26="Excellent",J26*1,IF(N26="Not Applicable",J26*1,0)))))))</f>
        <v>80600</v>
      </c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hidden="1" customHeight="1">
      <c r="A27" s="34"/>
      <c r="B27" s="84"/>
      <c r="C27" s="79" t="s">
        <v>33</v>
      </c>
      <c r="D27" s="66"/>
      <c r="E27" s="67">
        <f>130*D16</f>
        <v>161.2</v>
      </c>
      <c r="F27" s="67">
        <f t="shared" si="2"/>
        <v>128.96</v>
      </c>
      <c r="G27" s="67">
        <f t="shared" si="3"/>
        <v>122.1212121</v>
      </c>
      <c r="H27" s="77">
        <v>1.0</v>
      </c>
      <c r="I27" s="68"/>
      <c r="J27" s="70"/>
      <c r="K27" s="199"/>
      <c r="L27" s="205"/>
      <c r="M27" s="206"/>
      <c r="N27" s="34"/>
      <c r="O27" s="801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hidden="1" customHeight="1">
      <c r="A28" s="34"/>
      <c r="B28" s="84"/>
      <c r="C28" s="79" t="s">
        <v>34</v>
      </c>
      <c r="D28" s="66"/>
      <c r="E28" s="67">
        <f>E27*1.6</f>
        <v>257.92</v>
      </c>
      <c r="F28" s="67">
        <f t="shared" si="2"/>
        <v>206.336</v>
      </c>
      <c r="G28" s="67">
        <f t="shared" si="3"/>
        <v>195.3939394</v>
      </c>
      <c r="H28" s="77">
        <v>2.0</v>
      </c>
      <c r="I28" s="68"/>
      <c r="J28" s="70"/>
      <c r="K28" s="199"/>
      <c r="L28" s="205"/>
      <c r="M28" s="206"/>
      <c r="N28" s="34"/>
      <c r="O28" s="801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hidden="1" customHeight="1">
      <c r="A29" s="34"/>
      <c r="B29" s="84"/>
      <c r="C29" s="79" t="s">
        <v>35</v>
      </c>
      <c r="D29" s="66"/>
      <c r="E29" s="67">
        <f>E27*0.6</f>
        <v>96.72</v>
      </c>
      <c r="F29" s="67">
        <f t="shared" si="2"/>
        <v>77.376</v>
      </c>
      <c r="G29" s="67">
        <f t="shared" si="3"/>
        <v>73.27272727</v>
      </c>
      <c r="H29" s="77">
        <v>3.0</v>
      </c>
      <c r="I29" s="68"/>
      <c r="J29" s="70"/>
      <c r="K29" s="199"/>
      <c r="L29" s="205"/>
      <c r="M29" s="206"/>
      <c r="N29" s="34"/>
      <c r="O29" s="801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hidden="1" customHeight="1">
      <c r="A30" s="34"/>
      <c r="B30" s="85"/>
      <c r="C30" s="79" t="s">
        <v>36</v>
      </c>
      <c r="D30" s="66"/>
      <c r="E30" s="67">
        <v>0.0</v>
      </c>
      <c r="F30" s="67">
        <f t="shared" si="2"/>
        <v>0</v>
      </c>
      <c r="G30" s="67">
        <f t="shared" si="3"/>
        <v>0</v>
      </c>
      <c r="H30" s="77">
        <v>4.0</v>
      </c>
      <c r="I30" s="68"/>
      <c r="J30" s="70"/>
      <c r="K30" s="199"/>
      <c r="L30" s="205"/>
      <c r="M30" s="206"/>
      <c r="N30" s="34"/>
      <c r="O30" s="802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56">
        <v>5.0</v>
      </c>
      <c r="C31" s="92" t="s">
        <v>158</v>
      </c>
      <c r="D31" s="66"/>
      <c r="E31" s="67"/>
      <c r="F31" s="67">
        <f t="shared" si="2"/>
        <v>0</v>
      </c>
      <c r="G31" s="67">
        <f t="shared" si="3"/>
        <v>0</v>
      </c>
      <c r="H31" s="77"/>
      <c r="I31" s="72" t="s">
        <v>38</v>
      </c>
      <c r="J31" s="70">
        <f>IF(I31="TIMBER ROOF TRUSSES",IF(I12="2010-2013",G32*$I$10,IF(I12="2014-2021",F32*$I$10,IF(I12="2021-2023",E32*$I$10,0))),IF(I31="STRUCTURAL STEEL TRUSSES",IF(I12="2010-2013",G33*$I$10,IF(I12="2014-2021",F33*$I$10,IF(I12="2021-2023",E33*$I$10,0))),0))</f>
        <v>279000</v>
      </c>
      <c r="K31" s="199"/>
      <c r="L31" s="205"/>
      <c r="M31" s="206"/>
      <c r="N31" s="72" t="s">
        <v>23</v>
      </c>
      <c r="O31" s="211">
        <f>IF(N31="Delapidated",J31*0.6,IF(N31="Poor",J31*0.7,IF(N31="Fair",J31*0.8,IF(N31="Good",J31*0.85,IF(N31="Very Good",J31*0.9,IF(N31="Excellent",J31*1,IF(N31="Not Applicable",J31*1,0)))))))</f>
        <v>279000</v>
      </c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hidden="1" customHeight="1">
      <c r="A32" s="34"/>
      <c r="B32" s="456"/>
      <c r="C32" s="79" t="s">
        <v>38</v>
      </c>
      <c r="D32" s="66"/>
      <c r="E32" s="67">
        <f>450*D16</f>
        <v>558</v>
      </c>
      <c r="F32" s="67">
        <f t="shared" si="2"/>
        <v>446.4</v>
      </c>
      <c r="G32" s="67">
        <f t="shared" si="3"/>
        <v>422.7272727</v>
      </c>
      <c r="H32" s="77"/>
      <c r="I32" s="68"/>
      <c r="J32" s="70"/>
      <c r="K32" s="199"/>
      <c r="L32" s="205"/>
      <c r="M32" s="206"/>
      <c r="N32" s="34"/>
      <c r="O32" s="802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hidden="1" customHeight="1">
      <c r="A33" s="34"/>
      <c r="B33" s="456"/>
      <c r="C33" s="79" t="s">
        <v>137</v>
      </c>
      <c r="D33" s="66"/>
      <c r="E33" s="67">
        <f>1100*D16</f>
        <v>1364</v>
      </c>
      <c r="F33" s="67">
        <f t="shared" si="2"/>
        <v>1091.2</v>
      </c>
      <c r="G33" s="67">
        <f t="shared" si="3"/>
        <v>1033.333333</v>
      </c>
      <c r="H33" s="77"/>
      <c r="I33" s="68"/>
      <c r="J33" s="70"/>
      <c r="K33" s="199"/>
      <c r="L33" s="205"/>
      <c r="M33" s="206"/>
      <c r="N33" s="34"/>
      <c r="O33" s="802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hidden="1" customHeight="1">
      <c r="A34" s="34"/>
      <c r="B34" s="456"/>
      <c r="C34" s="79" t="s">
        <v>41</v>
      </c>
      <c r="D34" s="66"/>
      <c r="E34" s="67">
        <v>0.0</v>
      </c>
      <c r="F34" s="67">
        <f t="shared" si="2"/>
        <v>0</v>
      </c>
      <c r="G34" s="67">
        <f t="shared" si="3"/>
        <v>0</v>
      </c>
      <c r="H34" s="77"/>
      <c r="I34" s="68"/>
      <c r="J34" s="70"/>
      <c r="K34" s="199"/>
      <c r="L34" s="205"/>
      <c r="M34" s="206"/>
      <c r="N34" s="34"/>
      <c r="O34" s="802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3">
        <v>6.0</v>
      </c>
      <c r="C35" s="208" t="s">
        <v>119</v>
      </c>
      <c r="D35" s="66"/>
      <c r="E35" s="67"/>
      <c r="F35" s="67">
        <f t="shared" si="2"/>
        <v>0</v>
      </c>
      <c r="G35" s="67">
        <f t="shared" si="3"/>
        <v>0</v>
      </c>
      <c r="H35" s="68"/>
      <c r="I35" s="72" t="s">
        <v>25</v>
      </c>
      <c r="J35" s="70">
        <f>IF(I35="YES",IF(I12="2010-2013",G36*$I$10,IF(I12="2014-2021",F36*$I$10,IF(I12="2021-2023",E36*$I$10,0))),0)</f>
        <v>5065.61983</v>
      </c>
      <c r="K35" s="199" t="str">
        <f>AVERAGE(#REF!)</f>
        <v>#REF!</v>
      </c>
      <c r="L35" s="205">
        <f>21900+7167</f>
        <v>29067</v>
      </c>
      <c r="M35" s="206">
        <f>L35/$L$10</f>
        <v>94.78369565</v>
      </c>
      <c r="N35" s="207" t="s">
        <v>23</v>
      </c>
      <c r="O35" s="801">
        <f>IF(N35="Delapidated",J35*0.6,IF(N35="Poor",J35*0.7,IF(N35="Fair",J35*0.8,IF(N35="Good",J35*0.85,IF(N35="Very Good",J35*0.9,IF(N35="Excellent",J35*1,IF(N35="Not Applicable",J35*1,0)))))))</f>
        <v>5065.61983</v>
      </c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hidden="1" customHeight="1">
      <c r="A36" s="34"/>
      <c r="B36" s="84"/>
      <c r="C36" s="79" t="s">
        <v>25</v>
      </c>
      <c r="D36" s="66"/>
      <c r="E36" s="67">
        <f>94.7836956521739*8.62%*D16</f>
        <v>10.13123966</v>
      </c>
      <c r="F36" s="67">
        <f t="shared" si="2"/>
        <v>8.104991729</v>
      </c>
      <c r="G36" s="67">
        <f t="shared" si="3"/>
        <v>7.675181561</v>
      </c>
      <c r="H36" s="77">
        <v>1.0</v>
      </c>
      <c r="I36" s="68"/>
      <c r="J36" s="70"/>
      <c r="K36" s="199"/>
      <c r="L36" s="205"/>
      <c r="M36" s="206"/>
      <c r="N36" s="34"/>
      <c r="O36" s="801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hidden="1" customHeight="1">
      <c r="A37" s="34"/>
      <c r="B37" s="85"/>
      <c r="C37" s="79" t="s">
        <v>26</v>
      </c>
      <c r="D37" s="66"/>
      <c r="E37" s="67">
        <v>0.0</v>
      </c>
      <c r="F37" s="67">
        <f t="shared" si="2"/>
        <v>0</v>
      </c>
      <c r="G37" s="67">
        <f t="shared" si="3"/>
        <v>0</v>
      </c>
      <c r="H37" s="77">
        <v>2.0</v>
      </c>
      <c r="I37" s="68"/>
      <c r="J37" s="70"/>
      <c r="K37" s="199"/>
      <c r="L37" s="205"/>
      <c r="M37" s="206"/>
      <c r="N37" s="34"/>
      <c r="O37" s="80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3">
        <f>B35+1</f>
        <v>7</v>
      </c>
      <c r="C38" s="208" t="s">
        <v>45</v>
      </c>
      <c r="D38" s="66"/>
      <c r="E38" s="67"/>
      <c r="F38" s="67">
        <f t="shared" si="2"/>
        <v>0</v>
      </c>
      <c r="G38" s="67">
        <f t="shared" si="3"/>
        <v>0</v>
      </c>
      <c r="H38" s="68"/>
      <c r="I38" s="72" t="s">
        <v>25</v>
      </c>
      <c r="J38" s="70">
        <f>IF(I38="YES",IF(I12="2010-2013",G39*$I$10,IF(I12="2014-2021",F39*$I$10,IF(I12="2021-2023",E39*$I$10,0))),0)</f>
        <v>43569.03181</v>
      </c>
      <c r="K38" s="199"/>
      <c r="L38" s="205"/>
      <c r="M38" s="206"/>
      <c r="N38" s="207" t="s">
        <v>23</v>
      </c>
      <c r="O38" s="801">
        <f>IF(N38="Delapidated",J38*0.6,IF(N38="Poor",J38*0.7,IF(N38="Fair",J38*0.8,IF(N38="Good",J38*0.85,IF(N38="Very Good",J38*0.9,IF(N38="Excellent",J38*1,IF(N38="Not Applicable",J38*1,0)))))))</f>
        <v>43569.03181</v>
      </c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customHeight="1">
      <c r="A39" s="34"/>
      <c r="B39" s="84"/>
      <c r="C39" s="79" t="s">
        <v>25</v>
      </c>
      <c r="D39" s="66"/>
      <c r="E39" s="67">
        <f>94.7836956521739*74.14%*D16</f>
        <v>87.13806363</v>
      </c>
      <c r="F39" s="67">
        <f t="shared" si="2"/>
        <v>69.7104509</v>
      </c>
      <c r="G39" s="67">
        <f t="shared" si="3"/>
        <v>66.01368457</v>
      </c>
      <c r="H39" s="77">
        <v>1.0</v>
      </c>
      <c r="I39" s="68"/>
      <c r="J39" s="70"/>
      <c r="K39" s="199"/>
      <c r="L39" s="205"/>
      <c r="M39" s="206"/>
      <c r="N39" s="34"/>
      <c r="O39" s="802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customHeight="1">
      <c r="A40" s="34"/>
      <c r="B40" s="85"/>
      <c r="C40" s="79" t="s">
        <v>26</v>
      </c>
      <c r="D40" s="66"/>
      <c r="E40" s="67">
        <v>0.0</v>
      </c>
      <c r="F40" s="67">
        <f t="shared" si="2"/>
        <v>0</v>
      </c>
      <c r="G40" s="67">
        <f t="shared" si="3"/>
        <v>0</v>
      </c>
      <c r="H40" s="77">
        <v>2.0</v>
      </c>
      <c r="I40" s="68"/>
      <c r="J40" s="70"/>
      <c r="K40" s="199"/>
      <c r="L40" s="205"/>
      <c r="M40" s="206"/>
      <c r="N40" s="34"/>
      <c r="O40" s="802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customHeight="1">
      <c r="A41" s="34"/>
      <c r="B41" s="83">
        <f>B38+1</f>
        <v>8</v>
      </c>
      <c r="C41" s="208" t="s">
        <v>49</v>
      </c>
      <c r="D41" s="66"/>
      <c r="E41" s="67"/>
      <c r="F41" s="67">
        <f t="shared" si="2"/>
        <v>0</v>
      </c>
      <c r="G41" s="67">
        <f t="shared" si="3"/>
        <v>0</v>
      </c>
      <c r="H41" s="68"/>
      <c r="I41" s="72" t="s">
        <v>25</v>
      </c>
      <c r="J41" s="70">
        <f>IF(I41="YES",IF(I12="2010-2013",G42*$I$10,IF(I12="2014-2021",F42*$I$10,IF(I12="2021-2023",E42*$I$10,0))),0)</f>
        <v>10131.23966</v>
      </c>
      <c r="K41" s="199"/>
      <c r="L41" s="205"/>
      <c r="M41" s="206"/>
      <c r="N41" s="207" t="s">
        <v>23</v>
      </c>
      <c r="O41" s="801">
        <f>IF(N41="Delapidated",J41*0.6,IF(N41="Poor",J41*0.7,IF(N41="Fair",J41*0.8,IF(N41="Good",J41*0.85,IF(N41="Very Good",J41*0.9,IF(N41="Excellent",J41*1,IF(N41="Not Applicable",J41*1,0)))))))</f>
        <v>10131.23966</v>
      </c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customHeight="1">
      <c r="A42" s="34"/>
      <c r="B42" s="84"/>
      <c r="C42" s="79" t="s">
        <v>25</v>
      </c>
      <c r="D42" s="66"/>
      <c r="E42" s="67">
        <f>94.7836956521739*17.24%*D16</f>
        <v>20.26247932</v>
      </c>
      <c r="F42" s="67">
        <f t="shared" si="2"/>
        <v>16.20998346</v>
      </c>
      <c r="G42" s="67">
        <f t="shared" si="3"/>
        <v>15.35036312</v>
      </c>
      <c r="H42" s="77">
        <v>1.0</v>
      </c>
      <c r="I42" s="68"/>
      <c r="J42" s="70"/>
      <c r="K42" s="199"/>
      <c r="L42" s="205"/>
      <c r="M42" s="206"/>
      <c r="N42" s="34"/>
      <c r="O42" s="801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customHeight="1">
      <c r="A43" s="34"/>
      <c r="B43" s="85"/>
      <c r="C43" s="79" t="s">
        <v>26</v>
      </c>
      <c r="D43" s="66"/>
      <c r="E43" s="67">
        <v>0.0</v>
      </c>
      <c r="F43" s="67">
        <f t="shared" si="2"/>
        <v>0</v>
      </c>
      <c r="G43" s="67">
        <f t="shared" si="3"/>
        <v>0</v>
      </c>
      <c r="H43" s="77">
        <v>2.0</v>
      </c>
      <c r="I43" s="68"/>
      <c r="J43" s="70"/>
      <c r="K43" s="199"/>
      <c r="L43" s="205"/>
      <c r="M43" s="206"/>
      <c r="N43" s="34"/>
      <c r="O43" s="802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3">
        <f>B41+1</f>
        <v>9</v>
      </c>
      <c r="C44" s="208" t="s">
        <v>50</v>
      </c>
      <c r="D44" s="66"/>
      <c r="E44" s="67"/>
      <c r="F44" s="67">
        <f t="shared" si="2"/>
        <v>0</v>
      </c>
      <c r="G44" s="67">
        <f t="shared" si="3"/>
        <v>0</v>
      </c>
      <c r="H44" s="68"/>
      <c r="I44" s="72" t="s">
        <v>25</v>
      </c>
      <c r="J44" s="70">
        <f>IF(I44="YES",IF(I12="2010-2013",G45*$I$10,IF(I12="2014-2021",F45*$I$10,IF(I12="2021-2023",E45*$I$10,0))),0)</f>
        <v>130941.3043</v>
      </c>
      <c r="K44" s="199" t="str">
        <f>AVERAGE(#REF!)</f>
        <v>#REF!</v>
      </c>
      <c r="L44" s="205">
        <v>64766.6666666667</v>
      </c>
      <c r="M44" s="206">
        <f>L44/$L$10</f>
        <v>211.1956522</v>
      </c>
      <c r="N44" s="207" t="s">
        <v>23</v>
      </c>
      <c r="O44" s="801">
        <f>IF(N44="Delapidated",J44*0.6,IF(N44="Poor",J44*0.7,IF(N44="Fair",J44*0.8,IF(N44="Good",J44*0.85,IF(N44="Very Good",J44*0.9,IF(N44="Excellent",J44*1,IF(N44="Not Applicable",J44*1,0)))))))</f>
        <v>130941.3043</v>
      </c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hidden="1" customHeight="1">
      <c r="A45" s="34"/>
      <c r="B45" s="84"/>
      <c r="C45" s="79" t="s">
        <v>25</v>
      </c>
      <c r="D45" s="66"/>
      <c r="E45" s="67">
        <f>211.195652173913*D16</f>
        <v>261.8826087</v>
      </c>
      <c r="F45" s="67">
        <f t="shared" si="2"/>
        <v>209.506087</v>
      </c>
      <c r="G45" s="67">
        <f t="shared" si="3"/>
        <v>198.3959157</v>
      </c>
      <c r="H45" s="77">
        <v>1.0</v>
      </c>
      <c r="I45" s="68"/>
      <c r="J45" s="70"/>
      <c r="K45" s="199"/>
      <c r="L45" s="205"/>
      <c r="M45" s="206"/>
      <c r="N45" s="34"/>
      <c r="O45" s="801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hidden="1" customHeight="1">
      <c r="A46" s="34"/>
      <c r="B46" s="85"/>
      <c r="C46" s="79" t="s">
        <v>26</v>
      </c>
      <c r="D46" s="66"/>
      <c r="E46" s="67">
        <v>0.0</v>
      </c>
      <c r="F46" s="67">
        <f t="shared" si="2"/>
        <v>0</v>
      </c>
      <c r="G46" s="67">
        <f t="shared" si="3"/>
        <v>0</v>
      </c>
      <c r="H46" s="77">
        <v>2.0</v>
      </c>
      <c r="I46" s="68"/>
      <c r="J46" s="70"/>
      <c r="K46" s="199"/>
      <c r="L46" s="205"/>
      <c r="M46" s="206"/>
      <c r="N46" s="34"/>
      <c r="O46" s="802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83">
        <v>10.0</v>
      </c>
      <c r="C47" s="92" t="s">
        <v>51</v>
      </c>
      <c r="D47" s="66"/>
      <c r="E47" s="67"/>
      <c r="F47" s="67">
        <f t="shared" si="2"/>
        <v>0</v>
      </c>
      <c r="G47" s="67">
        <f t="shared" si="3"/>
        <v>0</v>
      </c>
      <c r="H47" s="77"/>
      <c r="I47" s="72" t="s">
        <v>52</v>
      </c>
      <c r="J47" s="70">
        <f>IF(I47="VINYL FLOORING",IF(I12="2010-2013",G48*$I$10,IF(I12="2014-2021",F48*$I$10,IF(I12="2021-2023",E48*$I$10,0))),IF(I47="TILING FLOORING",IF(I12="2010-2013",G49*$I$10,IF(I12="2014-2021",F49*$I$10,IF(I12="2021-2023",E49*$I$10,0))),IF(I47="TIMBER FLOORING",IF(I12="2010-2013",G50*$I$10,IF(I12="2014-2021",F50*$I$10,IF(I12="2021-2023",E50*$I$10,0))),IF(I47="CARPETS FLOORING",IF(I12="2010-2013",G51*$I$10,IF(I12="2014-2021",F51*$I$10,IF(I12="2021-2023",E51*$I$10,0))),0))))</f>
        <v>133569.5652</v>
      </c>
      <c r="K47" s="199"/>
      <c r="L47" s="205"/>
      <c r="M47" s="206"/>
      <c r="N47" s="207" t="s">
        <v>23</v>
      </c>
      <c r="O47" s="801">
        <f>IF(N47="Delapidated",J47*0.6,IF(N47="Poor",J47*0.7,IF(N47="Fair",J47*0.8,IF(N47="Good",J47*0.85,IF(N47="Very Good",J47*0.9,IF(N47="Excellent",J47*1,IF(N47="Not Applicable",J47*1,0)))))))</f>
        <v>133569.5652</v>
      </c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hidden="1" customHeight="1">
      <c r="A48" s="34"/>
      <c r="B48" s="84"/>
      <c r="C48" s="79" t="s">
        <v>53</v>
      </c>
      <c r="D48" s="66"/>
      <c r="E48" s="67">
        <f>E49*0.7</f>
        <v>186.9973913</v>
      </c>
      <c r="F48" s="67">
        <f t="shared" si="2"/>
        <v>149.597913</v>
      </c>
      <c r="G48" s="67">
        <f t="shared" si="3"/>
        <v>141.6646904</v>
      </c>
      <c r="H48" s="77">
        <v>1.0</v>
      </c>
      <c r="I48" s="68"/>
      <c r="J48" s="70"/>
      <c r="K48" s="199"/>
      <c r="L48" s="205"/>
      <c r="M48" s="206"/>
      <c r="N48" s="34"/>
      <c r="O48" s="801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hidden="1" customHeight="1">
      <c r="A49" s="34"/>
      <c r="B49" s="84"/>
      <c r="C49" s="79" t="s">
        <v>52</v>
      </c>
      <c r="D49" s="66"/>
      <c r="E49" s="67">
        <f>269.29347826087*0.8*D16</f>
        <v>267.1391304</v>
      </c>
      <c r="F49" s="67">
        <f t="shared" si="2"/>
        <v>213.7113043</v>
      </c>
      <c r="G49" s="67">
        <f t="shared" si="3"/>
        <v>202.3781291</v>
      </c>
      <c r="H49" s="77">
        <v>2.0</v>
      </c>
      <c r="I49" s="68"/>
      <c r="J49" s="70"/>
      <c r="K49" s="199"/>
      <c r="L49" s="205"/>
      <c r="M49" s="206"/>
      <c r="N49" s="34"/>
      <c r="O49" s="801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hidden="1" customHeight="1">
      <c r="A50" s="34"/>
      <c r="B50" s="84"/>
      <c r="C50" s="79" t="s">
        <v>54</v>
      </c>
      <c r="D50" s="66"/>
      <c r="E50" s="67">
        <f>E49*1.2</f>
        <v>320.5669565</v>
      </c>
      <c r="F50" s="67">
        <f t="shared" si="2"/>
        <v>256.4535652</v>
      </c>
      <c r="G50" s="67">
        <f t="shared" si="3"/>
        <v>242.8537549</v>
      </c>
      <c r="H50" s="77">
        <v>3.0</v>
      </c>
      <c r="I50" s="68"/>
      <c r="J50" s="70"/>
      <c r="K50" s="199"/>
      <c r="L50" s="205"/>
      <c r="M50" s="206"/>
      <c r="N50" s="34"/>
      <c r="O50" s="801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hidden="1" customHeight="1">
      <c r="A51" s="34"/>
      <c r="B51" s="84"/>
      <c r="C51" s="79" t="s">
        <v>170</v>
      </c>
      <c r="D51" s="66"/>
      <c r="E51" s="67">
        <f>E49*1.3</f>
        <v>347.2808696</v>
      </c>
      <c r="F51" s="67">
        <f t="shared" si="2"/>
        <v>277.8246957</v>
      </c>
      <c r="G51" s="67">
        <f t="shared" si="3"/>
        <v>263.0915679</v>
      </c>
      <c r="H51" s="77">
        <v>4.0</v>
      </c>
      <c r="I51" s="68"/>
      <c r="J51" s="70"/>
      <c r="K51" s="199"/>
      <c r="L51" s="205"/>
      <c r="M51" s="206"/>
      <c r="N51" s="34"/>
      <c r="O51" s="801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hidden="1" customHeight="1">
      <c r="A52" s="34"/>
      <c r="B52" s="85"/>
      <c r="C52" s="79" t="s">
        <v>56</v>
      </c>
      <c r="D52" s="66"/>
      <c r="E52" s="67">
        <v>0.0</v>
      </c>
      <c r="F52" s="67">
        <f t="shared" si="2"/>
        <v>0</v>
      </c>
      <c r="G52" s="67">
        <f t="shared" si="3"/>
        <v>0</v>
      </c>
      <c r="H52" s="77">
        <v>5.0</v>
      </c>
      <c r="I52" s="68"/>
      <c r="J52" s="70"/>
      <c r="K52" s="199"/>
      <c r="L52" s="205"/>
      <c r="M52" s="206"/>
      <c r="N52" s="34"/>
      <c r="O52" s="802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hidden="1" customHeight="1">
      <c r="A53" s="34"/>
      <c r="B53" s="61">
        <v>11.0</v>
      </c>
      <c r="C53" s="92" t="s">
        <v>162</v>
      </c>
      <c r="D53" s="66"/>
      <c r="E53" s="67"/>
      <c r="F53" s="67">
        <f t="shared" si="2"/>
        <v>0</v>
      </c>
      <c r="G53" s="67">
        <f t="shared" si="3"/>
        <v>0</v>
      </c>
      <c r="H53" s="77"/>
      <c r="I53" s="72" t="s">
        <v>26</v>
      </c>
      <c r="J53" s="70">
        <f>IF(I53="YES",IF(I12="2010-2013",G54*$I$10,IF(I12="2014-2021",F54*$I$10,IF(I12="2021-2023",E54*$I$10,0))),0)</f>
        <v>0</v>
      </c>
      <c r="K53" s="207" t="s">
        <v>23</v>
      </c>
      <c r="L53" s="801">
        <f>IF(K53="Delapidated",J53*0.6,IF(K53="Poor",J53*0.7,IF(K53="Fair",J53*0.8,IF(K53="Good",J53*0.85,IF(K53="Very Good",J53*0.9,IF(K53="Excellent",J53*1,IF(K53="Not Applicable",J53*1,0)))))))</f>
        <v>0</v>
      </c>
      <c r="M53" s="206"/>
      <c r="N53" s="207" t="s">
        <v>23</v>
      </c>
      <c r="O53" s="801">
        <f>IF(N53="Delapidated",J53*0.6,IF(N53="Poor",J53*0.7,IF(N53="Fair",J53*0.8,IF(N53="Good",J53*0.85,IF(N53="Very Good",J53*0.9,IF(N53="Excellent",J53*1,IF(N53="Not Applicable",J53*1,0)))))))</f>
        <v>0</v>
      </c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hidden="1" customHeight="1">
      <c r="A54" s="34"/>
      <c r="B54" s="61"/>
      <c r="C54" s="79" t="s">
        <v>25</v>
      </c>
      <c r="D54" s="66"/>
      <c r="E54" s="67">
        <f>750*D16</f>
        <v>930</v>
      </c>
      <c r="F54" s="67">
        <f t="shared" si="2"/>
        <v>744</v>
      </c>
      <c r="G54" s="67">
        <f t="shared" si="3"/>
        <v>704.5454545</v>
      </c>
      <c r="H54" s="77"/>
      <c r="I54" s="68"/>
      <c r="J54" s="70"/>
      <c r="K54" s="199"/>
      <c r="L54" s="205"/>
      <c r="M54" s="206"/>
      <c r="N54" s="34"/>
      <c r="O54" s="802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hidden="1" customHeight="1">
      <c r="A55" s="34"/>
      <c r="B55" s="61"/>
      <c r="C55" s="79" t="s">
        <v>26</v>
      </c>
      <c r="D55" s="66"/>
      <c r="E55" s="303">
        <v>0.0</v>
      </c>
      <c r="F55" s="67">
        <f t="shared" si="2"/>
        <v>0</v>
      </c>
      <c r="G55" s="67">
        <f t="shared" si="3"/>
        <v>0</v>
      </c>
      <c r="H55" s="77"/>
      <c r="I55" s="68"/>
      <c r="J55" s="70"/>
      <c r="K55" s="199"/>
      <c r="L55" s="205"/>
      <c r="M55" s="206"/>
      <c r="N55" s="34"/>
      <c r="O55" s="802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34"/>
      <c r="B56" s="83">
        <f>B47+1</f>
        <v>11</v>
      </c>
      <c r="C56" s="208" t="s">
        <v>57</v>
      </c>
      <c r="D56" s="66"/>
      <c r="E56" s="67"/>
      <c r="F56" s="67"/>
      <c r="G56" s="67"/>
      <c r="H56" s="68"/>
      <c r="I56" s="72" t="s">
        <v>58</v>
      </c>
      <c r="J56" s="70">
        <f>IF(I56="STEEL WINDOW FRAMES",IF(I12="2010-2013",G57*$I$10,IF(I12="2014-2021",F57*$I$10,IF(I12="2021-2023",E57*$I$10,0))),IF(I56="ALUMINIUM WINDOW FRAMES",IF(I12="2010-2013",G58*$I$10,IF(I12="2014-2021",F58*$I$10,IF(I12="2021-2023",E58*$I$10,0))),0))</f>
        <v>159481.5217</v>
      </c>
      <c r="K56" s="199" t="str">
        <f>AVERAGE(#REF!)</f>
        <v>#REF!</v>
      </c>
      <c r="L56" s="205">
        <v>78883.3333333333</v>
      </c>
      <c r="M56" s="206">
        <f>L56/$L$10</f>
        <v>257.2282609</v>
      </c>
      <c r="N56" s="207" t="s">
        <v>23</v>
      </c>
      <c r="O56" s="801">
        <f>IF(N56="Delapidated",J56*0.6,IF(N56="Poor",J56*0.7,IF(N56="Fair",J56*0.8,IF(N56="Good",J56*0.85,IF(N56="Very Good",J56*0.9,IF(N56="Excellent",J56*1,IF(N56="Not Applicable",J56*1,0)))))))</f>
        <v>159481.5217</v>
      </c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hidden="1" customHeight="1">
      <c r="A57" s="34"/>
      <c r="B57" s="84"/>
      <c r="C57" s="79" t="s">
        <v>59</v>
      </c>
      <c r="D57" s="66"/>
      <c r="E57" s="93">
        <f>E58*0.3</f>
        <v>95.68891304</v>
      </c>
      <c r="F57" s="67">
        <f>E58/$F$16</f>
        <v>255.1704348</v>
      </c>
      <c r="G57" s="67">
        <f>E58/$G$16</f>
        <v>241.6386693</v>
      </c>
      <c r="H57" s="77">
        <v>1.0</v>
      </c>
      <c r="I57" s="68"/>
      <c r="J57" s="70"/>
      <c r="K57" s="199"/>
      <c r="L57" s="205"/>
      <c r="M57" s="206"/>
      <c r="N57" s="34"/>
      <c r="O57" s="801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hidden="1" customHeight="1">
      <c r="A58" s="34"/>
      <c r="B58" s="84"/>
      <c r="C58" s="79" t="s">
        <v>58</v>
      </c>
      <c r="D58" s="66"/>
      <c r="E58" s="67">
        <f>257.228260869565*D16</f>
        <v>318.9630435</v>
      </c>
      <c r="F58" s="67">
        <f t="shared" ref="F58:F59" si="7">E58/$F$16</f>
        <v>255.1704348</v>
      </c>
      <c r="G58" s="67">
        <f>F58/$G$16</f>
        <v>193.3109354</v>
      </c>
      <c r="H58" s="77">
        <v>2.0</v>
      </c>
      <c r="I58" s="68"/>
      <c r="J58" s="70"/>
      <c r="K58" s="199"/>
      <c r="L58" s="205"/>
      <c r="M58" s="206"/>
      <c r="N58" s="34"/>
      <c r="O58" s="801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hidden="1" customHeight="1">
      <c r="A59" s="34"/>
      <c r="B59" s="85"/>
      <c r="C59" s="79" t="s">
        <v>60</v>
      </c>
      <c r="D59" s="66"/>
      <c r="E59" s="67">
        <v>0.0</v>
      </c>
      <c r="F59" s="67">
        <f t="shared" si="7"/>
        <v>0</v>
      </c>
      <c r="G59" s="67">
        <f>E59/$G$16</f>
        <v>0</v>
      </c>
      <c r="H59" s="77">
        <v>3.0</v>
      </c>
      <c r="I59" s="68"/>
      <c r="J59" s="70"/>
      <c r="K59" s="199"/>
      <c r="L59" s="205"/>
      <c r="M59" s="206"/>
      <c r="N59" s="34"/>
      <c r="O59" s="802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3">
        <f>B56+1</f>
        <v>12</v>
      </c>
      <c r="C60" s="208" t="s">
        <v>61</v>
      </c>
      <c r="D60" s="66"/>
      <c r="E60" s="67"/>
      <c r="F60" s="67"/>
      <c r="G60" s="67"/>
      <c r="H60" s="68"/>
      <c r="I60" s="72" t="s">
        <v>25</v>
      </c>
      <c r="J60" s="70">
        <f>IF(I60="YES",IF(I12="2010-2013",G61*$I$10,IF(I12="2014-2021",F61*$I$10,IF(I12="2021-2023",E61*$I$10,0))),0)</f>
        <v>136096.7391</v>
      </c>
      <c r="K60" s="199" t="str">
        <f>AVERAGE(#REF!)</f>
        <v>#REF!</v>
      </c>
      <c r="L60" s="205">
        <v>67316.6666666667</v>
      </c>
      <c r="M60" s="206">
        <f>L60/$L$10</f>
        <v>219.5108696</v>
      </c>
      <c r="N60" s="207" t="s">
        <v>23</v>
      </c>
      <c r="O60" s="801">
        <f>IF(N60="Delapidated",J60*0.6,IF(N60="Poor",J60*0.7,IF(N60="Fair",J60*0.8,IF(N60="Good",J60*0.85,IF(N60="Very Good",J60*0.9,IF(N60="Excellent",J60*1,IF(N60="Not Applicable",J60*1,0)))))))</f>
        <v>136096.7391</v>
      </c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hidden="1" customHeight="1">
      <c r="A61" s="34"/>
      <c r="B61" s="84"/>
      <c r="C61" s="79" t="s">
        <v>25</v>
      </c>
      <c r="D61" s="66"/>
      <c r="E61" s="67">
        <f>219.510869565217*D16</f>
        <v>272.1934783</v>
      </c>
      <c r="F61" s="67">
        <f t="shared" ref="F61:F65" si="8">E61/$F$16</f>
        <v>217.7547826</v>
      </c>
      <c r="G61" s="67">
        <f t="shared" ref="G61:G65" si="9">E61/$G$16</f>
        <v>206.2071805</v>
      </c>
      <c r="H61" s="77">
        <v>1.0</v>
      </c>
      <c r="I61" s="68"/>
      <c r="J61" s="70"/>
      <c r="K61" s="199"/>
      <c r="L61" s="205"/>
      <c r="M61" s="206"/>
      <c r="N61" s="34"/>
      <c r="O61" s="801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hidden="1" customHeight="1">
      <c r="A62" s="34"/>
      <c r="B62" s="85"/>
      <c r="C62" s="79" t="s">
        <v>26</v>
      </c>
      <c r="D62" s="66"/>
      <c r="E62" s="67">
        <v>0.0</v>
      </c>
      <c r="F62" s="67">
        <f t="shared" si="8"/>
        <v>0</v>
      </c>
      <c r="G62" s="67">
        <f t="shared" si="9"/>
        <v>0</v>
      </c>
      <c r="H62" s="77">
        <v>2.0</v>
      </c>
      <c r="I62" s="68"/>
      <c r="J62" s="70"/>
      <c r="K62" s="199"/>
      <c r="L62" s="205"/>
      <c r="M62" s="206"/>
      <c r="N62" s="34"/>
      <c r="O62" s="802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6.75" customHeight="1">
      <c r="A63" s="34"/>
      <c r="B63" s="83">
        <f>B60+1</f>
        <v>13</v>
      </c>
      <c r="C63" s="208" t="s">
        <v>62</v>
      </c>
      <c r="D63" s="66"/>
      <c r="E63" s="67"/>
      <c r="F63" s="67">
        <f t="shared" si="8"/>
        <v>0</v>
      </c>
      <c r="G63" s="67">
        <f t="shared" si="9"/>
        <v>0</v>
      </c>
      <c r="H63" s="68"/>
      <c r="I63" s="72" t="s">
        <v>25</v>
      </c>
      <c r="J63" s="70">
        <f>IF(I63="YES",IF(I12="2010-2013",G64*$I$10,IF(I12="2014-2021",F64*$I$10,IF(I12="2021-2023",E64*$I$10,0))),0)</f>
        <v>33392.3913</v>
      </c>
      <c r="K63" s="199" t="str">
        <f>AVERAGE(#REF!)</f>
        <v>#REF!</v>
      </c>
      <c r="L63" s="205">
        <v>82583.3333333333</v>
      </c>
      <c r="M63" s="206">
        <f>L63/$L$10</f>
        <v>269.2934783</v>
      </c>
      <c r="N63" s="207" t="s">
        <v>23</v>
      </c>
      <c r="O63" s="801">
        <f>IF(N63="Delapidated",J63*0.6,IF(N63="Poor",J63*0.7,IF(N63="Fair",J63*0.8,IF(N63="Good",J63*0.85,IF(N63="Very Good",J63*0.9,IF(N63="Excellent",J63*1,IF(N63="Not Applicable",J63*1,0)))))))</f>
        <v>33392.3913</v>
      </c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6.75" hidden="1" customHeight="1">
      <c r="A64" s="34"/>
      <c r="B64" s="84"/>
      <c r="C64" s="79" t="s">
        <v>25</v>
      </c>
      <c r="D64" s="66"/>
      <c r="E64" s="67">
        <f>269.29347826087*0.2*D16</f>
        <v>66.78478261</v>
      </c>
      <c r="F64" s="67">
        <f t="shared" si="8"/>
        <v>53.42782609</v>
      </c>
      <c r="G64" s="67">
        <f t="shared" si="9"/>
        <v>50.59453228</v>
      </c>
      <c r="H64" s="77">
        <v>1.0</v>
      </c>
      <c r="I64" s="68"/>
      <c r="J64" s="70"/>
      <c r="K64" s="199"/>
      <c r="L64" s="205"/>
      <c r="M64" s="206"/>
      <c r="N64" s="34"/>
      <c r="O64" s="801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6.75" hidden="1" customHeight="1">
      <c r="A65" s="34"/>
      <c r="B65" s="85"/>
      <c r="C65" s="79" t="s">
        <v>26</v>
      </c>
      <c r="D65" s="66"/>
      <c r="E65" s="67">
        <v>0.0</v>
      </c>
      <c r="F65" s="67">
        <f t="shared" si="8"/>
        <v>0</v>
      </c>
      <c r="G65" s="67">
        <f t="shared" si="9"/>
        <v>0</v>
      </c>
      <c r="H65" s="77">
        <v>2.0</v>
      </c>
      <c r="I65" s="68"/>
      <c r="J65" s="70"/>
      <c r="K65" s="199"/>
      <c r="L65" s="205"/>
      <c r="M65" s="206"/>
      <c r="N65" s="34"/>
      <c r="O65" s="802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6.75" customHeight="1">
      <c r="A66" s="34"/>
      <c r="B66" s="44"/>
      <c r="C66" s="214" t="s">
        <v>167</v>
      </c>
      <c r="D66" s="66"/>
      <c r="E66" s="66"/>
      <c r="F66" s="67"/>
      <c r="G66" s="67"/>
      <c r="H66" s="67"/>
      <c r="I66" s="227">
        <v>5.0</v>
      </c>
      <c r="J66" s="45"/>
      <c r="K66" s="34"/>
      <c r="L66" s="199"/>
      <c r="M66" s="199"/>
      <c r="N66" s="45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6.75" customHeight="1">
      <c r="A67" s="34"/>
      <c r="B67" s="83">
        <f>B63+1</f>
        <v>14</v>
      </c>
      <c r="C67" s="208" t="s">
        <v>93</v>
      </c>
      <c r="D67" s="66"/>
      <c r="E67" s="67"/>
      <c r="F67" s="67"/>
      <c r="G67" s="67"/>
      <c r="H67" s="68"/>
      <c r="I67" s="72" t="s">
        <v>25</v>
      </c>
      <c r="J67" s="70">
        <f>IF(I67="YES",IF(I12="2010-2013",G68*I66,IF(I12="2014-2021",F68*I66,IF(I12="2021-2023",E68*I66,0))),0)</f>
        <v>75000</v>
      </c>
      <c r="K67" s="199" t="str">
        <f>AVERAGE(#REF!)</f>
        <v>#REF!</v>
      </c>
      <c r="L67" s="205">
        <f>90983.3333333333+3283</f>
        <v>94266.33333</v>
      </c>
      <c r="M67" s="206">
        <f>L67/$L$10</f>
        <v>307.3902174</v>
      </c>
      <c r="N67" s="207" t="s">
        <v>23</v>
      </c>
      <c r="O67" s="801">
        <f>IF(N67="Delapidated",J67*0.6,IF(N67="Poor",J67*0.7,IF(N67="Fair",J67*0.8,IF(N67="Good",J67*0.85,IF(N67="Very Good",J67*0.9,IF(N67="Excellent",J67*1,IF(N67="Not Applicable",J67*1,0)))))))</f>
        <v>75000</v>
      </c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hidden="1" customHeight="1">
      <c r="A68" s="34"/>
      <c r="B68" s="84"/>
      <c r="C68" s="79" t="s">
        <v>25</v>
      </c>
      <c r="D68" s="66"/>
      <c r="E68" s="67">
        <v>15000.0</v>
      </c>
      <c r="F68" s="67">
        <f t="shared" ref="F68:F69" si="10">E68/$F$16</f>
        <v>12000</v>
      </c>
      <c r="G68" s="67">
        <f t="shared" ref="G68:G69" si="11">E68/$G$16</f>
        <v>11363.63636</v>
      </c>
      <c r="H68" s="77">
        <v>1.0</v>
      </c>
      <c r="I68" s="68"/>
      <c r="J68" s="70"/>
      <c r="K68" s="199"/>
      <c r="L68" s="205"/>
      <c r="M68" s="206"/>
      <c r="N68" s="34"/>
      <c r="O68" s="801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hidden="1" customHeight="1">
      <c r="A69" s="34"/>
      <c r="B69" s="85"/>
      <c r="C69" s="79" t="s">
        <v>26</v>
      </c>
      <c r="D69" s="66"/>
      <c r="E69" s="67">
        <v>0.0</v>
      </c>
      <c r="F69" s="67">
        <f t="shared" si="10"/>
        <v>0</v>
      </c>
      <c r="G69" s="67">
        <f t="shared" si="11"/>
        <v>0</v>
      </c>
      <c r="H69" s="77">
        <v>2.0</v>
      </c>
      <c r="I69" s="68"/>
      <c r="J69" s="70"/>
      <c r="K69" s="199"/>
      <c r="L69" s="205"/>
      <c r="M69" s="206"/>
      <c r="N69" s="34"/>
      <c r="O69" s="802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83">
        <f>B67+1</f>
        <v>15</v>
      </c>
      <c r="C70" s="208" t="s">
        <v>65</v>
      </c>
      <c r="D70" s="66"/>
      <c r="E70" s="67"/>
      <c r="F70" s="67"/>
      <c r="G70" s="67"/>
      <c r="H70" s="68"/>
      <c r="I70" s="72" t="s">
        <v>25</v>
      </c>
      <c r="J70" s="70">
        <f>IF(I70="YES",IF(I12="2010-2013",G71*$I$10,IF(I12="2014-2021",F71*$I$10,IF(I12="2021-2023",E71*$I$10,0))),0)</f>
        <v>65298.91304</v>
      </c>
      <c r="K70" s="199" t="str">
        <f>AVERAGE(#REF!)</f>
        <v>#REF!</v>
      </c>
      <c r="L70" s="205">
        <v>40050.0</v>
      </c>
      <c r="M70" s="206">
        <f>L70/$L$10</f>
        <v>130.5978261</v>
      </c>
      <c r="N70" s="207" t="s">
        <v>23</v>
      </c>
      <c r="O70" s="801">
        <f>IF(N70="Delapidated",J70*0.6,IF(N70="Poor",J70*0.7,IF(N70="Fair",J70*0.8,IF(N70="Good",J70*0.85,IF(N70="Very Good",J70*0.9,IF(N70="Excellent",J70*1,IF(N70="Not Applicable",J70*1,0)))))))</f>
        <v>65298.91304</v>
      </c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hidden="1" customHeight="1">
      <c r="A71" s="34"/>
      <c r="B71" s="84"/>
      <c r="C71" s="79" t="s">
        <v>25</v>
      </c>
      <c r="D71" s="66"/>
      <c r="E71" s="67">
        <v>130.597826086957</v>
      </c>
      <c r="F71" s="67">
        <f t="shared" ref="F71:F72" si="12">E71/$F$16</f>
        <v>104.4782609</v>
      </c>
      <c r="G71" s="67">
        <f t="shared" ref="G71:G72" si="13">E71/$G$16</f>
        <v>98.93774704</v>
      </c>
      <c r="H71" s="77">
        <v>1.0</v>
      </c>
      <c r="I71" s="68"/>
      <c r="J71" s="70"/>
      <c r="K71" s="199"/>
      <c r="L71" s="205"/>
      <c r="M71" s="206"/>
      <c r="N71" s="34"/>
      <c r="O71" s="801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hidden="1" customHeight="1">
      <c r="A72" s="34"/>
      <c r="B72" s="85"/>
      <c r="C72" s="79" t="s">
        <v>26</v>
      </c>
      <c r="D72" s="66"/>
      <c r="E72" s="67">
        <v>0.0</v>
      </c>
      <c r="F72" s="67">
        <f t="shared" si="12"/>
        <v>0</v>
      </c>
      <c r="G72" s="67">
        <f t="shared" si="13"/>
        <v>0</v>
      </c>
      <c r="H72" s="77">
        <v>2.0</v>
      </c>
      <c r="I72" s="68"/>
      <c r="J72" s="70"/>
      <c r="K72" s="199"/>
      <c r="L72" s="205"/>
      <c r="M72" s="206"/>
      <c r="N72" s="34"/>
      <c r="O72" s="802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34"/>
      <c r="B73" s="83">
        <f>B70+1</f>
        <v>16</v>
      </c>
      <c r="C73" s="208" t="s">
        <v>123</v>
      </c>
      <c r="D73" s="66"/>
      <c r="E73" s="67"/>
      <c r="F73" s="67"/>
      <c r="G73" s="67"/>
      <c r="H73" s="68"/>
      <c r="I73" s="72" t="s">
        <v>25</v>
      </c>
      <c r="J73" s="70">
        <f>IF(I73="YES",IF(I12="2010-2013",G74*$I$10,IF(I12="2014-2021",F74*$I$10,IF(I12="2021-2023",E74*$I$10,0))),0)</f>
        <v>301744.5652</v>
      </c>
      <c r="K73" s="199" t="str">
        <f>AVERAGE(#REF!)</f>
        <v>#REF!</v>
      </c>
      <c r="L73" s="205">
        <v>149250.0</v>
      </c>
      <c r="M73" s="206">
        <f>L73/$L$10</f>
        <v>486.6847826</v>
      </c>
      <c r="N73" s="207" t="s">
        <v>23</v>
      </c>
      <c r="O73" s="801">
        <f>IF(N73="Delapidated",J73*0.6,IF(N73="Poor",J73*0.7,IF(N73="Fair",J73*0.8,IF(N73="Good",J73*0.85,IF(N73="Very Good",J73*0.9,IF(N73="Excellent",J73*1,IF(N73="Not Applicable",J73*1,0)))))))</f>
        <v>301744.5652</v>
      </c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hidden="1" customHeight="1">
      <c r="A74" s="34"/>
      <c r="B74" s="84"/>
      <c r="C74" s="79" t="s">
        <v>25</v>
      </c>
      <c r="D74" s="66"/>
      <c r="E74" s="67">
        <f>486.684782608696*D16</f>
        <v>603.4891304</v>
      </c>
      <c r="F74" s="67">
        <f t="shared" ref="F74:F75" si="14">E74/$F$16</f>
        <v>482.7913043</v>
      </c>
      <c r="G74" s="67">
        <f t="shared" ref="G74:G75" si="15">E74/$G$16</f>
        <v>457.1887352</v>
      </c>
      <c r="H74" s="77">
        <v>1.0</v>
      </c>
      <c r="I74" s="68"/>
      <c r="J74" s="70"/>
      <c r="K74" s="199"/>
      <c r="L74" s="205"/>
      <c r="M74" s="206"/>
      <c r="N74" s="34"/>
      <c r="O74" s="801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hidden="1" customHeight="1">
      <c r="A75" s="34"/>
      <c r="B75" s="85"/>
      <c r="C75" s="79" t="s">
        <v>26</v>
      </c>
      <c r="D75" s="66"/>
      <c r="E75" s="67">
        <v>0.0</v>
      </c>
      <c r="F75" s="67">
        <f t="shared" si="14"/>
        <v>0</v>
      </c>
      <c r="G75" s="67">
        <f t="shared" si="15"/>
        <v>0</v>
      </c>
      <c r="H75" s="77">
        <v>2.0</v>
      </c>
      <c r="I75" s="68"/>
      <c r="J75" s="70"/>
      <c r="K75" s="199"/>
      <c r="L75" s="205"/>
      <c r="M75" s="206"/>
      <c r="N75" s="34"/>
      <c r="O75" s="802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17"/>
      <c r="B76" s="83">
        <f>B73+1</f>
        <v>17</v>
      </c>
      <c r="C76" s="255" t="s">
        <v>68</v>
      </c>
      <c r="D76" s="97"/>
      <c r="E76" s="67"/>
      <c r="F76" s="67"/>
      <c r="G76" s="67"/>
      <c r="H76" s="68"/>
      <c r="I76" s="72" t="s">
        <v>25</v>
      </c>
      <c r="J76" s="58">
        <f>IF(I76="YES",IF(I12="2010-2013",G77*$I$10,IF(I12="2014-2021",F77*$I$10,IF(I12="2021-2023",E77*$I$10,0))),0)</f>
        <v>74400</v>
      </c>
      <c r="K76" s="199"/>
      <c r="L76" s="14"/>
      <c r="M76" s="206"/>
      <c r="N76" s="207" t="s">
        <v>23</v>
      </c>
      <c r="O76" s="801">
        <f>IF(N76="Delapidated",J76*0.6,IF(N76="Poor",J76*0.7,IF(N76="Fair",J76*0.8,IF(N76="Good",J76*0.85,IF(N76="Very Good",J76*0.9,IF(N76="Excellent",J76*1,IF(N76="Not Applicable",J76*1,0)))))))</f>
        <v>74400</v>
      </c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30.0" customHeight="1">
      <c r="A77" s="17"/>
      <c r="B77" s="84"/>
      <c r="C77" s="79" t="s">
        <v>25</v>
      </c>
      <c r="D77" s="97"/>
      <c r="E77" s="67">
        <f>120*D16</f>
        <v>148.8</v>
      </c>
      <c r="F77" s="67">
        <f t="shared" ref="F77:F82" si="16">E77/$F$16</f>
        <v>119.04</v>
      </c>
      <c r="G77" s="67">
        <f t="shared" ref="G77:G82" si="17">E77/$G$16</f>
        <v>112.7272727</v>
      </c>
      <c r="H77" s="77">
        <v>1.0</v>
      </c>
      <c r="I77" s="322"/>
      <c r="J77" s="58"/>
      <c r="K77" s="199"/>
      <c r="L77" s="14"/>
      <c r="M77" s="206"/>
      <c r="N77" s="17"/>
      <c r="O77" s="799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0.0" customHeight="1">
      <c r="A78" s="17"/>
      <c r="B78" s="85"/>
      <c r="C78" s="79" t="s">
        <v>26</v>
      </c>
      <c r="D78" s="97"/>
      <c r="E78" s="98">
        <v>0.0</v>
      </c>
      <c r="F78" s="67">
        <f t="shared" si="16"/>
        <v>0</v>
      </c>
      <c r="G78" s="67">
        <f t="shared" si="17"/>
        <v>0</v>
      </c>
      <c r="H78" s="77">
        <v>2.0</v>
      </c>
      <c r="I78" s="322"/>
      <c r="J78" s="58"/>
      <c r="K78" s="199"/>
      <c r="L78" s="14"/>
      <c r="M78" s="206"/>
      <c r="N78" s="250"/>
      <c r="O78" s="804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30.0" customHeight="1">
      <c r="A79" s="17"/>
      <c r="B79" s="61"/>
      <c r="C79" s="105"/>
      <c r="D79" s="97"/>
      <c r="E79" s="98"/>
      <c r="F79" s="67">
        <f t="shared" si="16"/>
        <v>0</v>
      </c>
      <c r="G79" s="67">
        <f t="shared" si="17"/>
        <v>0</v>
      </c>
      <c r="H79" s="77"/>
      <c r="I79" s="480"/>
      <c r="J79" s="197"/>
      <c r="K79" s="190"/>
      <c r="L79" s="191"/>
      <c r="M79" s="225"/>
      <c r="N79" s="193"/>
      <c r="O79" s="610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0.0" customHeight="1">
      <c r="A80" s="17"/>
      <c r="B80" s="44"/>
      <c r="C80" s="105" t="s">
        <v>69</v>
      </c>
      <c r="D80" s="97"/>
      <c r="E80" s="98"/>
      <c r="F80" s="67">
        <f t="shared" si="16"/>
        <v>0</v>
      </c>
      <c r="G80" s="67">
        <f t="shared" si="17"/>
        <v>0</v>
      </c>
      <c r="H80" s="90"/>
      <c r="I80" s="227">
        <v>40.0</v>
      </c>
      <c r="J80" s="189"/>
      <c r="K80" s="190"/>
      <c r="L80" s="191"/>
      <c r="M80" s="225"/>
      <c r="N80" s="193"/>
      <c r="O80" s="610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0.0" customHeight="1">
      <c r="A81" s="17"/>
      <c r="B81" s="44">
        <f>B76+1</f>
        <v>18</v>
      </c>
      <c r="C81" s="74" t="s">
        <v>70</v>
      </c>
      <c r="D81" s="97"/>
      <c r="E81" s="98"/>
      <c r="F81" s="67">
        <f t="shared" si="16"/>
        <v>0</v>
      </c>
      <c r="G81" s="67">
        <f t="shared" si="17"/>
        <v>0</v>
      </c>
      <c r="H81" s="77"/>
      <c r="I81" s="229" t="s">
        <v>25</v>
      </c>
      <c r="J81" s="58">
        <f>IF(I81="YES",IF(I12="2010-2013",G82*$I$80,IF(I12="2014-2021",F82*$I$80,IF(I12="2021-2023",E82*$I$80,0))),0)</f>
        <v>143840</v>
      </c>
      <c r="K81" s="199"/>
      <c r="L81" s="14"/>
      <c r="M81" s="206"/>
      <c r="N81" s="231" t="s">
        <v>23</v>
      </c>
      <c r="O81" s="828">
        <f>IF(N81="Delapidated",J81*0.6,IF(N81="Poor",J81*0.7,IF(N81="Fair",J81*0.8,IF(N81="Good",J81*0.85,IF(N81="Very Good",J81*0.9,IF(N81="Excellent",J81*1,IF(N81="Not Applicable",J81*1,0)))))))</f>
        <v>143840</v>
      </c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0.0" hidden="1" customHeight="1">
      <c r="A82" s="17"/>
      <c r="B82" s="44"/>
      <c r="C82" s="79" t="s">
        <v>25</v>
      </c>
      <c r="D82" s="97"/>
      <c r="E82" s="98">
        <f>2900*D16</f>
        <v>3596</v>
      </c>
      <c r="F82" s="67">
        <f t="shared" si="16"/>
        <v>2876.8</v>
      </c>
      <c r="G82" s="67">
        <f t="shared" si="17"/>
        <v>2724.242424</v>
      </c>
      <c r="H82" s="77">
        <v>1.0</v>
      </c>
      <c r="I82" s="322"/>
      <c r="J82" s="58"/>
      <c r="K82" s="199"/>
      <c r="L82" s="14"/>
      <c r="M82" s="206"/>
      <c r="N82" s="17"/>
      <c r="O82" s="82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0.0" hidden="1" customHeight="1">
      <c r="A83" s="17"/>
      <c r="B83" s="83"/>
      <c r="C83" s="236" t="s">
        <v>26</v>
      </c>
      <c r="D83" s="103"/>
      <c r="E83" s="706"/>
      <c r="F83" s="706"/>
      <c r="G83" s="706"/>
      <c r="H83" s="651">
        <v>2.0</v>
      </c>
      <c r="I83" s="122"/>
      <c r="J83" s="123"/>
      <c r="K83" s="199"/>
      <c r="L83" s="14"/>
      <c r="M83" s="206"/>
      <c r="N83" s="17"/>
      <c r="O83" s="829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0.0" customHeight="1">
      <c r="A84" s="250"/>
      <c r="B84" s="343"/>
      <c r="C84" s="250"/>
      <c r="D84" s="245"/>
      <c r="E84" s="245"/>
      <c r="F84" s="245"/>
      <c r="G84" s="245"/>
      <c r="H84" s="245"/>
      <c r="I84" s="245"/>
      <c r="J84" s="130"/>
      <c r="K84" s="247"/>
      <c r="L84" s="326"/>
      <c r="M84" s="249"/>
      <c r="N84" s="218"/>
      <c r="O84" s="248"/>
      <c r="P84" s="250"/>
      <c r="Q84" s="250"/>
      <c r="R84" s="250"/>
      <c r="S84" s="250"/>
      <c r="T84" s="250"/>
      <c r="U84" s="250"/>
      <c r="V84" s="250"/>
      <c r="W84" s="250"/>
      <c r="X84" s="250"/>
      <c r="Y84" s="250"/>
      <c r="Z84" s="250"/>
    </row>
    <row r="85" ht="30.0" hidden="1" customHeight="1">
      <c r="A85" s="88"/>
      <c r="B85" s="682"/>
      <c r="C85" s="683" t="s">
        <v>71</v>
      </c>
      <c r="D85" s="133"/>
      <c r="E85" s="133">
        <v>3889.18586956522</v>
      </c>
      <c r="F85" s="133"/>
      <c r="G85" s="133"/>
      <c r="H85" s="133"/>
      <c r="I85" s="133"/>
      <c r="J85" s="134"/>
      <c r="K85" s="199" t="str">
        <f>AVERAGE(#REF!)</f>
        <v>#REF!</v>
      </c>
      <c r="L85" s="205">
        <f>SUM(L17:L73)</f>
        <v>1192683.667</v>
      </c>
      <c r="M85" s="206">
        <f t="shared" ref="M85:M90" si="18">L85/$L$10</f>
        <v>3889.18587</v>
      </c>
      <c r="N85" s="17"/>
      <c r="O85" s="830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30.0" hidden="1" customHeight="1">
      <c r="A86" s="17"/>
      <c r="B86" s="684" t="str">
        <f>#REF!+1</f>
        <v>#REF!</v>
      </c>
      <c r="C86" s="685" t="s">
        <v>72</v>
      </c>
      <c r="D86" s="118"/>
      <c r="E86" s="118">
        <v>0.0</v>
      </c>
      <c r="F86" s="118"/>
      <c r="G86" s="118"/>
      <c r="H86" s="118"/>
      <c r="I86" s="118"/>
      <c r="J86" s="136"/>
      <c r="K86" s="199"/>
      <c r="L86" s="14"/>
      <c r="M86" s="206">
        <f t="shared" si="18"/>
        <v>0</v>
      </c>
      <c r="N86" s="17"/>
      <c r="O86" s="234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hidden="1" customHeight="1">
      <c r="A87" s="17"/>
      <c r="B87" s="688"/>
      <c r="C87" s="689"/>
      <c r="D87" s="127"/>
      <c r="E87" s="127">
        <v>0.0</v>
      </c>
      <c r="F87" s="127"/>
      <c r="G87" s="127"/>
      <c r="H87" s="127"/>
      <c r="I87" s="127"/>
      <c r="J87" s="115"/>
      <c r="K87" s="199"/>
      <c r="L87" s="14"/>
      <c r="M87" s="206">
        <f t="shared" si="18"/>
        <v>0</v>
      </c>
      <c r="N87" s="17"/>
      <c r="O87" s="566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hidden="1" customHeight="1">
      <c r="A88" s="17"/>
      <c r="B88" s="690"/>
      <c r="C88" s="691" t="s">
        <v>71</v>
      </c>
      <c r="D88" s="133"/>
      <c r="E88" s="133">
        <v>3889.18586956522</v>
      </c>
      <c r="F88" s="133"/>
      <c r="G88" s="133"/>
      <c r="H88" s="133"/>
      <c r="I88" s="133"/>
      <c r="J88" s="134"/>
      <c r="K88" s="199" t="str">
        <f>AVERAGE(#REF!)</f>
        <v>#REF!</v>
      </c>
      <c r="L88" s="14">
        <f>SUM(L85:L87)</f>
        <v>1192683.667</v>
      </c>
      <c r="M88" s="206">
        <f t="shared" si="18"/>
        <v>3889.18587</v>
      </c>
      <c r="N88" s="17"/>
      <c r="O88" s="234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0.0" hidden="1" customHeight="1">
      <c r="A89" s="17"/>
      <c r="B89" s="692"/>
      <c r="C89" s="693" t="s">
        <v>73</v>
      </c>
      <c r="D89" s="140"/>
      <c r="E89" s="140">
        <v>0.0</v>
      </c>
      <c r="F89" s="140"/>
      <c r="G89" s="140"/>
      <c r="H89" s="140"/>
      <c r="I89" s="140"/>
      <c r="J89" s="141"/>
      <c r="K89" s="199"/>
      <c r="L89" s="14"/>
      <c r="M89" s="206">
        <f t="shared" si="18"/>
        <v>0</v>
      </c>
      <c r="N89" s="17"/>
      <c r="O89" s="566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0.0" customHeight="1">
      <c r="A90" s="17"/>
      <c r="B90" s="340"/>
      <c r="C90" s="17"/>
      <c r="D90" s="831"/>
      <c r="E90" s="831">
        <v>3889.18586956522</v>
      </c>
      <c r="F90" s="831"/>
      <c r="G90" s="831"/>
      <c r="H90" s="831"/>
      <c r="I90" s="340" t="s">
        <v>143</v>
      </c>
      <c r="J90" s="265">
        <f>SUM(J17:J81)</f>
        <v>2500706.978</v>
      </c>
      <c r="K90" s="199" t="str">
        <f>AVERAGE(#REF!)</f>
        <v>#REF!</v>
      </c>
      <c r="L90" s="14">
        <f>SUM(L88:L89)</f>
        <v>1192683.667</v>
      </c>
      <c r="M90" s="206">
        <f t="shared" si="18"/>
        <v>3889.18587</v>
      </c>
      <c r="N90" s="17"/>
      <c r="O90" s="266">
        <f>SUM(O17:O81)</f>
        <v>2500706.978</v>
      </c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0.0" customHeight="1">
      <c r="A91" s="17"/>
      <c r="B91" s="340"/>
      <c r="C91" s="17"/>
      <c r="D91" s="831"/>
      <c r="E91" s="831"/>
      <c r="F91" s="831"/>
      <c r="G91" s="831"/>
      <c r="H91" s="831"/>
      <c r="I91" s="340"/>
      <c r="J91" s="137"/>
      <c r="K91" s="199"/>
      <c r="L91" s="14"/>
      <c r="M91" s="206"/>
      <c r="N91" s="17"/>
      <c r="O91" s="433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30.0" customHeight="1">
      <c r="A92" s="147"/>
      <c r="B92" s="119"/>
      <c r="C92" s="17"/>
      <c r="D92" s="148"/>
      <c r="E92" s="148"/>
      <c r="F92" s="148"/>
      <c r="G92" s="148"/>
      <c r="H92" s="148"/>
      <c r="I92" s="138" t="s">
        <v>131</v>
      </c>
      <c r="J92" s="265">
        <f>J90/I10</f>
        <v>5001.413957</v>
      </c>
      <c r="K92" s="199" t="str">
        <f>AVERAGE(#REF!)</f>
        <v>#REF!</v>
      </c>
      <c r="L92" s="14">
        <f>L90/L10</f>
        <v>3889.18587</v>
      </c>
      <c r="M92" s="701"/>
      <c r="N92" s="17"/>
      <c r="O92" s="266">
        <f>O90/I10</f>
        <v>5001.413957</v>
      </c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</row>
    <row r="93" ht="12.0" customHeight="1">
      <c r="B93" s="1"/>
      <c r="J93" s="151"/>
      <c r="O93" s="151"/>
    </row>
    <row r="94" ht="45.75" customHeight="1">
      <c r="B94" s="1"/>
      <c r="C94" s="574"/>
      <c r="J94" s="151"/>
      <c r="N94" s="386"/>
      <c r="O94" s="625"/>
    </row>
    <row r="95" ht="12.0" customHeight="1">
      <c r="B95" s="1"/>
      <c r="J95" s="151"/>
      <c r="O95" s="832"/>
    </row>
    <row r="96" ht="12.0" customHeight="1">
      <c r="B96" s="1"/>
      <c r="J96" s="151"/>
      <c r="O96" s="151"/>
    </row>
    <row r="97" ht="12.0" customHeight="1">
      <c r="B97" s="1"/>
      <c r="J97" s="151"/>
      <c r="N97" s="207"/>
      <c r="O97" s="151"/>
    </row>
    <row r="98" ht="12.0" customHeight="1">
      <c r="B98" s="1"/>
      <c r="J98" s="151"/>
      <c r="O98" s="151"/>
    </row>
    <row r="99" ht="12.0" customHeight="1">
      <c r="B99" s="1"/>
      <c r="J99" s="151"/>
      <c r="O99" s="151"/>
    </row>
    <row r="100" ht="12.0" customHeight="1">
      <c r="B100" s="1"/>
      <c r="J100" s="151"/>
      <c r="O100" s="151"/>
    </row>
    <row r="101" ht="12.0" customHeight="1">
      <c r="B101" s="1"/>
      <c r="J101" s="151"/>
      <c r="O101" s="151"/>
    </row>
    <row r="102" ht="12.0" customHeight="1">
      <c r="B102" s="1"/>
      <c r="J102" s="151"/>
      <c r="O102" s="151"/>
    </row>
    <row r="103" ht="12.0" customHeight="1">
      <c r="B103" s="1"/>
      <c r="J103" s="151"/>
      <c r="O103" s="151"/>
    </row>
    <row r="104" ht="12.0" customHeight="1">
      <c r="B104" s="1"/>
      <c r="J104" s="151"/>
      <c r="O104" s="151"/>
    </row>
    <row r="105" ht="12.0" customHeight="1">
      <c r="B105" s="1"/>
      <c r="J105" s="151"/>
      <c r="O105" s="151"/>
    </row>
    <row r="106" ht="12.0" customHeight="1">
      <c r="B106" s="1"/>
      <c r="J106" s="151"/>
      <c r="O106" s="151"/>
    </row>
    <row r="107" ht="12.0" customHeight="1">
      <c r="B107" s="1"/>
      <c r="J107" s="151"/>
      <c r="O107" s="151"/>
    </row>
    <row r="108" ht="12.0" customHeight="1">
      <c r="B108" s="1"/>
      <c r="J108" s="151"/>
      <c r="O108" s="151"/>
    </row>
    <row r="109" ht="12.0" customHeight="1">
      <c r="B109" s="1"/>
      <c r="J109" s="151"/>
      <c r="O109" s="151"/>
    </row>
    <row r="110" ht="12.0" customHeight="1">
      <c r="B110" s="1"/>
      <c r="J110" s="151"/>
      <c r="O110" s="151"/>
    </row>
    <row r="111" ht="12.0" customHeight="1">
      <c r="B111" s="1"/>
      <c r="J111" s="151"/>
      <c r="O111" s="151"/>
    </row>
    <row r="112" ht="12.0" customHeight="1">
      <c r="B112" s="1"/>
      <c r="J112" s="151"/>
      <c r="O112" s="151"/>
    </row>
    <row r="113" ht="12.0" customHeight="1">
      <c r="B113" s="1"/>
      <c r="J113" s="151"/>
      <c r="O113" s="151"/>
    </row>
    <row r="114" ht="12.0" customHeight="1">
      <c r="B114" s="1"/>
      <c r="J114" s="151"/>
      <c r="O114" s="151"/>
    </row>
    <row r="115" ht="12.0" customHeight="1">
      <c r="B115" s="1"/>
      <c r="J115" s="151"/>
      <c r="O115" s="151"/>
    </row>
    <row r="116" ht="12.0" customHeight="1">
      <c r="B116" s="1"/>
      <c r="J116" s="151"/>
      <c r="O116" s="151"/>
    </row>
    <row r="117" ht="12.0" customHeight="1">
      <c r="B117" s="1"/>
      <c r="J117" s="151"/>
      <c r="O117" s="151"/>
    </row>
    <row r="118" ht="12.0" customHeight="1">
      <c r="B118" s="1"/>
      <c r="J118" s="151"/>
      <c r="O118" s="151"/>
    </row>
    <row r="119" ht="12.0" customHeight="1">
      <c r="B119" s="1"/>
      <c r="J119" s="151"/>
      <c r="O119" s="151"/>
    </row>
    <row r="120" ht="12.0" customHeight="1">
      <c r="B120" s="1"/>
      <c r="J120" s="151"/>
      <c r="O120" s="151"/>
    </row>
    <row r="121" ht="12.0" customHeight="1">
      <c r="B121" s="1"/>
      <c r="J121" s="151"/>
      <c r="O121" s="151"/>
    </row>
    <row r="122" ht="12.0" customHeight="1">
      <c r="B122" s="1"/>
      <c r="J122" s="151"/>
      <c r="O122" s="151"/>
    </row>
    <row r="123" ht="12.0" customHeight="1">
      <c r="B123" s="1"/>
      <c r="J123" s="151"/>
      <c r="O123" s="151"/>
    </row>
    <row r="124" ht="12.0" customHeight="1">
      <c r="B124" s="1"/>
      <c r="J124" s="151"/>
      <c r="O124" s="151"/>
    </row>
    <row r="125" ht="12.0" customHeight="1">
      <c r="B125" s="1"/>
      <c r="J125" s="151"/>
      <c r="O125" s="151"/>
    </row>
    <row r="126" ht="12.0" customHeight="1">
      <c r="B126" s="1"/>
      <c r="J126" s="151"/>
      <c r="O126" s="151"/>
    </row>
    <row r="127" ht="12.0" customHeight="1">
      <c r="B127" s="1"/>
      <c r="J127" s="151"/>
      <c r="O127" s="151"/>
    </row>
    <row r="128" ht="12.0" customHeight="1">
      <c r="B128" s="1"/>
      <c r="J128" s="151"/>
      <c r="O128" s="151"/>
    </row>
    <row r="129" ht="12.0" customHeight="1">
      <c r="B129" s="1"/>
      <c r="J129" s="151"/>
      <c r="O129" s="151"/>
    </row>
    <row r="130" ht="12.0" customHeight="1">
      <c r="B130" s="1"/>
      <c r="J130" s="151"/>
      <c r="O130" s="151"/>
    </row>
    <row r="131" ht="12.0" customHeight="1">
      <c r="B131" s="1"/>
      <c r="J131" s="151"/>
      <c r="O131" s="151"/>
    </row>
    <row r="132" ht="12.0" customHeight="1">
      <c r="B132" s="1"/>
      <c r="J132" s="151"/>
      <c r="O132" s="151"/>
    </row>
    <row r="133" ht="12.0" customHeight="1">
      <c r="B133" s="1"/>
      <c r="J133" s="151"/>
      <c r="O133" s="151"/>
    </row>
    <row r="134" ht="12.0" customHeight="1">
      <c r="B134" s="1"/>
      <c r="J134" s="151"/>
      <c r="O134" s="151"/>
    </row>
    <row r="135" ht="12.0" customHeight="1">
      <c r="B135" s="1"/>
      <c r="J135" s="151"/>
      <c r="O135" s="151"/>
    </row>
    <row r="136" ht="12.0" customHeight="1">
      <c r="B136" s="1"/>
      <c r="J136" s="151"/>
      <c r="O136" s="151"/>
    </row>
    <row r="137" ht="12.0" customHeight="1">
      <c r="B137" s="1"/>
      <c r="J137" s="151"/>
      <c r="O137" s="151"/>
    </row>
    <row r="138" ht="12.0" customHeight="1">
      <c r="B138" s="1"/>
      <c r="J138" s="151"/>
      <c r="O138" s="151"/>
    </row>
    <row r="139" ht="12.0" customHeight="1">
      <c r="B139" s="1"/>
      <c r="J139" s="151"/>
      <c r="O139" s="151"/>
    </row>
    <row r="140" ht="12.0" customHeight="1">
      <c r="B140" s="1"/>
      <c r="J140" s="151"/>
      <c r="O140" s="151"/>
    </row>
    <row r="141" ht="12.0" customHeight="1">
      <c r="B141" s="1"/>
      <c r="J141" s="151"/>
      <c r="O141" s="151"/>
    </row>
    <row r="142" ht="12.0" customHeight="1">
      <c r="B142" s="1"/>
      <c r="J142" s="151"/>
      <c r="O142" s="151"/>
    </row>
    <row r="143" ht="12.0" customHeight="1">
      <c r="B143" s="1"/>
      <c r="J143" s="151"/>
      <c r="O143" s="151"/>
    </row>
    <row r="144" ht="12.0" customHeight="1">
      <c r="B144" s="1"/>
      <c r="J144" s="151"/>
      <c r="O144" s="151"/>
    </row>
    <row r="145" ht="12.0" customHeight="1">
      <c r="B145" s="1"/>
      <c r="J145" s="151"/>
      <c r="O145" s="151"/>
    </row>
    <row r="146" ht="12.0" customHeight="1">
      <c r="B146" s="1"/>
      <c r="J146" s="151"/>
      <c r="O146" s="151"/>
    </row>
    <row r="147" ht="12.0" customHeight="1">
      <c r="B147" s="1"/>
      <c r="J147" s="151"/>
      <c r="O147" s="151"/>
    </row>
    <row r="148" ht="12.0" customHeight="1">
      <c r="B148" s="1"/>
      <c r="J148" s="151"/>
      <c r="O148" s="151"/>
    </row>
    <row r="149" ht="12.0" customHeight="1">
      <c r="B149" s="1"/>
      <c r="J149" s="151"/>
      <c r="O149" s="151"/>
    </row>
    <row r="150" ht="12.0" customHeight="1">
      <c r="B150" s="1"/>
      <c r="J150" s="151"/>
      <c r="O150" s="151"/>
    </row>
    <row r="151" ht="12.0" customHeight="1">
      <c r="B151" s="1"/>
      <c r="J151" s="151"/>
      <c r="O151" s="151"/>
    </row>
    <row r="152" ht="12.0" customHeight="1">
      <c r="B152" s="1"/>
      <c r="J152" s="151"/>
      <c r="O152" s="151"/>
    </row>
    <row r="153" ht="12.0" customHeight="1">
      <c r="B153" s="1"/>
      <c r="J153" s="151"/>
      <c r="O153" s="151"/>
    </row>
    <row r="154" ht="12.0" customHeight="1">
      <c r="B154" s="1"/>
      <c r="J154" s="151"/>
      <c r="O154" s="151"/>
    </row>
    <row r="155" ht="12.0" customHeight="1">
      <c r="B155" s="1"/>
      <c r="J155" s="151"/>
      <c r="O155" s="151"/>
    </row>
    <row r="156" ht="12.0" customHeight="1">
      <c r="B156" s="1"/>
      <c r="J156" s="151"/>
      <c r="O156" s="151"/>
    </row>
    <row r="157" ht="12.0" customHeight="1">
      <c r="B157" s="1"/>
      <c r="J157" s="151"/>
      <c r="O157" s="151"/>
    </row>
    <row r="158" ht="12.0" customHeight="1">
      <c r="B158" s="1"/>
      <c r="J158" s="151"/>
      <c r="O158" s="151"/>
    </row>
    <row r="159" ht="12.0" customHeight="1">
      <c r="B159" s="1"/>
      <c r="J159" s="151"/>
      <c r="O159" s="151"/>
    </row>
    <row r="160" ht="12.0" customHeight="1">
      <c r="B160" s="1"/>
      <c r="J160" s="151"/>
      <c r="O160" s="151"/>
    </row>
    <row r="161" ht="12.0" customHeight="1">
      <c r="B161" s="1"/>
      <c r="J161" s="151"/>
      <c r="O161" s="151"/>
    </row>
    <row r="162" ht="12.0" customHeight="1">
      <c r="B162" s="1"/>
      <c r="J162" s="151"/>
      <c r="O162" s="151"/>
    </row>
    <row r="163" ht="12.0" customHeight="1">
      <c r="B163" s="1"/>
      <c r="J163" s="151"/>
      <c r="O163" s="151"/>
    </row>
    <row r="164" ht="12.0" customHeight="1">
      <c r="B164" s="1"/>
      <c r="J164" s="151"/>
      <c r="O164" s="151"/>
    </row>
    <row r="165" ht="12.0" customHeight="1">
      <c r="B165" s="1"/>
      <c r="J165" s="151"/>
      <c r="O165" s="151"/>
    </row>
    <row r="166" ht="12.0" customHeight="1">
      <c r="B166" s="1"/>
      <c r="J166" s="151"/>
      <c r="O166" s="151"/>
    </row>
    <row r="167" ht="12.0" customHeight="1">
      <c r="B167" s="1"/>
      <c r="J167" s="151"/>
      <c r="O167" s="151"/>
    </row>
    <row r="168" ht="12.0" customHeight="1">
      <c r="B168" s="1"/>
      <c r="J168" s="151"/>
      <c r="O168" s="151"/>
    </row>
    <row r="169" ht="12.0" customHeight="1">
      <c r="B169" s="1"/>
      <c r="J169" s="151"/>
      <c r="O169" s="151"/>
    </row>
    <row r="170" ht="12.0" customHeight="1">
      <c r="B170" s="1"/>
      <c r="J170" s="151"/>
      <c r="O170" s="151"/>
    </row>
    <row r="171" ht="12.0" customHeight="1">
      <c r="B171" s="1"/>
      <c r="J171" s="151"/>
      <c r="O171" s="151"/>
    </row>
    <row r="172" ht="12.0" customHeight="1">
      <c r="B172" s="1"/>
      <c r="J172" s="151"/>
      <c r="O172" s="151"/>
    </row>
    <row r="173" ht="12.0" customHeight="1">
      <c r="B173" s="1"/>
      <c r="J173" s="151"/>
      <c r="O173" s="151"/>
    </row>
    <row r="174" ht="12.0" customHeight="1">
      <c r="B174" s="1"/>
      <c r="J174" s="151"/>
      <c r="O174" s="151"/>
    </row>
    <row r="175" ht="12.0" customHeight="1">
      <c r="B175" s="1"/>
      <c r="J175" s="151"/>
      <c r="O175" s="151"/>
    </row>
    <row r="176" ht="12.0" customHeight="1">
      <c r="B176" s="1"/>
      <c r="J176" s="151"/>
      <c r="O176" s="151"/>
    </row>
    <row r="177" ht="12.0" customHeight="1">
      <c r="B177" s="1"/>
      <c r="J177" s="151"/>
      <c r="O177" s="151"/>
    </row>
    <row r="178" ht="12.0" customHeight="1">
      <c r="B178" s="1"/>
      <c r="J178" s="151"/>
      <c r="O178" s="151"/>
    </row>
    <row r="179" ht="12.0" customHeight="1">
      <c r="B179" s="1"/>
      <c r="J179" s="151"/>
      <c r="O179" s="151"/>
    </row>
    <row r="180" ht="12.0" customHeight="1">
      <c r="B180" s="1"/>
      <c r="J180" s="151"/>
      <c r="O180" s="151"/>
    </row>
    <row r="181" ht="12.0" customHeight="1">
      <c r="B181" s="1"/>
      <c r="J181" s="151"/>
      <c r="O181" s="151"/>
    </row>
    <row r="182" ht="12.0" customHeight="1">
      <c r="B182" s="1"/>
      <c r="J182" s="151"/>
      <c r="O182" s="151"/>
    </row>
    <row r="183" ht="12.0" customHeight="1">
      <c r="B183" s="1"/>
      <c r="J183" s="151"/>
      <c r="O183" s="151"/>
    </row>
    <row r="184" ht="12.0" customHeight="1">
      <c r="B184" s="1"/>
      <c r="J184" s="151"/>
      <c r="O184" s="151"/>
    </row>
    <row r="185" ht="12.0" customHeight="1">
      <c r="B185" s="1"/>
      <c r="J185" s="151"/>
      <c r="O185" s="151"/>
    </row>
    <row r="186" ht="12.0" customHeight="1">
      <c r="B186" s="1"/>
      <c r="J186" s="151"/>
      <c r="O186" s="151"/>
    </row>
    <row r="187" ht="12.0" customHeight="1">
      <c r="B187" s="1"/>
      <c r="J187" s="151"/>
      <c r="O187" s="151"/>
    </row>
    <row r="188" ht="12.0" customHeight="1">
      <c r="B188" s="1"/>
      <c r="J188" s="151"/>
      <c r="O188" s="151"/>
    </row>
    <row r="189" ht="12.0" customHeight="1">
      <c r="B189" s="1"/>
      <c r="J189" s="151"/>
      <c r="O189" s="151"/>
    </row>
    <row r="190" ht="12.0" customHeight="1">
      <c r="B190" s="1"/>
      <c r="J190" s="151"/>
      <c r="O190" s="151"/>
    </row>
    <row r="191" ht="12.0" customHeight="1">
      <c r="B191" s="1"/>
      <c r="J191" s="151"/>
      <c r="O191" s="151"/>
    </row>
    <row r="192" ht="12.0" customHeight="1">
      <c r="B192" s="1"/>
      <c r="J192" s="151"/>
      <c r="O192" s="151"/>
    </row>
    <row r="193" ht="12.0" customHeight="1">
      <c r="B193" s="1"/>
      <c r="J193" s="151"/>
      <c r="O193" s="151"/>
    </row>
    <row r="194" ht="12.0" customHeight="1">
      <c r="B194" s="1"/>
      <c r="J194" s="151"/>
      <c r="O194" s="151"/>
    </row>
    <row r="195" ht="12.0" customHeight="1">
      <c r="B195" s="1"/>
      <c r="J195" s="151"/>
      <c r="O195" s="151"/>
    </row>
    <row r="196" ht="12.0" customHeight="1">
      <c r="B196" s="1"/>
      <c r="J196" s="151"/>
      <c r="O196" s="151"/>
    </row>
    <row r="197" ht="12.0" customHeight="1">
      <c r="B197" s="1"/>
      <c r="J197" s="151"/>
      <c r="O197" s="151"/>
    </row>
    <row r="198" ht="12.0" customHeight="1">
      <c r="B198" s="1"/>
      <c r="J198" s="151"/>
      <c r="O198" s="151"/>
    </row>
    <row r="199" ht="12.0" customHeight="1">
      <c r="B199" s="1"/>
      <c r="J199" s="151"/>
      <c r="O199" s="151"/>
    </row>
    <row r="200" ht="12.0" customHeight="1">
      <c r="B200" s="1"/>
      <c r="J200" s="151"/>
      <c r="O200" s="151"/>
    </row>
    <row r="201" ht="12.0" customHeight="1">
      <c r="B201" s="1"/>
      <c r="J201" s="151"/>
      <c r="O201" s="151"/>
    </row>
    <row r="202" ht="12.0" customHeight="1">
      <c r="B202" s="1"/>
      <c r="J202" s="151"/>
      <c r="O202" s="151"/>
    </row>
    <row r="203" ht="12.0" customHeight="1">
      <c r="B203" s="1"/>
      <c r="J203" s="151"/>
      <c r="O203" s="151"/>
    </row>
    <row r="204" ht="12.0" customHeight="1">
      <c r="B204" s="1"/>
      <c r="J204" s="151"/>
      <c r="O204" s="151"/>
    </row>
    <row r="205" ht="12.0" customHeight="1">
      <c r="B205" s="1"/>
      <c r="J205" s="151"/>
      <c r="O205" s="151"/>
    </row>
    <row r="206" ht="12.0" customHeight="1">
      <c r="B206" s="1"/>
      <c r="J206" s="151"/>
      <c r="O206" s="151"/>
    </row>
    <row r="207" ht="12.0" customHeight="1">
      <c r="B207" s="1"/>
      <c r="J207" s="151"/>
      <c r="O207" s="151"/>
    </row>
    <row r="208" ht="12.0" customHeight="1">
      <c r="B208" s="1"/>
      <c r="J208" s="151"/>
      <c r="O208" s="151"/>
    </row>
    <row r="209" ht="12.0" customHeight="1">
      <c r="B209" s="1"/>
      <c r="J209" s="151"/>
      <c r="O209" s="151"/>
    </row>
    <row r="210" ht="12.0" customHeight="1">
      <c r="B210" s="1"/>
      <c r="J210" s="151"/>
      <c r="O210" s="151"/>
    </row>
    <row r="211" ht="12.0" customHeight="1">
      <c r="B211" s="1"/>
      <c r="J211" s="151"/>
      <c r="O211" s="151"/>
    </row>
    <row r="212" ht="12.0" customHeight="1">
      <c r="B212" s="1"/>
      <c r="J212" s="151"/>
      <c r="O212" s="151"/>
    </row>
    <row r="213" ht="12.0" customHeight="1">
      <c r="B213" s="1"/>
      <c r="J213" s="151"/>
      <c r="O213" s="151"/>
    </row>
    <row r="214" ht="12.0" customHeight="1">
      <c r="B214" s="1"/>
      <c r="J214" s="151"/>
      <c r="O214" s="151"/>
    </row>
    <row r="215" ht="12.0" customHeight="1">
      <c r="B215" s="1"/>
      <c r="J215" s="151"/>
      <c r="O215" s="151"/>
    </row>
    <row r="216" ht="12.0" customHeight="1">
      <c r="B216" s="1"/>
      <c r="J216" s="151"/>
      <c r="O216" s="151"/>
    </row>
    <row r="217" ht="12.0" customHeight="1">
      <c r="B217" s="1"/>
      <c r="J217" s="151"/>
      <c r="O217" s="151"/>
    </row>
    <row r="218" ht="12.0" customHeight="1">
      <c r="B218" s="1"/>
      <c r="J218" s="151"/>
      <c r="O218" s="151"/>
    </row>
    <row r="219" ht="12.0" customHeight="1">
      <c r="B219" s="1"/>
      <c r="J219" s="151"/>
      <c r="O219" s="151"/>
    </row>
    <row r="220" ht="12.0" customHeight="1">
      <c r="B220" s="1"/>
      <c r="J220" s="151"/>
      <c r="O220" s="151"/>
    </row>
    <row r="221" ht="12.0" customHeight="1">
      <c r="B221" s="1"/>
      <c r="J221" s="151"/>
      <c r="O221" s="151"/>
    </row>
    <row r="222" ht="12.0" customHeight="1">
      <c r="B222" s="1"/>
      <c r="J222" s="151"/>
      <c r="O222" s="151"/>
    </row>
    <row r="223" ht="12.0" customHeight="1">
      <c r="B223" s="1"/>
      <c r="J223" s="151"/>
      <c r="O223" s="151"/>
    </row>
    <row r="224" ht="12.0" customHeight="1">
      <c r="B224" s="1"/>
      <c r="J224" s="151"/>
      <c r="O224" s="151"/>
    </row>
    <row r="225" ht="12.0" customHeight="1">
      <c r="B225" s="1"/>
      <c r="J225" s="151"/>
      <c r="O225" s="151"/>
    </row>
    <row r="226" ht="12.0" customHeight="1">
      <c r="B226" s="1"/>
      <c r="J226" s="151"/>
      <c r="O226" s="151"/>
    </row>
    <row r="227" ht="12.0" customHeight="1">
      <c r="B227" s="1"/>
      <c r="J227" s="151"/>
      <c r="O227" s="151"/>
    </row>
    <row r="228" ht="12.0" customHeight="1">
      <c r="B228" s="1"/>
      <c r="J228" s="151"/>
      <c r="O228" s="151"/>
    </row>
    <row r="229" ht="12.0" customHeight="1">
      <c r="B229" s="1"/>
      <c r="J229" s="151"/>
      <c r="O229" s="151"/>
    </row>
    <row r="230" ht="12.0" customHeight="1">
      <c r="B230" s="1"/>
      <c r="J230" s="151"/>
      <c r="O230" s="151"/>
    </row>
    <row r="231" ht="12.0" customHeight="1">
      <c r="B231" s="1"/>
      <c r="J231" s="151"/>
      <c r="O231" s="151"/>
    </row>
    <row r="232" ht="12.0" customHeight="1">
      <c r="B232" s="1"/>
      <c r="J232" s="151"/>
      <c r="O232" s="151"/>
    </row>
    <row r="233" ht="12.0" customHeight="1">
      <c r="B233" s="1"/>
      <c r="J233" s="151"/>
      <c r="O233" s="151"/>
    </row>
    <row r="234" ht="12.0" customHeight="1">
      <c r="B234" s="1"/>
      <c r="J234" s="151"/>
      <c r="O234" s="151"/>
    </row>
    <row r="235" ht="12.0" customHeight="1">
      <c r="B235" s="1"/>
      <c r="J235" s="151"/>
      <c r="O235" s="151"/>
    </row>
    <row r="236" ht="12.0" customHeight="1">
      <c r="B236" s="1"/>
      <c r="J236" s="151"/>
      <c r="O236" s="151"/>
    </row>
    <row r="237" ht="12.0" customHeight="1">
      <c r="B237" s="1"/>
      <c r="J237" s="151"/>
      <c r="O237" s="151"/>
    </row>
    <row r="238" ht="12.0" customHeight="1">
      <c r="B238" s="1"/>
      <c r="J238" s="151"/>
      <c r="O238" s="151"/>
    </row>
    <row r="239" ht="12.0" customHeight="1">
      <c r="B239" s="1"/>
      <c r="J239" s="151"/>
      <c r="O239" s="151"/>
    </row>
    <row r="240" ht="12.0" customHeight="1">
      <c r="B240" s="1"/>
      <c r="J240" s="151"/>
      <c r="O240" s="151"/>
    </row>
    <row r="241" ht="12.0" customHeight="1">
      <c r="B241" s="1"/>
      <c r="J241" s="151"/>
      <c r="O241" s="151"/>
    </row>
    <row r="242" ht="12.0" customHeight="1">
      <c r="B242" s="1"/>
      <c r="J242" s="151"/>
      <c r="O242" s="151"/>
    </row>
    <row r="243" ht="12.0" customHeight="1">
      <c r="B243" s="1"/>
      <c r="J243" s="151"/>
      <c r="O243" s="151"/>
    </row>
    <row r="244" ht="12.0" customHeight="1">
      <c r="B244" s="1"/>
      <c r="J244" s="151"/>
      <c r="O244" s="151"/>
    </row>
    <row r="245" ht="12.0" customHeight="1">
      <c r="B245" s="1"/>
      <c r="J245" s="151"/>
      <c r="O245" s="151"/>
    </row>
    <row r="246" ht="12.0" customHeight="1">
      <c r="B246" s="1"/>
      <c r="J246" s="151"/>
      <c r="O246" s="151"/>
    </row>
    <row r="247" ht="12.0" customHeight="1">
      <c r="B247" s="1"/>
      <c r="J247" s="151"/>
      <c r="O247" s="151"/>
    </row>
    <row r="248" ht="12.0" customHeight="1">
      <c r="B248" s="1"/>
      <c r="J248" s="151"/>
      <c r="O248" s="151"/>
    </row>
    <row r="249" ht="12.0" customHeight="1">
      <c r="B249" s="1"/>
      <c r="J249" s="151"/>
      <c r="O249" s="151"/>
    </row>
    <row r="250" ht="12.0" customHeight="1">
      <c r="B250" s="1"/>
      <c r="J250" s="151"/>
      <c r="O250" s="151"/>
    </row>
    <row r="251" ht="12.0" customHeight="1">
      <c r="B251" s="1"/>
      <c r="J251" s="151"/>
      <c r="O251" s="151"/>
    </row>
    <row r="252" ht="12.0" customHeight="1">
      <c r="B252" s="1"/>
      <c r="J252" s="151"/>
      <c r="O252" s="151"/>
    </row>
    <row r="253" ht="12.0" customHeight="1">
      <c r="B253" s="1"/>
      <c r="J253" s="151"/>
      <c r="O253" s="151"/>
    </row>
    <row r="254" ht="12.0" customHeight="1">
      <c r="B254" s="1"/>
      <c r="J254" s="151"/>
      <c r="O254" s="151"/>
    </row>
    <row r="255" ht="12.0" customHeight="1">
      <c r="B255" s="1"/>
      <c r="J255" s="151"/>
      <c r="O255" s="151"/>
    </row>
    <row r="256" ht="12.0" customHeight="1">
      <c r="B256" s="1"/>
      <c r="J256" s="151"/>
      <c r="O256" s="151"/>
    </row>
    <row r="257" ht="12.0" customHeight="1">
      <c r="B257" s="1"/>
      <c r="J257" s="151"/>
      <c r="O257" s="151"/>
    </row>
    <row r="258" ht="12.0" customHeight="1">
      <c r="B258" s="1"/>
      <c r="J258" s="151"/>
      <c r="O258" s="151"/>
    </row>
    <row r="259" ht="12.0" customHeight="1">
      <c r="B259" s="1"/>
      <c r="J259" s="151"/>
      <c r="O259" s="151"/>
    </row>
    <row r="260" ht="12.0" customHeight="1">
      <c r="B260" s="1"/>
      <c r="J260" s="151"/>
      <c r="O260" s="151"/>
    </row>
    <row r="261" ht="12.0" customHeight="1">
      <c r="B261" s="1"/>
      <c r="J261" s="151"/>
      <c r="O261" s="151"/>
    </row>
    <row r="262" ht="12.0" customHeight="1">
      <c r="B262" s="1"/>
      <c r="J262" s="151"/>
      <c r="O262" s="151"/>
    </row>
    <row r="263" ht="12.0" customHeight="1">
      <c r="B263" s="1"/>
      <c r="J263" s="151"/>
      <c r="O263" s="151"/>
    </row>
    <row r="264" ht="12.0" customHeight="1">
      <c r="B264" s="1"/>
      <c r="J264" s="151"/>
      <c r="O264" s="151"/>
    </row>
    <row r="265" ht="12.0" customHeight="1">
      <c r="B265" s="1"/>
      <c r="J265" s="151"/>
      <c r="O265" s="151"/>
    </row>
    <row r="266" ht="12.0" customHeight="1">
      <c r="B266" s="1"/>
      <c r="J266" s="151"/>
      <c r="O266" s="151"/>
    </row>
    <row r="267" ht="12.0" customHeight="1">
      <c r="B267" s="1"/>
      <c r="J267" s="151"/>
      <c r="O267" s="151"/>
    </row>
    <row r="268" ht="12.0" customHeight="1">
      <c r="B268" s="1"/>
      <c r="J268" s="151"/>
      <c r="O268" s="151"/>
    </row>
    <row r="269" ht="12.0" customHeight="1">
      <c r="B269" s="1"/>
      <c r="J269" s="151"/>
      <c r="O269" s="151"/>
    </row>
    <row r="270" ht="12.0" customHeight="1">
      <c r="B270" s="1"/>
      <c r="J270" s="151"/>
      <c r="O270" s="151"/>
    </row>
    <row r="271" ht="12.0" customHeight="1">
      <c r="B271" s="1"/>
      <c r="J271" s="151"/>
      <c r="O271" s="151"/>
    </row>
    <row r="272" ht="12.0" customHeight="1">
      <c r="B272" s="1"/>
      <c r="J272" s="151"/>
      <c r="O272" s="151"/>
    </row>
    <row r="273" ht="12.0" customHeight="1">
      <c r="B273" s="1"/>
      <c r="J273" s="151"/>
      <c r="O273" s="151"/>
    </row>
    <row r="274" ht="12.0" customHeight="1">
      <c r="B274" s="1"/>
      <c r="J274" s="151"/>
      <c r="O274" s="151"/>
    </row>
    <row r="275" ht="12.0" customHeight="1">
      <c r="B275" s="1"/>
      <c r="J275" s="151"/>
      <c r="O275" s="151"/>
    </row>
    <row r="276" ht="12.0" customHeight="1">
      <c r="B276" s="1"/>
      <c r="J276" s="151"/>
      <c r="O276" s="151"/>
    </row>
    <row r="277" ht="12.0" customHeight="1">
      <c r="B277" s="1"/>
      <c r="J277" s="151"/>
      <c r="O277" s="151"/>
    </row>
    <row r="278" ht="12.0" customHeight="1">
      <c r="B278" s="1"/>
      <c r="J278" s="151"/>
      <c r="O278" s="151"/>
    </row>
    <row r="279" ht="12.0" customHeight="1">
      <c r="B279" s="1"/>
      <c r="J279" s="151"/>
      <c r="O279" s="151"/>
    </row>
    <row r="280" ht="12.0" customHeight="1">
      <c r="B280" s="1"/>
      <c r="J280" s="151"/>
      <c r="O280" s="151"/>
    </row>
    <row r="281" ht="12.0" customHeight="1">
      <c r="B281" s="1"/>
      <c r="J281" s="151"/>
      <c r="O281" s="151"/>
    </row>
    <row r="282" ht="12.0" customHeight="1">
      <c r="B282" s="1"/>
      <c r="J282" s="151"/>
      <c r="O282" s="151"/>
    </row>
    <row r="283" ht="12.0" customHeight="1">
      <c r="B283" s="1"/>
      <c r="J283" s="151"/>
      <c r="O283" s="151"/>
    </row>
    <row r="284" ht="12.0" customHeight="1">
      <c r="B284" s="1"/>
      <c r="J284" s="151"/>
      <c r="O284" s="151"/>
    </row>
    <row r="285" ht="12.0" customHeight="1">
      <c r="B285" s="1"/>
      <c r="J285" s="151"/>
      <c r="O285" s="151"/>
    </row>
    <row r="286" ht="12.0" customHeight="1">
      <c r="B286" s="1"/>
      <c r="J286" s="151"/>
      <c r="O286" s="151"/>
    </row>
    <row r="287" ht="12.0" customHeight="1">
      <c r="B287" s="1"/>
      <c r="J287" s="151"/>
      <c r="O287" s="151"/>
    </row>
    <row r="288" ht="12.0" customHeight="1">
      <c r="B288" s="1"/>
      <c r="J288" s="151"/>
      <c r="O288" s="151"/>
    </row>
    <row r="289" ht="12.0" customHeight="1">
      <c r="B289" s="1"/>
      <c r="J289" s="151"/>
      <c r="O289" s="151"/>
    </row>
    <row r="290" ht="12.0" customHeight="1">
      <c r="B290" s="1"/>
      <c r="J290" s="151"/>
      <c r="O290" s="151"/>
    </row>
    <row r="291" ht="12.0" customHeight="1">
      <c r="B291" s="1"/>
      <c r="J291" s="151"/>
      <c r="O291" s="151"/>
    </row>
    <row r="292" ht="12.0" customHeight="1">
      <c r="B292" s="1"/>
      <c r="J292" s="151"/>
      <c r="O292" s="151"/>
    </row>
    <row r="293" ht="12.0" customHeight="1">
      <c r="B293" s="1"/>
      <c r="J293" s="151"/>
      <c r="O293" s="151"/>
    </row>
    <row r="294" ht="12.0" customHeight="1">
      <c r="B294" s="1"/>
      <c r="J294" s="151"/>
      <c r="O294" s="151"/>
    </row>
    <row r="295" ht="12.0" customHeight="1">
      <c r="B295" s="1"/>
      <c r="J295" s="151"/>
      <c r="O295" s="151"/>
    </row>
    <row r="296" ht="12.0" customHeight="1">
      <c r="B296" s="1"/>
      <c r="J296" s="151"/>
      <c r="O296" s="151"/>
    </row>
    <row r="297" ht="12.0" customHeight="1">
      <c r="B297" s="1"/>
      <c r="J297" s="151"/>
      <c r="O297" s="151"/>
    </row>
    <row r="298" ht="12.0" customHeight="1">
      <c r="B298" s="1"/>
      <c r="J298" s="151"/>
      <c r="O298" s="151"/>
    </row>
    <row r="299" ht="12.0" customHeight="1">
      <c r="B299" s="1"/>
      <c r="J299" s="151"/>
      <c r="O299" s="151"/>
    </row>
    <row r="300" ht="12.0" customHeight="1">
      <c r="B300" s="1"/>
      <c r="J300" s="151"/>
      <c r="O300" s="151"/>
    </row>
    <row r="301" ht="12.0" customHeight="1">
      <c r="B301" s="1"/>
      <c r="J301" s="151"/>
      <c r="O301" s="151"/>
    </row>
    <row r="302" ht="12.0" customHeight="1">
      <c r="B302" s="1"/>
      <c r="J302" s="151"/>
      <c r="O302" s="151"/>
    </row>
    <row r="303" ht="12.0" customHeight="1">
      <c r="B303" s="1"/>
      <c r="J303" s="151"/>
      <c r="O303" s="151"/>
    </row>
    <row r="304" ht="12.0" customHeight="1">
      <c r="B304" s="1"/>
      <c r="J304" s="151"/>
      <c r="O304" s="151"/>
    </row>
    <row r="305" ht="12.0" customHeight="1">
      <c r="B305" s="1"/>
      <c r="J305" s="151"/>
      <c r="O305" s="151"/>
    </row>
    <row r="306" ht="12.0" customHeight="1">
      <c r="B306" s="1"/>
      <c r="J306" s="151"/>
      <c r="O306" s="151"/>
    </row>
    <row r="307" ht="12.0" customHeight="1">
      <c r="B307" s="1"/>
      <c r="J307" s="151"/>
      <c r="O307" s="151"/>
    </row>
    <row r="308" ht="12.0" customHeight="1">
      <c r="B308" s="1"/>
      <c r="J308" s="151"/>
      <c r="O308" s="151"/>
    </row>
    <row r="309" ht="12.0" customHeight="1">
      <c r="B309" s="1"/>
      <c r="J309" s="151"/>
      <c r="O309" s="151"/>
    </row>
    <row r="310" ht="12.0" customHeight="1">
      <c r="B310" s="1"/>
      <c r="J310" s="151"/>
      <c r="O310" s="151"/>
    </row>
    <row r="311" ht="12.0" customHeight="1">
      <c r="B311" s="1"/>
      <c r="J311" s="151"/>
      <c r="O311" s="151"/>
    </row>
    <row r="312" ht="12.0" customHeight="1">
      <c r="B312" s="1"/>
      <c r="J312" s="151"/>
      <c r="O312" s="151"/>
    </row>
    <row r="313" ht="12.0" customHeight="1">
      <c r="B313" s="1"/>
      <c r="J313" s="151"/>
      <c r="O313" s="151"/>
    </row>
    <row r="314" ht="12.0" customHeight="1">
      <c r="B314" s="1"/>
      <c r="J314" s="151"/>
      <c r="O314" s="151"/>
    </row>
    <row r="315" ht="12.0" customHeight="1">
      <c r="B315" s="1"/>
      <c r="J315" s="151"/>
      <c r="O315" s="151"/>
    </row>
    <row r="316" ht="12.0" customHeight="1">
      <c r="B316" s="1"/>
      <c r="J316" s="151"/>
      <c r="O316" s="151"/>
    </row>
    <row r="317" ht="12.0" customHeight="1">
      <c r="B317" s="1"/>
      <c r="J317" s="151"/>
      <c r="O317" s="151"/>
    </row>
    <row r="318" ht="12.0" customHeight="1">
      <c r="B318" s="1"/>
      <c r="J318" s="151"/>
      <c r="O318" s="151"/>
    </row>
    <row r="319" ht="12.0" customHeight="1">
      <c r="B319" s="1"/>
      <c r="J319" s="151"/>
      <c r="O319" s="151"/>
    </row>
    <row r="320" ht="12.0" customHeight="1">
      <c r="B320" s="1"/>
      <c r="J320" s="151"/>
      <c r="O320" s="151"/>
    </row>
    <row r="321" ht="12.0" customHeight="1">
      <c r="B321" s="1"/>
      <c r="J321" s="151"/>
      <c r="O321" s="151"/>
    </row>
    <row r="322" ht="12.0" customHeight="1">
      <c r="B322" s="1"/>
      <c r="J322" s="151"/>
      <c r="O322" s="151"/>
    </row>
    <row r="323" ht="12.0" customHeight="1">
      <c r="B323" s="1"/>
      <c r="J323" s="151"/>
      <c r="O323" s="151"/>
    </row>
    <row r="324" ht="12.0" customHeight="1">
      <c r="B324" s="1"/>
      <c r="J324" s="151"/>
      <c r="O324" s="151"/>
    </row>
    <row r="325" ht="12.0" customHeight="1">
      <c r="B325" s="1"/>
      <c r="J325" s="151"/>
      <c r="O325" s="151"/>
    </row>
    <row r="326" ht="12.0" customHeight="1">
      <c r="B326" s="1"/>
      <c r="J326" s="151"/>
      <c r="O326" s="151"/>
    </row>
    <row r="327" ht="12.0" customHeight="1">
      <c r="B327" s="1"/>
      <c r="J327" s="151"/>
      <c r="O327" s="151"/>
    </row>
    <row r="328" ht="12.0" customHeight="1">
      <c r="B328" s="1"/>
      <c r="J328" s="151"/>
      <c r="O328" s="151"/>
    </row>
    <row r="329" ht="12.0" customHeight="1">
      <c r="B329" s="1"/>
      <c r="J329" s="151"/>
      <c r="O329" s="151"/>
    </row>
    <row r="330" ht="12.0" customHeight="1">
      <c r="B330" s="1"/>
      <c r="J330" s="151"/>
      <c r="O330" s="151"/>
    </row>
    <row r="331" ht="12.0" customHeight="1">
      <c r="B331" s="1"/>
      <c r="J331" s="151"/>
      <c r="O331" s="151"/>
    </row>
    <row r="332" ht="12.0" customHeight="1">
      <c r="B332" s="1"/>
      <c r="J332" s="151"/>
      <c r="O332" s="151"/>
    </row>
    <row r="333" ht="12.0" customHeight="1">
      <c r="B333" s="1"/>
      <c r="J333" s="151"/>
      <c r="O333" s="151"/>
    </row>
    <row r="334" ht="12.0" customHeight="1">
      <c r="B334" s="1"/>
      <c r="J334" s="151"/>
      <c r="O334" s="151"/>
    </row>
    <row r="335" ht="12.0" customHeight="1">
      <c r="B335" s="1"/>
      <c r="J335" s="151"/>
      <c r="O335" s="151"/>
    </row>
    <row r="336" ht="12.0" customHeight="1">
      <c r="B336" s="1"/>
      <c r="J336" s="151"/>
      <c r="O336" s="151"/>
    </row>
    <row r="337" ht="12.0" customHeight="1">
      <c r="B337" s="1"/>
      <c r="J337" s="151"/>
      <c r="O337" s="151"/>
    </row>
    <row r="338" ht="12.0" customHeight="1">
      <c r="B338" s="1"/>
      <c r="J338" s="151"/>
      <c r="O338" s="151"/>
    </row>
    <row r="339" ht="12.0" customHeight="1">
      <c r="B339" s="1"/>
      <c r="J339" s="151"/>
      <c r="O339" s="151"/>
    </row>
    <row r="340" ht="12.0" customHeight="1">
      <c r="B340" s="1"/>
      <c r="J340" s="151"/>
      <c r="O340" s="151"/>
    </row>
    <row r="341" ht="12.0" customHeight="1">
      <c r="B341" s="1"/>
      <c r="J341" s="151"/>
      <c r="O341" s="151"/>
    </row>
    <row r="342" ht="12.0" customHeight="1">
      <c r="B342" s="1"/>
      <c r="J342" s="151"/>
      <c r="O342" s="151"/>
    </row>
    <row r="343" ht="12.0" customHeight="1">
      <c r="B343" s="1"/>
      <c r="J343" s="151"/>
      <c r="O343" s="151"/>
    </row>
    <row r="344" ht="12.0" customHeight="1">
      <c r="B344" s="1"/>
      <c r="J344" s="151"/>
      <c r="O344" s="151"/>
    </row>
    <row r="345" ht="12.0" customHeight="1">
      <c r="B345" s="1"/>
      <c r="J345" s="151"/>
      <c r="O345" s="151"/>
    </row>
    <row r="346" ht="12.0" customHeight="1">
      <c r="B346" s="1"/>
      <c r="J346" s="151"/>
      <c r="O346" s="151"/>
    </row>
    <row r="347" ht="12.0" customHeight="1">
      <c r="B347" s="1"/>
      <c r="J347" s="151"/>
      <c r="O347" s="151"/>
    </row>
    <row r="348" ht="12.0" customHeight="1">
      <c r="B348" s="1"/>
      <c r="J348" s="151"/>
      <c r="O348" s="151"/>
    </row>
    <row r="349" ht="12.0" customHeight="1">
      <c r="B349" s="1"/>
      <c r="J349" s="151"/>
      <c r="O349" s="151"/>
    </row>
    <row r="350" ht="12.0" customHeight="1">
      <c r="B350" s="1"/>
      <c r="J350" s="151"/>
      <c r="O350" s="151"/>
    </row>
    <row r="351" ht="12.0" customHeight="1">
      <c r="B351" s="1"/>
      <c r="J351" s="151"/>
      <c r="O351" s="151"/>
    </row>
    <row r="352" ht="12.0" customHeight="1">
      <c r="B352" s="1"/>
      <c r="J352" s="151"/>
      <c r="O352" s="151"/>
    </row>
    <row r="353" ht="12.0" customHeight="1">
      <c r="B353" s="1"/>
      <c r="J353" s="151"/>
      <c r="O353" s="151"/>
    </row>
    <row r="354" ht="12.0" customHeight="1">
      <c r="B354" s="1"/>
      <c r="J354" s="151"/>
      <c r="O354" s="151"/>
    </row>
    <row r="355" ht="12.0" customHeight="1">
      <c r="B355" s="1"/>
      <c r="J355" s="151"/>
      <c r="O355" s="151"/>
    </row>
    <row r="356" ht="12.0" customHeight="1">
      <c r="B356" s="1"/>
      <c r="J356" s="151"/>
      <c r="O356" s="151"/>
    </row>
    <row r="357" ht="12.0" customHeight="1">
      <c r="B357" s="1"/>
      <c r="J357" s="151"/>
      <c r="O357" s="151"/>
    </row>
    <row r="358" ht="12.0" customHeight="1">
      <c r="B358" s="1"/>
      <c r="J358" s="151"/>
      <c r="O358" s="151"/>
    </row>
    <row r="359" ht="12.0" customHeight="1">
      <c r="B359" s="1"/>
      <c r="J359" s="151"/>
      <c r="O359" s="151"/>
    </row>
    <row r="360" ht="12.0" customHeight="1">
      <c r="B360" s="1"/>
      <c r="J360" s="151"/>
      <c r="O360" s="151"/>
    </row>
    <row r="361" ht="12.0" customHeight="1">
      <c r="B361" s="1"/>
      <c r="J361" s="151"/>
      <c r="O361" s="151"/>
    </row>
    <row r="362" ht="12.0" customHeight="1">
      <c r="B362" s="1"/>
      <c r="J362" s="151"/>
      <c r="O362" s="151"/>
    </row>
    <row r="363" ht="12.0" customHeight="1">
      <c r="B363" s="1"/>
      <c r="J363" s="151"/>
      <c r="O363" s="151"/>
    </row>
    <row r="364" ht="12.0" customHeight="1">
      <c r="B364" s="1"/>
      <c r="J364" s="151"/>
      <c r="O364" s="151"/>
    </row>
    <row r="365" ht="12.0" customHeight="1">
      <c r="B365" s="1"/>
      <c r="J365" s="151"/>
      <c r="O365" s="151"/>
    </row>
    <row r="366" ht="12.0" customHeight="1">
      <c r="B366" s="1"/>
      <c r="J366" s="151"/>
      <c r="O366" s="151"/>
    </row>
    <row r="367" ht="12.0" customHeight="1">
      <c r="B367" s="1"/>
      <c r="J367" s="151"/>
      <c r="O367" s="151"/>
    </row>
    <row r="368" ht="12.0" customHeight="1">
      <c r="B368" s="1"/>
      <c r="J368" s="151"/>
      <c r="O368" s="151"/>
    </row>
    <row r="369" ht="12.0" customHeight="1">
      <c r="B369" s="1"/>
      <c r="J369" s="151"/>
      <c r="O369" s="151"/>
    </row>
    <row r="370" ht="12.0" customHeight="1">
      <c r="B370" s="1"/>
      <c r="J370" s="151"/>
      <c r="O370" s="151"/>
    </row>
    <row r="371" ht="12.0" customHeight="1">
      <c r="B371" s="1"/>
      <c r="J371" s="151"/>
      <c r="O371" s="151"/>
    </row>
    <row r="372" ht="12.0" customHeight="1">
      <c r="B372" s="1"/>
      <c r="J372" s="151"/>
      <c r="O372" s="151"/>
    </row>
    <row r="373" ht="12.0" customHeight="1">
      <c r="B373" s="1"/>
      <c r="J373" s="151"/>
      <c r="O373" s="151"/>
    </row>
    <row r="374" ht="12.0" customHeight="1">
      <c r="B374" s="1"/>
      <c r="J374" s="151"/>
      <c r="O374" s="151"/>
    </row>
    <row r="375" ht="12.0" customHeight="1">
      <c r="B375" s="1"/>
      <c r="J375" s="151"/>
      <c r="O375" s="151"/>
    </row>
    <row r="376" ht="12.0" customHeight="1">
      <c r="B376" s="1"/>
      <c r="J376" s="151"/>
      <c r="O376" s="151"/>
    </row>
    <row r="377" ht="12.0" customHeight="1">
      <c r="B377" s="1"/>
      <c r="J377" s="151"/>
      <c r="O377" s="151"/>
    </row>
    <row r="378" ht="12.0" customHeight="1">
      <c r="B378" s="1"/>
      <c r="J378" s="151"/>
      <c r="O378" s="151"/>
    </row>
    <row r="379" ht="12.0" customHeight="1">
      <c r="B379" s="1"/>
      <c r="J379" s="151"/>
      <c r="O379" s="151"/>
    </row>
    <row r="380" ht="12.0" customHeight="1">
      <c r="B380" s="1"/>
      <c r="J380" s="151"/>
      <c r="O380" s="151"/>
    </row>
    <row r="381" ht="12.0" customHeight="1">
      <c r="B381" s="1"/>
      <c r="J381" s="151"/>
      <c r="O381" s="151"/>
    </row>
    <row r="382" ht="12.0" customHeight="1">
      <c r="B382" s="1"/>
      <c r="J382" s="151"/>
      <c r="O382" s="151"/>
    </row>
    <row r="383" ht="12.0" customHeight="1">
      <c r="B383" s="1"/>
      <c r="J383" s="151"/>
      <c r="O383" s="151"/>
    </row>
    <row r="384" ht="12.0" customHeight="1">
      <c r="B384" s="1"/>
      <c r="J384" s="151"/>
      <c r="O384" s="151"/>
    </row>
    <row r="385" ht="12.0" customHeight="1">
      <c r="B385" s="1"/>
      <c r="J385" s="151"/>
      <c r="O385" s="151"/>
    </row>
    <row r="386" ht="12.0" customHeight="1">
      <c r="B386" s="1"/>
      <c r="J386" s="151"/>
      <c r="O386" s="151"/>
    </row>
    <row r="387" ht="12.0" customHeight="1">
      <c r="B387" s="1"/>
      <c r="J387" s="151"/>
      <c r="O387" s="151"/>
    </row>
    <row r="388" ht="12.0" customHeight="1">
      <c r="B388" s="1"/>
      <c r="J388" s="151"/>
      <c r="O388" s="151"/>
    </row>
    <row r="389" ht="12.0" customHeight="1">
      <c r="B389" s="1"/>
      <c r="J389" s="151"/>
      <c r="O389" s="151"/>
    </row>
    <row r="390" ht="12.0" customHeight="1">
      <c r="B390" s="1"/>
      <c r="J390" s="151"/>
      <c r="O390" s="151"/>
    </row>
    <row r="391" ht="12.0" customHeight="1">
      <c r="B391" s="1"/>
      <c r="J391" s="151"/>
      <c r="O391" s="151"/>
    </row>
    <row r="392" ht="12.0" customHeight="1">
      <c r="B392" s="1"/>
      <c r="J392" s="151"/>
      <c r="O392" s="151"/>
    </row>
    <row r="393" ht="12.0" customHeight="1">
      <c r="B393" s="1"/>
      <c r="J393" s="151"/>
      <c r="O393" s="151"/>
    </row>
    <row r="394" ht="12.0" customHeight="1">
      <c r="B394" s="1"/>
      <c r="J394" s="151"/>
      <c r="O394" s="151"/>
    </row>
    <row r="395" ht="12.0" customHeight="1">
      <c r="B395" s="1"/>
      <c r="J395" s="151"/>
      <c r="O395" s="151"/>
    </row>
    <row r="396" ht="12.0" customHeight="1">
      <c r="B396" s="1"/>
      <c r="J396" s="151"/>
      <c r="O396" s="151"/>
    </row>
    <row r="397" ht="12.0" customHeight="1">
      <c r="B397" s="1"/>
      <c r="J397" s="151"/>
      <c r="O397" s="151"/>
    </row>
    <row r="398" ht="12.0" customHeight="1">
      <c r="B398" s="1"/>
      <c r="J398" s="151"/>
      <c r="O398" s="151"/>
    </row>
    <row r="399" ht="12.0" customHeight="1">
      <c r="B399" s="1"/>
      <c r="J399" s="151"/>
      <c r="O399" s="151"/>
    </row>
    <row r="400" ht="12.0" customHeight="1">
      <c r="B400" s="1"/>
      <c r="J400" s="151"/>
      <c r="O400" s="151"/>
    </row>
    <row r="401" ht="12.0" customHeight="1">
      <c r="B401" s="1"/>
      <c r="J401" s="151"/>
      <c r="O401" s="151"/>
    </row>
    <row r="402" ht="12.0" customHeight="1">
      <c r="B402" s="1"/>
      <c r="J402" s="151"/>
      <c r="O402" s="151"/>
    </row>
    <row r="403" ht="12.0" customHeight="1">
      <c r="B403" s="1"/>
      <c r="J403" s="151"/>
      <c r="O403" s="151"/>
    </row>
    <row r="404" ht="12.0" customHeight="1">
      <c r="B404" s="1"/>
      <c r="J404" s="151"/>
      <c r="O404" s="151"/>
    </row>
    <row r="405" ht="12.0" customHeight="1">
      <c r="B405" s="1"/>
      <c r="J405" s="151"/>
      <c r="O405" s="151"/>
    </row>
    <row r="406" ht="12.0" customHeight="1">
      <c r="B406" s="1"/>
      <c r="J406" s="151"/>
      <c r="O406" s="151"/>
    </row>
    <row r="407" ht="12.0" customHeight="1">
      <c r="B407" s="1"/>
      <c r="J407" s="151"/>
      <c r="O407" s="151"/>
    </row>
    <row r="408" ht="12.0" customHeight="1">
      <c r="B408" s="1"/>
      <c r="J408" s="151"/>
      <c r="O408" s="151"/>
    </row>
    <row r="409" ht="12.0" customHeight="1">
      <c r="B409" s="1"/>
      <c r="J409" s="151"/>
      <c r="O409" s="151"/>
    </row>
    <row r="410" ht="12.0" customHeight="1">
      <c r="B410" s="1"/>
      <c r="J410" s="151"/>
      <c r="O410" s="151"/>
    </row>
    <row r="411" ht="12.0" customHeight="1">
      <c r="B411" s="1"/>
      <c r="J411" s="151"/>
      <c r="O411" s="151"/>
    </row>
    <row r="412" ht="12.0" customHeight="1">
      <c r="B412" s="1"/>
      <c r="J412" s="151"/>
      <c r="O412" s="151"/>
    </row>
    <row r="413" ht="12.0" customHeight="1">
      <c r="B413" s="1"/>
      <c r="J413" s="151"/>
      <c r="O413" s="151"/>
    </row>
    <row r="414" ht="12.0" customHeight="1">
      <c r="B414" s="1"/>
      <c r="J414" s="151"/>
      <c r="O414" s="151"/>
    </row>
    <row r="415" ht="12.0" customHeight="1">
      <c r="B415" s="1"/>
      <c r="J415" s="151"/>
      <c r="O415" s="151"/>
    </row>
    <row r="416" ht="12.0" customHeight="1">
      <c r="B416" s="1"/>
      <c r="J416" s="151"/>
      <c r="O416" s="151"/>
    </row>
    <row r="417" ht="12.0" customHeight="1">
      <c r="B417" s="1"/>
      <c r="J417" s="151"/>
      <c r="O417" s="151"/>
    </row>
    <row r="418" ht="12.0" customHeight="1">
      <c r="B418" s="1"/>
      <c r="J418" s="151"/>
      <c r="O418" s="151"/>
    </row>
    <row r="419" ht="12.0" customHeight="1">
      <c r="B419" s="1"/>
      <c r="J419" s="151"/>
      <c r="O419" s="151"/>
    </row>
    <row r="420" ht="12.0" customHeight="1">
      <c r="B420" s="1"/>
      <c r="J420" s="151"/>
      <c r="O420" s="151"/>
    </row>
    <row r="421" ht="12.0" customHeight="1">
      <c r="B421" s="1"/>
      <c r="J421" s="151"/>
      <c r="O421" s="151"/>
    </row>
    <row r="422" ht="12.0" customHeight="1">
      <c r="B422" s="1"/>
      <c r="J422" s="151"/>
      <c r="O422" s="151"/>
    </row>
    <row r="423" ht="12.0" customHeight="1">
      <c r="B423" s="1"/>
      <c r="J423" s="151"/>
      <c r="O423" s="151"/>
    </row>
    <row r="424" ht="12.0" customHeight="1">
      <c r="B424" s="1"/>
      <c r="J424" s="151"/>
      <c r="O424" s="151"/>
    </row>
    <row r="425" ht="12.0" customHeight="1">
      <c r="B425" s="1"/>
      <c r="J425" s="151"/>
      <c r="O425" s="151"/>
    </row>
    <row r="426" ht="12.0" customHeight="1">
      <c r="B426" s="1"/>
      <c r="J426" s="151"/>
      <c r="O426" s="151"/>
    </row>
    <row r="427" ht="12.0" customHeight="1">
      <c r="B427" s="1"/>
      <c r="J427" s="151"/>
      <c r="O427" s="151"/>
    </row>
    <row r="428" ht="12.0" customHeight="1">
      <c r="B428" s="1"/>
      <c r="J428" s="151"/>
      <c r="O428" s="151"/>
    </row>
    <row r="429" ht="12.0" customHeight="1">
      <c r="B429" s="1"/>
      <c r="J429" s="151"/>
      <c r="O429" s="151"/>
    </row>
    <row r="430" ht="12.0" customHeight="1">
      <c r="B430" s="1"/>
      <c r="J430" s="151"/>
      <c r="O430" s="151"/>
    </row>
    <row r="431" ht="12.0" customHeight="1">
      <c r="B431" s="1"/>
      <c r="J431" s="151"/>
      <c r="O431" s="151"/>
    </row>
    <row r="432" ht="12.0" customHeight="1">
      <c r="B432" s="1"/>
      <c r="J432" s="151"/>
      <c r="O432" s="151"/>
    </row>
    <row r="433" ht="12.0" customHeight="1">
      <c r="B433" s="1"/>
      <c r="J433" s="151"/>
      <c r="O433" s="151"/>
    </row>
    <row r="434" ht="12.0" customHeight="1">
      <c r="B434" s="1"/>
      <c r="J434" s="151"/>
      <c r="O434" s="151"/>
    </row>
    <row r="435" ht="12.0" customHeight="1">
      <c r="B435" s="1"/>
      <c r="J435" s="151"/>
      <c r="O435" s="151"/>
    </row>
    <row r="436" ht="12.0" customHeight="1">
      <c r="B436" s="1"/>
      <c r="J436" s="151"/>
      <c r="O436" s="151"/>
    </row>
    <row r="437" ht="12.0" customHeight="1">
      <c r="B437" s="1"/>
      <c r="J437" s="151"/>
      <c r="O437" s="151"/>
    </row>
    <row r="438" ht="12.0" customHeight="1">
      <c r="B438" s="1"/>
      <c r="J438" s="151"/>
      <c r="O438" s="151"/>
    </row>
    <row r="439" ht="12.0" customHeight="1">
      <c r="B439" s="1"/>
      <c r="J439" s="151"/>
      <c r="O439" s="151"/>
    </row>
    <row r="440" ht="12.0" customHeight="1">
      <c r="B440" s="1"/>
      <c r="J440" s="151"/>
      <c r="O440" s="151"/>
    </row>
    <row r="441" ht="12.0" customHeight="1">
      <c r="B441" s="1"/>
      <c r="J441" s="151"/>
      <c r="O441" s="151"/>
    </row>
    <row r="442" ht="12.0" customHeight="1">
      <c r="B442" s="1"/>
      <c r="J442" s="151"/>
      <c r="O442" s="151"/>
    </row>
    <row r="443" ht="12.0" customHeight="1">
      <c r="B443" s="1"/>
      <c r="J443" s="151"/>
      <c r="O443" s="151"/>
    </row>
    <row r="444" ht="12.0" customHeight="1">
      <c r="B444" s="1"/>
      <c r="J444" s="151"/>
      <c r="O444" s="151"/>
    </row>
    <row r="445" ht="12.0" customHeight="1">
      <c r="B445" s="1"/>
      <c r="J445" s="151"/>
      <c r="O445" s="151"/>
    </row>
    <row r="446" ht="12.0" customHeight="1">
      <c r="B446" s="1"/>
      <c r="J446" s="151"/>
      <c r="O446" s="151"/>
    </row>
    <row r="447" ht="12.0" customHeight="1">
      <c r="B447" s="1"/>
      <c r="J447" s="151"/>
      <c r="O447" s="151"/>
    </row>
    <row r="448" ht="12.0" customHeight="1">
      <c r="B448" s="1"/>
      <c r="J448" s="151"/>
      <c r="O448" s="151"/>
    </row>
    <row r="449" ht="12.0" customHeight="1">
      <c r="B449" s="1"/>
      <c r="J449" s="151"/>
      <c r="O449" s="151"/>
    </row>
    <row r="450" ht="12.0" customHeight="1">
      <c r="B450" s="1"/>
      <c r="J450" s="151"/>
      <c r="O450" s="151"/>
    </row>
    <row r="451" ht="12.0" customHeight="1">
      <c r="B451" s="1"/>
      <c r="J451" s="151"/>
      <c r="O451" s="151"/>
    </row>
    <row r="452" ht="12.0" customHeight="1">
      <c r="B452" s="1"/>
      <c r="J452" s="151"/>
      <c r="O452" s="151"/>
    </row>
    <row r="453" ht="12.0" customHeight="1">
      <c r="B453" s="1"/>
      <c r="J453" s="151"/>
      <c r="O453" s="151"/>
    </row>
    <row r="454" ht="12.0" customHeight="1">
      <c r="B454" s="1"/>
      <c r="J454" s="151"/>
      <c r="O454" s="151"/>
    </row>
    <row r="455" ht="12.0" customHeight="1">
      <c r="B455" s="1"/>
      <c r="J455" s="151"/>
      <c r="O455" s="151"/>
    </row>
    <row r="456" ht="12.0" customHeight="1">
      <c r="B456" s="1"/>
      <c r="J456" s="151"/>
      <c r="O456" s="151"/>
    </row>
    <row r="457" ht="12.0" customHeight="1">
      <c r="B457" s="1"/>
      <c r="J457" s="151"/>
      <c r="O457" s="151"/>
    </row>
    <row r="458" ht="12.0" customHeight="1">
      <c r="B458" s="1"/>
      <c r="J458" s="151"/>
      <c r="O458" s="151"/>
    </row>
    <row r="459" ht="12.0" customHeight="1">
      <c r="B459" s="1"/>
      <c r="J459" s="151"/>
      <c r="O459" s="151"/>
    </row>
    <row r="460" ht="12.0" customHeight="1">
      <c r="B460" s="1"/>
      <c r="J460" s="151"/>
      <c r="O460" s="151"/>
    </row>
    <row r="461" ht="12.0" customHeight="1">
      <c r="B461" s="1"/>
      <c r="J461" s="151"/>
      <c r="O461" s="151"/>
    </row>
    <row r="462" ht="12.0" customHeight="1">
      <c r="B462" s="1"/>
      <c r="J462" s="151"/>
      <c r="O462" s="151"/>
    </row>
    <row r="463" ht="12.0" customHeight="1">
      <c r="B463" s="1"/>
      <c r="J463" s="151"/>
      <c r="O463" s="151"/>
    </row>
    <row r="464" ht="12.0" customHeight="1">
      <c r="B464" s="1"/>
      <c r="J464" s="151"/>
      <c r="O464" s="151"/>
    </row>
    <row r="465" ht="12.0" customHeight="1">
      <c r="B465" s="1"/>
      <c r="J465" s="151"/>
      <c r="O465" s="151"/>
    </row>
    <row r="466" ht="12.0" customHeight="1">
      <c r="B466" s="1"/>
      <c r="J466" s="151"/>
      <c r="O466" s="151"/>
    </row>
    <row r="467" ht="12.0" customHeight="1">
      <c r="B467" s="1"/>
      <c r="J467" s="151"/>
      <c r="O467" s="151"/>
    </row>
    <row r="468" ht="12.0" customHeight="1">
      <c r="B468" s="1"/>
      <c r="J468" s="151"/>
      <c r="O468" s="151"/>
    </row>
    <row r="469" ht="12.0" customHeight="1">
      <c r="B469" s="1"/>
      <c r="J469" s="151"/>
      <c r="O469" s="151"/>
    </row>
    <row r="470" ht="12.0" customHeight="1">
      <c r="B470" s="1"/>
      <c r="J470" s="151"/>
      <c r="O470" s="151"/>
    </row>
    <row r="471" ht="12.0" customHeight="1">
      <c r="B471" s="1"/>
      <c r="J471" s="151"/>
      <c r="O471" s="151"/>
    </row>
    <row r="472" ht="12.0" customHeight="1">
      <c r="B472" s="1"/>
      <c r="J472" s="151"/>
      <c r="O472" s="151"/>
    </row>
    <row r="473" ht="12.0" customHeight="1">
      <c r="B473" s="1"/>
      <c r="J473" s="151"/>
      <c r="O473" s="151"/>
    </row>
    <row r="474" ht="12.0" customHeight="1">
      <c r="B474" s="1"/>
      <c r="J474" s="151"/>
      <c r="O474" s="151"/>
    </row>
    <row r="475" ht="12.0" customHeight="1">
      <c r="B475" s="1"/>
      <c r="J475" s="151"/>
      <c r="O475" s="151"/>
    </row>
    <row r="476" ht="12.0" customHeight="1">
      <c r="B476" s="1"/>
      <c r="J476" s="151"/>
      <c r="O476" s="151"/>
    </row>
    <row r="477" ht="12.0" customHeight="1">
      <c r="B477" s="1"/>
      <c r="J477" s="151"/>
      <c r="O477" s="151"/>
    </row>
    <row r="478" ht="12.0" customHeight="1">
      <c r="B478" s="1"/>
      <c r="J478" s="151"/>
      <c r="O478" s="151"/>
    </row>
    <row r="479" ht="12.0" customHeight="1">
      <c r="B479" s="1"/>
      <c r="J479" s="151"/>
      <c r="O479" s="151"/>
    </row>
    <row r="480" ht="12.0" customHeight="1">
      <c r="B480" s="1"/>
      <c r="J480" s="151"/>
      <c r="O480" s="151"/>
    </row>
    <row r="481" ht="12.0" customHeight="1">
      <c r="B481" s="1"/>
      <c r="J481" s="151"/>
      <c r="O481" s="151"/>
    </row>
    <row r="482" ht="12.0" customHeight="1">
      <c r="B482" s="1"/>
      <c r="J482" s="151"/>
      <c r="O482" s="151"/>
    </row>
    <row r="483" ht="12.0" customHeight="1">
      <c r="B483" s="1"/>
      <c r="J483" s="151"/>
      <c r="O483" s="151"/>
    </row>
    <row r="484" ht="12.0" customHeight="1">
      <c r="B484" s="1"/>
      <c r="J484" s="151"/>
      <c r="O484" s="151"/>
    </row>
    <row r="485" ht="12.0" customHeight="1">
      <c r="B485" s="1"/>
      <c r="J485" s="151"/>
      <c r="O485" s="151"/>
    </row>
    <row r="486" ht="12.0" customHeight="1">
      <c r="B486" s="1"/>
      <c r="J486" s="151"/>
      <c r="O486" s="151"/>
    </row>
    <row r="487" ht="12.0" customHeight="1">
      <c r="B487" s="1"/>
      <c r="J487" s="151"/>
      <c r="O487" s="151"/>
    </row>
    <row r="488" ht="12.0" customHeight="1">
      <c r="B488" s="1"/>
      <c r="J488" s="151"/>
      <c r="O488" s="151"/>
    </row>
    <row r="489" ht="12.0" customHeight="1">
      <c r="B489" s="1"/>
      <c r="J489" s="151"/>
      <c r="O489" s="151"/>
    </row>
    <row r="490" ht="12.0" customHeight="1">
      <c r="B490" s="1"/>
      <c r="J490" s="151"/>
      <c r="O490" s="151"/>
    </row>
    <row r="491" ht="12.0" customHeight="1">
      <c r="B491" s="1"/>
      <c r="J491" s="151"/>
      <c r="O491" s="151"/>
    </row>
    <row r="492" ht="12.0" customHeight="1">
      <c r="B492" s="1"/>
      <c r="J492" s="151"/>
      <c r="O492" s="151"/>
    </row>
    <row r="493" ht="12.0" customHeight="1">
      <c r="B493" s="1"/>
      <c r="J493" s="151"/>
      <c r="O493" s="151"/>
    </row>
    <row r="494" ht="12.0" customHeight="1">
      <c r="B494" s="1"/>
      <c r="J494" s="151"/>
      <c r="O494" s="151"/>
    </row>
    <row r="495" ht="12.0" customHeight="1">
      <c r="B495" s="1"/>
      <c r="J495" s="151"/>
      <c r="O495" s="151"/>
    </row>
    <row r="496" ht="12.0" customHeight="1">
      <c r="B496" s="1"/>
      <c r="J496" s="151"/>
      <c r="O496" s="151"/>
    </row>
    <row r="497" ht="12.0" customHeight="1">
      <c r="B497" s="1"/>
      <c r="J497" s="151"/>
      <c r="O497" s="151"/>
    </row>
    <row r="498" ht="12.0" customHeight="1">
      <c r="B498" s="1"/>
      <c r="J498" s="151"/>
      <c r="O498" s="151"/>
    </row>
    <row r="499" ht="12.0" customHeight="1">
      <c r="B499" s="1"/>
      <c r="J499" s="151"/>
      <c r="O499" s="151"/>
    </row>
    <row r="500" ht="12.0" customHeight="1">
      <c r="B500" s="1"/>
      <c r="J500" s="151"/>
      <c r="O500" s="151"/>
    </row>
    <row r="501" ht="12.0" customHeight="1">
      <c r="B501" s="1"/>
      <c r="J501" s="151"/>
      <c r="O501" s="151"/>
    </row>
    <row r="502" ht="12.0" customHeight="1">
      <c r="B502" s="1"/>
      <c r="J502" s="151"/>
      <c r="O502" s="151"/>
    </row>
    <row r="503" ht="12.0" customHeight="1">
      <c r="B503" s="1"/>
      <c r="J503" s="151"/>
      <c r="O503" s="151"/>
    </row>
    <row r="504" ht="12.0" customHeight="1">
      <c r="B504" s="1"/>
      <c r="J504" s="151"/>
      <c r="O504" s="151"/>
    </row>
    <row r="505" ht="12.0" customHeight="1">
      <c r="B505" s="1"/>
      <c r="J505" s="151"/>
      <c r="O505" s="151"/>
    </row>
    <row r="506" ht="12.0" customHeight="1">
      <c r="B506" s="1"/>
      <c r="J506" s="151"/>
      <c r="O506" s="151"/>
    </row>
    <row r="507" ht="12.0" customHeight="1">
      <c r="B507" s="1"/>
      <c r="J507" s="151"/>
      <c r="O507" s="151"/>
    </row>
    <row r="508" ht="12.0" customHeight="1">
      <c r="B508" s="1"/>
      <c r="J508" s="151"/>
      <c r="O508" s="151"/>
    </row>
    <row r="509" ht="12.0" customHeight="1">
      <c r="B509" s="1"/>
      <c r="J509" s="151"/>
      <c r="O509" s="151"/>
    </row>
    <row r="510" ht="12.0" customHeight="1">
      <c r="B510" s="1"/>
      <c r="J510" s="151"/>
      <c r="O510" s="151"/>
    </row>
    <row r="511" ht="12.0" customHeight="1">
      <c r="B511" s="1"/>
      <c r="J511" s="151"/>
      <c r="O511" s="151"/>
    </row>
    <row r="512" ht="12.0" customHeight="1">
      <c r="B512" s="1"/>
      <c r="J512" s="151"/>
      <c r="O512" s="151"/>
    </row>
    <row r="513" ht="12.0" customHeight="1">
      <c r="B513" s="1"/>
      <c r="J513" s="151"/>
      <c r="O513" s="151"/>
    </row>
    <row r="514" ht="12.0" customHeight="1">
      <c r="B514" s="1"/>
      <c r="J514" s="151"/>
      <c r="O514" s="151"/>
    </row>
    <row r="515" ht="12.0" customHeight="1">
      <c r="B515" s="1"/>
      <c r="J515" s="151"/>
      <c r="O515" s="151"/>
    </row>
    <row r="516" ht="12.0" customHeight="1">
      <c r="B516" s="1"/>
      <c r="J516" s="151"/>
      <c r="O516" s="151"/>
    </row>
    <row r="517" ht="12.0" customHeight="1">
      <c r="B517" s="1"/>
      <c r="J517" s="151"/>
      <c r="O517" s="151"/>
    </row>
    <row r="518" ht="12.0" customHeight="1">
      <c r="B518" s="1"/>
      <c r="J518" s="151"/>
      <c r="O518" s="151"/>
    </row>
    <row r="519" ht="12.0" customHeight="1">
      <c r="B519" s="1"/>
      <c r="J519" s="151"/>
      <c r="O519" s="151"/>
    </row>
    <row r="520" ht="12.0" customHeight="1">
      <c r="B520" s="1"/>
      <c r="J520" s="151"/>
      <c r="O520" s="151"/>
    </row>
    <row r="521" ht="12.0" customHeight="1">
      <c r="B521" s="1"/>
      <c r="J521" s="151"/>
      <c r="O521" s="151"/>
    </row>
    <row r="522" ht="12.0" customHeight="1">
      <c r="B522" s="1"/>
      <c r="J522" s="151"/>
      <c r="O522" s="151"/>
    </row>
    <row r="523" ht="12.0" customHeight="1">
      <c r="B523" s="1"/>
      <c r="J523" s="151"/>
      <c r="O523" s="151"/>
    </row>
    <row r="524" ht="12.0" customHeight="1">
      <c r="B524" s="1"/>
      <c r="J524" s="151"/>
      <c r="O524" s="151"/>
    </row>
    <row r="525" ht="12.0" customHeight="1">
      <c r="B525" s="1"/>
      <c r="J525" s="151"/>
      <c r="O525" s="151"/>
    </row>
    <row r="526" ht="12.0" customHeight="1">
      <c r="B526" s="1"/>
      <c r="J526" s="151"/>
      <c r="O526" s="151"/>
    </row>
    <row r="527" ht="12.0" customHeight="1">
      <c r="B527" s="1"/>
      <c r="J527" s="151"/>
      <c r="O527" s="151"/>
    </row>
    <row r="528" ht="12.0" customHeight="1">
      <c r="B528" s="1"/>
      <c r="J528" s="151"/>
      <c r="O528" s="151"/>
    </row>
    <row r="529" ht="12.0" customHeight="1">
      <c r="B529" s="1"/>
      <c r="J529" s="151"/>
      <c r="O529" s="151"/>
    </row>
    <row r="530" ht="12.0" customHeight="1">
      <c r="B530" s="1"/>
      <c r="J530" s="151"/>
      <c r="O530" s="151"/>
    </row>
    <row r="531" ht="12.0" customHeight="1">
      <c r="B531" s="1"/>
      <c r="J531" s="151"/>
      <c r="O531" s="151"/>
    </row>
    <row r="532" ht="12.0" customHeight="1">
      <c r="B532" s="1"/>
      <c r="J532" s="151"/>
      <c r="O532" s="151"/>
    </row>
    <row r="533" ht="12.0" customHeight="1">
      <c r="B533" s="1"/>
      <c r="J533" s="151"/>
      <c r="O533" s="151"/>
    </row>
    <row r="534" ht="12.0" customHeight="1">
      <c r="B534" s="1"/>
      <c r="J534" s="151"/>
      <c r="O534" s="151"/>
    </row>
    <row r="535" ht="12.0" customHeight="1">
      <c r="B535" s="1"/>
      <c r="J535" s="151"/>
      <c r="O535" s="151"/>
    </row>
    <row r="536" ht="12.0" customHeight="1">
      <c r="B536" s="1"/>
      <c r="J536" s="151"/>
      <c r="O536" s="151"/>
    </row>
    <row r="537" ht="12.0" customHeight="1">
      <c r="B537" s="1"/>
      <c r="J537" s="151"/>
      <c r="O537" s="151"/>
    </row>
    <row r="538" ht="12.0" customHeight="1">
      <c r="B538" s="1"/>
      <c r="J538" s="151"/>
      <c r="O538" s="151"/>
    </row>
    <row r="539" ht="12.0" customHeight="1">
      <c r="B539" s="1"/>
      <c r="J539" s="151"/>
      <c r="O539" s="151"/>
    </row>
    <row r="540" ht="12.0" customHeight="1">
      <c r="B540" s="1"/>
      <c r="J540" s="151"/>
      <c r="O540" s="151"/>
    </row>
    <row r="541" ht="12.0" customHeight="1">
      <c r="B541" s="1"/>
      <c r="J541" s="151"/>
      <c r="O541" s="151"/>
    </row>
    <row r="542" ht="12.0" customHeight="1">
      <c r="B542" s="1"/>
      <c r="J542" s="151"/>
      <c r="O542" s="151"/>
    </row>
    <row r="543" ht="12.0" customHeight="1">
      <c r="B543" s="1"/>
      <c r="J543" s="151"/>
      <c r="O543" s="151"/>
    </row>
    <row r="544" ht="12.0" customHeight="1">
      <c r="B544" s="1"/>
      <c r="J544" s="151"/>
      <c r="O544" s="151"/>
    </row>
    <row r="545" ht="12.0" customHeight="1">
      <c r="B545" s="1"/>
      <c r="J545" s="151"/>
      <c r="O545" s="151"/>
    </row>
    <row r="546" ht="12.0" customHeight="1">
      <c r="B546" s="1"/>
      <c r="J546" s="151"/>
      <c r="O546" s="151"/>
    </row>
    <row r="547" ht="12.0" customHeight="1">
      <c r="B547" s="1"/>
      <c r="J547" s="151"/>
      <c r="O547" s="151"/>
    </row>
    <row r="548" ht="12.0" customHeight="1">
      <c r="B548" s="1"/>
      <c r="J548" s="151"/>
      <c r="O548" s="151"/>
    </row>
    <row r="549" ht="12.0" customHeight="1">
      <c r="B549" s="1"/>
      <c r="J549" s="151"/>
      <c r="O549" s="151"/>
    </row>
    <row r="550" ht="12.0" customHeight="1">
      <c r="B550" s="1"/>
      <c r="J550" s="151"/>
      <c r="O550" s="151"/>
    </row>
    <row r="551" ht="12.0" customHeight="1">
      <c r="B551" s="1"/>
      <c r="J551" s="151"/>
      <c r="O551" s="151"/>
    </row>
    <row r="552" ht="12.0" customHeight="1">
      <c r="B552" s="1"/>
      <c r="J552" s="151"/>
      <c r="O552" s="151"/>
    </row>
    <row r="553" ht="12.0" customHeight="1">
      <c r="B553" s="1"/>
      <c r="J553" s="151"/>
      <c r="O553" s="151"/>
    </row>
    <row r="554" ht="12.0" customHeight="1">
      <c r="B554" s="1"/>
      <c r="J554" s="151"/>
      <c r="O554" s="151"/>
    </row>
    <row r="555" ht="12.0" customHeight="1">
      <c r="B555" s="1"/>
      <c r="J555" s="151"/>
      <c r="O555" s="151"/>
    </row>
    <row r="556" ht="12.0" customHeight="1">
      <c r="B556" s="1"/>
      <c r="J556" s="151"/>
      <c r="O556" s="151"/>
    </row>
    <row r="557" ht="12.0" customHeight="1">
      <c r="B557" s="1"/>
      <c r="J557" s="151"/>
      <c r="O557" s="151"/>
    </row>
    <row r="558" ht="12.0" customHeight="1">
      <c r="B558" s="1"/>
      <c r="J558" s="151"/>
      <c r="O558" s="151"/>
    </row>
    <row r="559" ht="12.0" customHeight="1">
      <c r="B559" s="1"/>
      <c r="J559" s="151"/>
      <c r="O559" s="151"/>
    </row>
    <row r="560" ht="12.0" customHeight="1">
      <c r="B560" s="1"/>
      <c r="J560" s="151"/>
      <c r="O560" s="151"/>
    </row>
    <row r="561" ht="12.0" customHeight="1">
      <c r="B561" s="1"/>
      <c r="J561" s="151"/>
      <c r="O561" s="151"/>
    </row>
    <row r="562" ht="12.0" customHeight="1">
      <c r="B562" s="1"/>
      <c r="J562" s="151"/>
      <c r="O562" s="151"/>
    </row>
    <row r="563" ht="12.0" customHeight="1">
      <c r="B563" s="1"/>
      <c r="J563" s="151"/>
      <c r="O563" s="151"/>
    </row>
    <row r="564" ht="12.0" customHeight="1">
      <c r="B564" s="1"/>
      <c r="J564" s="151"/>
      <c r="O564" s="151"/>
    </row>
    <row r="565" ht="12.0" customHeight="1">
      <c r="B565" s="1"/>
      <c r="J565" s="151"/>
      <c r="O565" s="151"/>
    </row>
    <row r="566" ht="12.0" customHeight="1">
      <c r="B566" s="1"/>
      <c r="J566" s="151"/>
      <c r="O566" s="151"/>
    </row>
    <row r="567" ht="12.0" customHeight="1">
      <c r="B567" s="1"/>
      <c r="J567" s="151"/>
      <c r="O567" s="151"/>
    </row>
    <row r="568" ht="12.0" customHeight="1">
      <c r="B568" s="1"/>
      <c r="J568" s="151"/>
      <c r="O568" s="151"/>
    </row>
    <row r="569" ht="12.0" customHeight="1">
      <c r="B569" s="1"/>
      <c r="J569" s="151"/>
      <c r="O569" s="151"/>
    </row>
    <row r="570" ht="12.0" customHeight="1">
      <c r="B570" s="1"/>
      <c r="J570" s="151"/>
      <c r="O570" s="151"/>
    </row>
    <row r="571" ht="12.0" customHeight="1">
      <c r="B571" s="1"/>
      <c r="J571" s="151"/>
      <c r="O571" s="151"/>
    </row>
    <row r="572" ht="12.0" customHeight="1">
      <c r="B572" s="1"/>
      <c r="J572" s="151"/>
      <c r="O572" s="151"/>
    </row>
    <row r="573" ht="12.0" customHeight="1">
      <c r="B573" s="1"/>
      <c r="J573" s="151"/>
      <c r="O573" s="151"/>
    </row>
    <row r="574" ht="12.0" customHeight="1">
      <c r="B574" s="1"/>
      <c r="J574" s="151"/>
      <c r="O574" s="151"/>
    </row>
    <row r="575" ht="12.0" customHeight="1">
      <c r="B575" s="1"/>
      <c r="J575" s="151"/>
      <c r="O575" s="151"/>
    </row>
    <row r="576" ht="12.0" customHeight="1">
      <c r="B576" s="1"/>
      <c r="J576" s="151"/>
      <c r="O576" s="151"/>
    </row>
    <row r="577" ht="12.0" customHeight="1">
      <c r="B577" s="1"/>
      <c r="J577" s="151"/>
      <c r="O577" s="151"/>
    </row>
    <row r="578" ht="12.0" customHeight="1">
      <c r="B578" s="1"/>
      <c r="J578" s="151"/>
      <c r="O578" s="151"/>
    </row>
    <row r="579" ht="12.0" customHeight="1">
      <c r="B579" s="1"/>
      <c r="J579" s="151"/>
      <c r="O579" s="151"/>
    </row>
    <row r="580" ht="12.0" customHeight="1">
      <c r="B580" s="1"/>
      <c r="J580" s="151"/>
      <c r="O580" s="151"/>
    </row>
    <row r="581" ht="12.0" customHeight="1">
      <c r="B581" s="1"/>
      <c r="J581" s="151"/>
      <c r="O581" s="151"/>
    </row>
    <row r="582" ht="12.0" customHeight="1">
      <c r="B582" s="1"/>
      <c r="J582" s="151"/>
      <c r="O582" s="151"/>
    </row>
    <row r="583" ht="12.0" customHeight="1">
      <c r="B583" s="1"/>
      <c r="J583" s="151"/>
      <c r="O583" s="151"/>
    </row>
    <row r="584" ht="12.0" customHeight="1">
      <c r="B584" s="1"/>
      <c r="J584" s="151"/>
      <c r="O584" s="151"/>
    </row>
    <row r="585" ht="12.0" customHeight="1">
      <c r="B585" s="1"/>
      <c r="J585" s="151"/>
      <c r="O585" s="151"/>
    </row>
    <row r="586" ht="12.0" customHeight="1">
      <c r="B586" s="1"/>
      <c r="J586" s="151"/>
      <c r="O586" s="151"/>
    </row>
    <row r="587" ht="12.0" customHeight="1">
      <c r="B587" s="1"/>
      <c r="J587" s="151"/>
      <c r="O587" s="151"/>
    </row>
    <row r="588" ht="12.0" customHeight="1">
      <c r="B588" s="1"/>
      <c r="J588" s="151"/>
      <c r="O588" s="151"/>
    </row>
    <row r="589" ht="12.0" customHeight="1">
      <c r="B589" s="1"/>
      <c r="J589" s="151"/>
      <c r="O589" s="151"/>
    </row>
    <row r="590" ht="12.0" customHeight="1">
      <c r="B590" s="1"/>
      <c r="J590" s="151"/>
      <c r="O590" s="151"/>
    </row>
    <row r="591" ht="12.0" customHeight="1">
      <c r="B591" s="1"/>
      <c r="J591" s="151"/>
      <c r="O591" s="151"/>
    </row>
    <row r="592" ht="12.0" customHeight="1">
      <c r="B592" s="1"/>
      <c r="J592" s="151"/>
      <c r="O592" s="151"/>
    </row>
    <row r="593" ht="12.0" customHeight="1">
      <c r="B593" s="1"/>
      <c r="J593" s="151"/>
      <c r="O593" s="151"/>
    </row>
    <row r="594" ht="12.0" customHeight="1">
      <c r="B594" s="1"/>
      <c r="J594" s="151"/>
      <c r="O594" s="151"/>
    </row>
    <row r="595" ht="12.0" customHeight="1">
      <c r="B595" s="1"/>
      <c r="J595" s="151"/>
      <c r="O595" s="151"/>
    </row>
    <row r="596" ht="12.0" customHeight="1">
      <c r="B596" s="1"/>
      <c r="J596" s="151"/>
      <c r="O596" s="151"/>
    </row>
    <row r="597" ht="12.0" customHeight="1">
      <c r="B597" s="1"/>
      <c r="J597" s="151"/>
      <c r="O597" s="151"/>
    </row>
    <row r="598" ht="12.0" customHeight="1">
      <c r="B598" s="1"/>
      <c r="J598" s="151"/>
      <c r="O598" s="151"/>
    </row>
    <row r="599" ht="12.0" customHeight="1">
      <c r="B599" s="1"/>
      <c r="J599" s="151"/>
      <c r="O599" s="151"/>
    </row>
    <row r="600" ht="12.0" customHeight="1">
      <c r="B600" s="1"/>
      <c r="J600" s="151"/>
      <c r="O600" s="151"/>
    </row>
    <row r="601" ht="12.0" customHeight="1">
      <c r="B601" s="1"/>
      <c r="J601" s="151"/>
      <c r="O601" s="151"/>
    </row>
    <row r="602" ht="12.0" customHeight="1">
      <c r="B602" s="1"/>
      <c r="J602" s="151"/>
      <c r="O602" s="151"/>
    </row>
    <row r="603" ht="12.0" customHeight="1">
      <c r="B603" s="1"/>
      <c r="J603" s="151"/>
      <c r="O603" s="151"/>
    </row>
    <row r="604" ht="12.0" customHeight="1">
      <c r="B604" s="1"/>
      <c r="J604" s="151"/>
      <c r="O604" s="151"/>
    </row>
    <row r="605" ht="12.0" customHeight="1">
      <c r="B605" s="1"/>
      <c r="J605" s="151"/>
      <c r="O605" s="151"/>
    </row>
    <row r="606" ht="12.0" customHeight="1">
      <c r="B606" s="1"/>
      <c r="J606" s="151"/>
      <c r="O606" s="151"/>
    </row>
    <row r="607" ht="12.0" customHeight="1">
      <c r="B607" s="1"/>
      <c r="J607" s="151"/>
      <c r="O607" s="151"/>
    </row>
    <row r="608" ht="12.0" customHeight="1">
      <c r="B608" s="1"/>
      <c r="J608" s="151"/>
      <c r="O608" s="151"/>
    </row>
    <row r="609" ht="12.0" customHeight="1">
      <c r="B609" s="1"/>
      <c r="J609" s="151"/>
      <c r="O609" s="151"/>
    </row>
    <row r="610" ht="12.0" customHeight="1">
      <c r="B610" s="1"/>
      <c r="J610" s="151"/>
      <c r="O610" s="151"/>
    </row>
    <row r="611" ht="12.0" customHeight="1">
      <c r="B611" s="1"/>
      <c r="J611" s="151"/>
      <c r="O611" s="151"/>
    </row>
    <row r="612" ht="12.0" customHeight="1">
      <c r="B612" s="1"/>
      <c r="J612" s="151"/>
      <c r="O612" s="151"/>
    </row>
    <row r="613" ht="12.0" customHeight="1">
      <c r="B613" s="1"/>
      <c r="J613" s="151"/>
      <c r="O613" s="151"/>
    </row>
    <row r="614" ht="12.0" customHeight="1">
      <c r="B614" s="1"/>
      <c r="J614" s="151"/>
      <c r="O614" s="151"/>
    </row>
    <row r="615" ht="12.0" customHeight="1">
      <c r="B615" s="1"/>
      <c r="J615" s="151"/>
      <c r="O615" s="151"/>
    </row>
    <row r="616" ht="12.0" customHeight="1">
      <c r="B616" s="1"/>
      <c r="J616" s="151"/>
      <c r="O616" s="151"/>
    </row>
    <row r="617" ht="12.0" customHeight="1">
      <c r="B617" s="1"/>
      <c r="J617" s="151"/>
      <c r="O617" s="151"/>
    </row>
    <row r="618" ht="12.0" customHeight="1">
      <c r="B618" s="1"/>
      <c r="J618" s="151"/>
      <c r="O618" s="151"/>
    </row>
    <row r="619" ht="12.0" customHeight="1">
      <c r="B619" s="1"/>
      <c r="J619" s="151"/>
      <c r="O619" s="151"/>
    </row>
    <row r="620" ht="12.0" customHeight="1">
      <c r="B620" s="1"/>
      <c r="J620" s="151"/>
      <c r="O620" s="151"/>
    </row>
    <row r="621" ht="12.0" customHeight="1">
      <c r="B621" s="1"/>
      <c r="J621" s="151"/>
      <c r="O621" s="151"/>
    </row>
    <row r="622" ht="12.0" customHeight="1">
      <c r="B622" s="1"/>
      <c r="J622" s="151"/>
      <c r="O622" s="151"/>
    </row>
    <row r="623" ht="12.0" customHeight="1">
      <c r="B623" s="1"/>
      <c r="J623" s="151"/>
      <c r="O623" s="151"/>
    </row>
    <row r="624" ht="12.0" customHeight="1">
      <c r="B624" s="1"/>
      <c r="J624" s="151"/>
      <c r="O624" s="151"/>
    </row>
    <row r="625" ht="12.0" customHeight="1">
      <c r="B625" s="1"/>
      <c r="J625" s="151"/>
      <c r="O625" s="151"/>
    </row>
    <row r="626" ht="12.0" customHeight="1">
      <c r="B626" s="1"/>
      <c r="J626" s="151"/>
      <c r="O626" s="151"/>
    </row>
    <row r="627" ht="12.0" customHeight="1">
      <c r="B627" s="1"/>
      <c r="J627" s="151"/>
      <c r="O627" s="151"/>
    </row>
    <row r="628" ht="12.0" customHeight="1">
      <c r="B628" s="1"/>
      <c r="J628" s="151"/>
      <c r="O628" s="151"/>
    </row>
    <row r="629" ht="12.0" customHeight="1">
      <c r="B629" s="1"/>
      <c r="J629" s="151"/>
      <c r="O629" s="151"/>
    </row>
    <row r="630" ht="12.0" customHeight="1">
      <c r="B630" s="1"/>
      <c r="J630" s="151"/>
      <c r="O630" s="151"/>
    </row>
    <row r="631" ht="12.0" customHeight="1">
      <c r="B631" s="1"/>
      <c r="J631" s="151"/>
      <c r="O631" s="151"/>
    </row>
    <row r="632" ht="12.0" customHeight="1">
      <c r="B632" s="1"/>
      <c r="J632" s="151"/>
      <c r="O632" s="151"/>
    </row>
    <row r="633" ht="12.0" customHeight="1">
      <c r="B633" s="1"/>
      <c r="J633" s="151"/>
      <c r="O633" s="151"/>
    </row>
    <row r="634" ht="12.0" customHeight="1">
      <c r="B634" s="1"/>
      <c r="J634" s="151"/>
      <c r="O634" s="151"/>
    </row>
    <row r="635" ht="12.0" customHeight="1">
      <c r="B635" s="1"/>
      <c r="J635" s="151"/>
      <c r="O635" s="151"/>
    </row>
    <row r="636" ht="12.0" customHeight="1">
      <c r="B636" s="1"/>
      <c r="J636" s="151"/>
      <c r="O636" s="151"/>
    </row>
    <row r="637" ht="12.0" customHeight="1">
      <c r="B637" s="1"/>
      <c r="J637" s="151"/>
      <c r="O637" s="151"/>
    </row>
    <row r="638" ht="12.0" customHeight="1">
      <c r="B638" s="1"/>
      <c r="J638" s="151"/>
      <c r="O638" s="151"/>
    </row>
    <row r="639" ht="12.0" customHeight="1">
      <c r="B639" s="1"/>
      <c r="J639" s="151"/>
      <c r="O639" s="151"/>
    </row>
    <row r="640" ht="12.0" customHeight="1">
      <c r="B640" s="1"/>
      <c r="J640" s="151"/>
      <c r="O640" s="151"/>
    </row>
    <row r="641" ht="12.0" customHeight="1">
      <c r="B641" s="1"/>
      <c r="J641" s="151"/>
      <c r="O641" s="151"/>
    </row>
    <row r="642" ht="12.0" customHeight="1">
      <c r="B642" s="1"/>
      <c r="J642" s="151"/>
      <c r="O642" s="151"/>
    </row>
    <row r="643" ht="12.0" customHeight="1">
      <c r="B643" s="1"/>
      <c r="J643" s="151"/>
      <c r="O643" s="151"/>
    </row>
    <row r="644" ht="12.0" customHeight="1">
      <c r="B644" s="1"/>
      <c r="J644" s="151"/>
      <c r="O644" s="151"/>
    </row>
    <row r="645" ht="12.0" customHeight="1">
      <c r="B645" s="1"/>
      <c r="J645" s="151"/>
      <c r="O645" s="151"/>
    </row>
    <row r="646" ht="12.0" customHeight="1">
      <c r="B646" s="1"/>
      <c r="J646" s="151"/>
      <c r="O646" s="151"/>
    </row>
    <row r="647" ht="12.0" customHeight="1">
      <c r="B647" s="1"/>
      <c r="J647" s="151"/>
      <c r="O647" s="151"/>
    </row>
    <row r="648" ht="12.0" customHeight="1">
      <c r="B648" s="1"/>
      <c r="J648" s="151"/>
      <c r="O648" s="151"/>
    </row>
    <row r="649" ht="12.0" customHeight="1">
      <c r="B649" s="1"/>
      <c r="J649" s="151"/>
      <c r="O649" s="151"/>
    </row>
    <row r="650" ht="12.0" customHeight="1">
      <c r="B650" s="1"/>
      <c r="J650" s="151"/>
      <c r="O650" s="151"/>
    </row>
    <row r="651" ht="12.0" customHeight="1">
      <c r="B651" s="1"/>
      <c r="J651" s="151"/>
      <c r="O651" s="151"/>
    </row>
    <row r="652" ht="12.0" customHeight="1">
      <c r="B652" s="1"/>
      <c r="J652" s="151"/>
      <c r="O652" s="151"/>
    </row>
    <row r="653" ht="12.0" customHeight="1">
      <c r="B653" s="1"/>
      <c r="J653" s="151"/>
      <c r="O653" s="151"/>
    </row>
    <row r="654" ht="12.0" customHeight="1">
      <c r="B654" s="1"/>
      <c r="J654" s="151"/>
      <c r="O654" s="151"/>
    </row>
    <row r="655" ht="12.0" customHeight="1">
      <c r="B655" s="1"/>
      <c r="J655" s="151"/>
      <c r="O655" s="151"/>
    </row>
    <row r="656" ht="12.0" customHeight="1">
      <c r="B656" s="1"/>
      <c r="J656" s="151"/>
      <c r="O656" s="151"/>
    </row>
    <row r="657" ht="12.0" customHeight="1">
      <c r="B657" s="1"/>
      <c r="J657" s="151"/>
      <c r="O657" s="151"/>
    </row>
    <row r="658" ht="12.0" customHeight="1">
      <c r="B658" s="1"/>
      <c r="J658" s="151"/>
      <c r="O658" s="151"/>
    </row>
    <row r="659" ht="12.0" customHeight="1">
      <c r="B659" s="1"/>
      <c r="J659" s="151"/>
      <c r="O659" s="151"/>
    </row>
    <row r="660" ht="12.0" customHeight="1">
      <c r="B660" s="1"/>
      <c r="J660" s="151"/>
      <c r="O660" s="151"/>
    </row>
    <row r="661" ht="12.0" customHeight="1">
      <c r="B661" s="1"/>
      <c r="J661" s="151"/>
      <c r="O661" s="151"/>
    </row>
    <row r="662" ht="12.0" customHeight="1">
      <c r="B662" s="1"/>
      <c r="J662" s="151"/>
      <c r="O662" s="151"/>
    </row>
    <row r="663" ht="12.0" customHeight="1">
      <c r="B663" s="1"/>
      <c r="J663" s="151"/>
      <c r="O663" s="151"/>
    </row>
    <row r="664" ht="12.0" customHeight="1">
      <c r="B664" s="1"/>
      <c r="J664" s="151"/>
      <c r="O664" s="151"/>
    </row>
    <row r="665" ht="12.0" customHeight="1">
      <c r="B665" s="1"/>
      <c r="J665" s="151"/>
      <c r="O665" s="151"/>
    </row>
    <row r="666" ht="12.0" customHeight="1">
      <c r="B666" s="1"/>
      <c r="J666" s="151"/>
      <c r="O666" s="151"/>
    </row>
    <row r="667" ht="12.0" customHeight="1">
      <c r="B667" s="1"/>
      <c r="J667" s="151"/>
      <c r="O667" s="151"/>
    </row>
    <row r="668" ht="12.0" customHeight="1">
      <c r="B668" s="1"/>
      <c r="J668" s="151"/>
      <c r="O668" s="151"/>
    </row>
    <row r="669" ht="12.0" customHeight="1">
      <c r="B669" s="1"/>
      <c r="J669" s="151"/>
      <c r="O669" s="151"/>
    </row>
    <row r="670" ht="12.0" customHeight="1">
      <c r="B670" s="1"/>
      <c r="J670" s="151"/>
      <c r="O670" s="151"/>
    </row>
    <row r="671" ht="12.0" customHeight="1">
      <c r="B671" s="1"/>
      <c r="J671" s="151"/>
      <c r="O671" s="151"/>
    </row>
    <row r="672" ht="12.0" customHeight="1">
      <c r="B672" s="1"/>
      <c r="J672" s="151"/>
      <c r="O672" s="151"/>
    </row>
    <row r="673" ht="12.0" customHeight="1">
      <c r="B673" s="1"/>
      <c r="J673" s="151"/>
      <c r="O673" s="151"/>
    </row>
    <row r="674" ht="12.0" customHeight="1">
      <c r="B674" s="1"/>
      <c r="J674" s="151"/>
      <c r="O674" s="151"/>
    </row>
    <row r="675" ht="12.0" customHeight="1">
      <c r="B675" s="1"/>
      <c r="J675" s="151"/>
      <c r="O675" s="151"/>
    </row>
    <row r="676" ht="12.0" customHeight="1">
      <c r="B676" s="1"/>
      <c r="J676" s="151"/>
      <c r="O676" s="151"/>
    </row>
    <row r="677" ht="12.0" customHeight="1">
      <c r="B677" s="1"/>
      <c r="J677" s="151"/>
      <c r="O677" s="151"/>
    </row>
    <row r="678" ht="12.0" customHeight="1">
      <c r="B678" s="1"/>
      <c r="J678" s="151"/>
      <c r="O678" s="151"/>
    </row>
    <row r="679" ht="12.0" customHeight="1">
      <c r="B679" s="1"/>
      <c r="J679" s="151"/>
      <c r="O679" s="151"/>
    </row>
    <row r="680" ht="12.0" customHeight="1">
      <c r="B680" s="1"/>
      <c r="J680" s="151"/>
      <c r="O680" s="151"/>
    </row>
    <row r="681" ht="12.0" customHeight="1">
      <c r="B681" s="1"/>
      <c r="J681" s="151"/>
      <c r="O681" s="151"/>
    </row>
    <row r="682" ht="12.0" customHeight="1">
      <c r="B682" s="1"/>
      <c r="J682" s="151"/>
      <c r="O682" s="151"/>
    </row>
    <row r="683" ht="12.0" customHeight="1">
      <c r="B683" s="1"/>
      <c r="J683" s="151"/>
      <c r="O683" s="151"/>
    </row>
    <row r="684" ht="12.0" customHeight="1">
      <c r="B684" s="1"/>
      <c r="J684" s="151"/>
      <c r="O684" s="151"/>
    </row>
    <row r="685" ht="12.0" customHeight="1">
      <c r="B685" s="1"/>
      <c r="J685" s="151"/>
      <c r="O685" s="151"/>
    </row>
    <row r="686" ht="12.0" customHeight="1">
      <c r="B686" s="1"/>
      <c r="J686" s="151"/>
      <c r="O686" s="151"/>
    </row>
    <row r="687" ht="12.0" customHeight="1">
      <c r="B687" s="1"/>
      <c r="J687" s="151"/>
      <c r="O687" s="151"/>
    </row>
    <row r="688" ht="12.0" customHeight="1">
      <c r="B688" s="1"/>
      <c r="J688" s="151"/>
      <c r="O688" s="151"/>
    </row>
    <row r="689" ht="12.0" customHeight="1">
      <c r="B689" s="1"/>
      <c r="J689" s="151"/>
      <c r="O689" s="151"/>
    </row>
    <row r="690" ht="12.0" customHeight="1">
      <c r="B690" s="1"/>
      <c r="J690" s="151"/>
      <c r="O690" s="151"/>
    </row>
    <row r="691" ht="12.0" customHeight="1">
      <c r="B691" s="1"/>
      <c r="J691" s="151"/>
      <c r="O691" s="151"/>
    </row>
    <row r="692" ht="12.0" customHeight="1">
      <c r="B692" s="1"/>
      <c r="J692" s="151"/>
      <c r="O692" s="151"/>
    </row>
    <row r="693" ht="12.0" customHeight="1">
      <c r="B693" s="1"/>
      <c r="J693" s="151"/>
      <c r="O693" s="151"/>
    </row>
    <row r="694" ht="12.0" customHeight="1">
      <c r="B694" s="1"/>
      <c r="J694" s="151"/>
      <c r="O694" s="151"/>
    </row>
    <row r="695" ht="12.0" customHeight="1">
      <c r="B695" s="1"/>
      <c r="J695" s="151"/>
      <c r="O695" s="151"/>
    </row>
    <row r="696" ht="12.0" customHeight="1">
      <c r="B696" s="1"/>
      <c r="J696" s="151"/>
      <c r="O696" s="151"/>
    </row>
    <row r="697" ht="12.0" customHeight="1">
      <c r="B697" s="1"/>
      <c r="J697" s="151"/>
      <c r="O697" s="151"/>
    </row>
    <row r="698" ht="12.0" customHeight="1">
      <c r="B698" s="1"/>
      <c r="J698" s="151"/>
      <c r="O698" s="151"/>
    </row>
    <row r="699" ht="12.0" customHeight="1">
      <c r="B699" s="1"/>
      <c r="J699" s="151"/>
      <c r="O699" s="151"/>
    </row>
    <row r="700" ht="12.0" customHeight="1">
      <c r="B700" s="1"/>
      <c r="J700" s="151"/>
      <c r="O700" s="151"/>
    </row>
    <row r="701" ht="12.0" customHeight="1">
      <c r="B701" s="1"/>
      <c r="J701" s="151"/>
      <c r="O701" s="151"/>
    </row>
    <row r="702" ht="12.0" customHeight="1">
      <c r="B702" s="1"/>
      <c r="J702" s="151"/>
      <c r="O702" s="151"/>
    </row>
    <row r="703" ht="12.0" customHeight="1">
      <c r="B703" s="1"/>
      <c r="J703" s="151"/>
      <c r="O703" s="151"/>
    </row>
    <row r="704" ht="12.0" customHeight="1">
      <c r="B704" s="1"/>
      <c r="J704" s="151"/>
      <c r="O704" s="151"/>
    </row>
    <row r="705" ht="12.0" customHeight="1">
      <c r="B705" s="1"/>
      <c r="J705" s="151"/>
      <c r="O705" s="151"/>
    </row>
    <row r="706" ht="12.0" customHeight="1">
      <c r="B706" s="1"/>
      <c r="J706" s="151"/>
      <c r="O706" s="151"/>
    </row>
    <row r="707" ht="12.0" customHeight="1">
      <c r="B707" s="1"/>
      <c r="J707" s="151"/>
      <c r="O707" s="151"/>
    </row>
    <row r="708" ht="12.0" customHeight="1">
      <c r="B708" s="1"/>
      <c r="J708" s="151"/>
      <c r="O708" s="151"/>
    </row>
    <row r="709" ht="12.0" customHeight="1">
      <c r="B709" s="1"/>
      <c r="J709" s="151"/>
      <c r="O709" s="151"/>
    </row>
    <row r="710" ht="12.0" customHeight="1">
      <c r="B710" s="1"/>
      <c r="J710" s="151"/>
      <c r="O710" s="151"/>
    </row>
    <row r="711" ht="12.0" customHeight="1">
      <c r="B711" s="1"/>
      <c r="J711" s="151"/>
      <c r="O711" s="151"/>
    </row>
    <row r="712" ht="12.0" customHeight="1">
      <c r="B712" s="1"/>
      <c r="J712" s="151"/>
      <c r="O712" s="151"/>
    </row>
    <row r="713" ht="12.0" customHeight="1">
      <c r="B713" s="1"/>
      <c r="J713" s="151"/>
      <c r="O713" s="151"/>
    </row>
    <row r="714" ht="12.0" customHeight="1">
      <c r="B714" s="1"/>
      <c r="J714" s="151"/>
      <c r="O714" s="151"/>
    </row>
    <row r="715" ht="12.0" customHeight="1">
      <c r="B715" s="1"/>
      <c r="J715" s="151"/>
      <c r="O715" s="151"/>
    </row>
    <row r="716" ht="12.0" customHeight="1">
      <c r="B716" s="1"/>
      <c r="J716" s="151"/>
      <c r="O716" s="151"/>
    </row>
    <row r="717" ht="12.0" customHeight="1">
      <c r="B717" s="1"/>
      <c r="J717" s="151"/>
      <c r="O717" s="151"/>
    </row>
    <row r="718" ht="12.0" customHeight="1">
      <c r="B718" s="1"/>
      <c r="J718" s="151"/>
      <c r="O718" s="151"/>
    </row>
    <row r="719" ht="12.0" customHeight="1">
      <c r="B719" s="1"/>
      <c r="J719" s="151"/>
      <c r="O719" s="151"/>
    </row>
    <row r="720" ht="12.0" customHeight="1">
      <c r="B720" s="1"/>
      <c r="J720" s="151"/>
      <c r="O720" s="151"/>
    </row>
    <row r="721" ht="12.0" customHeight="1">
      <c r="B721" s="1"/>
      <c r="J721" s="151"/>
      <c r="O721" s="151"/>
    </row>
    <row r="722" ht="12.0" customHeight="1">
      <c r="B722" s="1"/>
      <c r="J722" s="151"/>
      <c r="O722" s="151"/>
    </row>
    <row r="723" ht="12.0" customHeight="1">
      <c r="B723" s="1"/>
      <c r="J723" s="151"/>
      <c r="O723" s="151"/>
    </row>
    <row r="724" ht="12.0" customHeight="1">
      <c r="B724" s="1"/>
      <c r="J724" s="151"/>
      <c r="O724" s="151"/>
    </row>
    <row r="725" ht="12.0" customHeight="1">
      <c r="B725" s="1"/>
      <c r="J725" s="151"/>
      <c r="O725" s="151"/>
    </row>
    <row r="726" ht="12.0" customHeight="1">
      <c r="B726" s="1"/>
      <c r="J726" s="151"/>
      <c r="O726" s="151"/>
    </row>
    <row r="727" ht="12.0" customHeight="1">
      <c r="B727" s="1"/>
      <c r="J727" s="151"/>
      <c r="O727" s="151"/>
    </row>
    <row r="728" ht="12.0" customHeight="1">
      <c r="B728" s="1"/>
      <c r="J728" s="151"/>
      <c r="O728" s="151"/>
    </row>
    <row r="729" ht="12.0" customHeight="1">
      <c r="B729" s="1"/>
      <c r="J729" s="151"/>
      <c r="O729" s="151"/>
    </row>
    <row r="730" ht="12.0" customHeight="1">
      <c r="B730" s="1"/>
      <c r="J730" s="151"/>
      <c r="O730" s="151"/>
    </row>
    <row r="731" ht="12.0" customHeight="1">
      <c r="B731" s="1"/>
      <c r="J731" s="151"/>
      <c r="O731" s="151"/>
    </row>
    <row r="732" ht="12.0" customHeight="1">
      <c r="B732" s="1"/>
      <c r="J732" s="151"/>
      <c r="O732" s="151"/>
    </row>
    <row r="733" ht="12.0" customHeight="1">
      <c r="B733" s="1"/>
      <c r="J733" s="151"/>
      <c r="O733" s="151"/>
    </row>
    <row r="734" ht="12.0" customHeight="1">
      <c r="B734" s="1"/>
      <c r="J734" s="151"/>
      <c r="O734" s="151"/>
    </row>
    <row r="735" ht="12.0" customHeight="1">
      <c r="B735" s="1"/>
      <c r="J735" s="151"/>
      <c r="O735" s="151"/>
    </row>
    <row r="736" ht="12.0" customHeight="1">
      <c r="B736" s="1"/>
      <c r="J736" s="151"/>
      <c r="O736" s="151"/>
    </row>
    <row r="737" ht="12.0" customHeight="1">
      <c r="B737" s="1"/>
      <c r="J737" s="151"/>
      <c r="O737" s="151"/>
    </row>
    <row r="738" ht="12.0" customHeight="1">
      <c r="B738" s="1"/>
      <c r="J738" s="151"/>
      <c r="O738" s="151"/>
    </row>
    <row r="739" ht="12.0" customHeight="1">
      <c r="B739" s="1"/>
      <c r="J739" s="151"/>
      <c r="O739" s="151"/>
    </row>
    <row r="740" ht="12.0" customHeight="1">
      <c r="B740" s="1"/>
      <c r="J740" s="151"/>
      <c r="O740" s="151"/>
    </row>
    <row r="741" ht="12.0" customHeight="1">
      <c r="B741" s="1"/>
      <c r="J741" s="151"/>
      <c r="O741" s="151"/>
    </row>
    <row r="742" ht="12.0" customHeight="1">
      <c r="B742" s="1"/>
      <c r="J742" s="151"/>
      <c r="O742" s="151"/>
    </row>
    <row r="743" ht="12.0" customHeight="1">
      <c r="B743" s="1"/>
      <c r="J743" s="151"/>
      <c r="O743" s="151"/>
    </row>
    <row r="744" ht="12.0" customHeight="1">
      <c r="B744" s="1"/>
      <c r="J744" s="151"/>
      <c r="O744" s="151"/>
    </row>
    <row r="745" ht="12.0" customHeight="1">
      <c r="B745" s="1"/>
      <c r="J745" s="151"/>
      <c r="O745" s="151"/>
    </row>
    <row r="746" ht="12.0" customHeight="1">
      <c r="B746" s="1"/>
      <c r="J746" s="151"/>
      <c r="O746" s="151"/>
    </row>
    <row r="747" ht="12.0" customHeight="1">
      <c r="B747" s="1"/>
      <c r="J747" s="151"/>
      <c r="O747" s="151"/>
    </row>
    <row r="748" ht="12.0" customHeight="1">
      <c r="B748" s="1"/>
      <c r="J748" s="151"/>
      <c r="O748" s="151"/>
    </row>
    <row r="749" ht="12.0" customHeight="1">
      <c r="B749" s="1"/>
      <c r="J749" s="151"/>
      <c r="O749" s="151"/>
    </row>
    <row r="750" ht="12.0" customHeight="1">
      <c r="B750" s="1"/>
      <c r="J750" s="151"/>
      <c r="O750" s="151"/>
    </row>
    <row r="751" ht="12.0" customHeight="1">
      <c r="B751" s="1"/>
      <c r="J751" s="151"/>
      <c r="O751" s="151"/>
    </row>
    <row r="752" ht="12.0" customHeight="1">
      <c r="B752" s="1"/>
      <c r="J752" s="151"/>
      <c r="O752" s="151"/>
    </row>
    <row r="753" ht="12.0" customHeight="1">
      <c r="B753" s="1"/>
      <c r="J753" s="151"/>
      <c r="O753" s="151"/>
    </row>
    <row r="754" ht="12.0" customHeight="1">
      <c r="B754" s="1"/>
      <c r="J754" s="151"/>
      <c r="O754" s="151"/>
    </row>
    <row r="755" ht="12.0" customHeight="1">
      <c r="B755" s="1"/>
      <c r="J755" s="151"/>
      <c r="O755" s="151"/>
    </row>
    <row r="756" ht="12.0" customHeight="1">
      <c r="B756" s="1"/>
      <c r="J756" s="151"/>
      <c r="O756" s="151"/>
    </row>
    <row r="757" ht="12.0" customHeight="1">
      <c r="B757" s="1"/>
      <c r="J757" s="151"/>
      <c r="O757" s="151"/>
    </row>
    <row r="758" ht="12.0" customHeight="1">
      <c r="B758" s="1"/>
      <c r="J758" s="151"/>
      <c r="O758" s="151"/>
    </row>
    <row r="759" ht="12.0" customHeight="1">
      <c r="B759" s="1"/>
      <c r="J759" s="151"/>
      <c r="O759" s="151"/>
    </row>
    <row r="760" ht="12.0" customHeight="1">
      <c r="B760" s="1"/>
      <c r="J760" s="151"/>
      <c r="O760" s="151"/>
    </row>
    <row r="761" ht="12.0" customHeight="1">
      <c r="B761" s="1"/>
      <c r="J761" s="151"/>
      <c r="O761" s="151"/>
    </row>
    <row r="762" ht="12.0" customHeight="1">
      <c r="B762" s="1"/>
      <c r="J762" s="151"/>
      <c r="O762" s="151"/>
    </row>
    <row r="763" ht="12.0" customHeight="1">
      <c r="B763" s="1"/>
      <c r="J763" s="151"/>
      <c r="O763" s="151"/>
    </row>
    <row r="764" ht="12.0" customHeight="1">
      <c r="B764" s="1"/>
      <c r="J764" s="151"/>
      <c r="O764" s="151"/>
    </row>
    <row r="765" ht="12.0" customHeight="1">
      <c r="B765" s="1"/>
      <c r="J765" s="151"/>
      <c r="O765" s="151"/>
    </row>
    <row r="766" ht="12.0" customHeight="1">
      <c r="B766" s="1"/>
      <c r="J766" s="151"/>
      <c r="O766" s="151"/>
    </row>
    <row r="767" ht="12.0" customHeight="1">
      <c r="B767" s="1"/>
      <c r="J767" s="151"/>
      <c r="O767" s="151"/>
    </row>
    <row r="768" ht="12.0" customHeight="1">
      <c r="B768" s="1"/>
      <c r="J768" s="151"/>
      <c r="O768" s="151"/>
    </row>
    <row r="769" ht="12.0" customHeight="1">
      <c r="B769" s="1"/>
      <c r="J769" s="151"/>
      <c r="O769" s="151"/>
    </row>
    <row r="770" ht="12.0" customHeight="1">
      <c r="B770" s="1"/>
      <c r="J770" s="151"/>
      <c r="O770" s="151"/>
    </row>
    <row r="771" ht="12.0" customHeight="1">
      <c r="B771" s="1"/>
      <c r="J771" s="151"/>
      <c r="O771" s="151"/>
    </row>
    <row r="772" ht="12.0" customHeight="1">
      <c r="B772" s="1"/>
      <c r="J772" s="151"/>
      <c r="O772" s="151"/>
    </row>
    <row r="773" ht="12.0" customHeight="1">
      <c r="B773" s="1"/>
      <c r="J773" s="151"/>
      <c r="O773" s="151"/>
    </row>
    <row r="774" ht="12.0" customHeight="1">
      <c r="B774" s="1"/>
      <c r="J774" s="151"/>
      <c r="O774" s="151"/>
    </row>
    <row r="775" ht="12.0" customHeight="1">
      <c r="B775" s="1"/>
      <c r="J775" s="151"/>
      <c r="O775" s="151"/>
    </row>
    <row r="776" ht="12.0" customHeight="1">
      <c r="B776" s="1"/>
      <c r="J776" s="151"/>
      <c r="O776" s="151"/>
    </row>
    <row r="777" ht="12.0" customHeight="1">
      <c r="B777" s="1"/>
      <c r="J777" s="151"/>
      <c r="O777" s="151"/>
    </row>
    <row r="778" ht="12.0" customHeight="1">
      <c r="B778" s="1"/>
      <c r="J778" s="151"/>
      <c r="O778" s="151"/>
    </row>
    <row r="779" ht="12.0" customHeight="1">
      <c r="B779" s="1"/>
      <c r="J779" s="151"/>
      <c r="O779" s="151"/>
    </row>
    <row r="780" ht="12.0" customHeight="1">
      <c r="B780" s="1"/>
      <c r="J780" s="151"/>
      <c r="O780" s="151"/>
    </row>
    <row r="781" ht="12.0" customHeight="1">
      <c r="B781" s="1"/>
      <c r="J781" s="151"/>
      <c r="O781" s="151"/>
    </row>
    <row r="782" ht="12.0" customHeight="1">
      <c r="B782" s="1"/>
      <c r="J782" s="151"/>
      <c r="O782" s="151"/>
    </row>
    <row r="783" ht="12.0" customHeight="1">
      <c r="B783" s="1"/>
      <c r="J783" s="151"/>
      <c r="O783" s="151"/>
    </row>
    <row r="784" ht="12.0" customHeight="1">
      <c r="B784" s="1"/>
      <c r="J784" s="151"/>
      <c r="O784" s="151"/>
    </row>
    <row r="785" ht="12.0" customHeight="1">
      <c r="B785" s="1"/>
      <c r="J785" s="151"/>
      <c r="O785" s="151"/>
    </row>
    <row r="786" ht="12.0" customHeight="1">
      <c r="B786" s="1"/>
      <c r="J786" s="151"/>
      <c r="O786" s="151"/>
    </row>
    <row r="787" ht="12.0" customHeight="1">
      <c r="B787" s="1"/>
      <c r="J787" s="151"/>
      <c r="O787" s="151"/>
    </row>
    <row r="788" ht="12.0" customHeight="1">
      <c r="B788" s="1"/>
      <c r="J788" s="151"/>
      <c r="O788" s="151"/>
    </row>
    <row r="789" ht="12.0" customHeight="1">
      <c r="B789" s="1"/>
      <c r="J789" s="151"/>
      <c r="O789" s="151"/>
    </row>
    <row r="790" ht="12.0" customHeight="1">
      <c r="B790" s="1"/>
      <c r="J790" s="151"/>
      <c r="O790" s="151"/>
    </row>
    <row r="791" ht="12.0" customHeight="1">
      <c r="B791" s="1"/>
      <c r="J791" s="151"/>
      <c r="O791" s="151"/>
    </row>
    <row r="792" ht="12.0" customHeight="1">
      <c r="B792" s="1"/>
      <c r="J792" s="151"/>
      <c r="O792" s="151"/>
    </row>
    <row r="793" ht="12.0" customHeight="1">
      <c r="B793" s="1"/>
      <c r="J793" s="151"/>
      <c r="O793" s="151"/>
    </row>
    <row r="794" ht="12.0" customHeight="1">
      <c r="B794" s="1"/>
      <c r="J794" s="151"/>
      <c r="O794" s="151"/>
    </row>
    <row r="795" ht="12.0" customHeight="1">
      <c r="B795" s="1"/>
      <c r="J795" s="151"/>
      <c r="O795" s="151"/>
    </row>
    <row r="796" ht="12.0" customHeight="1">
      <c r="B796" s="1"/>
      <c r="J796" s="151"/>
      <c r="O796" s="151"/>
    </row>
    <row r="797" ht="12.0" customHeight="1">
      <c r="B797" s="1"/>
      <c r="J797" s="151"/>
      <c r="O797" s="151"/>
    </row>
    <row r="798" ht="12.0" customHeight="1">
      <c r="B798" s="1"/>
      <c r="J798" s="151"/>
      <c r="O798" s="151"/>
    </row>
    <row r="799" ht="12.0" customHeight="1">
      <c r="B799" s="1"/>
      <c r="J799" s="151"/>
      <c r="O799" s="151"/>
    </row>
    <row r="800" ht="12.0" customHeight="1">
      <c r="B800" s="1"/>
      <c r="J800" s="151"/>
      <c r="O800" s="151"/>
    </row>
    <row r="801" ht="12.0" customHeight="1">
      <c r="B801" s="1"/>
      <c r="J801" s="151"/>
      <c r="O801" s="151"/>
    </row>
    <row r="802" ht="12.0" customHeight="1">
      <c r="B802" s="1"/>
      <c r="J802" s="151"/>
      <c r="O802" s="151"/>
    </row>
    <row r="803" ht="12.0" customHeight="1">
      <c r="B803" s="1"/>
      <c r="J803" s="151"/>
      <c r="O803" s="151"/>
    </row>
    <row r="804" ht="12.0" customHeight="1">
      <c r="B804" s="1"/>
      <c r="J804" s="151"/>
      <c r="O804" s="151"/>
    </row>
    <row r="805" ht="12.0" customHeight="1">
      <c r="B805" s="1"/>
      <c r="J805" s="151"/>
      <c r="O805" s="151"/>
    </row>
    <row r="806" ht="12.0" customHeight="1">
      <c r="B806" s="1"/>
      <c r="J806" s="151"/>
      <c r="O806" s="151"/>
    </row>
    <row r="807" ht="12.0" customHeight="1">
      <c r="B807" s="1"/>
      <c r="J807" s="151"/>
      <c r="O807" s="151"/>
    </row>
    <row r="808" ht="12.0" customHeight="1">
      <c r="B808" s="1"/>
      <c r="J808" s="151"/>
      <c r="O808" s="151"/>
    </row>
    <row r="809" ht="12.0" customHeight="1">
      <c r="B809" s="1"/>
      <c r="J809" s="151"/>
      <c r="O809" s="151"/>
    </row>
    <row r="810" ht="12.0" customHeight="1">
      <c r="B810" s="1"/>
      <c r="J810" s="151"/>
      <c r="O810" s="151"/>
    </row>
    <row r="811" ht="12.0" customHeight="1">
      <c r="B811" s="1"/>
      <c r="J811" s="151"/>
      <c r="O811" s="151"/>
    </row>
    <row r="812" ht="12.0" customHeight="1">
      <c r="B812" s="1"/>
      <c r="J812" s="151"/>
      <c r="O812" s="151"/>
    </row>
    <row r="813" ht="12.0" customHeight="1">
      <c r="B813" s="1"/>
      <c r="J813" s="151"/>
      <c r="O813" s="151"/>
    </row>
    <row r="814" ht="12.0" customHeight="1">
      <c r="B814" s="1"/>
      <c r="J814" s="151"/>
      <c r="O814" s="151"/>
    </row>
    <row r="815" ht="12.0" customHeight="1">
      <c r="B815" s="1"/>
      <c r="J815" s="151"/>
      <c r="O815" s="151"/>
    </row>
    <row r="816" ht="12.0" customHeight="1">
      <c r="B816" s="1"/>
      <c r="J816" s="151"/>
      <c r="O816" s="151"/>
    </row>
    <row r="817" ht="12.0" customHeight="1">
      <c r="B817" s="1"/>
      <c r="J817" s="151"/>
      <c r="O817" s="151"/>
    </row>
    <row r="818" ht="12.0" customHeight="1">
      <c r="B818" s="1"/>
      <c r="J818" s="151"/>
      <c r="O818" s="151"/>
    </row>
    <row r="819" ht="12.0" customHeight="1">
      <c r="B819" s="1"/>
      <c r="J819" s="151"/>
      <c r="O819" s="151"/>
    </row>
    <row r="820" ht="12.0" customHeight="1">
      <c r="B820" s="1"/>
      <c r="J820" s="151"/>
      <c r="O820" s="151"/>
    </row>
    <row r="821" ht="12.0" customHeight="1">
      <c r="B821" s="1"/>
      <c r="J821" s="151"/>
      <c r="O821" s="151"/>
    </row>
    <row r="822" ht="12.0" customHeight="1">
      <c r="B822" s="1"/>
      <c r="J822" s="151"/>
      <c r="O822" s="151"/>
    </row>
    <row r="823" ht="12.0" customHeight="1">
      <c r="B823" s="1"/>
      <c r="J823" s="151"/>
      <c r="O823" s="151"/>
    </row>
    <row r="824" ht="12.0" customHeight="1">
      <c r="B824" s="1"/>
      <c r="J824" s="151"/>
      <c r="O824" s="151"/>
    </row>
    <row r="825" ht="12.0" customHeight="1">
      <c r="B825" s="1"/>
      <c r="J825" s="151"/>
      <c r="O825" s="151"/>
    </row>
    <row r="826" ht="12.0" customHeight="1">
      <c r="B826" s="1"/>
      <c r="J826" s="151"/>
      <c r="O826" s="151"/>
    </row>
    <row r="827" ht="12.0" customHeight="1">
      <c r="B827" s="1"/>
      <c r="J827" s="151"/>
      <c r="O827" s="151"/>
    </row>
    <row r="828" ht="12.0" customHeight="1">
      <c r="B828" s="1"/>
      <c r="J828" s="151"/>
      <c r="O828" s="151"/>
    </row>
    <row r="829" ht="12.0" customHeight="1">
      <c r="B829" s="1"/>
      <c r="J829" s="151"/>
      <c r="O829" s="151"/>
    </row>
    <row r="830" ht="12.0" customHeight="1">
      <c r="B830" s="1"/>
      <c r="J830" s="151"/>
      <c r="O830" s="151"/>
    </row>
    <row r="831" ht="12.0" customHeight="1">
      <c r="B831" s="1"/>
      <c r="J831" s="151"/>
      <c r="O831" s="151"/>
    </row>
    <row r="832" ht="12.0" customHeight="1">
      <c r="B832" s="1"/>
      <c r="J832" s="151"/>
      <c r="O832" s="151"/>
    </row>
    <row r="833" ht="12.0" customHeight="1">
      <c r="B833" s="1"/>
      <c r="J833" s="151"/>
      <c r="O833" s="151"/>
    </row>
    <row r="834" ht="12.0" customHeight="1">
      <c r="B834" s="1"/>
      <c r="J834" s="151"/>
      <c r="O834" s="151"/>
    </row>
    <row r="835" ht="12.0" customHeight="1">
      <c r="B835" s="1"/>
      <c r="J835" s="151"/>
      <c r="O835" s="151"/>
    </row>
    <row r="836" ht="12.0" customHeight="1">
      <c r="B836" s="1"/>
      <c r="J836" s="151"/>
      <c r="O836" s="151"/>
    </row>
    <row r="837" ht="12.0" customHeight="1">
      <c r="B837" s="1"/>
      <c r="J837" s="151"/>
      <c r="O837" s="151"/>
    </row>
    <row r="838" ht="12.0" customHeight="1">
      <c r="B838" s="1"/>
      <c r="J838" s="151"/>
      <c r="O838" s="151"/>
    </row>
    <row r="839" ht="12.0" customHeight="1">
      <c r="B839" s="1"/>
      <c r="J839" s="151"/>
      <c r="O839" s="151"/>
    </row>
    <row r="840" ht="12.0" customHeight="1">
      <c r="B840" s="1"/>
      <c r="J840" s="151"/>
      <c r="O840" s="151"/>
    </row>
    <row r="841" ht="12.0" customHeight="1">
      <c r="B841" s="1"/>
      <c r="J841" s="151"/>
      <c r="O841" s="151"/>
    </row>
    <row r="842" ht="12.0" customHeight="1">
      <c r="B842" s="1"/>
      <c r="J842" s="151"/>
      <c r="O842" s="151"/>
    </row>
    <row r="843" ht="12.0" customHeight="1">
      <c r="B843" s="1"/>
      <c r="J843" s="151"/>
      <c r="O843" s="151"/>
    </row>
    <row r="844" ht="12.0" customHeight="1">
      <c r="B844" s="1"/>
      <c r="J844" s="151"/>
      <c r="O844" s="151"/>
    </row>
    <row r="845" ht="12.0" customHeight="1">
      <c r="B845" s="1"/>
      <c r="J845" s="151"/>
      <c r="O845" s="151"/>
    </row>
    <row r="846" ht="12.0" customHeight="1">
      <c r="B846" s="1"/>
      <c r="J846" s="151"/>
      <c r="O846" s="151"/>
    </row>
    <row r="847" ht="12.0" customHeight="1">
      <c r="B847" s="1"/>
      <c r="J847" s="151"/>
      <c r="O847" s="151"/>
    </row>
    <row r="848" ht="12.0" customHeight="1">
      <c r="B848" s="1"/>
      <c r="J848" s="151"/>
      <c r="O848" s="151"/>
    </row>
    <row r="849" ht="12.0" customHeight="1">
      <c r="B849" s="1"/>
      <c r="J849" s="151"/>
      <c r="O849" s="151"/>
    </row>
    <row r="850" ht="12.0" customHeight="1">
      <c r="B850" s="1"/>
      <c r="J850" s="151"/>
      <c r="O850" s="151"/>
    </row>
    <row r="851" ht="12.0" customHeight="1">
      <c r="B851" s="1"/>
      <c r="J851" s="151"/>
      <c r="O851" s="151"/>
    </row>
    <row r="852" ht="12.0" customHeight="1">
      <c r="B852" s="1"/>
      <c r="J852" s="151"/>
      <c r="O852" s="151"/>
    </row>
    <row r="853" ht="12.0" customHeight="1">
      <c r="B853" s="1"/>
      <c r="J853" s="151"/>
      <c r="O853" s="151"/>
    </row>
    <row r="854" ht="12.0" customHeight="1">
      <c r="B854" s="1"/>
      <c r="J854" s="151"/>
      <c r="O854" s="151"/>
    </row>
    <row r="855" ht="12.0" customHeight="1">
      <c r="B855" s="1"/>
      <c r="J855" s="151"/>
      <c r="O855" s="151"/>
    </row>
    <row r="856" ht="12.0" customHeight="1">
      <c r="B856" s="1"/>
      <c r="J856" s="151"/>
      <c r="O856" s="151"/>
    </row>
    <row r="857" ht="12.0" customHeight="1">
      <c r="B857" s="1"/>
      <c r="J857" s="151"/>
      <c r="O857" s="151"/>
    </row>
    <row r="858" ht="12.0" customHeight="1">
      <c r="B858" s="1"/>
      <c r="J858" s="151"/>
      <c r="O858" s="151"/>
    </row>
    <row r="859" ht="12.0" customHeight="1">
      <c r="B859" s="1"/>
      <c r="J859" s="151"/>
      <c r="O859" s="151"/>
    </row>
    <row r="860" ht="12.0" customHeight="1">
      <c r="B860" s="1"/>
      <c r="J860" s="151"/>
      <c r="O860" s="151"/>
    </row>
    <row r="861" ht="12.0" customHeight="1">
      <c r="B861" s="1"/>
      <c r="J861" s="151"/>
      <c r="O861" s="151"/>
    </row>
    <row r="862" ht="12.0" customHeight="1">
      <c r="B862" s="1"/>
      <c r="J862" s="151"/>
      <c r="O862" s="151"/>
    </row>
    <row r="863" ht="12.0" customHeight="1">
      <c r="B863" s="1"/>
      <c r="J863" s="151"/>
      <c r="O863" s="151"/>
    </row>
    <row r="864" ht="12.0" customHeight="1">
      <c r="B864" s="1"/>
      <c r="J864" s="151"/>
      <c r="O864" s="151"/>
    </row>
    <row r="865" ht="12.0" customHeight="1">
      <c r="B865" s="1"/>
      <c r="J865" s="151"/>
      <c r="O865" s="151"/>
    </row>
    <row r="866" ht="12.0" customHeight="1">
      <c r="B866" s="1"/>
      <c r="J866" s="151"/>
      <c r="O866" s="151"/>
    </row>
    <row r="867" ht="12.0" customHeight="1">
      <c r="B867" s="1"/>
      <c r="J867" s="151"/>
      <c r="O867" s="151"/>
    </row>
    <row r="868" ht="12.0" customHeight="1">
      <c r="B868" s="1"/>
      <c r="J868" s="151"/>
      <c r="O868" s="151"/>
    </row>
    <row r="869" ht="12.0" customHeight="1">
      <c r="B869" s="1"/>
      <c r="J869" s="151"/>
      <c r="O869" s="151"/>
    </row>
    <row r="870" ht="12.0" customHeight="1">
      <c r="B870" s="1"/>
      <c r="J870" s="151"/>
      <c r="O870" s="151"/>
    </row>
    <row r="871" ht="12.0" customHeight="1">
      <c r="B871" s="1"/>
      <c r="J871" s="151"/>
      <c r="O871" s="151"/>
    </row>
    <row r="872" ht="12.0" customHeight="1">
      <c r="B872" s="1"/>
      <c r="J872" s="151"/>
      <c r="O872" s="151"/>
    </row>
    <row r="873" ht="12.0" customHeight="1">
      <c r="B873" s="1"/>
      <c r="J873" s="151"/>
      <c r="O873" s="151"/>
    </row>
    <row r="874" ht="12.0" customHeight="1">
      <c r="B874" s="1"/>
      <c r="J874" s="151"/>
      <c r="O874" s="151"/>
    </row>
    <row r="875" ht="12.0" customHeight="1">
      <c r="B875" s="1"/>
      <c r="J875" s="151"/>
      <c r="O875" s="151"/>
    </row>
    <row r="876" ht="12.0" customHeight="1">
      <c r="B876" s="1"/>
      <c r="J876" s="151"/>
      <c r="O876" s="151"/>
    </row>
    <row r="877" ht="12.0" customHeight="1">
      <c r="B877" s="1"/>
      <c r="J877" s="151"/>
      <c r="O877" s="151"/>
    </row>
    <row r="878" ht="12.0" customHeight="1">
      <c r="B878" s="1"/>
      <c r="J878" s="151"/>
      <c r="O878" s="151"/>
    </row>
    <row r="879" ht="12.0" customHeight="1">
      <c r="B879" s="1"/>
      <c r="J879" s="151"/>
      <c r="O879" s="151"/>
    </row>
    <row r="880" ht="12.0" customHeight="1">
      <c r="B880" s="1"/>
      <c r="J880" s="151"/>
      <c r="O880" s="151"/>
    </row>
    <row r="881" ht="12.0" customHeight="1">
      <c r="B881" s="1"/>
      <c r="J881" s="151"/>
      <c r="O881" s="151"/>
    </row>
    <row r="882" ht="12.0" customHeight="1">
      <c r="B882" s="1"/>
      <c r="J882" s="151"/>
      <c r="O882" s="151"/>
    </row>
    <row r="883" ht="12.0" customHeight="1">
      <c r="B883" s="1"/>
      <c r="J883" s="151"/>
      <c r="O883" s="151"/>
    </row>
    <row r="884" ht="12.0" customHeight="1">
      <c r="B884" s="1"/>
      <c r="J884" s="151"/>
      <c r="O884" s="151"/>
    </row>
    <row r="885" ht="12.0" customHeight="1">
      <c r="B885" s="1"/>
      <c r="J885" s="151"/>
      <c r="O885" s="151"/>
    </row>
    <row r="886" ht="12.0" customHeight="1">
      <c r="B886" s="1"/>
      <c r="J886" s="151"/>
      <c r="O886" s="151"/>
    </row>
    <row r="887" ht="12.0" customHeight="1">
      <c r="B887" s="1"/>
      <c r="J887" s="151"/>
      <c r="O887" s="151"/>
    </row>
    <row r="888" ht="12.0" customHeight="1">
      <c r="B888" s="1"/>
      <c r="J888" s="151"/>
      <c r="O888" s="151"/>
    </row>
    <row r="889" ht="12.0" customHeight="1">
      <c r="B889" s="1"/>
      <c r="J889" s="151"/>
      <c r="O889" s="151"/>
    </row>
    <row r="890" ht="12.0" customHeight="1">
      <c r="B890" s="1"/>
      <c r="J890" s="151"/>
      <c r="O890" s="151"/>
    </row>
    <row r="891" ht="12.0" customHeight="1">
      <c r="B891" s="1"/>
      <c r="J891" s="151"/>
      <c r="O891" s="151"/>
    </row>
    <row r="892" ht="12.0" customHeight="1">
      <c r="B892" s="1"/>
      <c r="J892" s="151"/>
      <c r="O892" s="151"/>
    </row>
    <row r="893" ht="12.0" customHeight="1">
      <c r="B893" s="1"/>
      <c r="J893" s="151"/>
      <c r="O893" s="151"/>
    </row>
    <row r="894" ht="12.0" customHeight="1">
      <c r="B894" s="1"/>
      <c r="J894" s="151"/>
      <c r="O894" s="151"/>
    </row>
    <row r="895" ht="12.0" customHeight="1">
      <c r="B895" s="1"/>
      <c r="J895" s="151"/>
      <c r="O895" s="151"/>
    </row>
    <row r="896" ht="12.0" customHeight="1">
      <c r="B896" s="1"/>
      <c r="J896" s="151"/>
      <c r="O896" s="151"/>
    </row>
    <row r="897" ht="12.0" customHeight="1">
      <c r="B897" s="1"/>
      <c r="J897" s="151"/>
      <c r="O897" s="151"/>
    </row>
    <row r="898" ht="12.0" customHeight="1">
      <c r="B898" s="1"/>
      <c r="J898" s="151"/>
      <c r="O898" s="151"/>
    </row>
    <row r="899" ht="12.0" customHeight="1">
      <c r="B899" s="1"/>
      <c r="J899" s="151"/>
      <c r="O899" s="151"/>
    </row>
    <row r="900" ht="12.0" customHeight="1">
      <c r="B900" s="1"/>
      <c r="J900" s="151"/>
      <c r="O900" s="151"/>
    </row>
    <row r="901" ht="12.0" customHeight="1">
      <c r="B901" s="1"/>
      <c r="J901" s="151"/>
      <c r="O901" s="151"/>
    </row>
    <row r="902" ht="12.0" customHeight="1">
      <c r="B902" s="1"/>
      <c r="J902" s="151"/>
      <c r="O902" s="151"/>
    </row>
    <row r="903" ht="12.0" customHeight="1">
      <c r="B903" s="1"/>
      <c r="J903" s="151"/>
      <c r="O903" s="151"/>
    </row>
    <row r="904" ht="12.0" customHeight="1">
      <c r="B904" s="1"/>
      <c r="J904" s="151"/>
      <c r="O904" s="151"/>
    </row>
    <row r="905" ht="12.0" customHeight="1">
      <c r="B905" s="1"/>
      <c r="J905" s="151"/>
      <c r="O905" s="151"/>
    </row>
    <row r="906" ht="12.0" customHeight="1">
      <c r="B906" s="1"/>
      <c r="J906" s="151"/>
      <c r="O906" s="151"/>
    </row>
    <row r="907" ht="12.0" customHeight="1">
      <c r="B907" s="1"/>
      <c r="J907" s="151"/>
      <c r="O907" s="151"/>
    </row>
    <row r="908" ht="12.0" customHeight="1">
      <c r="B908" s="1"/>
      <c r="J908" s="151"/>
      <c r="O908" s="151"/>
    </row>
    <row r="909" ht="12.0" customHeight="1">
      <c r="B909" s="1"/>
      <c r="J909" s="151"/>
      <c r="O909" s="151"/>
    </row>
    <row r="910" ht="12.0" customHeight="1">
      <c r="B910" s="1"/>
      <c r="J910" s="151"/>
      <c r="O910" s="151"/>
    </row>
    <row r="911" ht="12.0" customHeight="1">
      <c r="B911" s="1"/>
      <c r="J911" s="151"/>
      <c r="O911" s="151"/>
    </row>
    <row r="912" ht="12.0" customHeight="1">
      <c r="B912" s="1"/>
      <c r="J912" s="151"/>
      <c r="O912" s="151"/>
    </row>
    <row r="913" ht="12.0" customHeight="1">
      <c r="B913" s="1"/>
      <c r="J913" s="151"/>
      <c r="O913" s="151"/>
    </row>
    <row r="914" ht="12.0" customHeight="1">
      <c r="B914" s="1"/>
      <c r="J914" s="151"/>
      <c r="O914" s="151"/>
    </row>
    <row r="915" ht="12.0" customHeight="1">
      <c r="B915" s="1"/>
      <c r="J915" s="151"/>
      <c r="O915" s="151"/>
    </row>
    <row r="916" ht="12.0" customHeight="1">
      <c r="B916" s="1"/>
      <c r="J916" s="151"/>
      <c r="O916" s="151"/>
    </row>
    <row r="917" ht="12.0" customHeight="1">
      <c r="B917" s="1"/>
      <c r="J917" s="151"/>
      <c r="O917" s="151"/>
    </row>
    <row r="918" ht="12.0" customHeight="1">
      <c r="B918" s="1"/>
      <c r="J918" s="151"/>
      <c r="O918" s="151"/>
    </row>
    <row r="919" ht="12.0" customHeight="1">
      <c r="B919" s="1"/>
      <c r="J919" s="151"/>
      <c r="O919" s="151"/>
    </row>
    <row r="920" ht="12.0" customHeight="1">
      <c r="B920" s="1"/>
      <c r="J920" s="151"/>
      <c r="O920" s="151"/>
    </row>
    <row r="921" ht="12.0" customHeight="1">
      <c r="B921" s="1"/>
      <c r="J921" s="151"/>
      <c r="O921" s="151"/>
    </row>
    <row r="922" ht="12.0" customHeight="1">
      <c r="B922" s="1"/>
      <c r="J922" s="151"/>
      <c r="O922" s="151"/>
    </row>
    <row r="923" ht="12.0" customHeight="1">
      <c r="B923" s="1"/>
      <c r="J923" s="151"/>
      <c r="O923" s="151"/>
    </row>
    <row r="924" ht="12.0" customHeight="1">
      <c r="B924" s="1"/>
      <c r="J924" s="151"/>
      <c r="O924" s="151"/>
    </row>
    <row r="925" ht="12.0" customHeight="1">
      <c r="B925" s="1"/>
      <c r="J925" s="151"/>
      <c r="O925" s="151"/>
    </row>
    <row r="926" ht="12.0" customHeight="1">
      <c r="B926" s="1"/>
      <c r="J926" s="151"/>
      <c r="O926" s="151"/>
    </row>
    <row r="927" ht="12.0" customHeight="1">
      <c r="B927" s="1"/>
      <c r="J927" s="151"/>
      <c r="O927" s="151"/>
    </row>
    <row r="928" ht="12.0" customHeight="1">
      <c r="B928" s="1"/>
      <c r="J928" s="151"/>
      <c r="O928" s="151"/>
    </row>
    <row r="929" ht="12.0" customHeight="1">
      <c r="B929" s="1"/>
      <c r="J929" s="151"/>
      <c r="O929" s="151"/>
    </row>
    <row r="930" ht="12.0" customHeight="1">
      <c r="B930" s="1"/>
      <c r="J930" s="151"/>
      <c r="O930" s="151"/>
    </row>
    <row r="931" ht="12.0" customHeight="1">
      <c r="B931" s="1"/>
      <c r="J931" s="151"/>
      <c r="O931" s="151"/>
    </row>
    <row r="932" ht="12.0" customHeight="1">
      <c r="B932" s="1"/>
      <c r="J932" s="151"/>
      <c r="O932" s="151"/>
    </row>
    <row r="933" ht="12.0" customHeight="1">
      <c r="B933" s="1"/>
      <c r="J933" s="151"/>
      <c r="O933" s="151"/>
    </row>
    <row r="934" ht="12.0" customHeight="1">
      <c r="B934" s="1"/>
      <c r="J934" s="151"/>
      <c r="O934" s="151"/>
    </row>
    <row r="935" ht="12.0" customHeight="1">
      <c r="B935" s="1"/>
      <c r="J935" s="151"/>
      <c r="O935" s="151"/>
    </row>
    <row r="936" ht="12.0" customHeight="1">
      <c r="B936" s="1"/>
      <c r="J936" s="151"/>
      <c r="O936" s="151"/>
    </row>
    <row r="937" ht="12.0" customHeight="1">
      <c r="B937" s="1"/>
      <c r="J937" s="151"/>
      <c r="O937" s="151"/>
    </row>
    <row r="938" ht="12.0" customHeight="1">
      <c r="B938" s="1"/>
      <c r="J938" s="151"/>
      <c r="O938" s="151"/>
    </row>
    <row r="939" ht="12.0" customHeight="1">
      <c r="B939" s="1"/>
      <c r="J939" s="151"/>
      <c r="O939" s="151"/>
    </row>
    <row r="940" ht="12.0" customHeight="1">
      <c r="B940" s="1"/>
      <c r="J940" s="151"/>
      <c r="O940" s="151"/>
    </row>
    <row r="941" ht="12.0" customHeight="1">
      <c r="B941" s="1"/>
      <c r="J941" s="151"/>
      <c r="O941" s="151"/>
    </row>
    <row r="942" ht="12.0" customHeight="1">
      <c r="B942" s="1"/>
      <c r="J942" s="151"/>
      <c r="O942" s="151"/>
    </row>
    <row r="943" ht="12.0" customHeight="1">
      <c r="B943" s="1"/>
      <c r="J943" s="151"/>
      <c r="O943" s="151"/>
    </row>
    <row r="944" ht="12.0" customHeight="1">
      <c r="B944" s="1"/>
      <c r="J944" s="151"/>
      <c r="O944" s="151"/>
    </row>
    <row r="945" ht="12.0" customHeight="1">
      <c r="B945" s="1"/>
      <c r="J945" s="151"/>
      <c r="O945" s="151"/>
    </row>
    <row r="946" ht="12.0" customHeight="1">
      <c r="B946" s="1"/>
      <c r="J946" s="151"/>
      <c r="O946" s="151"/>
    </row>
    <row r="947" ht="12.0" customHeight="1">
      <c r="B947" s="1"/>
      <c r="J947" s="151"/>
      <c r="O947" s="151"/>
    </row>
    <row r="948" ht="12.0" customHeight="1">
      <c r="B948" s="1"/>
      <c r="J948" s="151"/>
      <c r="O948" s="151"/>
    </row>
    <row r="949" ht="12.0" customHeight="1">
      <c r="B949" s="1"/>
      <c r="J949" s="151"/>
      <c r="O949" s="151"/>
    </row>
    <row r="950" ht="12.0" customHeight="1">
      <c r="B950" s="1"/>
      <c r="J950" s="151"/>
      <c r="O950" s="151"/>
    </row>
    <row r="951" ht="12.0" customHeight="1">
      <c r="B951" s="1"/>
      <c r="J951" s="151"/>
      <c r="O951" s="151"/>
    </row>
    <row r="952" ht="12.0" customHeight="1">
      <c r="B952" s="1"/>
      <c r="J952" s="151"/>
      <c r="O952" s="151"/>
    </row>
    <row r="953" ht="12.0" customHeight="1">
      <c r="B953" s="1"/>
      <c r="J953" s="151"/>
      <c r="O953" s="151"/>
    </row>
    <row r="954" ht="12.0" customHeight="1">
      <c r="B954" s="1"/>
      <c r="J954" s="151"/>
      <c r="O954" s="151"/>
    </row>
    <row r="955" ht="12.0" customHeight="1">
      <c r="B955" s="1"/>
      <c r="J955" s="151"/>
      <c r="O955" s="151"/>
    </row>
    <row r="956" ht="12.0" customHeight="1">
      <c r="B956" s="1"/>
      <c r="J956" s="151"/>
      <c r="O956" s="151"/>
    </row>
    <row r="957" ht="12.0" customHeight="1">
      <c r="B957" s="1"/>
      <c r="J957" s="151"/>
      <c r="O957" s="151"/>
    </row>
    <row r="958" ht="12.0" customHeight="1">
      <c r="B958" s="1"/>
      <c r="J958" s="151"/>
      <c r="O958" s="151"/>
    </row>
    <row r="959" ht="12.0" customHeight="1">
      <c r="B959" s="1"/>
      <c r="J959" s="151"/>
      <c r="O959" s="151"/>
    </row>
    <row r="960" ht="12.0" customHeight="1">
      <c r="B960" s="1"/>
      <c r="J960" s="151"/>
      <c r="O960" s="151"/>
    </row>
    <row r="961" ht="12.0" customHeight="1">
      <c r="B961" s="1"/>
      <c r="J961" s="151"/>
      <c r="O961" s="151"/>
    </row>
    <row r="962" ht="12.0" customHeight="1">
      <c r="B962" s="1"/>
      <c r="J962" s="151"/>
      <c r="O962" s="151"/>
    </row>
    <row r="963" ht="12.0" customHeight="1">
      <c r="B963" s="1"/>
      <c r="J963" s="151"/>
      <c r="O963" s="151"/>
    </row>
    <row r="964" ht="12.0" customHeight="1">
      <c r="B964" s="1"/>
      <c r="J964" s="151"/>
      <c r="O964" s="151"/>
    </row>
    <row r="965" ht="12.0" customHeight="1">
      <c r="B965" s="1"/>
      <c r="J965" s="151"/>
      <c r="O965" s="151"/>
    </row>
    <row r="966" ht="12.0" customHeight="1">
      <c r="B966" s="1"/>
      <c r="J966" s="151"/>
      <c r="O966" s="151"/>
    </row>
    <row r="967" ht="12.0" customHeight="1">
      <c r="B967" s="1"/>
      <c r="J967" s="151"/>
      <c r="O967" s="151"/>
    </row>
    <row r="968" ht="12.0" customHeight="1">
      <c r="B968" s="1"/>
      <c r="J968" s="151"/>
      <c r="O968" s="151"/>
    </row>
    <row r="969" ht="12.0" customHeight="1">
      <c r="B969" s="1"/>
      <c r="J969" s="151"/>
      <c r="O969" s="151"/>
    </row>
    <row r="970" ht="12.0" customHeight="1">
      <c r="B970" s="1"/>
      <c r="J970" s="151"/>
      <c r="O970" s="151"/>
    </row>
    <row r="971" ht="12.0" customHeight="1">
      <c r="B971" s="1"/>
      <c r="J971" s="151"/>
      <c r="O971" s="151"/>
    </row>
    <row r="972" ht="12.0" customHeight="1">
      <c r="B972" s="1"/>
      <c r="J972" s="151"/>
      <c r="O972" s="151"/>
    </row>
    <row r="973" ht="12.0" customHeight="1">
      <c r="B973" s="1"/>
      <c r="J973" s="151"/>
      <c r="O973" s="151"/>
    </row>
    <row r="974" ht="12.0" customHeight="1">
      <c r="B974" s="1"/>
      <c r="J974" s="151"/>
      <c r="O974" s="151"/>
    </row>
    <row r="975" ht="12.0" customHeight="1">
      <c r="B975" s="1"/>
      <c r="J975" s="151"/>
      <c r="O975" s="151"/>
    </row>
    <row r="976" ht="12.0" customHeight="1">
      <c r="B976" s="1"/>
      <c r="J976" s="151"/>
      <c r="O976" s="151"/>
    </row>
    <row r="977" ht="12.0" customHeight="1">
      <c r="B977" s="1"/>
      <c r="J977" s="151"/>
      <c r="O977" s="151"/>
    </row>
    <row r="978" ht="12.0" customHeight="1">
      <c r="B978" s="1"/>
      <c r="J978" s="151"/>
      <c r="O978" s="151"/>
    </row>
    <row r="979" ht="12.0" customHeight="1">
      <c r="B979" s="1"/>
      <c r="J979" s="151"/>
      <c r="O979" s="151"/>
    </row>
    <row r="980" ht="12.0" customHeight="1">
      <c r="B980" s="1"/>
      <c r="J980" s="151"/>
      <c r="O980" s="151"/>
    </row>
    <row r="981" ht="12.0" customHeight="1">
      <c r="B981" s="1"/>
      <c r="J981" s="151"/>
      <c r="O981" s="151"/>
    </row>
    <row r="982" ht="12.0" customHeight="1">
      <c r="B982" s="1"/>
      <c r="J982" s="151"/>
      <c r="O982" s="151"/>
    </row>
    <row r="983" ht="12.0" customHeight="1">
      <c r="B983" s="1"/>
      <c r="J983" s="151"/>
      <c r="O983" s="151"/>
    </row>
    <row r="984" ht="12.0" customHeight="1">
      <c r="B984" s="1"/>
      <c r="J984" s="151"/>
      <c r="O984" s="151"/>
    </row>
    <row r="985" ht="12.0" customHeight="1">
      <c r="B985" s="1"/>
      <c r="J985" s="151"/>
      <c r="O985" s="151"/>
    </row>
    <row r="986" ht="12.0" customHeight="1">
      <c r="B986" s="1"/>
      <c r="J986" s="151"/>
      <c r="O986" s="151"/>
    </row>
    <row r="987" ht="12.0" customHeight="1">
      <c r="B987" s="1"/>
      <c r="J987" s="151"/>
      <c r="O987" s="151"/>
    </row>
    <row r="988" ht="12.0" customHeight="1">
      <c r="B988" s="1"/>
      <c r="J988" s="151"/>
      <c r="O988" s="151"/>
    </row>
    <row r="989" ht="12.0" customHeight="1">
      <c r="B989" s="1"/>
      <c r="J989" s="151"/>
      <c r="O989" s="151"/>
    </row>
    <row r="990" ht="12.0" customHeight="1">
      <c r="B990" s="1"/>
      <c r="J990" s="151"/>
      <c r="O990" s="151"/>
    </row>
    <row r="991" ht="12.0" customHeight="1">
      <c r="B991" s="1"/>
      <c r="J991" s="151"/>
      <c r="O991" s="151"/>
    </row>
    <row r="992" ht="12.0" customHeight="1">
      <c r="B992" s="1"/>
      <c r="J992" s="151"/>
      <c r="O992" s="151"/>
    </row>
    <row r="993" ht="12.0" customHeight="1">
      <c r="B993" s="1"/>
      <c r="J993" s="151"/>
      <c r="O993" s="151"/>
    </row>
    <row r="994" ht="12.0" customHeight="1">
      <c r="B994" s="1"/>
      <c r="J994" s="151"/>
      <c r="O994" s="151"/>
    </row>
    <row r="995" ht="12.0" customHeight="1">
      <c r="B995" s="1"/>
      <c r="J995" s="151"/>
      <c r="O995" s="151"/>
    </row>
    <row r="996" ht="12.0" customHeight="1">
      <c r="B996" s="1"/>
      <c r="J996" s="151"/>
      <c r="O996" s="151"/>
    </row>
    <row r="997" ht="12.0" customHeight="1">
      <c r="B997" s="1"/>
      <c r="J997" s="151"/>
      <c r="O997" s="151"/>
    </row>
    <row r="998" ht="12.0" customHeight="1">
      <c r="B998" s="1"/>
      <c r="J998" s="151"/>
      <c r="O998" s="151"/>
    </row>
    <row r="999" ht="12.0" customHeight="1">
      <c r="B999" s="1"/>
      <c r="J999" s="151"/>
      <c r="O999" s="151"/>
    </row>
    <row r="1000" ht="12.0" customHeight="1">
      <c r="B1000" s="1"/>
      <c r="J1000" s="151"/>
      <c r="O1000" s="151"/>
    </row>
    <row r="1001" ht="12.0" customHeight="1">
      <c r="B1001" s="1"/>
      <c r="J1001" s="151"/>
      <c r="O1001" s="151"/>
    </row>
  </sheetData>
  <mergeCells count="17">
    <mergeCell ref="I6:J6"/>
    <mergeCell ref="N6:O6"/>
    <mergeCell ref="B18:B20"/>
    <mergeCell ref="B21:B25"/>
    <mergeCell ref="B26:B30"/>
    <mergeCell ref="B35:B37"/>
    <mergeCell ref="B38:B40"/>
    <mergeCell ref="B70:B72"/>
    <mergeCell ref="B73:B75"/>
    <mergeCell ref="B76:B78"/>
    <mergeCell ref="B41:B43"/>
    <mergeCell ref="B44:B46"/>
    <mergeCell ref="B47:B52"/>
    <mergeCell ref="B56:B59"/>
    <mergeCell ref="B60:B62"/>
    <mergeCell ref="B63:B65"/>
    <mergeCell ref="B67:B69"/>
  </mergeCells>
  <dataValidations>
    <dataValidation type="list" allowBlank="1" showErrorMessage="1" sqref="I21">
      <formula1>"STOCK BRICKS,BLOCKS,FACE BRICKS,NO BRICKWORK DONE"</formula1>
    </dataValidation>
    <dataValidation type="list" allowBlank="1" showErrorMessage="1" sqref="I26">
      <formula1>"CONCRETE ROOF TILES,IBR,CORRUGATED ROOFING SHEETS,NO ROOFING DONE"</formula1>
    </dataValidation>
    <dataValidation type="list" allowBlank="1" showErrorMessage="1" sqref="I18 I35 I38 I41 I44 I53 I60 I63 I67 I70 I73 I76 I81">
      <formula1>"YES,NO"</formula1>
    </dataValidation>
    <dataValidation type="list" allowBlank="1" showErrorMessage="1" sqref="N17:N18 N21 N26 N31 N35 N38 N41 N44 N47 K53 N53 N56 N60 N63 N67 N70 N73 N76 N81 N97">
      <formula1>"DELAPIDATED,POOR,FAIR,GOOD,VERY GOOD,EXCELLENT,NOT APPLICABLE"</formula1>
    </dataValidation>
    <dataValidation type="list" allowBlank="1" showErrorMessage="1" sqref="I56">
      <formula1>"STEEL WINDOW FRAMES,ALUMINIUM WINDOW FRAMES,NO WINDOWS FITTED"</formula1>
    </dataValidation>
    <dataValidation type="list" allowBlank="1" showErrorMessage="1" sqref="N84">
      <formula1>"Delapidated,Poor,Fair,Good,Very Good,Excellent,Not Applicable"</formula1>
    </dataValidation>
    <dataValidation type="list" allowBlank="1" showErrorMessage="1" sqref="I12">
      <formula1>"2010-2013,2014-2021,2021-2023"</formula1>
    </dataValidation>
    <dataValidation type="list" allowBlank="1" showErrorMessage="1" sqref="I47">
      <formula1>"VINYL FLOORING,TILING FLOORING,TIMBER FLOORING,CARPETS FLOORING,NO FLOORING"</formula1>
    </dataValidation>
    <dataValidation type="list" allowBlank="1" showErrorMessage="1" sqref="I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80.75"/>
    <col customWidth="1" hidden="1" min="4" max="4" width="26.88"/>
    <col customWidth="1" hidden="1" min="5" max="8" width="22.63"/>
    <col customWidth="1" min="9" max="9" width="50.75"/>
    <col customWidth="1" min="10" max="10" width="30.75"/>
    <col customWidth="1" hidden="1" min="11" max="11" width="28.63"/>
    <col customWidth="1" hidden="1" min="12" max="12" width="34.88"/>
    <col customWidth="1" hidden="1" min="13" max="13" width="28.88"/>
    <col customWidth="1" min="14" max="14" width="50.75"/>
    <col customWidth="1" min="15" max="15" width="30.75"/>
    <col customWidth="1" min="16" max="26" width="9.13"/>
  </cols>
  <sheetData>
    <row r="1" ht="12.0" customHeight="1">
      <c r="B1" s="1"/>
      <c r="J1" s="151"/>
      <c r="O1" s="151"/>
    </row>
    <row r="2" ht="12.0" customHeight="1">
      <c r="B2" s="1"/>
      <c r="J2" s="151"/>
      <c r="O2" s="151"/>
    </row>
    <row r="3" ht="12.0" customHeight="1">
      <c r="B3" s="1"/>
      <c r="C3" s="4" t="s">
        <v>171</v>
      </c>
      <c r="J3" s="151"/>
      <c r="O3" s="151"/>
    </row>
    <row r="4" ht="46.5" customHeight="1">
      <c r="B4" s="1"/>
      <c r="C4" s="260"/>
      <c r="J4" s="151"/>
      <c r="O4" s="151"/>
    </row>
    <row r="5" ht="30.0" customHeight="1">
      <c r="B5" s="1"/>
      <c r="C5" s="4"/>
      <c r="I5" s="6" t="s">
        <v>2</v>
      </c>
      <c r="J5" s="7"/>
      <c r="N5" s="8" t="s">
        <v>3</v>
      </c>
      <c r="O5" s="7"/>
    </row>
    <row r="6" ht="26.25" hidden="1" customHeight="1">
      <c r="B6" s="631"/>
      <c r="C6" s="833"/>
      <c r="D6" s="632"/>
      <c r="E6" s="632"/>
      <c r="F6" s="632"/>
      <c r="G6" s="632"/>
      <c r="H6" s="632"/>
      <c r="I6" s="632"/>
      <c r="J6" s="834"/>
      <c r="O6" s="151"/>
    </row>
    <row r="7" ht="49.5" hidden="1" customHeight="1">
      <c r="B7" s="631"/>
      <c r="C7" s="632"/>
      <c r="D7" s="633"/>
      <c r="E7" s="535" t="s">
        <v>79</v>
      </c>
      <c r="F7" s="274"/>
      <c r="G7" s="7"/>
      <c r="H7" s="536" t="s">
        <v>80</v>
      </c>
      <c r="I7" s="274"/>
      <c r="J7" s="7"/>
      <c r="K7" s="635" t="s">
        <v>91</v>
      </c>
      <c r="L7" s="274"/>
      <c r="M7" s="7"/>
      <c r="N7" s="161"/>
      <c r="O7" s="151"/>
    </row>
    <row r="8" ht="49.5" hidden="1" customHeight="1">
      <c r="B8" s="631"/>
      <c r="C8" s="632" t="s">
        <v>172</v>
      </c>
      <c r="D8" s="636"/>
      <c r="E8" s="636"/>
      <c r="F8" s="636"/>
      <c r="G8" s="636"/>
      <c r="H8" s="636"/>
      <c r="I8" s="636"/>
      <c r="J8" s="637"/>
      <c r="K8" s="729"/>
      <c r="L8" s="159"/>
      <c r="M8" s="160"/>
      <c r="N8" s="161"/>
      <c r="O8" s="151"/>
    </row>
    <row r="9" ht="73.5" customHeight="1">
      <c r="A9" s="20"/>
      <c r="B9" s="835" t="s">
        <v>6</v>
      </c>
      <c r="C9" s="167" t="s">
        <v>7</v>
      </c>
      <c r="D9" s="361" t="s">
        <v>8</v>
      </c>
      <c r="E9" s="362" t="s">
        <v>9</v>
      </c>
      <c r="F9" s="362" t="s">
        <v>10</v>
      </c>
      <c r="G9" s="362" t="s">
        <v>11</v>
      </c>
      <c r="H9" s="363" t="s">
        <v>12</v>
      </c>
      <c r="I9" s="26" t="s">
        <v>13</v>
      </c>
      <c r="J9" s="24" t="s">
        <v>14</v>
      </c>
      <c r="K9" s="641" t="s">
        <v>15</v>
      </c>
      <c r="L9" s="642" t="s">
        <v>16</v>
      </c>
      <c r="M9" s="182" t="s">
        <v>17</v>
      </c>
      <c r="N9" s="31" t="s">
        <v>18</v>
      </c>
      <c r="O9" s="24" t="s">
        <v>14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1.5" hidden="1" customHeight="1">
      <c r="A10" s="17"/>
      <c r="B10" s="836"/>
      <c r="C10" s="672" t="s">
        <v>173</v>
      </c>
      <c r="D10" s="37"/>
      <c r="E10" s="176">
        <v>3.0</v>
      </c>
      <c r="F10" s="176">
        <v>2.0</v>
      </c>
      <c r="G10" s="176">
        <v>1.0</v>
      </c>
      <c r="H10" s="673"/>
      <c r="I10" s="673"/>
      <c r="J10" s="674"/>
      <c r="K10" s="119"/>
      <c r="L10" s="701"/>
      <c r="M10" s="701"/>
      <c r="N10" s="17"/>
      <c r="O10" s="1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0.25" hidden="1" customHeight="1">
      <c r="A11" s="17"/>
      <c r="B11" s="836"/>
      <c r="C11" s="672"/>
      <c r="D11" s="48"/>
      <c r="E11" s="186">
        <v>3.0</v>
      </c>
      <c r="F11" s="186">
        <v>2.0</v>
      </c>
      <c r="G11" s="186">
        <v>1.0</v>
      </c>
      <c r="H11" s="673"/>
      <c r="I11" s="677"/>
      <c r="J11" s="678"/>
      <c r="K11" s="119"/>
      <c r="L11" s="701"/>
      <c r="M11" s="701"/>
      <c r="N11" s="17"/>
      <c r="O11" s="1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customHeight="1">
      <c r="A12" s="17"/>
      <c r="B12" s="837"/>
      <c r="C12" s="184" t="s">
        <v>19</v>
      </c>
      <c r="D12" s="54"/>
      <c r="E12" s="186"/>
      <c r="F12" s="186"/>
      <c r="G12" s="186"/>
      <c r="H12" s="283"/>
      <c r="I12" s="188">
        <v>200.0</v>
      </c>
      <c r="J12" s="189"/>
      <c r="K12" s="190" t="str">
        <f>AVERAGE(#REF!)</f>
        <v>#REF!</v>
      </c>
      <c r="L12" s="190">
        <v>210.555555555556</v>
      </c>
      <c r="M12" s="193"/>
      <c r="N12" s="193"/>
      <c r="O12" s="191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customHeight="1">
      <c r="A13" s="17"/>
      <c r="B13" s="837"/>
      <c r="C13" s="194" t="s">
        <v>20</v>
      </c>
      <c r="D13" s="54"/>
      <c r="E13" s="186"/>
      <c r="F13" s="186"/>
      <c r="G13" s="186"/>
      <c r="H13" s="56"/>
      <c r="I13" s="196" t="s">
        <v>9</v>
      </c>
      <c r="J13" s="197"/>
      <c r="K13" s="190"/>
      <c r="L13" s="190"/>
      <c r="M13" s="193"/>
      <c r="N13" s="193"/>
      <c r="O13" s="191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hidden="1" customHeight="1">
      <c r="A14" s="17"/>
      <c r="B14" s="837"/>
      <c r="C14" s="198"/>
      <c r="D14" s="54"/>
      <c r="E14" s="186"/>
      <c r="F14" s="186"/>
      <c r="G14" s="186"/>
      <c r="H14" s="56"/>
      <c r="I14" s="56"/>
      <c r="J14" s="285"/>
      <c r="K14" s="199"/>
      <c r="L14" s="704"/>
      <c r="M14" s="701"/>
      <c r="N14" s="17"/>
      <c r="O14" s="201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hidden="1" customHeight="1">
      <c r="A15" s="17"/>
      <c r="B15" s="837"/>
      <c r="C15" s="198"/>
      <c r="D15" s="17"/>
      <c r="E15" s="186"/>
      <c r="F15" s="186"/>
      <c r="G15" s="186"/>
      <c r="H15" s="56"/>
      <c r="I15" s="56"/>
      <c r="J15" s="58"/>
      <c r="K15" s="199"/>
      <c r="L15" s="704"/>
      <c r="M15" s="701"/>
      <c r="N15" s="17"/>
      <c r="O15" s="202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hidden="1" customHeight="1">
      <c r="A16" s="17"/>
      <c r="B16" s="837"/>
      <c r="C16" s="198"/>
      <c r="D16" s="63">
        <v>1.24</v>
      </c>
      <c r="E16" s="186"/>
      <c r="F16" s="203">
        <v>1.25</v>
      </c>
      <c r="G16" s="203">
        <v>1.32</v>
      </c>
      <c r="H16" s="56"/>
      <c r="I16" s="56"/>
      <c r="J16" s="58"/>
      <c r="K16" s="199"/>
      <c r="L16" s="704"/>
      <c r="M16" s="701"/>
      <c r="N16" s="17"/>
      <c r="O16" s="705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838">
        <v>1.0</v>
      </c>
      <c r="C17" s="65" t="s">
        <v>22</v>
      </c>
      <c r="D17" s="387"/>
      <c r="E17" s="839">
        <f>1052.08443271768*D16</f>
        <v>1304.584697</v>
      </c>
      <c r="F17" s="67">
        <f t="shared" ref="F17:F34" si="1">E17/$F$16</f>
        <v>1043.667757</v>
      </c>
      <c r="G17" s="67">
        <f t="shared" ref="G17:G34" si="2">E17/$G$16</f>
        <v>988.3217398</v>
      </c>
      <c r="H17" s="68"/>
      <c r="I17" s="461"/>
      <c r="J17" s="70">
        <f>IF(I13="2010-2013",I12*G17,IF(I13="2014-2021",I12*F17,IF(I13="2021-2023",I12*E17,-2)))</f>
        <v>260916.9393</v>
      </c>
      <c r="K17" s="199" t="str">
        <f t="shared" ref="K17:K18" si="3">AVERAGE(#REF!)</f>
        <v>#REF!</v>
      </c>
      <c r="L17" s="704">
        <v>221522.222222222</v>
      </c>
      <c r="M17" s="206">
        <f t="shared" ref="M17:M18" si="4">L17/$L$12</f>
        <v>1052.084433</v>
      </c>
      <c r="N17" s="207" t="s">
        <v>23</v>
      </c>
      <c r="O17" s="73">
        <f t="shared" ref="O17:O18" si="5">IF(N17="Delapidated",J17*0.6,IF(N17="Poor",J17*0.7,IF(N17="Fair",J17*0.8,IF(N17="Good",J17*0.85,IF(N17="Very Good",J17*0.9,IF(N17="Excellent",J17*1,IF(N17="Not Applicable",J17*1,0)))))))</f>
        <v>260916.9393</v>
      </c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840">
        <f>B17+1</f>
        <v>2</v>
      </c>
      <c r="C18" s="208" t="s">
        <v>24</v>
      </c>
      <c r="D18" s="66"/>
      <c r="E18" s="209"/>
      <c r="F18" s="67">
        <f t="shared" si="1"/>
        <v>0</v>
      </c>
      <c r="G18" s="67">
        <f t="shared" si="2"/>
        <v>0</v>
      </c>
      <c r="H18" s="68"/>
      <c r="I18" s="72" t="s">
        <v>25</v>
      </c>
      <c r="J18" s="70">
        <f>IF(I18="YES",IF(I13="2010-2013",G19*$I$12,IF(I13="2014-2021",F19*$I$12,IF(I13="2021-2023",E19*$I$12,0))),0)</f>
        <v>86800</v>
      </c>
      <c r="K18" s="199" t="str">
        <f t="shared" si="3"/>
        <v>#REF!</v>
      </c>
      <c r="L18" s="704">
        <v>133400.0</v>
      </c>
      <c r="M18" s="206">
        <f t="shared" si="4"/>
        <v>633.5620053</v>
      </c>
      <c r="N18" s="207" t="s">
        <v>23</v>
      </c>
      <c r="O18" s="73">
        <f t="shared" si="5"/>
        <v>86800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hidden="1" customHeight="1">
      <c r="A19" s="34"/>
      <c r="B19" s="84"/>
      <c r="C19" s="79" t="s">
        <v>25</v>
      </c>
      <c r="D19" s="66"/>
      <c r="E19" s="67">
        <f>350*D16</f>
        <v>434</v>
      </c>
      <c r="F19" s="67">
        <f t="shared" si="1"/>
        <v>347.2</v>
      </c>
      <c r="G19" s="67">
        <f t="shared" si="2"/>
        <v>328.7878788</v>
      </c>
      <c r="H19" s="77">
        <v>1.0</v>
      </c>
      <c r="I19" s="68"/>
      <c r="J19" s="70"/>
      <c r="K19" s="199"/>
      <c r="L19" s="704"/>
      <c r="M19" s="206"/>
      <c r="N19" s="34"/>
      <c r="O19" s="402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hidden="1" customHeight="1">
      <c r="A20" s="34"/>
      <c r="B20" s="85"/>
      <c r="C20" s="79" t="s">
        <v>26</v>
      </c>
      <c r="D20" s="66"/>
      <c r="E20" s="67">
        <v>0.0</v>
      </c>
      <c r="F20" s="67">
        <f t="shared" si="1"/>
        <v>0</v>
      </c>
      <c r="G20" s="67">
        <f t="shared" si="2"/>
        <v>0</v>
      </c>
      <c r="H20" s="77">
        <v>2.0</v>
      </c>
      <c r="I20" s="68"/>
      <c r="J20" s="70"/>
      <c r="K20" s="199"/>
      <c r="L20" s="704"/>
      <c r="M20" s="206"/>
      <c r="N20" s="34"/>
      <c r="O20" s="402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840">
        <f>B18+1</f>
        <v>3</v>
      </c>
      <c r="C21" s="208" t="s">
        <v>83</v>
      </c>
      <c r="D21" s="66"/>
      <c r="E21" s="67"/>
      <c r="F21" s="67">
        <f t="shared" si="1"/>
        <v>0</v>
      </c>
      <c r="G21" s="67">
        <f t="shared" si="2"/>
        <v>0</v>
      </c>
      <c r="H21" s="68"/>
      <c r="I21" s="72" t="s">
        <v>28</v>
      </c>
      <c r="J21" s="70">
        <f>IF(I21="STOCK BRICKS",IF(I13="2010-2013",G22*$I$12,IF(I13="2014-2021",F22*$I$12,IF(I13="2021-2023",E22*$I$12,0))),IF(I21="BLOCKS",IF(I13="2010-2013",G23*$I$12,IF(I13="2014-2021",F23*$I$12,IF(I13="2021-2023",E23*$I$12,0))),IF(I21="FACE BRICKS",IF(I13="2010-2013",G24*$I$12,IF(I13="2014-2021",F24*$I$12,IF(I13="2021-2023",E24*$I$12,0))),0)))</f>
        <v>180535.7551</v>
      </c>
      <c r="K21" s="199" t="str">
        <f>AVERAGE(#REF!)</f>
        <v>#REF!</v>
      </c>
      <c r="L21" s="704">
        <f>151944.444444444+1333</f>
        <v>153277.4444</v>
      </c>
      <c r="M21" s="206">
        <f>L21/$L$12</f>
        <v>727.9667546</v>
      </c>
      <c r="N21" s="207" t="s">
        <v>23</v>
      </c>
      <c r="O21" s="73">
        <f>IF(N21="Delapidated",J21*0.6,IF(N21="Poor",J21*0.7,IF(N21="Fair",J21*0.8,IF(N21="Good",J21*0.85,IF(N21="Very Good",J21*0.9,IF(N21="Excellent",J21*1,IF(N21="Not Applicable",J21*1,0)))))))</f>
        <v>180535.7551</v>
      </c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hidden="1" customHeight="1">
      <c r="A22" s="34"/>
      <c r="B22" s="84"/>
      <c r="C22" s="79" t="s">
        <v>28</v>
      </c>
      <c r="D22" s="66"/>
      <c r="E22" s="67">
        <f>727.966754617412*D16</f>
        <v>902.6787757</v>
      </c>
      <c r="F22" s="67">
        <f t="shared" si="1"/>
        <v>722.1430206</v>
      </c>
      <c r="G22" s="67">
        <f t="shared" si="2"/>
        <v>683.8475574</v>
      </c>
      <c r="H22" s="77">
        <v>1.0</v>
      </c>
      <c r="I22" s="68"/>
      <c r="J22" s="70"/>
      <c r="K22" s="199"/>
      <c r="L22" s="704"/>
      <c r="M22" s="206"/>
      <c r="N22" s="34"/>
      <c r="O22" s="73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hidden="1" customHeight="1">
      <c r="A23" s="34"/>
      <c r="B23" s="84"/>
      <c r="C23" s="79" t="s">
        <v>29</v>
      </c>
      <c r="D23" s="66"/>
      <c r="E23" s="67">
        <f>E22*0.8</f>
        <v>722.1430206</v>
      </c>
      <c r="F23" s="67">
        <f t="shared" si="1"/>
        <v>577.7144165</v>
      </c>
      <c r="G23" s="67">
        <f t="shared" si="2"/>
        <v>547.0780459</v>
      </c>
      <c r="H23" s="77">
        <v>2.0</v>
      </c>
      <c r="I23" s="68"/>
      <c r="J23" s="70"/>
      <c r="K23" s="199"/>
      <c r="L23" s="704"/>
      <c r="M23" s="206"/>
      <c r="N23" s="34"/>
      <c r="O23" s="73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hidden="1" customHeight="1">
      <c r="A24" s="34"/>
      <c r="B24" s="84"/>
      <c r="C24" s="79" t="s">
        <v>30</v>
      </c>
      <c r="D24" s="66"/>
      <c r="E24" s="67">
        <f>E22*1.3</f>
        <v>1173.482408</v>
      </c>
      <c r="F24" s="67">
        <f t="shared" si="1"/>
        <v>938.7859268</v>
      </c>
      <c r="G24" s="67">
        <f t="shared" si="2"/>
        <v>889.0018246</v>
      </c>
      <c r="H24" s="77">
        <v>3.0</v>
      </c>
      <c r="I24" s="68"/>
      <c r="J24" s="70"/>
      <c r="K24" s="199"/>
      <c r="L24" s="704"/>
      <c r="M24" s="206"/>
      <c r="N24" s="34"/>
      <c r="O24" s="73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hidden="1" customHeight="1">
      <c r="A25" s="34"/>
      <c r="B25" s="85"/>
      <c r="C25" s="79" t="s">
        <v>31</v>
      </c>
      <c r="D25" s="66"/>
      <c r="E25" s="67">
        <v>0.0</v>
      </c>
      <c r="F25" s="67">
        <f t="shared" si="1"/>
        <v>0</v>
      </c>
      <c r="G25" s="67">
        <f t="shared" si="2"/>
        <v>0</v>
      </c>
      <c r="H25" s="77">
        <v>4.0</v>
      </c>
      <c r="I25" s="68"/>
      <c r="J25" s="70"/>
      <c r="K25" s="199"/>
      <c r="L25" s="704"/>
      <c r="M25" s="206"/>
      <c r="N25" s="34"/>
      <c r="O25" s="402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840">
        <f>B21+1</f>
        <v>4</v>
      </c>
      <c r="C26" s="208" t="s">
        <v>127</v>
      </c>
      <c r="D26" s="66"/>
      <c r="E26" s="67"/>
      <c r="F26" s="67">
        <f t="shared" si="1"/>
        <v>0</v>
      </c>
      <c r="G26" s="67">
        <f t="shared" si="2"/>
        <v>0</v>
      </c>
      <c r="H26" s="68"/>
      <c r="I26" s="72" t="s">
        <v>34</v>
      </c>
      <c r="J26" s="70">
        <f>IF(I26="CONCRETE ROOF TILES",IF(I13="2010-2013",G27*$I$12,IF(I13="2014-2021",F27*$I$12,IF(I13="2021-2023",E27*$I$12,0))),IF(I26="IBR",IF(I13="2010-2013",G28*$I$12,IF(I13="2014-2021",F28*$I$12,IF(I13="2021-2023",E28*$I$12,0))),IF(I26="CORRUGATED ROOFING SHEETS",IF(I13="2010-2013",G29*$I$12,IF(I13="2014-2021",F29*$I$12,IF(I13="2021-2023",E29*$I$12,0))),0)))</f>
        <v>51584</v>
      </c>
      <c r="K26" s="199" t="str">
        <f>AVERAGE(#REF!)</f>
        <v>#REF!</v>
      </c>
      <c r="L26" s="704">
        <f>114033.333333333+1833</f>
        <v>115866.3333</v>
      </c>
      <c r="M26" s="206">
        <f>L26/$L$12</f>
        <v>550.2886544</v>
      </c>
      <c r="N26" s="207" t="s">
        <v>23</v>
      </c>
      <c r="O26" s="73">
        <f>IF(N26="Delapidated",J26*0.6,IF(N26="Poor",J26*0.7,IF(N26="Fair",J26*0.8,IF(N26="Good",J26*0.85,IF(N26="Very Good",J26*0.9,IF(N26="Excellent",J26*1,IF(N26="Not Applicable",J26*1,0)))))))</f>
        <v>51584</v>
      </c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hidden="1" customHeight="1">
      <c r="A27" s="34"/>
      <c r="B27" s="84"/>
      <c r="C27" s="79" t="s">
        <v>33</v>
      </c>
      <c r="D27" s="66"/>
      <c r="E27" s="67">
        <f>130*D16</f>
        <v>161.2</v>
      </c>
      <c r="F27" s="67">
        <f t="shared" si="1"/>
        <v>128.96</v>
      </c>
      <c r="G27" s="67">
        <f t="shared" si="2"/>
        <v>122.1212121</v>
      </c>
      <c r="H27" s="77">
        <v>1.0</v>
      </c>
      <c r="I27" s="68"/>
      <c r="J27" s="70"/>
      <c r="K27" s="199"/>
      <c r="L27" s="704"/>
      <c r="M27" s="206"/>
      <c r="N27" s="34"/>
      <c r="O27" s="73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hidden="1" customHeight="1">
      <c r="A28" s="34"/>
      <c r="B28" s="84"/>
      <c r="C28" s="79" t="s">
        <v>34</v>
      </c>
      <c r="D28" s="66"/>
      <c r="E28" s="67">
        <f>E27*1.6</f>
        <v>257.92</v>
      </c>
      <c r="F28" s="67">
        <f t="shared" si="1"/>
        <v>206.336</v>
      </c>
      <c r="G28" s="67">
        <f t="shared" si="2"/>
        <v>195.3939394</v>
      </c>
      <c r="H28" s="77">
        <v>2.0</v>
      </c>
      <c r="I28" s="68"/>
      <c r="J28" s="70"/>
      <c r="K28" s="199"/>
      <c r="L28" s="704"/>
      <c r="M28" s="206"/>
      <c r="N28" s="34"/>
      <c r="O28" s="73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hidden="1" customHeight="1">
      <c r="A29" s="34"/>
      <c r="B29" s="84"/>
      <c r="C29" s="79" t="s">
        <v>35</v>
      </c>
      <c r="D29" s="66"/>
      <c r="E29" s="67">
        <f>E27*0.6</f>
        <v>96.72</v>
      </c>
      <c r="F29" s="67">
        <f t="shared" si="1"/>
        <v>77.376</v>
      </c>
      <c r="G29" s="67">
        <f t="shared" si="2"/>
        <v>73.27272727</v>
      </c>
      <c r="H29" s="77">
        <v>3.0</v>
      </c>
      <c r="I29" s="68"/>
      <c r="J29" s="70"/>
      <c r="K29" s="199"/>
      <c r="L29" s="704"/>
      <c r="M29" s="206"/>
      <c r="N29" s="34"/>
      <c r="O29" s="73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hidden="1" customHeight="1">
      <c r="A30" s="34"/>
      <c r="B30" s="85"/>
      <c r="C30" s="79" t="s">
        <v>36</v>
      </c>
      <c r="D30" s="66"/>
      <c r="E30" s="67">
        <v>0.0</v>
      </c>
      <c r="F30" s="67">
        <f t="shared" si="1"/>
        <v>0</v>
      </c>
      <c r="G30" s="67">
        <f t="shared" si="2"/>
        <v>0</v>
      </c>
      <c r="H30" s="77">
        <v>4.0</v>
      </c>
      <c r="I30" s="68"/>
      <c r="J30" s="70"/>
      <c r="K30" s="199"/>
      <c r="L30" s="704"/>
      <c r="M30" s="206"/>
      <c r="N30" s="34"/>
      <c r="O30" s="402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56">
        <v>5.0</v>
      </c>
      <c r="C31" s="92" t="s">
        <v>158</v>
      </c>
      <c r="D31" s="66"/>
      <c r="E31" s="67"/>
      <c r="F31" s="67">
        <f t="shared" si="1"/>
        <v>0</v>
      </c>
      <c r="G31" s="67">
        <f t="shared" si="2"/>
        <v>0</v>
      </c>
      <c r="H31" s="77"/>
      <c r="I31" s="72" t="s">
        <v>137</v>
      </c>
      <c r="J31" s="70">
        <f>IF(I31="TIMBER ROOF TRUSSES",IF(I13="2010-2013",G32*$I$12,IF(I13="2014-2021",F32*$I$12,IF(I13="2021-2023",E32*$I$12,0))),IF(I31="STRUCTURAL STEEL TRUSSES",IF(I13="2010-2013",G33*$I$12,IF(I13="2014-2021",F33*$I$12,IF(I13="2021-2023",E33*$I$12,0))),0))</f>
        <v>272800</v>
      </c>
      <c r="K31" s="199"/>
      <c r="L31" s="704"/>
      <c r="M31" s="206"/>
      <c r="N31" s="72" t="s">
        <v>23</v>
      </c>
      <c r="O31" s="211">
        <f>IF(N31="Delapidated",J31*0.6,IF(N31="Poor",J31*0.7,IF(N31="Fair",J31*0.8,IF(N31="Good",J31*0.85,IF(N31="Very Good",J31*0.9,IF(N31="Excellent",J31*1,IF(N31="Not Applicable",J31*1,0)))))))</f>
        <v>272800</v>
      </c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hidden="1" customHeight="1">
      <c r="A32" s="34"/>
      <c r="B32" s="456"/>
      <c r="C32" s="79" t="s">
        <v>38</v>
      </c>
      <c r="D32" s="66"/>
      <c r="E32" s="67">
        <f>550*D16</f>
        <v>682</v>
      </c>
      <c r="F32" s="67">
        <f t="shared" si="1"/>
        <v>545.6</v>
      </c>
      <c r="G32" s="67">
        <f t="shared" si="2"/>
        <v>516.6666667</v>
      </c>
      <c r="H32" s="77"/>
      <c r="I32" s="68"/>
      <c r="J32" s="70"/>
      <c r="K32" s="199"/>
      <c r="L32" s="704"/>
      <c r="M32" s="206"/>
      <c r="N32" s="34"/>
      <c r="O32" s="402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hidden="1" customHeight="1">
      <c r="A33" s="34"/>
      <c r="B33" s="456"/>
      <c r="C33" s="79" t="s">
        <v>137</v>
      </c>
      <c r="D33" s="66"/>
      <c r="E33" s="67">
        <f>1100*D16</f>
        <v>1364</v>
      </c>
      <c r="F33" s="67">
        <f t="shared" si="1"/>
        <v>1091.2</v>
      </c>
      <c r="G33" s="67">
        <f t="shared" si="2"/>
        <v>1033.333333</v>
      </c>
      <c r="H33" s="77"/>
      <c r="I33" s="68"/>
      <c r="J33" s="70"/>
      <c r="K33" s="199"/>
      <c r="L33" s="704"/>
      <c r="M33" s="206"/>
      <c r="N33" s="34"/>
      <c r="O33" s="402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hidden="1" customHeight="1">
      <c r="A34" s="34"/>
      <c r="B34" s="456"/>
      <c r="C34" s="79" t="s">
        <v>41</v>
      </c>
      <c r="D34" s="66"/>
      <c r="E34" s="67">
        <v>0.0</v>
      </c>
      <c r="F34" s="67">
        <f t="shared" si="1"/>
        <v>0</v>
      </c>
      <c r="G34" s="67">
        <f t="shared" si="2"/>
        <v>0</v>
      </c>
      <c r="H34" s="77"/>
      <c r="I34" s="68"/>
      <c r="J34" s="70"/>
      <c r="K34" s="199"/>
      <c r="L34" s="704"/>
      <c r="M34" s="206"/>
      <c r="N34" s="34"/>
      <c r="O34" s="402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840">
        <v>6.0</v>
      </c>
      <c r="C35" s="208" t="s">
        <v>174</v>
      </c>
      <c r="D35" s="66"/>
      <c r="E35" s="67"/>
      <c r="F35" s="67"/>
      <c r="G35" s="67"/>
      <c r="H35" s="68"/>
      <c r="I35" s="72" t="s">
        <v>25</v>
      </c>
      <c r="J35" s="70">
        <f>IF(I35="YES",IF(I13="2010-2013",G36*$I$12,IF(I13="2014-2021",F36*$I$12,IF(I13="2021-2023",E36*$I$12,0))),0)</f>
        <v>2792.038652</v>
      </c>
      <c r="K35" s="199" t="str">
        <f>AVERAGE(#REF!)</f>
        <v>#REF!</v>
      </c>
      <c r="L35" s="704">
        <f>18777.7777777778+8722</f>
        <v>27499.77778</v>
      </c>
      <c r="M35" s="206">
        <f>L35/$L$12</f>
        <v>130.6058047</v>
      </c>
      <c r="N35" s="207" t="s">
        <v>23</v>
      </c>
      <c r="O35" s="73">
        <f>IF(N35="Delapidated",J35*0.6,IF(N35="Poor",J35*0.7,IF(N35="Fair",J35*0.8,IF(N35="Good",J35*0.85,IF(N35="Very Good",J35*0.9,IF(N35="Excellent",J35*1,IF(N35="Not Applicable",J35*1,0)))))))</f>
        <v>2792.038652</v>
      </c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hidden="1" customHeight="1">
      <c r="A36" s="34"/>
      <c r="B36" s="84"/>
      <c r="C36" s="79" t="s">
        <v>25</v>
      </c>
      <c r="D36" s="66"/>
      <c r="E36" s="67">
        <f>130.60580474934*8.62%*D16</f>
        <v>13.96019326</v>
      </c>
      <c r="F36" s="67">
        <f t="shared" ref="F36:F37" si="6">E36/$F$16</f>
        <v>11.16815461</v>
      </c>
      <c r="G36" s="67">
        <f t="shared" ref="G36:G37" si="7">E36/$G$16</f>
        <v>10.57590398</v>
      </c>
      <c r="H36" s="77">
        <v>1.0</v>
      </c>
      <c r="I36" s="68"/>
      <c r="J36" s="70"/>
      <c r="K36" s="199"/>
      <c r="L36" s="704"/>
      <c r="M36" s="206"/>
      <c r="N36" s="34"/>
      <c r="O36" s="73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hidden="1" customHeight="1">
      <c r="A37" s="34"/>
      <c r="B37" s="85"/>
      <c r="C37" s="79" t="s">
        <v>26</v>
      </c>
      <c r="D37" s="66"/>
      <c r="E37" s="67">
        <v>0.0</v>
      </c>
      <c r="F37" s="67">
        <f t="shared" si="6"/>
        <v>0</v>
      </c>
      <c r="G37" s="67">
        <f t="shared" si="7"/>
        <v>0</v>
      </c>
      <c r="H37" s="77">
        <v>2.0</v>
      </c>
      <c r="I37" s="68"/>
      <c r="J37" s="70"/>
      <c r="K37" s="199"/>
      <c r="L37" s="704"/>
      <c r="M37" s="206"/>
      <c r="N37" s="34"/>
      <c r="O37" s="40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40">
        <f>B35+1</f>
        <v>7</v>
      </c>
      <c r="C38" s="208" t="s">
        <v>45</v>
      </c>
      <c r="D38" s="66"/>
      <c r="E38" s="67"/>
      <c r="F38" s="67"/>
      <c r="G38" s="67"/>
      <c r="H38" s="68"/>
      <c r="I38" s="72" t="s">
        <v>25</v>
      </c>
      <c r="J38" s="70">
        <f>IF(I38="YES",IF(I13="2010-2013",G39*$I$12,IF(I13="2014-2021",F39*$I$12,IF(I13="2021-2023",E39*$I$12,0))),0)</f>
        <v>24014.12362</v>
      </c>
      <c r="K38" s="199"/>
      <c r="L38" s="704"/>
      <c r="M38" s="206">
        <f>L38/$L$12</f>
        <v>0</v>
      </c>
      <c r="N38" s="207" t="s">
        <v>23</v>
      </c>
      <c r="O38" s="73">
        <f>IF(N38="Delapidated",J38*0.6,IF(N38="Poor",J38*0.7,IF(N38="Fair",J38*0.8,IF(N38="Good",J38*0.85,IF(N38="Very Good",J38*0.9,IF(N38="Excellent",J38*1,IF(N38="Not Applicable",J38*1,0)))))))</f>
        <v>24014.12362</v>
      </c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hidden="1" customHeight="1">
      <c r="A39" s="34"/>
      <c r="B39" s="84"/>
      <c r="C39" s="79" t="s">
        <v>25</v>
      </c>
      <c r="D39" s="66"/>
      <c r="E39" s="67">
        <f>130.60580474934*74.14%*D16</f>
        <v>120.0706181</v>
      </c>
      <c r="F39" s="67">
        <f t="shared" ref="F39:F40" si="8">E39/$F$16</f>
        <v>96.05649449</v>
      </c>
      <c r="G39" s="67">
        <f t="shared" ref="G39:G40" si="9">E39/$G$16</f>
        <v>90.96258948</v>
      </c>
      <c r="H39" s="77">
        <v>1.0</v>
      </c>
      <c r="I39" s="68"/>
      <c r="J39" s="70"/>
      <c r="K39" s="199"/>
      <c r="L39" s="704"/>
      <c r="M39" s="206"/>
      <c r="N39" s="34"/>
      <c r="O39" s="402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hidden="1" customHeight="1">
      <c r="A40" s="34"/>
      <c r="B40" s="85"/>
      <c r="C40" s="79" t="s">
        <v>26</v>
      </c>
      <c r="D40" s="66"/>
      <c r="E40" s="67">
        <v>0.0</v>
      </c>
      <c r="F40" s="67">
        <f t="shared" si="8"/>
        <v>0</v>
      </c>
      <c r="G40" s="67">
        <f t="shared" si="9"/>
        <v>0</v>
      </c>
      <c r="H40" s="77">
        <v>2.0</v>
      </c>
      <c r="I40" s="68"/>
      <c r="J40" s="70"/>
      <c r="K40" s="199"/>
      <c r="L40" s="704"/>
      <c r="M40" s="206"/>
      <c r="N40" s="34"/>
      <c r="O40" s="402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hidden="1" customHeight="1">
      <c r="A41" s="34"/>
      <c r="B41" s="840">
        <f>B38+1</f>
        <v>8</v>
      </c>
      <c r="C41" s="208" t="s">
        <v>49</v>
      </c>
      <c r="D41" s="66"/>
      <c r="E41" s="67"/>
      <c r="F41" s="67"/>
      <c r="G41" s="67"/>
      <c r="H41" s="68"/>
      <c r="I41" s="72" t="s">
        <v>26</v>
      </c>
      <c r="J41" s="70">
        <f>IF(I41="YES",IF(I13="2010-2013",G42*$I$12,IF(I13="2014-2021",F42*$I$12,IF(I13="2021-2023",E42*$I$12,0))),0)</f>
        <v>0</v>
      </c>
      <c r="K41" s="199"/>
      <c r="L41" s="704"/>
      <c r="M41" s="206">
        <f>L41/$L$12</f>
        <v>0</v>
      </c>
      <c r="N41" s="207" t="s">
        <v>23</v>
      </c>
      <c r="O41" s="73">
        <f>IF(N41="Delapidated",J41*0.6,IF(N41="Poor",J41*0.7,IF(N41="Fair",J41*0.8,IF(N41="Good",J41*0.85,IF(N41="Very Good",J41*0.9,IF(N41="Excellent",J41*1,IF(N41="Not Applicable",J41*1,0)))))))</f>
        <v>0</v>
      </c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hidden="1" customHeight="1">
      <c r="A42" s="34"/>
      <c r="B42" s="84"/>
      <c r="C42" s="79" t="s">
        <v>25</v>
      </c>
      <c r="D42" s="66"/>
      <c r="E42" s="67">
        <f>130.60580474934*17.24%*D16</f>
        <v>27.92038652</v>
      </c>
      <c r="F42" s="67">
        <f t="shared" ref="F42:F43" si="10">E42/$F$16</f>
        <v>22.33630921</v>
      </c>
      <c r="G42" s="67">
        <f t="shared" ref="G42:G43" si="11">E42/$G$16</f>
        <v>21.15180797</v>
      </c>
      <c r="H42" s="77">
        <v>1.0</v>
      </c>
      <c r="I42" s="68"/>
      <c r="J42" s="70"/>
      <c r="K42" s="199"/>
      <c r="L42" s="704"/>
      <c r="M42" s="206"/>
      <c r="N42" s="34"/>
      <c r="O42" s="7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hidden="1" customHeight="1">
      <c r="A43" s="34"/>
      <c r="B43" s="85"/>
      <c r="C43" s="79" t="s">
        <v>26</v>
      </c>
      <c r="D43" s="66"/>
      <c r="E43" s="67">
        <v>0.0</v>
      </c>
      <c r="F43" s="67">
        <f t="shared" si="10"/>
        <v>0</v>
      </c>
      <c r="G43" s="67">
        <f t="shared" si="11"/>
        <v>0</v>
      </c>
      <c r="H43" s="77">
        <v>2.0</v>
      </c>
      <c r="I43" s="68"/>
      <c r="J43" s="70"/>
      <c r="K43" s="199"/>
      <c r="L43" s="704"/>
      <c r="M43" s="206"/>
      <c r="N43" s="34"/>
      <c r="O43" s="402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customHeight="1">
      <c r="A44" s="34"/>
      <c r="B44" s="840">
        <f>B41+1</f>
        <v>9</v>
      </c>
      <c r="C44" s="208" t="s">
        <v>50</v>
      </c>
      <c r="D44" s="66"/>
      <c r="E44" s="67"/>
      <c r="F44" s="67"/>
      <c r="G44" s="67"/>
      <c r="H44" s="68"/>
      <c r="I44" s="72" t="s">
        <v>25</v>
      </c>
      <c r="J44" s="70">
        <f>IF(I44="YES",IF(I13="2010-2013",G45*$I$12,IF(I13="2014-2021",F45*$I$12,IF(I13="2021-2023",E45*$I$12,0))),0)</f>
        <v>64610.87071</v>
      </c>
      <c r="K44" s="199" t="str">
        <f>AVERAGE(#REF!)</f>
        <v>#REF!</v>
      </c>
      <c r="L44" s="704">
        <v>54855.5555555556</v>
      </c>
      <c r="M44" s="206">
        <f>L44/$L$12</f>
        <v>260.5277045</v>
      </c>
      <c r="N44" s="207" t="s">
        <v>23</v>
      </c>
      <c r="O44" s="73">
        <f>IF(N44="Delapidated",J44*0.6,IF(N44="Poor",J44*0.7,IF(N44="Fair",J44*0.8,IF(N44="Good",J44*0.85,IF(N44="Very Good",J44*0.9,IF(N44="Excellent",J44*1,IF(N44="Not Applicable",J44*1,0)))))))</f>
        <v>64610.87071</v>
      </c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hidden="1" customHeight="1">
      <c r="A45" s="34"/>
      <c r="B45" s="84"/>
      <c r="C45" s="79" t="s">
        <v>25</v>
      </c>
      <c r="D45" s="66"/>
      <c r="E45" s="67">
        <f>260.527704485488*D16</f>
        <v>323.0543536</v>
      </c>
      <c r="F45" s="67">
        <f t="shared" ref="F45:F46" si="12">E45/$F$16</f>
        <v>258.4434828</v>
      </c>
      <c r="G45" s="67">
        <f t="shared" ref="G45:G46" si="13">E45/$G$16</f>
        <v>244.7381466</v>
      </c>
      <c r="H45" s="77">
        <v>1.0</v>
      </c>
      <c r="I45" s="68"/>
      <c r="J45" s="70"/>
      <c r="K45" s="199"/>
      <c r="L45" s="704"/>
      <c r="M45" s="206"/>
      <c r="N45" s="34"/>
      <c r="O45" s="73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hidden="1" customHeight="1">
      <c r="A46" s="34"/>
      <c r="B46" s="85"/>
      <c r="C46" s="79" t="s">
        <v>26</v>
      </c>
      <c r="D46" s="66"/>
      <c r="E46" s="67">
        <v>0.0</v>
      </c>
      <c r="F46" s="67">
        <f t="shared" si="12"/>
        <v>0</v>
      </c>
      <c r="G46" s="67">
        <f t="shared" si="13"/>
        <v>0</v>
      </c>
      <c r="H46" s="77">
        <v>2.0</v>
      </c>
      <c r="I46" s="68"/>
      <c r="J46" s="70"/>
      <c r="K46" s="199"/>
      <c r="L46" s="704"/>
      <c r="M46" s="206"/>
      <c r="N46" s="34"/>
      <c r="O46" s="402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840">
        <v>10.0</v>
      </c>
      <c r="C47" s="92" t="s">
        <v>51</v>
      </c>
      <c r="D47" s="66"/>
      <c r="E47" s="67"/>
      <c r="F47" s="67"/>
      <c r="G47" s="67"/>
      <c r="H47" s="77"/>
      <c r="I47" s="72" t="s">
        <v>52</v>
      </c>
      <c r="J47" s="70">
        <f>IF(I47="VINYL FLOORING",IF(I13="2010-2013",G48*$I$12,IF(I13="2014-2021",F48*$I$12,IF(I13="2021-2023",E48*$I$12,0))),IF(I47="TILING FLOORING",IF(I13="2010-2013",G49*$I$12,IF(I13="2014-2021",F49*$I$12,IF(I13="2021-2023",E49*$I$12,0))),IF(I47="TIMBER FLOORING",IF(I13="2010-2013",G50*$I$12,IF(I13="2014-2021",F50*$I$12,IF(I13="2021-2023",E50*$I$12,0))),IF(I47="CARPETS FLOORING",IF(I13="2010-2013",G51*$I$12,IF(I13="2014-2021",F51*$I$12,IF(I13="2021-2023",E51*$I$12,0))),0))))</f>
        <v>71539.16623</v>
      </c>
      <c r="K47" s="199"/>
      <c r="L47" s="704"/>
      <c r="M47" s="206"/>
      <c r="N47" s="207" t="s">
        <v>23</v>
      </c>
      <c r="O47" s="73">
        <f>IF(N47="Delapidated",J47*0.6,IF(N47="Poor",J47*0.7,IF(N47="Fair",J47*0.8,IF(N47="Good",J47*0.85,IF(N47="Very Good",J47*0.9,IF(N47="Excellent",J47*1,IF(N47="Not Applicable",J47*1,0)))))))</f>
        <v>71539.16623</v>
      </c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hidden="1" customHeight="1">
      <c r="A48" s="34"/>
      <c r="B48" s="84"/>
      <c r="C48" s="79" t="s">
        <v>53</v>
      </c>
      <c r="D48" s="66"/>
      <c r="E48" s="67">
        <f>E49*0.7</f>
        <v>250.3870818</v>
      </c>
      <c r="F48" s="67">
        <f t="shared" ref="F48:F52" si="14">E48/$F$16</f>
        <v>200.3096654</v>
      </c>
      <c r="G48" s="67">
        <f t="shared" ref="G48:G52" si="15">E48/$G$16</f>
        <v>189.6871832</v>
      </c>
      <c r="H48" s="77">
        <v>1.0</v>
      </c>
      <c r="I48" s="68"/>
      <c r="J48" s="70"/>
      <c r="K48" s="199"/>
      <c r="L48" s="704"/>
      <c r="M48" s="206"/>
      <c r="N48" s="34"/>
      <c r="O48" s="73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hidden="1" customHeight="1">
      <c r="A49" s="34"/>
      <c r="B49" s="84"/>
      <c r="C49" s="79" t="s">
        <v>52</v>
      </c>
      <c r="D49" s="66"/>
      <c r="E49" s="67">
        <f>360.580474934037*0.8*D16</f>
        <v>357.6958311</v>
      </c>
      <c r="F49" s="67">
        <f t="shared" si="14"/>
        <v>286.1566649</v>
      </c>
      <c r="G49" s="67">
        <f t="shared" si="15"/>
        <v>270.9816903</v>
      </c>
      <c r="H49" s="77">
        <v>2.0</v>
      </c>
      <c r="I49" s="68"/>
      <c r="J49" s="70"/>
      <c r="K49" s="199"/>
      <c r="L49" s="704"/>
      <c r="M49" s="206"/>
      <c r="N49" s="34"/>
      <c r="O49" s="73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hidden="1" customHeight="1">
      <c r="A50" s="34"/>
      <c r="B50" s="84"/>
      <c r="C50" s="79" t="s">
        <v>54</v>
      </c>
      <c r="D50" s="66"/>
      <c r="E50" s="67">
        <f>E49*1.2</f>
        <v>429.2349974</v>
      </c>
      <c r="F50" s="67">
        <f t="shared" si="14"/>
        <v>343.3879979</v>
      </c>
      <c r="G50" s="67">
        <f t="shared" si="15"/>
        <v>325.1780283</v>
      </c>
      <c r="H50" s="77">
        <v>3.0</v>
      </c>
      <c r="I50" s="68"/>
      <c r="J50" s="70"/>
      <c r="K50" s="199"/>
      <c r="L50" s="704"/>
      <c r="M50" s="206"/>
      <c r="N50" s="34"/>
      <c r="O50" s="73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hidden="1" customHeight="1">
      <c r="A51" s="34"/>
      <c r="B51" s="84"/>
      <c r="C51" s="79" t="s">
        <v>55</v>
      </c>
      <c r="D51" s="66"/>
      <c r="E51" s="67">
        <f>E49*1.3</f>
        <v>465.0045805</v>
      </c>
      <c r="F51" s="67">
        <f t="shared" si="14"/>
        <v>372.0036644</v>
      </c>
      <c r="G51" s="67">
        <f t="shared" si="15"/>
        <v>352.2761973</v>
      </c>
      <c r="H51" s="77">
        <v>4.0</v>
      </c>
      <c r="I51" s="68"/>
      <c r="J51" s="70"/>
      <c r="K51" s="199"/>
      <c r="L51" s="704"/>
      <c r="M51" s="206"/>
      <c r="N51" s="34"/>
      <c r="O51" s="73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hidden="1" customHeight="1">
      <c r="A52" s="34"/>
      <c r="B52" s="85"/>
      <c r="C52" s="79" t="s">
        <v>56</v>
      </c>
      <c r="D52" s="66"/>
      <c r="E52" s="67">
        <v>0.0</v>
      </c>
      <c r="F52" s="67">
        <f t="shared" si="14"/>
        <v>0</v>
      </c>
      <c r="G52" s="67">
        <f t="shared" si="15"/>
        <v>0</v>
      </c>
      <c r="H52" s="77">
        <v>5.0</v>
      </c>
      <c r="I52" s="68"/>
      <c r="J52" s="70"/>
      <c r="K52" s="199"/>
      <c r="L52" s="704"/>
      <c r="M52" s="206"/>
      <c r="N52" s="34"/>
      <c r="O52" s="402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hidden="1" customHeight="1">
      <c r="A53" s="34"/>
      <c r="B53" s="840">
        <f>B44+1</f>
        <v>10</v>
      </c>
      <c r="C53" s="208" t="s">
        <v>175</v>
      </c>
      <c r="D53" s="66"/>
      <c r="E53" s="67"/>
      <c r="F53" s="67"/>
      <c r="G53" s="67"/>
      <c r="H53" s="68"/>
      <c r="I53" s="72" t="s">
        <v>26</v>
      </c>
      <c r="J53" s="70">
        <f>IF(I53="YES",IF(I13="2010-2013",G54*$I$12,IF(I13="2014-2021",F54*$I$12,IF(I13="2021-2023",E54*$I$12,0))),0)</f>
        <v>0</v>
      </c>
      <c r="K53" s="199" t="str">
        <f>AVERAGE(#REF!)</f>
        <v>#REF!</v>
      </c>
      <c r="L53" s="704">
        <v>58711.1111111111</v>
      </c>
      <c r="M53" s="206">
        <f>L53/$L$12</f>
        <v>278.8390501</v>
      </c>
      <c r="N53" s="207" t="s">
        <v>23</v>
      </c>
      <c r="O53" s="73">
        <f>IF(N53="Delapidated",J53*0.6,IF(N53="Poor",J53*0.7,IF(N53="Fair",J53*0.8,IF(N53="Good",J53*0.85,IF(N53="Very Good",J53*0.9,IF(N53="Excellent",J53*1,IF(N53="Not Applicable",J53*1,0)))))))</f>
        <v>0</v>
      </c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hidden="1" customHeight="1">
      <c r="A54" s="34"/>
      <c r="B54" s="84"/>
      <c r="C54" s="79" t="s">
        <v>25</v>
      </c>
      <c r="D54" s="66"/>
      <c r="E54" s="67">
        <f>278.839050131926*D16</f>
        <v>345.7604222</v>
      </c>
      <c r="F54" s="67">
        <f t="shared" ref="F54:F55" si="16">E54/$F$16</f>
        <v>276.6083377</v>
      </c>
      <c r="G54" s="67">
        <f t="shared" ref="G54:G55" si="17">E54/$G$16</f>
        <v>261.9397138</v>
      </c>
      <c r="H54" s="77">
        <v>1.0</v>
      </c>
      <c r="I54" s="68"/>
      <c r="J54" s="70"/>
      <c r="K54" s="199"/>
      <c r="L54" s="704"/>
      <c r="M54" s="206"/>
      <c r="N54" s="34"/>
      <c r="O54" s="73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hidden="1" customHeight="1">
      <c r="A55" s="34"/>
      <c r="B55" s="85"/>
      <c r="C55" s="79" t="s">
        <v>26</v>
      </c>
      <c r="D55" s="66"/>
      <c r="E55" s="67">
        <v>0.0</v>
      </c>
      <c r="F55" s="67">
        <f t="shared" si="16"/>
        <v>0</v>
      </c>
      <c r="G55" s="67">
        <f t="shared" si="17"/>
        <v>0</v>
      </c>
      <c r="H55" s="77">
        <v>2.0</v>
      </c>
      <c r="I55" s="68"/>
      <c r="J55" s="70"/>
      <c r="K55" s="199"/>
      <c r="L55" s="704"/>
      <c r="M55" s="206"/>
      <c r="N55" s="34"/>
      <c r="O55" s="73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customHeight="1">
      <c r="A56" s="34"/>
      <c r="B56" s="840">
        <f>B53+1</f>
        <v>11</v>
      </c>
      <c r="C56" s="208" t="s">
        <v>57</v>
      </c>
      <c r="D56" s="66"/>
      <c r="E56" s="67"/>
      <c r="F56" s="67"/>
      <c r="G56" s="67"/>
      <c r="H56" s="77"/>
      <c r="I56" s="72" t="s">
        <v>58</v>
      </c>
      <c r="J56" s="70">
        <f>IF(I56="STEEL WINDOW FRAMES",IF(I13="2010-2013",G57*$I$12,IF(I13="2014-2021",F57*$I$12,IF(I13="2021-2023",E57*$I$12,0))),IF(I56="ALUMINIUM WINDOW FRAMES",IF(I13="2010-2013",G58*$I$12,IF(I13="2014-2021",F58*$I$12,IF(I13="2021-2023",E58*$I$12,0))),0))</f>
        <v>101594.934</v>
      </c>
      <c r="K56" s="199" t="str">
        <f>AVERAGE(#REF!)</f>
        <v>#REF!</v>
      </c>
      <c r="L56" s="704">
        <v>86255.5555555556</v>
      </c>
      <c r="M56" s="206">
        <f>L56/$L$12</f>
        <v>409.6569921</v>
      </c>
      <c r="N56" s="207" t="s">
        <v>23</v>
      </c>
      <c r="O56" s="73">
        <f>IF(N56="Delapidated",J56*0.6,IF(N56="Poor",J56*0.7,IF(N56="Fair",J56*0.8,IF(N56="Good",J56*0.85,IF(N56="Very Good",J56*0.9,IF(N56="Excellent",J56*1,IF(N56="Not Applicable",J56*1,0)))))))</f>
        <v>101594.934</v>
      </c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hidden="1" customHeight="1">
      <c r="A57" s="34"/>
      <c r="B57" s="84"/>
      <c r="C57" s="79" t="s">
        <v>59</v>
      </c>
      <c r="D57" s="66"/>
      <c r="E57" s="67">
        <f>E58*0.3</f>
        <v>152.3924011</v>
      </c>
      <c r="F57" s="67">
        <f t="shared" ref="F57:F59" si="18">E57/$F$16</f>
        <v>121.9139208</v>
      </c>
      <c r="G57" s="67">
        <f t="shared" ref="G57:G59" si="19">E57/$G$16</f>
        <v>115.4487887</v>
      </c>
      <c r="H57" s="77">
        <v>1.0</v>
      </c>
      <c r="I57" s="68"/>
      <c r="J57" s="70"/>
      <c r="K57" s="199"/>
      <c r="L57" s="704"/>
      <c r="M57" s="206"/>
      <c r="N57" s="34"/>
      <c r="O57" s="402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hidden="1" customHeight="1">
      <c r="A58" s="34"/>
      <c r="B58" s="84"/>
      <c r="C58" s="79" t="s">
        <v>58</v>
      </c>
      <c r="D58" s="66"/>
      <c r="E58" s="67">
        <f>409.656992084433*D16</f>
        <v>507.9746702</v>
      </c>
      <c r="F58" s="67">
        <f t="shared" si="18"/>
        <v>406.3797361</v>
      </c>
      <c r="G58" s="67">
        <f t="shared" si="19"/>
        <v>384.8292956</v>
      </c>
      <c r="H58" s="77">
        <v>2.0</v>
      </c>
      <c r="I58" s="68"/>
      <c r="J58" s="70"/>
      <c r="K58" s="199"/>
      <c r="L58" s="704"/>
      <c r="M58" s="206"/>
      <c r="N58" s="34"/>
      <c r="O58" s="73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hidden="1" customHeight="1">
      <c r="A59" s="34"/>
      <c r="B59" s="85"/>
      <c r="C59" s="79" t="s">
        <v>60</v>
      </c>
      <c r="D59" s="66"/>
      <c r="E59" s="67">
        <v>0.0</v>
      </c>
      <c r="F59" s="67">
        <f t="shared" si="18"/>
        <v>0</v>
      </c>
      <c r="G59" s="67">
        <f t="shared" si="19"/>
        <v>0</v>
      </c>
      <c r="H59" s="77">
        <v>3.0</v>
      </c>
      <c r="I59" s="68"/>
      <c r="J59" s="70"/>
      <c r="K59" s="199"/>
      <c r="L59" s="704"/>
      <c r="M59" s="206"/>
      <c r="N59" s="34"/>
      <c r="O59" s="402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customHeight="1">
      <c r="A60" s="34"/>
      <c r="B60" s="840">
        <f>B56+1</f>
        <v>12</v>
      </c>
      <c r="C60" s="208" t="s">
        <v>61</v>
      </c>
      <c r="D60" s="66"/>
      <c r="E60" s="67"/>
      <c r="F60" s="67"/>
      <c r="G60" s="67"/>
      <c r="H60" s="68"/>
      <c r="I60" s="72" t="s">
        <v>25</v>
      </c>
      <c r="J60" s="70">
        <f>IF(I60="YES",IF(I13="2010-2013",G61*$I$12,IF(I13="2014-2021",F61*$I$12,IF(I13="2021-2023",E61*$I$12,0))),0)</f>
        <v>83626.38522</v>
      </c>
      <c r="K60" s="199" t="str">
        <f>AVERAGE(#REF!)</f>
        <v>#REF!</v>
      </c>
      <c r="L60" s="704">
        <v>71000.0</v>
      </c>
      <c r="M60" s="206">
        <f>L60/$L$12</f>
        <v>337.2031662</v>
      </c>
      <c r="N60" s="207" t="s">
        <v>23</v>
      </c>
      <c r="O60" s="73">
        <f>IF(N60="Delapidated",J60*0.6,IF(N60="Poor",J60*0.7,IF(N60="Fair",J60*0.8,IF(N60="Good",J60*0.85,IF(N60="Very Good",J60*0.9,IF(N60="Excellent",J60*1,IF(N60="Not Applicable",J60*1,0)))))))</f>
        <v>83626.38522</v>
      </c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hidden="1" customHeight="1">
      <c r="A61" s="34"/>
      <c r="B61" s="84"/>
      <c r="C61" s="79" t="s">
        <v>25</v>
      </c>
      <c r="D61" s="66"/>
      <c r="E61" s="67">
        <f>337.203166226913*D16</f>
        <v>418.1319261</v>
      </c>
      <c r="F61" s="67">
        <f t="shared" ref="F61:F62" si="20">E61/$F$16</f>
        <v>334.5055409</v>
      </c>
      <c r="G61" s="67">
        <f t="shared" ref="G61:G62" si="21">E61/$G$16</f>
        <v>316.7666107</v>
      </c>
      <c r="H61" s="77">
        <v>1.0</v>
      </c>
      <c r="I61" s="68"/>
      <c r="J61" s="70"/>
      <c r="K61" s="199"/>
      <c r="L61" s="704"/>
      <c r="M61" s="206"/>
      <c r="N61" s="34"/>
      <c r="O61" s="73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hidden="1" customHeight="1">
      <c r="A62" s="34"/>
      <c r="B62" s="85"/>
      <c r="C62" s="79" t="s">
        <v>26</v>
      </c>
      <c r="D62" s="66"/>
      <c r="E62" s="67">
        <v>0.0</v>
      </c>
      <c r="F62" s="67">
        <f t="shared" si="20"/>
        <v>0</v>
      </c>
      <c r="G62" s="67">
        <f t="shared" si="21"/>
        <v>0</v>
      </c>
      <c r="H62" s="77">
        <v>2.0</v>
      </c>
      <c r="I62" s="68"/>
      <c r="J62" s="70"/>
      <c r="K62" s="199"/>
      <c r="L62" s="704"/>
      <c r="M62" s="206"/>
      <c r="N62" s="34"/>
      <c r="O62" s="402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34"/>
      <c r="B63" s="840">
        <f>B60+1</f>
        <v>13</v>
      </c>
      <c r="C63" s="208" t="s">
        <v>62</v>
      </c>
      <c r="D63" s="66"/>
      <c r="E63" s="67"/>
      <c r="F63" s="67"/>
      <c r="G63" s="67"/>
      <c r="H63" s="68"/>
      <c r="I63" s="72" t="s">
        <v>25</v>
      </c>
      <c r="J63" s="70">
        <f>IF(I63="YES",IF(I13="2010-2013",G64*$I$12,IF(I13="2014-2021",F64*$I$12,IF(I13="2021-2023",E64*$I$12,0))),0)</f>
        <v>17884.79156</v>
      </c>
      <c r="K63" s="199" t="str">
        <f>AVERAGE(#REF!)</f>
        <v>#REF!</v>
      </c>
      <c r="L63" s="704">
        <v>75922.2222222222</v>
      </c>
      <c r="M63" s="206">
        <f>L63/$L$12</f>
        <v>360.5804749</v>
      </c>
      <c r="N63" s="207" t="s">
        <v>23</v>
      </c>
      <c r="O63" s="73">
        <f>IF(N63="Delapidated",J63*0.6,IF(N63="Poor",J63*0.7,IF(N63="Fair",J63*0.8,IF(N63="Good",J63*0.85,IF(N63="Very Good",J63*0.9,IF(N63="Excellent",J63*1,IF(N63="Not Applicable",J63*1,0)))))))</f>
        <v>17884.79156</v>
      </c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hidden="1" customHeight="1">
      <c r="A64" s="34"/>
      <c r="B64" s="84"/>
      <c r="C64" s="79" t="s">
        <v>25</v>
      </c>
      <c r="D64" s="66"/>
      <c r="E64" s="67">
        <f>360.580474934037*0.2*D16</f>
        <v>89.42395778</v>
      </c>
      <c r="F64" s="67">
        <f t="shared" ref="F64:F65" si="22">E64/$F$16</f>
        <v>71.53916623</v>
      </c>
      <c r="G64" s="67">
        <f t="shared" ref="G64:G65" si="23">E64/$G$16</f>
        <v>67.74542256</v>
      </c>
      <c r="H64" s="77">
        <v>1.0</v>
      </c>
      <c r="I64" s="68"/>
      <c r="J64" s="70"/>
      <c r="K64" s="199"/>
      <c r="L64" s="704"/>
      <c r="M64" s="206"/>
      <c r="N64" s="34"/>
      <c r="O64" s="73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hidden="1" customHeight="1">
      <c r="A65" s="34"/>
      <c r="B65" s="85"/>
      <c r="C65" s="79" t="s">
        <v>26</v>
      </c>
      <c r="D65" s="66"/>
      <c r="E65" s="67">
        <v>0.0</v>
      </c>
      <c r="F65" s="67">
        <f t="shared" si="22"/>
        <v>0</v>
      </c>
      <c r="G65" s="67">
        <f t="shared" si="23"/>
        <v>0</v>
      </c>
      <c r="H65" s="77">
        <v>2.0</v>
      </c>
      <c r="I65" s="68"/>
      <c r="J65" s="70"/>
      <c r="K65" s="199"/>
      <c r="L65" s="704"/>
      <c r="M65" s="206"/>
      <c r="N65" s="34"/>
      <c r="O65" s="402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34"/>
      <c r="B66" s="44"/>
      <c r="C66" s="214" t="s">
        <v>167</v>
      </c>
      <c r="D66" s="66"/>
      <c r="E66" s="66"/>
      <c r="F66" s="67"/>
      <c r="G66" s="67"/>
      <c r="H66" s="67"/>
      <c r="I66" s="227">
        <v>5.0</v>
      </c>
      <c r="J66" s="45"/>
      <c r="K66" s="34"/>
      <c r="L66" s="199"/>
      <c r="M66" s="199"/>
      <c r="N66" s="45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840">
        <f>B63+1</f>
        <v>14</v>
      </c>
      <c r="C67" s="208" t="s">
        <v>93</v>
      </c>
      <c r="D67" s="66"/>
      <c r="E67" s="67"/>
      <c r="F67" s="67"/>
      <c r="G67" s="67"/>
      <c r="H67" s="68"/>
      <c r="I67" s="72" t="s">
        <v>25</v>
      </c>
      <c r="J67" s="70">
        <f>IF(I67="YES",IF(I13="2010-2013",G68*I66,IF(I13="2014-2021",F68*I66,IF(I13="2021-2023",E68*I66,0))),0)</f>
        <v>75000</v>
      </c>
      <c r="K67" s="199" t="str">
        <f>AVERAGE(#REF!)</f>
        <v>#REF!</v>
      </c>
      <c r="L67" s="704">
        <f>90444.4444444444+9167</f>
        <v>99611.44444</v>
      </c>
      <c r="M67" s="206">
        <f>L67/$L$12</f>
        <v>473.0886544</v>
      </c>
      <c r="N67" s="207" t="s">
        <v>23</v>
      </c>
      <c r="O67" s="73">
        <f>IF(N67="Delapidated",J67*0.6,IF(N67="Poor",J67*0.7,IF(N67="Fair",J67*0.8,IF(N67="Good",J67*0.85,IF(N67="Very Good",J67*0.9,IF(N67="Excellent",J67*1,IF(N67="Not Applicable",J67*1,0)))))))</f>
        <v>75000</v>
      </c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hidden="1" customHeight="1">
      <c r="A68" s="34"/>
      <c r="B68" s="84"/>
      <c r="C68" s="79" t="s">
        <v>25</v>
      </c>
      <c r="D68" s="66"/>
      <c r="E68" s="67">
        <v>15000.0</v>
      </c>
      <c r="F68" s="67">
        <f t="shared" ref="F68:F69" si="24">E68/$F$16</f>
        <v>12000</v>
      </c>
      <c r="G68" s="67">
        <f t="shared" ref="G68:G69" si="25">E68/$G$16</f>
        <v>11363.63636</v>
      </c>
      <c r="H68" s="77">
        <v>1.0</v>
      </c>
      <c r="I68" s="68"/>
      <c r="J68" s="70"/>
      <c r="K68" s="199"/>
      <c r="L68" s="704"/>
      <c r="M68" s="206"/>
      <c r="N68" s="34"/>
      <c r="O68" s="73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hidden="1" customHeight="1">
      <c r="A69" s="34"/>
      <c r="B69" s="85"/>
      <c r="C69" s="79" t="s">
        <v>26</v>
      </c>
      <c r="D69" s="66"/>
      <c r="E69" s="67">
        <v>0.0</v>
      </c>
      <c r="F69" s="67">
        <f t="shared" si="24"/>
        <v>0</v>
      </c>
      <c r="G69" s="67">
        <f t="shared" si="25"/>
        <v>0</v>
      </c>
      <c r="H69" s="77">
        <v>2.0</v>
      </c>
      <c r="I69" s="68"/>
      <c r="J69" s="70"/>
      <c r="K69" s="199"/>
      <c r="L69" s="704"/>
      <c r="M69" s="206"/>
      <c r="N69" s="34"/>
      <c r="O69" s="402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840">
        <f>B67+1</f>
        <v>15</v>
      </c>
      <c r="C70" s="208" t="s">
        <v>65</v>
      </c>
      <c r="D70" s="66"/>
      <c r="E70" s="67"/>
      <c r="F70" s="67"/>
      <c r="G70" s="67"/>
      <c r="H70" s="68"/>
      <c r="I70" s="72" t="s">
        <v>25</v>
      </c>
      <c r="J70" s="70">
        <f>IF(I70="YES",IF(I13="2010-2013",G71*$I$12,IF(I13="2014-2021",F71*$I$12,IF(I13="2021-2023",E71*$I$12,0))),0)</f>
        <v>119380.2639</v>
      </c>
      <c r="K70" s="199" t="str">
        <f>AVERAGE(#REF!)</f>
        <v>#REF!</v>
      </c>
      <c r="L70" s="704">
        <v>101355.555555556</v>
      </c>
      <c r="M70" s="206">
        <f>L70/$L$12</f>
        <v>481.3720317</v>
      </c>
      <c r="N70" s="207" t="s">
        <v>23</v>
      </c>
      <c r="O70" s="73">
        <f>IF(N70="Delapidated",J70*0.6,IF(N70="Poor",J70*0.7,IF(N70="Fair",J70*0.8,IF(N70="Good",J70*0.85,IF(N70="Very Good",J70*0.9,IF(N70="Excellent",J70*1,IF(N70="Not Applicable",J70*1,0)))))))</f>
        <v>119380.2639</v>
      </c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hidden="1" customHeight="1">
      <c r="A71" s="34"/>
      <c r="B71" s="84"/>
      <c r="C71" s="79" t="s">
        <v>25</v>
      </c>
      <c r="D71" s="66"/>
      <c r="E71" s="67">
        <f>481.372031662269*D16</f>
        <v>596.9013193</v>
      </c>
      <c r="F71" s="67">
        <f t="shared" ref="F71:F72" si="26">E71/$F$16</f>
        <v>477.5210554</v>
      </c>
      <c r="G71" s="67">
        <f t="shared" ref="G71:G72" si="27">E71/$G$16</f>
        <v>452.1979691</v>
      </c>
      <c r="H71" s="77">
        <v>1.0</v>
      </c>
      <c r="I71" s="68"/>
      <c r="J71" s="70"/>
      <c r="K71" s="199"/>
      <c r="L71" s="704"/>
      <c r="M71" s="206"/>
      <c r="N71" s="34"/>
      <c r="O71" s="73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hidden="1" customHeight="1">
      <c r="A72" s="34"/>
      <c r="B72" s="85"/>
      <c r="C72" s="79" t="s">
        <v>26</v>
      </c>
      <c r="D72" s="66"/>
      <c r="E72" s="67">
        <v>0.0</v>
      </c>
      <c r="F72" s="67">
        <f t="shared" si="26"/>
        <v>0</v>
      </c>
      <c r="G72" s="67">
        <f t="shared" si="27"/>
        <v>0</v>
      </c>
      <c r="H72" s="77">
        <v>2.0</v>
      </c>
      <c r="I72" s="68"/>
      <c r="J72" s="70"/>
      <c r="K72" s="199"/>
      <c r="L72" s="704"/>
      <c r="M72" s="206"/>
      <c r="N72" s="34"/>
      <c r="O72" s="402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customHeight="1">
      <c r="A73" s="34"/>
      <c r="B73" s="840">
        <f>B70+1</f>
        <v>16</v>
      </c>
      <c r="C73" s="208" t="s">
        <v>176</v>
      </c>
      <c r="D73" s="66"/>
      <c r="E73" s="67"/>
      <c r="F73" s="67"/>
      <c r="G73" s="67"/>
      <c r="H73" s="68"/>
      <c r="I73" s="72" t="s">
        <v>25</v>
      </c>
      <c r="J73" s="58">
        <f>IF(I73="YES",IF(I13="2010-2013",G74*$I$12,IF(I13="2014-2021",F74*$I$12,IF(I13="2021-2023",E74*$I$12,0))),0)</f>
        <v>644800</v>
      </c>
      <c r="K73" s="199" t="str">
        <f>AVERAGE(#REF!)</f>
        <v>#REF!</v>
      </c>
      <c r="L73" s="704">
        <v>513800.0</v>
      </c>
      <c r="M73" s="206">
        <f>L73/$L$12</f>
        <v>2440.211082</v>
      </c>
      <c r="N73" s="207" t="s">
        <v>23</v>
      </c>
      <c r="O73" s="73">
        <f>IF(N73="Delapidated",J73*0.6,IF(N73="Poor",J73*0.7,IF(N73="Fair",J73*0.8,IF(N73="Good",J73*0.85,IF(N73="Very Good",J73*0.9,IF(N73="Excellent",J73*1,IF(N73="Not Applicable",J73*1,0)))))))</f>
        <v>644800</v>
      </c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hidden="1" customHeight="1">
      <c r="A74" s="34"/>
      <c r="B74" s="84"/>
      <c r="C74" s="79" t="s">
        <v>25</v>
      </c>
      <c r="D74" s="66"/>
      <c r="E74" s="67">
        <f>2600*D16</f>
        <v>3224</v>
      </c>
      <c r="F74" s="67">
        <f t="shared" ref="F74:F75" si="28">E74/$F$16</f>
        <v>2579.2</v>
      </c>
      <c r="G74" s="67">
        <f t="shared" ref="G74:G75" si="29">E74/$G$16</f>
        <v>2442.424242</v>
      </c>
      <c r="H74" s="77">
        <v>1.0</v>
      </c>
      <c r="I74" s="68"/>
      <c r="J74" s="58"/>
      <c r="K74" s="199"/>
      <c r="L74" s="704"/>
      <c r="M74" s="206"/>
      <c r="N74" s="17"/>
      <c r="O74" s="99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hidden="1" customHeight="1">
      <c r="A75" s="34"/>
      <c r="B75" s="85"/>
      <c r="C75" s="79" t="s">
        <v>26</v>
      </c>
      <c r="D75" s="66"/>
      <c r="E75" s="67">
        <v>0.0</v>
      </c>
      <c r="F75" s="67">
        <f t="shared" si="28"/>
        <v>0</v>
      </c>
      <c r="G75" s="67">
        <f t="shared" si="29"/>
        <v>0</v>
      </c>
      <c r="H75" s="77">
        <v>2.0</v>
      </c>
      <c r="I75" s="68"/>
      <c r="J75" s="58"/>
      <c r="K75" s="199"/>
      <c r="L75" s="704"/>
      <c r="M75" s="206"/>
      <c r="N75" s="250"/>
      <c r="O75" s="99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34"/>
      <c r="B76" s="840">
        <f>B73+1</f>
        <v>17</v>
      </c>
      <c r="C76" s="208" t="s">
        <v>177</v>
      </c>
      <c r="D76" s="66"/>
      <c r="E76" s="67"/>
      <c r="F76" s="67"/>
      <c r="G76" s="67"/>
      <c r="H76" s="68"/>
      <c r="I76" s="72" t="s">
        <v>25</v>
      </c>
      <c r="J76" s="70">
        <f>IF(I76="YES",IF(I13="2010-2013",G77,IF(I13="2014-2021",F77,IF(I13="2021-2023",E77,0))),0)</f>
        <v>682000</v>
      </c>
      <c r="K76" s="199" t="str">
        <f>AVERAGE(#REF!)</f>
        <v>#REF!</v>
      </c>
      <c r="L76" s="704">
        <v>513800.0</v>
      </c>
      <c r="M76" s="206">
        <f>L76/$L$12</f>
        <v>2440.211082</v>
      </c>
      <c r="N76" s="207" t="s">
        <v>23</v>
      </c>
      <c r="O76" s="73">
        <f>IF(N76="Delapidated",J76*0.6,IF(N76="Poor",J76*0.7,IF(N76="Fair",J76*0.8,IF(N76="Good",J76*0.85,IF(N76="Very Good",J76*0.9,IF(N76="Excellent",J76*1,IF(N76="Not Applicable",J76*1,0)))))))</f>
        <v>682000</v>
      </c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hidden="1" customHeight="1">
      <c r="A77" s="34"/>
      <c r="B77" s="84"/>
      <c r="C77" s="79" t="s">
        <v>25</v>
      </c>
      <c r="D77" s="66"/>
      <c r="E77" s="67">
        <f>550000*D16</f>
        <v>682000</v>
      </c>
      <c r="F77" s="67">
        <f t="shared" ref="F77:F78" si="30">E77/$F$16</f>
        <v>545600</v>
      </c>
      <c r="G77" s="67">
        <f t="shared" ref="G77:G78" si="31">E77/$G$16</f>
        <v>516666.6667</v>
      </c>
      <c r="H77" s="77">
        <v>1.0</v>
      </c>
      <c r="I77" s="68"/>
      <c r="J77" s="58"/>
      <c r="K77" s="199"/>
      <c r="L77" s="704"/>
      <c r="M77" s="206"/>
      <c r="N77" s="17"/>
      <c r="O77" s="99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30.0" hidden="1" customHeight="1">
      <c r="A78" s="34"/>
      <c r="B78" s="85"/>
      <c r="C78" s="79" t="s">
        <v>26</v>
      </c>
      <c r="D78" s="66"/>
      <c r="E78" s="67">
        <v>0.0</v>
      </c>
      <c r="F78" s="67">
        <f t="shared" si="30"/>
        <v>0</v>
      </c>
      <c r="G78" s="67">
        <f t="shared" si="31"/>
        <v>0</v>
      </c>
      <c r="H78" s="77">
        <v>2.0</v>
      </c>
      <c r="I78" s="68"/>
      <c r="J78" s="58"/>
      <c r="K78" s="199"/>
      <c r="L78" s="704"/>
      <c r="M78" s="206"/>
      <c r="N78" s="250"/>
      <c r="O78" s="99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30.0" customHeight="1">
      <c r="A79" s="34"/>
      <c r="B79" s="838">
        <v>18.0</v>
      </c>
      <c r="C79" s="208" t="s">
        <v>68</v>
      </c>
      <c r="D79" s="66"/>
      <c r="E79" s="67"/>
      <c r="F79" s="67"/>
      <c r="G79" s="67"/>
      <c r="H79" s="77"/>
      <c r="I79" s="72" t="s">
        <v>25</v>
      </c>
      <c r="J79" s="58">
        <f>IF(I79="YES",IF(I13="2010-2013",G80*$I$12,IF(I13="2014-2021",F80*$I$12,IF(I13="2021-2023",E80*$I$12,0))),0)</f>
        <v>99200</v>
      </c>
      <c r="K79" s="199"/>
      <c r="L79" s="704"/>
      <c r="M79" s="206"/>
      <c r="N79" s="207" t="s">
        <v>23</v>
      </c>
      <c r="O79" s="73">
        <f>IF(N79="Delapidated",J79*0.6,IF(N79="Poor",J79*0.7,IF(N79="Fair",J79*0.8,IF(N79="Good",J79*0.85,IF(N79="Very Good",J79*0.9,IF(N79="Excellent",J79*1,IF(N79="Not Applicable",J79*1,0)))))))</f>
        <v>99200</v>
      </c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30.0" hidden="1" customHeight="1">
      <c r="A80" s="34"/>
      <c r="B80" s="838"/>
      <c r="C80" s="79" t="s">
        <v>25</v>
      </c>
      <c r="D80" s="66"/>
      <c r="E80" s="67">
        <f>400*D16</f>
        <v>496</v>
      </c>
      <c r="F80" s="67">
        <f t="shared" ref="F80:F81" si="32">E80/$F$16</f>
        <v>396.8</v>
      </c>
      <c r="G80" s="67">
        <f t="shared" ref="G80:G81" si="33">E80/$G$16</f>
        <v>375.7575758</v>
      </c>
      <c r="H80" s="77">
        <v>1.0</v>
      </c>
      <c r="I80" s="322"/>
      <c r="J80" s="58"/>
      <c r="K80" s="199"/>
      <c r="L80" s="704"/>
      <c r="M80" s="206"/>
      <c r="N80" s="17"/>
      <c r="O80" s="602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30.0" hidden="1" customHeight="1">
      <c r="A81" s="34"/>
      <c r="B81" s="838"/>
      <c r="C81" s="79" t="s">
        <v>26</v>
      </c>
      <c r="D81" s="66"/>
      <c r="E81" s="67">
        <v>0.0</v>
      </c>
      <c r="F81" s="67">
        <f t="shared" si="32"/>
        <v>0</v>
      </c>
      <c r="G81" s="67">
        <f t="shared" si="33"/>
        <v>0</v>
      </c>
      <c r="H81" s="77">
        <v>2.0</v>
      </c>
      <c r="I81" s="122"/>
      <c r="J81" s="648"/>
      <c r="K81" s="199"/>
      <c r="L81" s="704"/>
      <c r="M81" s="206"/>
      <c r="N81" s="34"/>
      <c r="O81" s="786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30.0" customHeight="1">
      <c r="A82" s="218"/>
      <c r="B82" s="841"/>
      <c r="C82" s="220"/>
      <c r="D82" s="221"/>
      <c r="E82" s="842"/>
      <c r="F82" s="221"/>
      <c r="G82" s="221"/>
      <c r="H82" s="708"/>
      <c r="I82" s="480"/>
      <c r="J82" s="45"/>
      <c r="K82" s="190"/>
      <c r="L82" s="190"/>
      <c r="M82" s="225"/>
      <c r="N82" s="612"/>
      <c r="O82" s="409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</row>
    <row r="83" ht="30.0" customHeight="1">
      <c r="A83" s="270"/>
      <c r="B83" s="843"/>
      <c r="C83" s="214" t="s">
        <v>69</v>
      </c>
      <c r="D83" s="255"/>
      <c r="E83" s="17"/>
      <c r="F83" s="67"/>
      <c r="G83" s="67"/>
      <c r="H83" s="17"/>
      <c r="I83" s="379">
        <v>0.0</v>
      </c>
      <c r="J83" s="844"/>
      <c r="K83" s="193"/>
      <c r="L83" s="193"/>
      <c r="M83" s="193"/>
      <c r="N83" s="193"/>
      <c r="O83" s="197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70"/>
    </row>
    <row r="84" ht="30.0" customHeight="1">
      <c r="A84" s="270"/>
      <c r="B84" s="843">
        <v>19.0</v>
      </c>
      <c r="C84" s="92" t="s">
        <v>156</v>
      </c>
      <c r="D84" s="17"/>
      <c r="E84" s="98"/>
      <c r="F84" s="67"/>
      <c r="G84" s="67"/>
      <c r="H84" s="77"/>
      <c r="I84" s="229" t="s">
        <v>25</v>
      </c>
      <c r="J84" s="58">
        <f>IF(I84="YES",IF(I13="2010-2013",G86*I83,IF(I13="2014-2021",F86*I83,IF(I13="2021-2023",E86*I83,0))),0)</f>
        <v>0</v>
      </c>
      <c r="K84" s="17"/>
      <c r="L84" s="17"/>
      <c r="M84" s="17"/>
      <c r="N84" s="207" t="s">
        <v>23</v>
      </c>
      <c r="O84" s="73">
        <f>IF(N84="Delapidated",J84*0.6,IF(N84="Poor",J84*0.7,IF(N84="Fair",J84*0.8,IF(N84="Good",J84*0.85,IF(N84="Very Good",J84*0.9,IF(N84="Excellent",J84*1,IF(N84="Not Applicable",J84*1,0)))))))</f>
        <v>0</v>
      </c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70"/>
    </row>
    <row r="85" ht="30.0" hidden="1" customHeight="1">
      <c r="A85" s="270"/>
      <c r="B85" s="845"/>
      <c r="C85" s="270"/>
      <c r="D85" s="17"/>
      <c r="E85" s="98"/>
      <c r="F85" s="67"/>
      <c r="G85" s="67"/>
      <c r="H85" s="77"/>
      <c r="I85" s="270"/>
      <c r="J85" s="846"/>
      <c r="K85" s="17"/>
      <c r="L85" s="17"/>
      <c r="M85" s="17"/>
      <c r="N85" s="270"/>
      <c r="O85" s="846"/>
      <c r="P85" s="270"/>
      <c r="Q85" s="270"/>
      <c r="R85" s="270"/>
      <c r="S85" s="270"/>
      <c r="T85" s="270"/>
      <c r="U85" s="270"/>
      <c r="V85" s="270"/>
      <c r="W85" s="270"/>
      <c r="X85" s="270"/>
      <c r="Y85" s="270"/>
      <c r="Z85" s="270"/>
    </row>
    <row r="86" ht="30.0" hidden="1" customHeight="1">
      <c r="A86" s="17"/>
      <c r="B86" s="847"/>
      <c r="C86" s="79" t="s">
        <v>25</v>
      </c>
      <c r="D86" s="17"/>
      <c r="E86" s="98">
        <f>2900*D16</f>
        <v>3596</v>
      </c>
      <c r="F86" s="67">
        <f>E86/$F$16</f>
        <v>2876.8</v>
      </c>
      <c r="G86" s="67">
        <f>E86/$G$16</f>
        <v>2724.242424</v>
      </c>
      <c r="H86" s="77"/>
      <c r="I86" s="322"/>
      <c r="J86" s="58"/>
      <c r="K86" s="17"/>
      <c r="L86" s="17"/>
      <c r="M86" s="17"/>
      <c r="N86" s="17"/>
      <c r="O86" s="602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6.75" hidden="1" customHeight="1">
      <c r="A87" s="34"/>
      <c r="B87" s="838"/>
      <c r="C87" s="79"/>
      <c r="D87" s="66"/>
      <c r="E87" s="98">
        <v>0.0</v>
      </c>
      <c r="F87" s="98">
        <v>0.0</v>
      </c>
      <c r="G87" s="98">
        <v>0.0</v>
      </c>
      <c r="H87" s="77"/>
      <c r="I87" s="322"/>
      <c r="J87" s="58"/>
      <c r="K87" s="199"/>
      <c r="L87" s="704"/>
      <c r="M87" s="206"/>
      <c r="N87" s="17"/>
      <c r="O87" s="99"/>
      <c r="P87" s="34"/>
      <c r="Q87" s="34"/>
      <c r="R87" s="34"/>
      <c r="S87" s="34"/>
      <c r="T87" s="34"/>
      <c r="U87" s="34"/>
      <c r="V87" s="34"/>
      <c r="W87" s="34"/>
      <c r="X87" s="34"/>
      <c r="Y87" s="848"/>
      <c r="Z87" s="34"/>
    </row>
    <row r="88" ht="36.75" hidden="1" customHeight="1">
      <c r="A88" s="218"/>
      <c r="B88" s="841"/>
      <c r="C88" s="79" t="s">
        <v>26</v>
      </c>
      <c r="D88" s="221"/>
      <c r="E88" s="314"/>
      <c r="F88" s="314"/>
      <c r="G88" s="314"/>
      <c r="H88" s="222"/>
      <c r="I88" s="314"/>
      <c r="J88" s="197"/>
      <c r="K88" s="247"/>
      <c r="L88" s="247"/>
      <c r="M88" s="249"/>
      <c r="N88" s="250"/>
      <c r="O88" s="197"/>
      <c r="P88" s="218"/>
      <c r="Q88" s="218"/>
      <c r="R88" s="218"/>
      <c r="S88" s="218"/>
      <c r="T88" s="218"/>
      <c r="U88" s="218"/>
      <c r="V88" s="218"/>
      <c r="W88" s="218"/>
      <c r="X88" s="218"/>
      <c r="Y88" s="849"/>
      <c r="Z88" s="218"/>
    </row>
    <row r="89" ht="30.0" customHeight="1">
      <c r="A89" s="34"/>
      <c r="B89" s="83">
        <v>20.0</v>
      </c>
      <c r="C89" s="208" t="s">
        <v>178</v>
      </c>
      <c r="D89" s="66"/>
      <c r="E89" s="67"/>
      <c r="F89" s="67"/>
      <c r="G89" s="67"/>
      <c r="H89" s="68"/>
      <c r="I89" s="72" t="s">
        <v>25</v>
      </c>
      <c r="J89" s="70">
        <f>IF(I89="YES",IF(I13="2010-2013",G90,IF(I13="2014-2021",F90,IF(I13="2021-2023",E90,0))),0)</f>
        <v>1860000</v>
      </c>
      <c r="K89" s="199" t="str">
        <f>AVERAGE(#REF!)</f>
        <v>#REF!</v>
      </c>
      <c r="L89" s="704">
        <f>90444.4444444444+9167</f>
        <v>99611.44444</v>
      </c>
      <c r="M89" s="206">
        <f>L89/$L$12</f>
        <v>473.0886544</v>
      </c>
      <c r="N89" s="207" t="s">
        <v>23</v>
      </c>
      <c r="O89" s="73">
        <f>IF(N89="Delapidated",J89*0.6,IF(N89="Poor",J89*0.7,IF(N89="Fair",J89*0.8,IF(N89="Good",J89*0.85,IF(N89="Very Good",J89*0.9,IF(N89="Excellent",J89*1,IF(N89="Not Applicable",J89*1,0)))))))</f>
        <v>1860000</v>
      </c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30.0" hidden="1" customHeight="1">
      <c r="A90" s="34"/>
      <c r="B90" s="84"/>
      <c r="C90" s="79" t="s">
        <v>25</v>
      </c>
      <c r="D90" s="66"/>
      <c r="E90" s="67">
        <f>1500000*D16</f>
        <v>1860000</v>
      </c>
      <c r="F90" s="67">
        <f t="shared" ref="F90:F91" si="34">E90/$F$16</f>
        <v>1488000</v>
      </c>
      <c r="G90" s="67">
        <f t="shared" ref="G90:G91" si="35">E90/$G$16</f>
        <v>1409090.909</v>
      </c>
      <c r="H90" s="77">
        <v>1.0</v>
      </c>
      <c r="I90" s="68"/>
      <c r="J90" s="70"/>
      <c r="K90" s="199"/>
      <c r="L90" s="704"/>
      <c r="M90" s="206"/>
      <c r="N90" s="17"/>
      <c r="O90" s="99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27.0" hidden="1" customHeight="1">
      <c r="A91" s="34"/>
      <c r="B91" s="85"/>
      <c r="C91" s="79" t="s">
        <v>26</v>
      </c>
      <c r="D91" s="66"/>
      <c r="E91" s="67">
        <v>0.0</v>
      </c>
      <c r="F91" s="67">
        <f t="shared" si="34"/>
        <v>0</v>
      </c>
      <c r="G91" s="67">
        <f t="shared" si="35"/>
        <v>0</v>
      </c>
      <c r="H91" s="77">
        <v>2.0</v>
      </c>
      <c r="I91" s="68"/>
      <c r="J91" s="70"/>
      <c r="K91" s="199"/>
      <c r="L91" s="704"/>
      <c r="M91" s="206"/>
      <c r="N91" s="17"/>
      <c r="O91" s="402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44.25" hidden="1" customHeight="1">
      <c r="A92" s="34"/>
      <c r="B92" s="44"/>
      <c r="C92" s="483" t="s">
        <v>179</v>
      </c>
      <c r="D92" s="66"/>
      <c r="E92" s="67"/>
      <c r="F92" s="67"/>
      <c r="G92" s="67"/>
      <c r="H92" s="77"/>
      <c r="I92" s="52"/>
      <c r="J92" s="51"/>
      <c r="K92" s="199"/>
      <c r="L92" s="199"/>
      <c r="M92" s="118"/>
      <c r="N92" s="17"/>
      <c r="O92" s="850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45.0" customHeight="1">
      <c r="A93" s="17"/>
      <c r="B93" s="44">
        <v>21.0</v>
      </c>
      <c r="C93" s="208" t="s">
        <v>180</v>
      </c>
      <c r="D93" s="66"/>
      <c r="E93" s="67"/>
      <c r="F93" s="67"/>
      <c r="G93" s="67"/>
      <c r="H93" s="68"/>
      <c r="I93" s="851" t="s">
        <v>181</v>
      </c>
      <c r="J93" s="70">
        <f>IF(I93="2 Pumps",IF(I13="2010-2013",G94,IF(I13="2014-2021",F94,IF(I13="2021-2023",E94,0))),IF(I93="3 Pumps",IF(I13="2010-2013",G95,IF(I13="2014-2021",F95,IF(I13="2021-2023",E95,0))),IF(I93="4 Pumps",IF(I13="2010-2013",G96,IF(I13="2014-2021",F96,IF(I13="2021-2023",E96,0))),IF(I93="5 Pumps",IF(I13="2010-2013",G97,IF(I13="2014-2021",F97,IF(I13="2021-2023",E97,0))),IF(I93="6 Pumps",IF(I13="2010-2013",G98,IF(I13="2014-2021",F98,IF(I13="2021-2023",E98,0))),IF(I93="7 Pumps",IF(I13="2010-2013",G99,IF(I13="2014-2021",F99,IF(I13="2021-2023",E99,0))),0))))))</f>
        <v>4340000</v>
      </c>
      <c r="K93" s="199" t="str">
        <f>AVERAGE(#REF!)</f>
        <v>#REF!</v>
      </c>
      <c r="L93" s="704">
        <v>4145375.0</v>
      </c>
      <c r="M93" s="206">
        <f>L93/$L$12</f>
        <v>19687.79683</v>
      </c>
      <c r="N93" s="207" t="s">
        <v>23</v>
      </c>
      <c r="O93" s="73">
        <f>IF(N93="Delapidated",J93*0.6,IF(N93="Poor",J93*0.7,IF(N93="Fair",J93*0.8,IF(N93="Good",J93*0.85,IF(N93="Very Good",J93*0.9,IF(N93="Excellent",J93*1,IF(N93="Not Applicable",J93*1,0)))))))</f>
        <v>4340000</v>
      </c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30.0" hidden="1" customHeight="1">
      <c r="A94" s="17"/>
      <c r="B94" s="44"/>
      <c r="C94" s="79" t="s">
        <v>182</v>
      </c>
      <c r="D94" s="66"/>
      <c r="E94" s="67">
        <f>2500000*D16</f>
        <v>3100000</v>
      </c>
      <c r="F94" s="67">
        <f t="shared" ref="F94:F99" si="36">E94/$F$16</f>
        <v>2480000</v>
      </c>
      <c r="G94" s="67">
        <f t="shared" ref="G94:G99" si="37">E94/$G$16</f>
        <v>2348484.848</v>
      </c>
      <c r="H94" s="77">
        <v>1.0</v>
      </c>
      <c r="I94" s="852"/>
      <c r="J94" s="650"/>
      <c r="K94" s="199"/>
      <c r="L94" s="704"/>
      <c r="M94" s="206"/>
      <c r="N94" s="17"/>
      <c r="O94" s="705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30.0" hidden="1" customHeight="1">
      <c r="A95" s="17"/>
      <c r="B95" s="44"/>
      <c r="C95" s="79" t="s">
        <v>181</v>
      </c>
      <c r="D95" s="66"/>
      <c r="E95" s="67">
        <f>3500000*D16</f>
        <v>4340000</v>
      </c>
      <c r="F95" s="67">
        <f t="shared" si="36"/>
        <v>3472000</v>
      </c>
      <c r="G95" s="67">
        <f t="shared" si="37"/>
        <v>3287878.788</v>
      </c>
      <c r="H95" s="77">
        <v>2.0</v>
      </c>
      <c r="I95" s="852"/>
      <c r="J95" s="650"/>
      <c r="K95" s="199"/>
      <c r="L95" s="704"/>
      <c r="M95" s="206"/>
      <c r="N95" s="17"/>
      <c r="O95" s="705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30.0" hidden="1" customHeight="1">
      <c r="A96" s="17"/>
      <c r="B96" s="44"/>
      <c r="C96" s="79" t="s">
        <v>183</v>
      </c>
      <c r="D96" s="66"/>
      <c r="E96" s="67">
        <f>4500000*D16</f>
        <v>5580000</v>
      </c>
      <c r="F96" s="67">
        <f t="shared" si="36"/>
        <v>4464000</v>
      </c>
      <c r="G96" s="67">
        <f t="shared" si="37"/>
        <v>4227272.727</v>
      </c>
      <c r="H96" s="77">
        <v>3.0</v>
      </c>
      <c r="I96" s="852"/>
      <c r="J96" s="650"/>
      <c r="K96" s="199"/>
      <c r="L96" s="704"/>
      <c r="M96" s="206"/>
      <c r="N96" s="250"/>
      <c r="O96" s="705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30.0" hidden="1" customHeight="1">
      <c r="A97" s="17"/>
      <c r="B97" s="44"/>
      <c r="C97" s="79" t="s">
        <v>184</v>
      </c>
      <c r="D97" s="66"/>
      <c r="E97" s="67">
        <f>6000000*D16</f>
        <v>7440000</v>
      </c>
      <c r="F97" s="67">
        <f t="shared" si="36"/>
        <v>5952000</v>
      </c>
      <c r="G97" s="67">
        <f t="shared" si="37"/>
        <v>5636363.636</v>
      </c>
      <c r="H97" s="77">
        <v>4.0</v>
      </c>
      <c r="I97" s="852"/>
      <c r="J97" s="650"/>
      <c r="K97" s="199"/>
      <c r="L97" s="704"/>
      <c r="M97" s="206"/>
      <c r="N97" s="17"/>
      <c r="O97" s="705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30.0" hidden="1" customHeight="1">
      <c r="A98" s="17"/>
      <c r="B98" s="44"/>
      <c r="C98" s="79" t="s">
        <v>185</v>
      </c>
      <c r="D98" s="66"/>
      <c r="E98" s="67">
        <f>7000000*D16</f>
        <v>8680000</v>
      </c>
      <c r="F98" s="67">
        <f t="shared" si="36"/>
        <v>6944000</v>
      </c>
      <c r="G98" s="67">
        <f t="shared" si="37"/>
        <v>6575757.576</v>
      </c>
      <c r="H98" s="77">
        <v>5.0</v>
      </c>
      <c r="I98" s="649"/>
      <c r="J98" s="650"/>
      <c r="K98" s="199"/>
      <c r="L98" s="704"/>
      <c r="M98" s="206"/>
      <c r="N98" s="17"/>
      <c r="O98" s="705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30.0" hidden="1" customHeight="1">
      <c r="A99" s="250"/>
      <c r="B99" s="841"/>
      <c r="C99" s="79" t="s">
        <v>186</v>
      </c>
      <c r="D99" s="221"/>
      <c r="E99" s="221">
        <f>8000000*D16</f>
        <v>9920000</v>
      </c>
      <c r="F99" s="67">
        <f t="shared" si="36"/>
        <v>7936000</v>
      </c>
      <c r="G99" s="67">
        <f t="shared" si="37"/>
        <v>7515151.515</v>
      </c>
      <c r="H99" s="77">
        <v>6.0</v>
      </c>
      <c r="I99" s="225"/>
      <c r="J99" s="224"/>
      <c r="K99" s="247"/>
      <c r="L99" s="247"/>
      <c r="M99" s="249"/>
      <c r="N99" s="250"/>
      <c r="O99" s="705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</row>
    <row r="100" ht="30.0" hidden="1" customHeight="1">
      <c r="A100" s="17"/>
      <c r="B100" s="838"/>
      <c r="C100" s="208"/>
      <c r="D100" s="66"/>
      <c r="E100" s="66"/>
      <c r="F100" s="66"/>
      <c r="G100" s="66"/>
      <c r="H100" s="68"/>
      <c r="I100" s="852"/>
      <c r="J100" s="650" t="str">
        <f>SUM(J17:M75)</f>
        <v>#REF!</v>
      </c>
      <c r="K100" s="199"/>
      <c r="L100" s="704"/>
      <c r="M100" s="206"/>
      <c r="N100" s="17"/>
      <c r="O100" s="705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30.0" hidden="1" customHeight="1">
      <c r="A101" s="17"/>
      <c r="B101" s="838"/>
      <c r="C101" s="255"/>
      <c r="D101" s="97"/>
      <c r="E101" s="97"/>
      <c r="F101" s="97"/>
      <c r="G101" s="97"/>
      <c r="H101" s="322"/>
      <c r="I101" s="853"/>
      <c r="J101" s="58" t="str">
        <f>J100/I12</f>
        <v>#REF!</v>
      </c>
      <c r="K101" s="199"/>
      <c r="L101" s="704"/>
      <c r="M101" s="206">
        <f t="shared" ref="M101:M106" si="38">L101/$L$12</f>
        <v>0</v>
      </c>
      <c r="N101" s="17"/>
      <c r="O101" s="705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30.0" hidden="1" customHeight="1">
      <c r="A102" s="88"/>
      <c r="B102" s="854"/>
      <c r="C102" s="657" t="s">
        <v>71</v>
      </c>
      <c r="D102" s="562"/>
      <c r="E102" s="562">
        <v>27823.7836411609</v>
      </c>
      <c r="F102" s="562"/>
      <c r="G102" s="562"/>
      <c r="H102" s="562"/>
      <c r="I102" s="69"/>
      <c r="J102" s="563"/>
      <c r="K102" s="199" t="str">
        <f>AVERAGE(#REF!)</f>
        <v>#REF!</v>
      </c>
      <c r="L102" s="704">
        <f>SUM(L17:L101)</f>
        <v>6471863.667</v>
      </c>
      <c r="M102" s="206">
        <f t="shared" si="38"/>
        <v>30737.08338</v>
      </c>
      <c r="N102" s="34"/>
      <c r="O102" s="417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30.0" hidden="1" customHeight="1">
      <c r="A103" s="17"/>
      <c r="B103" s="838"/>
      <c r="C103" s="254" t="s">
        <v>72</v>
      </c>
      <c r="D103" s="71"/>
      <c r="E103" s="71">
        <v>0.0</v>
      </c>
      <c r="F103" s="71"/>
      <c r="G103" s="71"/>
      <c r="H103" s="71"/>
      <c r="I103" s="69"/>
      <c r="J103" s="855"/>
      <c r="K103" s="199"/>
      <c r="L103" s="704"/>
      <c r="M103" s="206">
        <f t="shared" si="38"/>
        <v>0</v>
      </c>
      <c r="N103" s="17"/>
      <c r="O103" s="705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30.0" hidden="1" customHeight="1">
      <c r="A104" s="17"/>
      <c r="B104" s="836"/>
      <c r="C104" s="255"/>
      <c r="D104" s="97"/>
      <c r="E104" s="97">
        <v>0.0</v>
      </c>
      <c r="F104" s="97"/>
      <c r="G104" s="97"/>
      <c r="H104" s="97"/>
      <c r="I104" s="852"/>
      <c r="J104" s="855"/>
      <c r="K104" s="199"/>
      <c r="L104" s="704"/>
      <c r="M104" s="206">
        <f t="shared" si="38"/>
        <v>0</v>
      </c>
      <c r="N104" s="17"/>
      <c r="O104" s="705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30.0" hidden="1" customHeight="1">
      <c r="A105" s="17"/>
      <c r="B105" s="854"/>
      <c r="C105" s="657" t="s">
        <v>71</v>
      </c>
      <c r="D105" s="562"/>
      <c r="E105" s="562">
        <v>27823.7836411609</v>
      </c>
      <c r="F105" s="562"/>
      <c r="G105" s="562"/>
      <c r="H105" s="562"/>
      <c r="I105" s="649"/>
      <c r="J105" s="563"/>
      <c r="K105" s="199" t="str">
        <f>AVERAGE(#REF!)</f>
        <v>#REF!</v>
      </c>
      <c r="L105" s="704">
        <f>SUM(L102:L104)</f>
        <v>6471863.667</v>
      </c>
      <c r="M105" s="206">
        <f t="shared" si="38"/>
        <v>30737.08338</v>
      </c>
      <c r="N105" s="17"/>
      <c r="O105" s="705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30.0" hidden="1" customHeight="1">
      <c r="A106" s="17"/>
      <c r="B106" s="856"/>
      <c r="C106" s="660" t="s">
        <v>73</v>
      </c>
      <c r="D106" s="338"/>
      <c r="E106" s="338">
        <v>0.0</v>
      </c>
      <c r="F106" s="338"/>
      <c r="G106" s="338"/>
      <c r="H106" s="338"/>
      <c r="I106" s="568"/>
      <c r="J106" s="661"/>
      <c r="K106" s="199"/>
      <c r="L106" s="704"/>
      <c r="M106" s="206">
        <f t="shared" si="38"/>
        <v>0</v>
      </c>
      <c r="N106" s="17"/>
      <c r="O106" s="705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30.0" customHeight="1">
      <c r="A107" s="250"/>
      <c r="B107" s="857"/>
      <c r="C107" s="570"/>
      <c r="D107" s="728"/>
      <c r="E107" s="728"/>
      <c r="F107" s="728"/>
      <c r="G107" s="728"/>
      <c r="H107" s="339"/>
      <c r="I107" s="342"/>
      <c r="J107" s="737"/>
      <c r="K107" s="247"/>
      <c r="L107" s="247"/>
      <c r="M107" s="249"/>
      <c r="N107" s="250"/>
      <c r="O107" s="571"/>
      <c r="P107" s="250"/>
      <c r="Q107" s="250"/>
      <c r="R107" s="250"/>
      <c r="S107" s="250"/>
      <c r="T107" s="250"/>
      <c r="U107" s="250"/>
      <c r="V107" s="250"/>
      <c r="W107" s="250"/>
      <c r="X107" s="250"/>
      <c r="Y107" s="250"/>
      <c r="Z107" s="250"/>
    </row>
    <row r="108" ht="30.0" customHeight="1">
      <c r="A108" s="17"/>
      <c r="B108" s="857"/>
      <c r="C108" s="17"/>
      <c r="D108" s="728"/>
      <c r="E108" s="341"/>
      <c r="F108" s="341"/>
      <c r="G108" s="341"/>
      <c r="H108" s="664"/>
      <c r="I108" s="340" t="s">
        <v>143</v>
      </c>
      <c r="J108" s="265">
        <f>SUM(J17:J93)</f>
        <v>9039079.268</v>
      </c>
      <c r="K108" s="199" t="str">
        <f>AVERAGE(#REF!)</f>
        <v>#REF!</v>
      </c>
      <c r="L108" s="704">
        <f>SUM(L105:L106)</f>
        <v>6471863.667</v>
      </c>
      <c r="M108" s="206">
        <f>L108/$L$12</f>
        <v>30737.08338</v>
      </c>
      <c r="N108" s="17"/>
      <c r="O108" s="266">
        <f>SUM(O17:O93)</f>
        <v>9039079.268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30.0" customHeight="1">
      <c r="A109" s="17"/>
      <c r="B109" s="857"/>
      <c r="C109" s="17"/>
      <c r="D109" s="728"/>
      <c r="E109" s="341"/>
      <c r="F109" s="341"/>
      <c r="G109" s="341"/>
      <c r="H109" s="664"/>
      <c r="I109" s="340"/>
      <c r="J109" s="714"/>
      <c r="K109" s="199"/>
      <c r="L109" s="704"/>
      <c r="M109" s="206"/>
      <c r="N109" s="17"/>
      <c r="O109" s="433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30.0" customHeight="1">
      <c r="A110" s="147"/>
      <c r="B110" s="858"/>
      <c r="C110" s="17"/>
      <c r="D110" s="344"/>
      <c r="E110" s="344"/>
      <c r="F110" s="344"/>
      <c r="G110" s="344"/>
      <c r="H110" s="345"/>
      <c r="I110" s="138" t="s">
        <v>131</v>
      </c>
      <c r="J110" s="436">
        <f>J108/I12</f>
        <v>45195.39634</v>
      </c>
      <c r="K110" s="199" t="str">
        <f>AVERAGE(#REF!)</f>
        <v>#REF!</v>
      </c>
      <c r="L110" s="704">
        <f>L108/L12</f>
        <v>30737.08338</v>
      </c>
      <c r="M110" s="206">
        <f>L110/$L$12</f>
        <v>145.9808709</v>
      </c>
      <c r="N110" s="17"/>
      <c r="O110" s="266">
        <f>O108/I12</f>
        <v>45195.39634</v>
      </c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</row>
    <row r="111" ht="12.0" customHeight="1">
      <c r="B111" s="1"/>
      <c r="J111" s="151"/>
      <c r="O111" s="151"/>
    </row>
    <row r="112" ht="45.75" customHeight="1">
      <c r="B112" s="1"/>
      <c r="C112" s="574"/>
      <c r="J112" s="151"/>
      <c r="O112" s="151"/>
    </row>
    <row r="113" ht="12.0" customHeight="1">
      <c r="B113" s="1"/>
      <c r="J113" s="151"/>
      <c r="O113" s="151"/>
    </row>
    <row r="114" ht="12.0" customHeight="1">
      <c r="B114" s="1"/>
      <c r="J114" s="151"/>
      <c r="O114" s="151"/>
    </row>
    <row r="115" ht="12.0" customHeight="1">
      <c r="B115" s="1"/>
      <c r="J115" s="151"/>
      <c r="O115" s="151"/>
    </row>
    <row r="116" ht="12.0" customHeight="1">
      <c r="B116" s="1"/>
      <c r="J116" s="151"/>
      <c r="O116" s="151"/>
    </row>
    <row r="117" ht="12.0" customHeight="1">
      <c r="B117" s="1"/>
      <c r="J117" s="151"/>
      <c r="O117" s="151"/>
    </row>
    <row r="118" ht="12.0" customHeight="1">
      <c r="B118" s="1"/>
      <c r="J118" s="151"/>
      <c r="O118" s="151"/>
    </row>
    <row r="119" ht="12.0" customHeight="1">
      <c r="B119" s="1"/>
      <c r="J119" s="151"/>
      <c r="O119" s="151"/>
    </row>
    <row r="120" ht="12.0" customHeight="1">
      <c r="B120" s="1"/>
      <c r="J120" s="151"/>
      <c r="O120" s="151"/>
    </row>
    <row r="121" ht="12.0" customHeight="1">
      <c r="B121" s="1"/>
      <c r="J121" s="151"/>
      <c r="O121" s="151"/>
    </row>
    <row r="122" ht="12.0" customHeight="1">
      <c r="B122" s="1"/>
      <c r="J122" s="151"/>
      <c r="O122" s="151"/>
    </row>
    <row r="123" ht="12.0" customHeight="1">
      <c r="B123" s="1"/>
      <c r="J123" s="151"/>
      <c r="O123" s="151"/>
    </row>
    <row r="124" ht="12.0" customHeight="1">
      <c r="B124" s="1"/>
      <c r="J124" s="151"/>
      <c r="O124" s="151"/>
    </row>
    <row r="125" ht="12.0" customHeight="1">
      <c r="B125" s="1"/>
      <c r="J125" s="151"/>
      <c r="O125" s="151"/>
    </row>
    <row r="126" ht="12.0" customHeight="1">
      <c r="B126" s="1"/>
      <c r="J126" s="151"/>
      <c r="O126" s="151"/>
    </row>
    <row r="127" ht="12.0" customHeight="1">
      <c r="B127" s="1"/>
      <c r="J127" s="151"/>
      <c r="O127" s="151"/>
    </row>
    <row r="128" ht="12.0" customHeight="1">
      <c r="B128" s="1"/>
      <c r="J128" s="151"/>
      <c r="O128" s="151"/>
    </row>
    <row r="129" ht="12.0" customHeight="1">
      <c r="B129" s="1"/>
      <c r="J129" s="151"/>
      <c r="O129" s="151"/>
    </row>
    <row r="130" ht="12.0" customHeight="1">
      <c r="B130" s="1"/>
      <c r="J130" s="151"/>
      <c r="O130" s="151"/>
    </row>
    <row r="131" ht="12.0" customHeight="1">
      <c r="B131" s="1"/>
      <c r="J131" s="151"/>
      <c r="O131" s="151"/>
    </row>
    <row r="132" ht="12.0" customHeight="1">
      <c r="B132" s="1"/>
      <c r="J132" s="151"/>
      <c r="O132" s="151"/>
    </row>
    <row r="133" ht="12.0" customHeight="1">
      <c r="B133" s="1"/>
      <c r="J133" s="151"/>
      <c r="O133" s="151"/>
    </row>
    <row r="134" ht="12.0" customHeight="1">
      <c r="B134" s="1"/>
      <c r="J134" s="151"/>
      <c r="O134" s="151"/>
    </row>
    <row r="135" ht="12.0" customHeight="1">
      <c r="B135" s="1"/>
      <c r="J135" s="151"/>
      <c r="O135" s="151"/>
    </row>
    <row r="136" ht="12.0" customHeight="1">
      <c r="B136" s="1"/>
      <c r="J136" s="151"/>
      <c r="O136" s="151"/>
    </row>
    <row r="137" ht="12.0" customHeight="1">
      <c r="B137" s="1"/>
      <c r="J137" s="151"/>
      <c r="O137" s="151"/>
    </row>
    <row r="138" ht="12.0" customHeight="1">
      <c r="B138" s="1"/>
      <c r="J138" s="151"/>
      <c r="O138" s="151"/>
    </row>
    <row r="139" ht="12.0" customHeight="1">
      <c r="B139" s="1"/>
      <c r="J139" s="151"/>
      <c r="O139" s="151"/>
    </row>
    <row r="140" ht="12.0" customHeight="1">
      <c r="B140" s="1"/>
      <c r="J140" s="151"/>
      <c r="O140" s="151"/>
    </row>
    <row r="141" ht="12.0" customHeight="1">
      <c r="B141" s="1"/>
      <c r="J141" s="151"/>
      <c r="O141" s="151"/>
    </row>
    <row r="142" ht="12.0" customHeight="1">
      <c r="B142" s="1"/>
      <c r="J142" s="151"/>
      <c r="O142" s="151"/>
    </row>
    <row r="143" ht="12.0" customHeight="1">
      <c r="B143" s="1"/>
      <c r="J143" s="151"/>
      <c r="O143" s="151"/>
    </row>
    <row r="144" ht="12.0" customHeight="1">
      <c r="B144" s="1"/>
      <c r="J144" s="151"/>
      <c r="O144" s="151"/>
    </row>
    <row r="145" ht="12.0" customHeight="1">
      <c r="B145" s="1"/>
      <c r="J145" s="151"/>
      <c r="O145" s="151"/>
    </row>
    <row r="146" ht="12.0" customHeight="1">
      <c r="B146" s="1"/>
      <c r="J146" s="151"/>
      <c r="O146" s="151"/>
    </row>
    <row r="147" ht="12.0" customHeight="1">
      <c r="B147" s="1"/>
      <c r="J147" s="151"/>
      <c r="O147" s="151"/>
    </row>
    <row r="148" ht="12.0" customHeight="1">
      <c r="B148" s="1"/>
      <c r="J148" s="151"/>
      <c r="O148" s="151"/>
    </row>
    <row r="149" ht="12.0" customHeight="1">
      <c r="B149" s="1"/>
      <c r="J149" s="151"/>
      <c r="O149" s="151"/>
    </row>
    <row r="150" ht="12.0" customHeight="1">
      <c r="B150" s="1"/>
      <c r="J150" s="151"/>
      <c r="O150" s="151"/>
    </row>
    <row r="151" ht="12.0" customHeight="1">
      <c r="B151" s="1"/>
      <c r="J151" s="151"/>
      <c r="O151" s="151"/>
    </row>
    <row r="152" ht="12.0" customHeight="1">
      <c r="B152" s="1"/>
      <c r="J152" s="151"/>
      <c r="O152" s="151"/>
    </row>
    <row r="153" ht="12.0" customHeight="1">
      <c r="B153" s="1"/>
      <c r="J153" s="151"/>
      <c r="O153" s="151"/>
    </row>
    <row r="154" ht="12.0" customHeight="1">
      <c r="B154" s="1"/>
      <c r="J154" s="151"/>
      <c r="O154" s="151"/>
    </row>
    <row r="155" ht="12.0" customHeight="1">
      <c r="B155" s="1"/>
      <c r="J155" s="151"/>
      <c r="O155" s="151"/>
    </row>
    <row r="156" ht="12.0" customHeight="1">
      <c r="B156" s="1"/>
      <c r="J156" s="151"/>
      <c r="O156" s="151"/>
    </row>
    <row r="157" ht="12.0" customHeight="1">
      <c r="B157" s="1"/>
      <c r="J157" s="151"/>
      <c r="O157" s="151"/>
    </row>
    <row r="158" ht="12.0" customHeight="1">
      <c r="B158" s="1"/>
      <c r="J158" s="151"/>
      <c r="O158" s="151"/>
    </row>
    <row r="159" ht="12.0" customHeight="1">
      <c r="B159" s="1"/>
      <c r="J159" s="151"/>
      <c r="O159" s="151"/>
    </row>
    <row r="160" ht="12.0" customHeight="1">
      <c r="B160" s="1"/>
      <c r="J160" s="151"/>
      <c r="O160" s="151"/>
    </row>
    <row r="161" ht="12.0" customHeight="1">
      <c r="B161" s="1"/>
      <c r="J161" s="151"/>
      <c r="O161" s="151"/>
    </row>
    <row r="162" ht="12.0" customHeight="1">
      <c r="B162" s="1"/>
      <c r="J162" s="151"/>
      <c r="O162" s="151"/>
    </row>
    <row r="163" ht="12.0" customHeight="1">
      <c r="B163" s="1"/>
      <c r="J163" s="151"/>
      <c r="O163" s="151"/>
    </row>
    <row r="164" ht="12.0" customHeight="1">
      <c r="B164" s="1"/>
      <c r="J164" s="151"/>
      <c r="O164" s="151"/>
    </row>
    <row r="165" ht="12.0" customHeight="1">
      <c r="B165" s="1"/>
      <c r="J165" s="151"/>
      <c r="O165" s="151"/>
    </row>
    <row r="166" ht="12.0" customHeight="1">
      <c r="B166" s="1"/>
      <c r="J166" s="151"/>
      <c r="O166" s="151"/>
    </row>
    <row r="167" ht="12.0" customHeight="1">
      <c r="B167" s="1"/>
      <c r="J167" s="151"/>
      <c r="O167" s="151"/>
    </row>
    <row r="168" ht="12.0" customHeight="1">
      <c r="B168" s="1"/>
      <c r="J168" s="151"/>
      <c r="O168" s="151"/>
    </row>
    <row r="169" ht="12.0" customHeight="1">
      <c r="B169" s="1"/>
      <c r="J169" s="151"/>
      <c r="O169" s="151"/>
    </row>
    <row r="170" ht="12.0" customHeight="1">
      <c r="B170" s="1"/>
      <c r="J170" s="151"/>
      <c r="O170" s="151"/>
    </row>
    <row r="171" ht="12.0" customHeight="1">
      <c r="B171" s="1"/>
      <c r="J171" s="151"/>
      <c r="O171" s="151"/>
    </row>
    <row r="172" ht="12.0" customHeight="1">
      <c r="B172" s="1"/>
      <c r="J172" s="151"/>
      <c r="O172" s="151"/>
    </row>
    <row r="173" ht="12.0" customHeight="1">
      <c r="B173" s="1"/>
      <c r="J173" s="151"/>
      <c r="O173" s="151"/>
    </row>
    <row r="174" ht="12.0" customHeight="1">
      <c r="B174" s="1"/>
      <c r="J174" s="151"/>
      <c r="O174" s="151"/>
    </row>
    <row r="175" ht="12.0" customHeight="1">
      <c r="B175" s="1"/>
      <c r="J175" s="151"/>
      <c r="O175" s="151"/>
    </row>
    <row r="176" ht="12.0" customHeight="1">
      <c r="B176" s="1"/>
      <c r="J176" s="151"/>
      <c r="O176" s="151"/>
    </row>
    <row r="177" ht="12.0" customHeight="1">
      <c r="B177" s="1"/>
      <c r="J177" s="151"/>
      <c r="O177" s="151"/>
    </row>
    <row r="178" ht="12.0" customHeight="1">
      <c r="B178" s="1"/>
      <c r="J178" s="151"/>
      <c r="O178" s="151"/>
    </row>
    <row r="179" ht="12.0" customHeight="1">
      <c r="B179" s="1"/>
      <c r="J179" s="151"/>
      <c r="O179" s="151"/>
    </row>
    <row r="180" ht="12.0" customHeight="1">
      <c r="B180" s="1"/>
      <c r="J180" s="151"/>
      <c r="O180" s="151"/>
    </row>
    <row r="181" ht="12.0" customHeight="1">
      <c r="B181" s="1"/>
      <c r="J181" s="151"/>
      <c r="O181" s="151"/>
    </row>
    <row r="182" ht="12.0" customHeight="1">
      <c r="B182" s="1"/>
      <c r="J182" s="151"/>
      <c r="O182" s="151"/>
    </row>
    <row r="183" ht="12.0" customHeight="1">
      <c r="B183" s="1"/>
      <c r="J183" s="151"/>
      <c r="O183" s="151"/>
    </row>
    <row r="184" ht="12.0" customHeight="1">
      <c r="B184" s="1"/>
      <c r="J184" s="151"/>
      <c r="O184" s="151"/>
    </row>
    <row r="185" ht="12.0" customHeight="1">
      <c r="B185" s="1"/>
      <c r="J185" s="151"/>
      <c r="O185" s="151"/>
    </row>
    <row r="186" ht="12.0" customHeight="1">
      <c r="B186" s="1"/>
      <c r="J186" s="151"/>
      <c r="O186" s="151"/>
    </row>
    <row r="187" ht="12.0" customHeight="1">
      <c r="B187" s="1"/>
      <c r="J187" s="151"/>
      <c r="O187" s="151"/>
    </row>
    <row r="188" ht="12.0" customHeight="1">
      <c r="B188" s="1"/>
      <c r="J188" s="151"/>
      <c r="O188" s="151"/>
    </row>
    <row r="189" ht="12.0" customHeight="1">
      <c r="B189" s="1"/>
      <c r="J189" s="151"/>
      <c r="O189" s="151"/>
    </row>
    <row r="190" ht="12.0" customHeight="1">
      <c r="B190" s="1"/>
      <c r="J190" s="151"/>
      <c r="O190" s="151"/>
    </row>
    <row r="191" ht="12.0" customHeight="1">
      <c r="B191" s="1"/>
      <c r="J191" s="151"/>
      <c r="O191" s="151"/>
    </row>
    <row r="192" ht="12.0" customHeight="1">
      <c r="B192" s="1"/>
      <c r="J192" s="151"/>
      <c r="O192" s="151"/>
    </row>
    <row r="193" ht="12.0" customHeight="1">
      <c r="B193" s="1"/>
      <c r="J193" s="151"/>
      <c r="O193" s="151"/>
    </row>
    <row r="194" ht="12.0" customHeight="1">
      <c r="B194" s="1"/>
      <c r="J194" s="151"/>
      <c r="O194" s="151"/>
    </row>
    <row r="195" ht="12.0" customHeight="1">
      <c r="B195" s="1"/>
      <c r="J195" s="151"/>
      <c r="O195" s="151"/>
    </row>
    <row r="196" ht="12.0" customHeight="1">
      <c r="B196" s="1"/>
      <c r="J196" s="151"/>
      <c r="O196" s="151"/>
    </row>
    <row r="197" ht="12.0" customHeight="1">
      <c r="B197" s="1"/>
      <c r="J197" s="151"/>
      <c r="O197" s="151"/>
    </row>
    <row r="198" ht="12.0" customHeight="1">
      <c r="B198" s="1"/>
      <c r="J198" s="151"/>
      <c r="O198" s="151"/>
    </row>
    <row r="199" ht="12.0" customHeight="1">
      <c r="B199" s="1"/>
      <c r="J199" s="151"/>
      <c r="O199" s="151"/>
    </row>
    <row r="200" ht="12.0" customHeight="1">
      <c r="B200" s="1"/>
      <c r="J200" s="151"/>
      <c r="O200" s="151"/>
    </row>
    <row r="201" ht="12.0" customHeight="1">
      <c r="B201" s="1"/>
      <c r="J201" s="151"/>
      <c r="O201" s="151"/>
    </row>
    <row r="202" ht="12.0" customHeight="1">
      <c r="B202" s="1"/>
      <c r="J202" s="151"/>
      <c r="O202" s="151"/>
    </row>
    <row r="203" ht="12.0" customHeight="1">
      <c r="B203" s="1"/>
      <c r="J203" s="151"/>
      <c r="O203" s="151"/>
    </row>
    <row r="204" ht="12.0" customHeight="1">
      <c r="B204" s="1"/>
      <c r="J204" s="151"/>
      <c r="O204" s="151"/>
    </row>
    <row r="205" ht="12.0" customHeight="1">
      <c r="B205" s="1"/>
      <c r="J205" s="151"/>
      <c r="O205" s="151"/>
    </row>
    <row r="206" ht="12.0" customHeight="1">
      <c r="B206" s="1"/>
      <c r="J206" s="151"/>
      <c r="O206" s="151"/>
    </row>
    <row r="207" ht="12.0" customHeight="1">
      <c r="B207" s="1"/>
      <c r="J207" s="151"/>
      <c r="O207" s="151"/>
    </row>
    <row r="208" ht="12.0" customHeight="1">
      <c r="B208" s="1"/>
      <c r="J208" s="151"/>
      <c r="O208" s="151"/>
    </row>
    <row r="209" ht="12.0" customHeight="1">
      <c r="B209" s="1"/>
      <c r="J209" s="151"/>
      <c r="O209" s="151"/>
    </row>
    <row r="210" ht="12.0" customHeight="1">
      <c r="B210" s="1"/>
      <c r="J210" s="151"/>
      <c r="O210" s="151"/>
    </row>
    <row r="211" ht="12.0" customHeight="1">
      <c r="B211" s="1"/>
      <c r="J211" s="151"/>
      <c r="O211" s="151"/>
    </row>
    <row r="212" ht="12.0" customHeight="1">
      <c r="B212" s="1"/>
      <c r="J212" s="151"/>
      <c r="O212" s="151"/>
    </row>
    <row r="213" ht="12.0" customHeight="1">
      <c r="B213" s="1"/>
      <c r="J213" s="151"/>
      <c r="O213" s="151"/>
    </row>
    <row r="214" ht="12.0" customHeight="1">
      <c r="B214" s="1"/>
      <c r="J214" s="151"/>
      <c r="O214" s="151"/>
    </row>
    <row r="215" ht="12.0" customHeight="1">
      <c r="B215" s="1"/>
      <c r="J215" s="151"/>
      <c r="O215" s="151"/>
    </row>
    <row r="216" ht="12.0" customHeight="1">
      <c r="B216" s="1"/>
      <c r="J216" s="151"/>
      <c r="O216" s="151"/>
    </row>
    <row r="217" ht="12.0" customHeight="1">
      <c r="B217" s="1"/>
      <c r="J217" s="151"/>
      <c r="O217" s="151"/>
    </row>
    <row r="218" ht="12.0" customHeight="1">
      <c r="B218" s="1"/>
      <c r="J218" s="151"/>
      <c r="O218" s="151"/>
    </row>
    <row r="219" ht="12.0" customHeight="1">
      <c r="B219" s="1"/>
      <c r="J219" s="151"/>
      <c r="O219" s="151"/>
    </row>
    <row r="220" ht="12.0" customHeight="1">
      <c r="B220" s="1"/>
      <c r="J220" s="151"/>
      <c r="O220" s="151"/>
    </row>
    <row r="221" ht="12.0" customHeight="1">
      <c r="B221" s="1"/>
      <c r="J221" s="151"/>
      <c r="O221" s="151"/>
    </row>
    <row r="222" ht="12.0" customHeight="1">
      <c r="B222" s="1"/>
      <c r="J222" s="151"/>
      <c r="O222" s="151"/>
    </row>
    <row r="223" ht="12.0" customHeight="1">
      <c r="B223" s="1"/>
      <c r="J223" s="151"/>
      <c r="O223" s="151"/>
    </row>
    <row r="224" ht="12.0" customHeight="1">
      <c r="B224" s="1"/>
      <c r="J224" s="151"/>
      <c r="O224" s="151"/>
    </row>
    <row r="225" ht="12.0" customHeight="1">
      <c r="B225" s="1"/>
      <c r="J225" s="151"/>
      <c r="O225" s="151"/>
    </row>
    <row r="226" ht="12.0" customHeight="1">
      <c r="B226" s="1"/>
      <c r="J226" s="151"/>
      <c r="O226" s="151"/>
    </row>
    <row r="227" ht="12.0" customHeight="1">
      <c r="B227" s="1"/>
      <c r="J227" s="151"/>
      <c r="O227" s="151"/>
    </row>
    <row r="228" ht="12.0" customHeight="1">
      <c r="B228" s="1"/>
      <c r="J228" s="151"/>
      <c r="O228" s="151"/>
    </row>
    <row r="229" ht="12.0" customHeight="1">
      <c r="B229" s="1"/>
      <c r="J229" s="151"/>
      <c r="O229" s="151"/>
    </row>
    <row r="230" ht="12.0" customHeight="1">
      <c r="B230" s="1"/>
      <c r="J230" s="151"/>
      <c r="O230" s="151"/>
    </row>
    <row r="231" ht="12.0" customHeight="1">
      <c r="B231" s="1"/>
      <c r="J231" s="151"/>
      <c r="O231" s="151"/>
    </row>
    <row r="232" ht="12.0" customHeight="1">
      <c r="B232" s="1"/>
      <c r="J232" s="151"/>
      <c r="O232" s="151"/>
    </row>
    <row r="233" ht="12.0" customHeight="1">
      <c r="B233" s="1"/>
      <c r="J233" s="151"/>
      <c r="O233" s="151"/>
    </row>
    <row r="234" ht="12.0" customHeight="1">
      <c r="B234" s="1"/>
      <c r="J234" s="151"/>
      <c r="O234" s="151"/>
    </row>
    <row r="235" ht="12.0" customHeight="1">
      <c r="B235" s="1"/>
      <c r="J235" s="151"/>
      <c r="O235" s="151"/>
    </row>
    <row r="236" ht="12.0" customHeight="1">
      <c r="B236" s="1"/>
      <c r="J236" s="151"/>
      <c r="O236" s="151"/>
    </row>
    <row r="237" ht="12.0" customHeight="1">
      <c r="B237" s="1"/>
      <c r="J237" s="151"/>
      <c r="O237" s="151"/>
    </row>
    <row r="238" ht="12.0" customHeight="1">
      <c r="B238" s="1"/>
      <c r="J238" s="151"/>
      <c r="O238" s="151"/>
    </row>
    <row r="239" ht="12.0" customHeight="1">
      <c r="B239" s="1"/>
      <c r="J239" s="151"/>
      <c r="O239" s="151"/>
    </row>
    <row r="240" ht="12.0" customHeight="1">
      <c r="B240" s="1"/>
      <c r="J240" s="151"/>
      <c r="O240" s="151"/>
    </row>
    <row r="241" ht="12.0" customHeight="1">
      <c r="B241" s="1"/>
      <c r="J241" s="151"/>
      <c r="O241" s="151"/>
    </row>
    <row r="242" ht="12.0" customHeight="1">
      <c r="B242" s="1"/>
      <c r="J242" s="151"/>
      <c r="O242" s="151"/>
    </row>
    <row r="243" ht="12.0" customHeight="1">
      <c r="B243" s="1"/>
      <c r="J243" s="151"/>
      <c r="O243" s="151"/>
    </row>
    <row r="244" ht="12.0" customHeight="1">
      <c r="B244" s="1"/>
      <c r="J244" s="151"/>
      <c r="O244" s="151"/>
    </row>
    <row r="245" ht="12.0" customHeight="1">
      <c r="B245" s="1"/>
      <c r="J245" s="151"/>
      <c r="O245" s="151"/>
    </row>
    <row r="246" ht="12.0" customHeight="1">
      <c r="B246" s="1"/>
      <c r="J246" s="151"/>
      <c r="O246" s="151"/>
    </row>
    <row r="247" ht="12.0" customHeight="1">
      <c r="B247" s="1"/>
      <c r="J247" s="151"/>
      <c r="O247" s="151"/>
    </row>
    <row r="248" ht="12.0" customHeight="1">
      <c r="B248" s="1"/>
      <c r="J248" s="151"/>
      <c r="O248" s="151"/>
    </row>
    <row r="249" ht="12.0" customHeight="1">
      <c r="B249" s="1"/>
      <c r="J249" s="151"/>
      <c r="O249" s="151"/>
    </row>
    <row r="250" ht="12.0" customHeight="1">
      <c r="B250" s="1"/>
      <c r="J250" s="151"/>
      <c r="O250" s="151"/>
    </row>
    <row r="251" ht="12.0" customHeight="1">
      <c r="B251" s="1"/>
      <c r="J251" s="151"/>
      <c r="O251" s="151"/>
    </row>
    <row r="252" ht="12.0" customHeight="1">
      <c r="B252" s="1"/>
      <c r="J252" s="151"/>
      <c r="O252" s="151"/>
    </row>
    <row r="253" ht="12.0" customHeight="1">
      <c r="B253" s="1"/>
      <c r="J253" s="151"/>
      <c r="O253" s="151"/>
    </row>
    <row r="254" ht="12.0" customHeight="1">
      <c r="B254" s="1"/>
      <c r="J254" s="151"/>
      <c r="O254" s="151"/>
    </row>
    <row r="255" ht="12.0" customHeight="1">
      <c r="B255" s="1"/>
      <c r="J255" s="151"/>
      <c r="O255" s="151"/>
    </row>
    <row r="256" ht="12.0" customHeight="1">
      <c r="B256" s="1"/>
      <c r="J256" s="151"/>
      <c r="O256" s="151"/>
    </row>
    <row r="257" ht="12.0" customHeight="1">
      <c r="B257" s="1"/>
      <c r="J257" s="151"/>
      <c r="O257" s="151"/>
    </row>
    <row r="258" ht="12.0" customHeight="1">
      <c r="B258" s="1"/>
      <c r="J258" s="151"/>
      <c r="O258" s="151"/>
    </row>
    <row r="259" ht="12.0" customHeight="1">
      <c r="B259" s="1"/>
      <c r="J259" s="151"/>
      <c r="O259" s="151"/>
    </row>
    <row r="260" ht="12.0" customHeight="1">
      <c r="B260" s="1"/>
      <c r="J260" s="151"/>
      <c r="O260" s="151"/>
    </row>
    <row r="261" ht="12.0" customHeight="1">
      <c r="B261" s="1"/>
      <c r="J261" s="151"/>
      <c r="O261" s="151"/>
    </row>
    <row r="262" ht="12.0" customHeight="1">
      <c r="B262" s="1"/>
      <c r="J262" s="151"/>
      <c r="O262" s="151"/>
    </row>
    <row r="263" ht="12.0" customHeight="1">
      <c r="B263" s="1"/>
      <c r="J263" s="151"/>
      <c r="O263" s="151"/>
    </row>
    <row r="264" ht="12.0" customHeight="1">
      <c r="B264" s="1"/>
      <c r="J264" s="151"/>
      <c r="O264" s="151"/>
    </row>
    <row r="265" ht="12.0" customHeight="1">
      <c r="B265" s="1"/>
      <c r="J265" s="151"/>
      <c r="O265" s="151"/>
    </row>
    <row r="266" ht="12.0" customHeight="1">
      <c r="B266" s="1"/>
      <c r="J266" s="151"/>
      <c r="O266" s="151"/>
    </row>
    <row r="267" ht="12.0" customHeight="1">
      <c r="B267" s="1"/>
      <c r="J267" s="151"/>
      <c r="O267" s="151"/>
    </row>
    <row r="268" ht="12.0" customHeight="1">
      <c r="B268" s="1"/>
      <c r="J268" s="151"/>
      <c r="O268" s="151"/>
    </row>
    <row r="269" ht="12.0" customHeight="1">
      <c r="B269" s="1"/>
      <c r="J269" s="151"/>
      <c r="O269" s="151"/>
    </row>
    <row r="270" ht="12.0" customHeight="1">
      <c r="B270" s="1"/>
      <c r="J270" s="151"/>
      <c r="O270" s="151"/>
    </row>
    <row r="271" ht="12.0" customHeight="1">
      <c r="B271" s="1"/>
      <c r="J271" s="151"/>
      <c r="O271" s="151"/>
    </row>
    <row r="272" ht="12.0" customHeight="1">
      <c r="B272" s="1"/>
      <c r="J272" s="151"/>
      <c r="O272" s="151"/>
    </row>
    <row r="273" ht="12.0" customHeight="1">
      <c r="B273" s="1"/>
      <c r="J273" s="151"/>
      <c r="O273" s="151"/>
    </row>
    <row r="274" ht="12.0" customHeight="1">
      <c r="B274" s="1"/>
      <c r="J274" s="151"/>
      <c r="O274" s="151"/>
    </row>
    <row r="275" ht="12.0" customHeight="1">
      <c r="B275" s="1"/>
      <c r="J275" s="151"/>
      <c r="O275" s="151"/>
    </row>
    <row r="276" ht="12.0" customHeight="1">
      <c r="B276" s="1"/>
      <c r="J276" s="151"/>
      <c r="O276" s="151"/>
    </row>
    <row r="277" ht="12.0" customHeight="1">
      <c r="B277" s="1"/>
      <c r="J277" s="151"/>
      <c r="O277" s="151"/>
    </row>
    <row r="278" ht="12.0" customHeight="1">
      <c r="B278" s="1"/>
      <c r="J278" s="151"/>
      <c r="O278" s="151"/>
    </row>
    <row r="279" ht="12.0" customHeight="1">
      <c r="B279" s="1"/>
      <c r="J279" s="151"/>
      <c r="O279" s="151"/>
    </row>
    <row r="280" ht="12.0" customHeight="1">
      <c r="B280" s="1"/>
      <c r="J280" s="151"/>
      <c r="O280" s="151"/>
    </row>
    <row r="281" ht="12.0" customHeight="1">
      <c r="B281" s="1"/>
      <c r="J281" s="151"/>
      <c r="O281" s="151"/>
    </row>
    <row r="282" ht="12.0" customHeight="1">
      <c r="B282" s="1"/>
      <c r="J282" s="151"/>
      <c r="O282" s="151"/>
    </row>
    <row r="283" ht="12.0" customHeight="1">
      <c r="B283" s="1"/>
      <c r="J283" s="151"/>
      <c r="O283" s="151"/>
    </row>
    <row r="284" ht="12.0" customHeight="1">
      <c r="B284" s="1"/>
      <c r="J284" s="151"/>
      <c r="O284" s="151"/>
    </row>
    <row r="285" ht="12.0" customHeight="1">
      <c r="B285" s="1"/>
      <c r="J285" s="151"/>
      <c r="O285" s="151"/>
    </row>
    <row r="286" ht="12.0" customHeight="1">
      <c r="B286" s="1"/>
      <c r="J286" s="151"/>
      <c r="O286" s="151"/>
    </row>
    <row r="287" ht="12.0" customHeight="1">
      <c r="B287" s="1"/>
      <c r="J287" s="151"/>
      <c r="O287" s="151"/>
    </row>
    <row r="288" ht="12.0" customHeight="1">
      <c r="B288" s="1"/>
      <c r="J288" s="151"/>
      <c r="O288" s="151"/>
    </row>
    <row r="289" ht="12.0" customHeight="1">
      <c r="B289" s="1"/>
      <c r="J289" s="151"/>
      <c r="O289" s="151"/>
    </row>
    <row r="290" ht="12.0" customHeight="1">
      <c r="B290" s="1"/>
      <c r="J290" s="151"/>
      <c r="O290" s="151"/>
    </row>
    <row r="291" ht="12.0" customHeight="1">
      <c r="B291" s="1"/>
      <c r="J291" s="151"/>
      <c r="O291" s="151"/>
    </row>
    <row r="292" ht="12.0" customHeight="1">
      <c r="B292" s="1"/>
      <c r="J292" s="151"/>
      <c r="O292" s="151"/>
    </row>
    <row r="293" ht="12.0" customHeight="1">
      <c r="B293" s="1"/>
      <c r="J293" s="151"/>
      <c r="O293" s="151"/>
    </row>
    <row r="294" ht="12.0" customHeight="1">
      <c r="B294" s="1"/>
      <c r="J294" s="151"/>
      <c r="O294" s="151"/>
    </row>
    <row r="295" ht="12.0" customHeight="1">
      <c r="B295" s="1"/>
      <c r="J295" s="151"/>
      <c r="O295" s="151"/>
    </row>
    <row r="296" ht="12.0" customHeight="1">
      <c r="B296" s="1"/>
      <c r="J296" s="151"/>
      <c r="O296" s="151"/>
    </row>
    <row r="297" ht="12.0" customHeight="1">
      <c r="B297" s="1"/>
      <c r="J297" s="151"/>
      <c r="O297" s="151"/>
    </row>
    <row r="298" ht="12.0" customHeight="1">
      <c r="B298" s="1"/>
      <c r="J298" s="151"/>
      <c r="O298" s="151"/>
    </row>
    <row r="299" ht="12.0" customHeight="1">
      <c r="B299" s="1"/>
      <c r="J299" s="151"/>
      <c r="O299" s="151"/>
    </row>
    <row r="300" ht="12.0" customHeight="1">
      <c r="B300" s="1"/>
      <c r="J300" s="151"/>
      <c r="O300" s="151"/>
    </row>
    <row r="301" ht="12.0" customHeight="1">
      <c r="B301" s="1"/>
      <c r="J301" s="151"/>
      <c r="O301" s="151"/>
    </row>
    <row r="302" ht="12.0" customHeight="1">
      <c r="B302" s="1"/>
      <c r="J302" s="151"/>
      <c r="O302" s="151"/>
    </row>
    <row r="303" ht="12.0" customHeight="1">
      <c r="B303" s="1"/>
      <c r="J303" s="151"/>
      <c r="O303" s="151"/>
    </row>
    <row r="304" ht="12.0" customHeight="1">
      <c r="B304" s="1"/>
      <c r="J304" s="151"/>
      <c r="O304" s="151"/>
    </row>
    <row r="305" ht="12.0" customHeight="1">
      <c r="B305" s="1"/>
      <c r="J305" s="151"/>
      <c r="O305" s="151"/>
    </row>
    <row r="306" ht="12.0" customHeight="1">
      <c r="B306" s="1"/>
      <c r="J306" s="151"/>
      <c r="O306" s="151"/>
    </row>
    <row r="307" ht="12.0" customHeight="1">
      <c r="B307" s="1"/>
      <c r="J307" s="151"/>
      <c r="O307" s="151"/>
    </row>
    <row r="308" ht="12.0" customHeight="1">
      <c r="B308" s="1"/>
      <c r="J308" s="151"/>
      <c r="O308" s="151"/>
    </row>
    <row r="309" ht="12.0" customHeight="1">
      <c r="B309" s="1"/>
      <c r="J309" s="151"/>
      <c r="O309" s="151"/>
    </row>
    <row r="310" ht="12.0" customHeight="1">
      <c r="B310" s="1"/>
      <c r="J310" s="151"/>
      <c r="O310" s="151"/>
    </row>
    <row r="311" ht="12.0" customHeight="1">
      <c r="B311" s="1"/>
      <c r="J311" s="151"/>
      <c r="O311" s="151"/>
    </row>
    <row r="312" ht="12.0" customHeight="1">
      <c r="B312" s="1"/>
      <c r="J312" s="151"/>
      <c r="O312" s="151"/>
    </row>
    <row r="313" ht="12.0" customHeight="1">
      <c r="B313" s="1"/>
      <c r="J313" s="151"/>
      <c r="O313" s="151"/>
    </row>
    <row r="314" ht="12.0" customHeight="1">
      <c r="B314" s="1"/>
      <c r="J314" s="151"/>
      <c r="O314" s="151"/>
    </row>
    <row r="315" ht="12.0" customHeight="1">
      <c r="B315" s="1"/>
      <c r="J315" s="151"/>
      <c r="O315" s="151"/>
    </row>
    <row r="316" ht="12.0" customHeight="1">
      <c r="B316" s="1"/>
      <c r="J316" s="151"/>
      <c r="O316" s="151"/>
    </row>
    <row r="317" ht="12.0" customHeight="1">
      <c r="B317" s="1"/>
      <c r="J317" s="151"/>
      <c r="O317" s="151"/>
    </row>
    <row r="318" ht="12.0" customHeight="1">
      <c r="B318" s="1"/>
      <c r="J318" s="151"/>
      <c r="O318" s="151"/>
    </row>
    <row r="319" ht="12.0" customHeight="1">
      <c r="B319" s="1"/>
      <c r="J319" s="151"/>
      <c r="O319" s="151"/>
    </row>
    <row r="320" ht="12.0" customHeight="1">
      <c r="B320" s="1"/>
      <c r="J320" s="151"/>
      <c r="O320" s="151"/>
    </row>
    <row r="321" ht="12.0" customHeight="1">
      <c r="B321" s="1"/>
      <c r="J321" s="151"/>
      <c r="O321" s="151"/>
    </row>
    <row r="322" ht="12.0" customHeight="1">
      <c r="B322" s="1"/>
      <c r="J322" s="151"/>
      <c r="O322" s="151"/>
    </row>
    <row r="323" ht="12.0" customHeight="1">
      <c r="B323" s="1"/>
      <c r="J323" s="151"/>
      <c r="O323" s="151"/>
    </row>
    <row r="324" ht="12.0" customHeight="1">
      <c r="B324" s="1"/>
      <c r="J324" s="151"/>
      <c r="O324" s="151"/>
    </row>
    <row r="325" ht="12.0" customHeight="1">
      <c r="B325" s="1"/>
      <c r="J325" s="151"/>
      <c r="O325" s="151"/>
    </row>
    <row r="326" ht="12.0" customHeight="1">
      <c r="B326" s="1"/>
      <c r="J326" s="151"/>
      <c r="O326" s="151"/>
    </row>
    <row r="327" ht="12.0" customHeight="1">
      <c r="B327" s="1"/>
      <c r="J327" s="151"/>
      <c r="O327" s="151"/>
    </row>
    <row r="328" ht="12.0" customHeight="1">
      <c r="B328" s="1"/>
      <c r="J328" s="151"/>
      <c r="O328" s="151"/>
    </row>
    <row r="329" ht="12.0" customHeight="1">
      <c r="B329" s="1"/>
      <c r="J329" s="151"/>
      <c r="O329" s="151"/>
    </row>
    <row r="330" ht="12.0" customHeight="1">
      <c r="B330" s="1"/>
      <c r="J330" s="151"/>
      <c r="O330" s="151"/>
    </row>
    <row r="331" ht="12.0" customHeight="1">
      <c r="B331" s="1"/>
      <c r="J331" s="151"/>
      <c r="O331" s="151"/>
    </row>
    <row r="332" ht="12.0" customHeight="1">
      <c r="B332" s="1"/>
      <c r="J332" s="151"/>
      <c r="O332" s="151"/>
    </row>
    <row r="333" ht="12.0" customHeight="1">
      <c r="B333" s="1"/>
      <c r="J333" s="151"/>
      <c r="O333" s="151"/>
    </row>
    <row r="334" ht="12.0" customHeight="1">
      <c r="B334" s="1"/>
      <c r="J334" s="151"/>
      <c r="O334" s="151"/>
    </row>
    <row r="335" ht="12.0" customHeight="1">
      <c r="B335" s="1"/>
      <c r="J335" s="151"/>
      <c r="O335" s="151"/>
    </row>
    <row r="336" ht="12.0" customHeight="1">
      <c r="B336" s="1"/>
      <c r="J336" s="151"/>
      <c r="O336" s="151"/>
    </row>
    <row r="337" ht="12.0" customHeight="1">
      <c r="B337" s="1"/>
      <c r="J337" s="151"/>
      <c r="O337" s="151"/>
    </row>
    <row r="338" ht="12.0" customHeight="1">
      <c r="B338" s="1"/>
      <c r="J338" s="151"/>
      <c r="O338" s="151"/>
    </row>
    <row r="339" ht="12.0" customHeight="1">
      <c r="B339" s="1"/>
      <c r="J339" s="151"/>
      <c r="O339" s="151"/>
    </row>
    <row r="340" ht="12.0" customHeight="1">
      <c r="B340" s="1"/>
      <c r="J340" s="151"/>
      <c r="O340" s="151"/>
    </row>
    <row r="341" ht="12.0" customHeight="1">
      <c r="B341" s="1"/>
      <c r="J341" s="151"/>
      <c r="O341" s="151"/>
    </row>
    <row r="342" ht="12.0" customHeight="1">
      <c r="B342" s="1"/>
      <c r="J342" s="151"/>
      <c r="O342" s="151"/>
    </row>
    <row r="343" ht="12.0" customHeight="1">
      <c r="B343" s="1"/>
      <c r="J343" s="151"/>
      <c r="O343" s="151"/>
    </row>
    <row r="344" ht="12.0" customHeight="1">
      <c r="B344" s="1"/>
      <c r="J344" s="151"/>
      <c r="O344" s="151"/>
    </row>
    <row r="345" ht="12.0" customHeight="1">
      <c r="B345" s="1"/>
      <c r="J345" s="151"/>
      <c r="O345" s="151"/>
    </row>
    <row r="346" ht="12.0" customHeight="1">
      <c r="B346" s="1"/>
      <c r="J346" s="151"/>
      <c r="O346" s="151"/>
    </row>
    <row r="347" ht="12.0" customHeight="1">
      <c r="B347" s="1"/>
      <c r="J347" s="151"/>
      <c r="O347" s="151"/>
    </row>
    <row r="348" ht="12.0" customHeight="1">
      <c r="B348" s="1"/>
      <c r="J348" s="151"/>
      <c r="O348" s="151"/>
    </row>
    <row r="349" ht="12.0" customHeight="1">
      <c r="B349" s="1"/>
      <c r="J349" s="151"/>
      <c r="O349" s="151"/>
    </row>
    <row r="350" ht="12.0" customHeight="1">
      <c r="B350" s="1"/>
      <c r="J350" s="151"/>
      <c r="O350" s="151"/>
    </row>
    <row r="351" ht="12.0" customHeight="1">
      <c r="B351" s="1"/>
      <c r="J351" s="151"/>
      <c r="O351" s="151"/>
    </row>
    <row r="352" ht="12.0" customHeight="1">
      <c r="B352" s="1"/>
      <c r="J352" s="151"/>
      <c r="O352" s="151"/>
    </row>
    <row r="353" ht="12.0" customHeight="1">
      <c r="B353" s="1"/>
      <c r="J353" s="151"/>
      <c r="O353" s="151"/>
    </row>
    <row r="354" ht="12.0" customHeight="1">
      <c r="B354" s="1"/>
      <c r="J354" s="151"/>
      <c r="O354" s="151"/>
    </row>
    <row r="355" ht="12.0" customHeight="1">
      <c r="B355" s="1"/>
      <c r="J355" s="151"/>
      <c r="O355" s="151"/>
    </row>
    <row r="356" ht="12.0" customHeight="1">
      <c r="B356" s="1"/>
      <c r="J356" s="151"/>
      <c r="O356" s="151"/>
    </row>
    <row r="357" ht="12.0" customHeight="1">
      <c r="B357" s="1"/>
      <c r="J357" s="151"/>
      <c r="O357" s="151"/>
    </row>
    <row r="358" ht="12.0" customHeight="1">
      <c r="B358" s="1"/>
      <c r="J358" s="151"/>
      <c r="O358" s="151"/>
    </row>
    <row r="359" ht="12.0" customHeight="1">
      <c r="B359" s="1"/>
      <c r="J359" s="151"/>
      <c r="O359" s="151"/>
    </row>
    <row r="360" ht="12.0" customHeight="1">
      <c r="B360" s="1"/>
      <c r="J360" s="151"/>
      <c r="O360" s="151"/>
    </row>
    <row r="361" ht="12.0" customHeight="1">
      <c r="B361" s="1"/>
      <c r="J361" s="151"/>
      <c r="O361" s="151"/>
    </row>
    <row r="362" ht="12.0" customHeight="1">
      <c r="B362" s="1"/>
      <c r="J362" s="151"/>
      <c r="O362" s="151"/>
    </row>
    <row r="363" ht="12.0" customHeight="1">
      <c r="B363" s="1"/>
      <c r="J363" s="151"/>
      <c r="O363" s="151"/>
    </row>
    <row r="364" ht="12.0" customHeight="1">
      <c r="B364" s="1"/>
      <c r="J364" s="151"/>
      <c r="O364" s="151"/>
    </row>
    <row r="365" ht="12.0" customHeight="1">
      <c r="B365" s="1"/>
      <c r="J365" s="151"/>
      <c r="O365" s="151"/>
    </row>
    <row r="366" ht="12.0" customHeight="1">
      <c r="B366" s="1"/>
      <c r="J366" s="151"/>
      <c r="O366" s="151"/>
    </row>
    <row r="367" ht="12.0" customHeight="1">
      <c r="B367" s="1"/>
      <c r="J367" s="151"/>
      <c r="O367" s="151"/>
    </row>
    <row r="368" ht="12.0" customHeight="1">
      <c r="B368" s="1"/>
      <c r="J368" s="151"/>
      <c r="O368" s="151"/>
    </row>
    <row r="369" ht="12.0" customHeight="1">
      <c r="B369" s="1"/>
      <c r="J369" s="151"/>
      <c r="O369" s="151"/>
    </row>
    <row r="370" ht="12.0" customHeight="1">
      <c r="B370" s="1"/>
      <c r="J370" s="151"/>
      <c r="O370" s="151"/>
    </row>
    <row r="371" ht="12.0" customHeight="1">
      <c r="B371" s="1"/>
      <c r="J371" s="151"/>
      <c r="O371" s="151"/>
    </row>
    <row r="372" ht="12.0" customHeight="1">
      <c r="B372" s="1"/>
      <c r="J372" s="151"/>
      <c r="O372" s="151"/>
    </row>
    <row r="373" ht="12.0" customHeight="1">
      <c r="B373" s="1"/>
      <c r="J373" s="151"/>
      <c r="O373" s="151"/>
    </row>
    <row r="374" ht="12.0" customHeight="1">
      <c r="B374" s="1"/>
      <c r="J374" s="151"/>
      <c r="O374" s="151"/>
    </row>
    <row r="375" ht="12.0" customHeight="1">
      <c r="B375" s="1"/>
      <c r="J375" s="151"/>
      <c r="O375" s="151"/>
    </row>
    <row r="376" ht="12.0" customHeight="1">
      <c r="B376" s="1"/>
      <c r="J376" s="151"/>
      <c r="O376" s="151"/>
    </row>
    <row r="377" ht="12.0" customHeight="1">
      <c r="B377" s="1"/>
      <c r="J377" s="151"/>
      <c r="O377" s="151"/>
    </row>
    <row r="378" ht="12.0" customHeight="1">
      <c r="B378" s="1"/>
      <c r="J378" s="151"/>
      <c r="O378" s="151"/>
    </row>
    <row r="379" ht="12.0" customHeight="1">
      <c r="B379" s="1"/>
      <c r="J379" s="151"/>
      <c r="O379" s="151"/>
    </row>
    <row r="380" ht="12.0" customHeight="1">
      <c r="B380" s="1"/>
      <c r="J380" s="151"/>
      <c r="O380" s="151"/>
    </row>
    <row r="381" ht="12.0" customHeight="1">
      <c r="B381" s="1"/>
      <c r="J381" s="151"/>
      <c r="O381" s="151"/>
    </row>
    <row r="382" ht="12.0" customHeight="1">
      <c r="B382" s="1"/>
      <c r="J382" s="151"/>
      <c r="O382" s="151"/>
    </row>
    <row r="383" ht="12.0" customHeight="1">
      <c r="B383" s="1"/>
      <c r="J383" s="151"/>
      <c r="O383" s="151"/>
    </row>
    <row r="384" ht="12.0" customHeight="1">
      <c r="B384" s="1"/>
      <c r="J384" s="151"/>
      <c r="O384" s="151"/>
    </row>
    <row r="385" ht="12.0" customHeight="1">
      <c r="B385" s="1"/>
      <c r="J385" s="151"/>
      <c r="O385" s="151"/>
    </row>
    <row r="386" ht="12.0" customHeight="1">
      <c r="B386" s="1"/>
      <c r="J386" s="151"/>
      <c r="O386" s="151"/>
    </row>
    <row r="387" ht="12.0" customHeight="1">
      <c r="B387" s="1"/>
      <c r="J387" s="151"/>
      <c r="O387" s="151"/>
    </row>
    <row r="388" ht="12.0" customHeight="1">
      <c r="B388" s="1"/>
      <c r="J388" s="151"/>
      <c r="O388" s="151"/>
    </row>
    <row r="389" ht="12.0" customHeight="1">
      <c r="B389" s="1"/>
      <c r="J389" s="151"/>
      <c r="O389" s="151"/>
    </row>
    <row r="390" ht="12.0" customHeight="1">
      <c r="B390" s="1"/>
      <c r="J390" s="151"/>
      <c r="O390" s="151"/>
    </row>
    <row r="391" ht="12.0" customHeight="1">
      <c r="B391" s="1"/>
      <c r="J391" s="151"/>
      <c r="O391" s="151"/>
    </row>
    <row r="392" ht="12.0" customHeight="1">
      <c r="B392" s="1"/>
      <c r="J392" s="151"/>
      <c r="O392" s="151"/>
    </row>
    <row r="393" ht="12.0" customHeight="1">
      <c r="B393" s="1"/>
      <c r="J393" s="151"/>
      <c r="O393" s="151"/>
    </row>
    <row r="394" ht="12.0" customHeight="1">
      <c r="B394" s="1"/>
      <c r="J394" s="151"/>
      <c r="O394" s="151"/>
    </row>
    <row r="395" ht="12.0" customHeight="1">
      <c r="B395" s="1"/>
      <c r="J395" s="151"/>
      <c r="O395" s="151"/>
    </row>
    <row r="396" ht="12.0" customHeight="1">
      <c r="B396" s="1"/>
      <c r="J396" s="151"/>
      <c r="O396" s="151"/>
    </row>
    <row r="397" ht="12.0" customHeight="1">
      <c r="B397" s="1"/>
      <c r="J397" s="151"/>
      <c r="O397" s="151"/>
    </row>
    <row r="398" ht="12.0" customHeight="1">
      <c r="B398" s="1"/>
      <c r="J398" s="151"/>
      <c r="O398" s="151"/>
    </row>
    <row r="399" ht="12.0" customHeight="1">
      <c r="B399" s="1"/>
      <c r="J399" s="151"/>
      <c r="O399" s="151"/>
    </row>
    <row r="400" ht="12.0" customHeight="1">
      <c r="B400" s="1"/>
      <c r="J400" s="151"/>
      <c r="O400" s="151"/>
    </row>
    <row r="401" ht="12.0" customHeight="1">
      <c r="B401" s="1"/>
      <c r="J401" s="151"/>
      <c r="O401" s="151"/>
    </row>
    <row r="402" ht="12.0" customHeight="1">
      <c r="B402" s="1"/>
      <c r="J402" s="151"/>
      <c r="O402" s="151"/>
    </row>
    <row r="403" ht="12.0" customHeight="1">
      <c r="B403" s="1"/>
      <c r="J403" s="151"/>
      <c r="O403" s="151"/>
    </row>
    <row r="404" ht="12.0" customHeight="1">
      <c r="B404" s="1"/>
      <c r="J404" s="151"/>
      <c r="O404" s="151"/>
    </row>
    <row r="405" ht="12.0" customHeight="1">
      <c r="B405" s="1"/>
      <c r="J405" s="151"/>
      <c r="O405" s="151"/>
    </row>
    <row r="406" ht="12.0" customHeight="1">
      <c r="B406" s="1"/>
      <c r="J406" s="151"/>
      <c r="O406" s="151"/>
    </row>
    <row r="407" ht="12.0" customHeight="1">
      <c r="B407" s="1"/>
      <c r="J407" s="151"/>
      <c r="O407" s="151"/>
    </row>
    <row r="408" ht="12.0" customHeight="1">
      <c r="B408" s="1"/>
      <c r="J408" s="151"/>
      <c r="O408" s="151"/>
    </row>
    <row r="409" ht="12.0" customHeight="1">
      <c r="B409" s="1"/>
      <c r="J409" s="151"/>
      <c r="O409" s="151"/>
    </row>
    <row r="410" ht="12.0" customHeight="1">
      <c r="B410" s="1"/>
      <c r="J410" s="151"/>
      <c r="O410" s="151"/>
    </row>
    <row r="411" ht="12.0" customHeight="1">
      <c r="B411" s="1"/>
      <c r="J411" s="151"/>
      <c r="O411" s="151"/>
    </row>
    <row r="412" ht="12.0" customHeight="1">
      <c r="B412" s="1"/>
      <c r="J412" s="151"/>
      <c r="O412" s="151"/>
    </row>
    <row r="413" ht="12.0" customHeight="1">
      <c r="B413" s="1"/>
      <c r="J413" s="151"/>
      <c r="O413" s="151"/>
    </row>
    <row r="414" ht="12.0" customHeight="1">
      <c r="B414" s="1"/>
      <c r="J414" s="151"/>
      <c r="O414" s="151"/>
    </row>
    <row r="415" ht="12.0" customHeight="1">
      <c r="B415" s="1"/>
      <c r="J415" s="151"/>
      <c r="O415" s="151"/>
    </row>
    <row r="416" ht="12.0" customHeight="1">
      <c r="B416" s="1"/>
      <c r="J416" s="151"/>
      <c r="O416" s="151"/>
    </row>
    <row r="417" ht="12.0" customHeight="1">
      <c r="B417" s="1"/>
      <c r="J417" s="151"/>
      <c r="O417" s="151"/>
    </row>
    <row r="418" ht="12.0" customHeight="1">
      <c r="B418" s="1"/>
      <c r="J418" s="151"/>
      <c r="O418" s="151"/>
    </row>
    <row r="419" ht="12.0" customHeight="1">
      <c r="B419" s="1"/>
      <c r="J419" s="151"/>
      <c r="O419" s="151"/>
    </row>
    <row r="420" ht="12.0" customHeight="1">
      <c r="B420" s="1"/>
      <c r="J420" s="151"/>
      <c r="O420" s="151"/>
    </row>
    <row r="421" ht="12.0" customHeight="1">
      <c r="B421" s="1"/>
      <c r="J421" s="151"/>
      <c r="O421" s="151"/>
    </row>
    <row r="422" ht="12.0" customHeight="1">
      <c r="B422" s="1"/>
      <c r="J422" s="151"/>
      <c r="O422" s="151"/>
    </row>
    <row r="423" ht="12.0" customHeight="1">
      <c r="B423" s="1"/>
      <c r="J423" s="151"/>
      <c r="O423" s="151"/>
    </row>
    <row r="424" ht="12.0" customHeight="1">
      <c r="B424" s="1"/>
      <c r="J424" s="151"/>
      <c r="O424" s="151"/>
    </row>
    <row r="425" ht="12.0" customHeight="1">
      <c r="B425" s="1"/>
      <c r="J425" s="151"/>
      <c r="O425" s="151"/>
    </row>
    <row r="426" ht="12.0" customHeight="1">
      <c r="B426" s="1"/>
      <c r="J426" s="151"/>
      <c r="O426" s="151"/>
    </row>
    <row r="427" ht="12.0" customHeight="1">
      <c r="B427" s="1"/>
      <c r="J427" s="151"/>
      <c r="O427" s="151"/>
    </row>
    <row r="428" ht="12.0" customHeight="1">
      <c r="B428" s="1"/>
      <c r="J428" s="151"/>
      <c r="O428" s="151"/>
    </row>
    <row r="429" ht="12.0" customHeight="1">
      <c r="B429" s="1"/>
      <c r="J429" s="151"/>
      <c r="O429" s="151"/>
    </row>
    <row r="430" ht="12.0" customHeight="1">
      <c r="B430" s="1"/>
      <c r="J430" s="151"/>
      <c r="O430" s="151"/>
    </row>
    <row r="431" ht="12.0" customHeight="1">
      <c r="B431" s="1"/>
      <c r="J431" s="151"/>
      <c r="O431" s="151"/>
    </row>
    <row r="432" ht="12.0" customHeight="1">
      <c r="B432" s="1"/>
      <c r="J432" s="151"/>
      <c r="O432" s="151"/>
    </row>
    <row r="433" ht="12.0" customHeight="1">
      <c r="B433" s="1"/>
      <c r="J433" s="151"/>
      <c r="O433" s="151"/>
    </row>
    <row r="434" ht="12.0" customHeight="1">
      <c r="B434" s="1"/>
      <c r="J434" s="151"/>
      <c r="O434" s="151"/>
    </row>
    <row r="435" ht="12.0" customHeight="1">
      <c r="B435" s="1"/>
      <c r="J435" s="151"/>
      <c r="O435" s="151"/>
    </row>
    <row r="436" ht="12.0" customHeight="1">
      <c r="B436" s="1"/>
      <c r="J436" s="151"/>
      <c r="O436" s="151"/>
    </row>
    <row r="437" ht="12.0" customHeight="1">
      <c r="B437" s="1"/>
      <c r="J437" s="151"/>
      <c r="O437" s="151"/>
    </row>
    <row r="438" ht="12.0" customHeight="1">
      <c r="B438" s="1"/>
      <c r="J438" s="151"/>
      <c r="O438" s="151"/>
    </row>
    <row r="439" ht="12.0" customHeight="1">
      <c r="B439" s="1"/>
      <c r="J439" s="151"/>
      <c r="O439" s="151"/>
    </row>
    <row r="440" ht="12.0" customHeight="1">
      <c r="B440" s="1"/>
      <c r="J440" s="151"/>
      <c r="O440" s="151"/>
    </row>
    <row r="441" ht="12.0" customHeight="1">
      <c r="B441" s="1"/>
      <c r="J441" s="151"/>
      <c r="O441" s="151"/>
    </row>
    <row r="442" ht="12.0" customHeight="1">
      <c r="B442" s="1"/>
      <c r="J442" s="151"/>
      <c r="O442" s="151"/>
    </row>
    <row r="443" ht="12.0" customHeight="1">
      <c r="B443" s="1"/>
      <c r="J443" s="151"/>
      <c r="O443" s="151"/>
    </row>
    <row r="444" ht="12.0" customHeight="1">
      <c r="B444" s="1"/>
      <c r="J444" s="151"/>
      <c r="O444" s="151"/>
    </row>
    <row r="445" ht="12.0" customHeight="1">
      <c r="B445" s="1"/>
      <c r="J445" s="151"/>
      <c r="O445" s="151"/>
    </row>
    <row r="446" ht="12.0" customHeight="1">
      <c r="B446" s="1"/>
      <c r="J446" s="151"/>
      <c r="O446" s="151"/>
    </row>
    <row r="447" ht="12.0" customHeight="1">
      <c r="B447" s="1"/>
      <c r="J447" s="151"/>
      <c r="O447" s="151"/>
    </row>
    <row r="448" ht="12.0" customHeight="1">
      <c r="B448" s="1"/>
      <c r="J448" s="151"/>
      <c r="O448" s="151"/>
    </row>
    <row r="449" ht="12.0" customHeight="1">
      <c r="B449" s="1"/>
      <c r="J449" s="151"/>
      <c r="O449" s="151"/>
    </row>
    <row r="450" ht="12.0" customHeight="1">
      <c r="B450" s="1"/>
      <c r="J450" s="151"/>
      <c r="O450" s="151"/>
    </row>
    <row r="451" ht="12.0" customHeight="1">
      <c r="B451" s="1"/>
      <c r="J451" s="151"/>
      <c r="O451" s="151"/>
    </row>
    <row r="452" ht="12.0" customHeight="1">
      <c r="B452" s="1"/>
      <c r="J452" s="151"/>
      <c r="O452" s="151"/>
    </row>
    <row r="453" ht="12.0" customHeight="1">
      <c r="B453" s="1"/>
      <c r="J453" s="151"/>
      <c r="O453" s="151"/>
    </row>
    <row r="454" ht="12.0" customHeight="1">
      <c r="B454" s="1"/>
      <c r="J454" s="151"/>
      <c r="O454" s="151"/>
    </row>
    <row r="455" ht="12.0" customHeight="1">
      <c r="B455" s="1"/>
      <c r="J455" s="151"/>
      <c r="O455" s="151"/>
    </row>
    <row r="456" ht="12.0" customHeight="1">
      <c r="B456" s="1"/>
      <c r="J456" s="151"/>
      <c r="O456" s="151"/>
    </row>
    <row r="457" ht="12.0" customHeight="1">
      <c r="B457" s="1"/>
      <c r="J457" s="151"/>
      <c r="O457" s="151"/>
    </row>
    <row r="458" ht="12.0" customHeight="1">
      <c r="B458" s="1"/>
      <c r="J458" s="151"/>
      <c r="O458" s="151"/>
    </row>
    <row r="459" ht="12.0" customHeight="1">
      <c r="B459" s="1"/>
      <c r="J459" s="151"/>
      <c r="O459" s="151"/>
    </row>
    <row r="460" ht="12.0" customHeight="1">
      <c r="B460" s="1"/>
      <c r="J460" s="151"/>
      <c r="O460" s="151"/>
    </row>
    <row r="461" ht="12.0" customHeight="1">
      <c r="B461" s="1"/>
      <c r="J461" s="151"/>
      <c r="O461" s="151"/>
    </row>
    <row r="462" ht="12.0" customHeight="1">
      <c r="B462" s="1"/>
      <c r="J462" s="151"/>
      <c r="O462" s="151"/>
    </row>
    <row r="463" ht="12.0" customHeight="1">
      <c r="B463" s="1"/>
      <c r="J463" s="151"/>
      <c r="O463" s="151"/>
    </row>
    <row r="464" ht="12.0" customHeight="1">
      <c r="B464" s="1"/>
      <c r="J464" s="151"/>
      <c r="O464" s="151"/>
    </row>
    <row r="465" ht="12.0" customHeight="1">
      <c r="B465" s="1"/>
      <c r="J465" s="151"/>
      <c r="O465" s="151"/>
    </row>
    <row r="466" ht="12.0" customHeight="1">
      <c r="B466" s="1"/>
      <c r="J466" s="151"/>
      <c r="O466" s="151"/>
    </row>
    <row r="467" ht="12.0" customHeight="1">
      <c r="B467" s="1"/>
      <c r="J467" s="151"/>
      <c r="O467" s="151"/>
    </row>
    <row r="468" ht="12.0" customHeight="1">
      <c r="B468" s="1"/>
      <c r="J468" s="151"/>
      <c r="O468" s="151"/>
    </row>
    <row r="469" ht="12.0" customHeight="1">
      <c r="B469" s="1"/>
      <c r="J469" s="151"/>
      <c r="O469" s="151"/>
    </row>
    <row r="470" ht="12.0" customHeight="1">
      <c r="B470" s="1"/>
      <c r="J470" s="151"/>
      <c r="O470" s="151"/>
    </row>
    <row r="471" ht="12.0" customHeight="1">
      <c r="B471" s="1"/>
      <c r="J471" s="151"/>
      <c r="O471" s="151"/>
    </row>
    <row r="472" ht="12.0" customHeight="1">
      <c r="B472" s="1"/>
      <c r="J472" s="151"/>
      <c r="O472" s="151"/>
    </row>
    <row r="473" ht="12.0" customHeight="1">
      <c r="B473" s="1"/>
      <c r="J473" s="151"/>
      <c r="O473" s="151"/>
    </row>
    <row r="474" ht="12.0" customHeight="1">
      <c r="B474" s="1"/>
      <c r="J474" s="151"/>
      <c r="O474" s="151"/>
    </row>
    <row r="475" ht="12.0" customHeight="1">
      <c r="B475" s="1"/>
      <c r="J475" s="151"/>
      <c r="O475" s="151"/>
    </row>
    <row r="476" ht="12.0" customHeight="1">
      <c r="B476" s="1"/>
      <c r="J476" s="151"/>
      <c r="O476" s="151"/>
    </row>
    <row r="477" ht="12.0" customHeight="1">
      <c r="B477" s="1"/>
      <c r="J477" s="151"/>
      <c r="O477" s="151"/>
    </row>
    <row r="478" ht="12.0" customHeight="1">
      <c r="B478" s="1"/>
      <c r="J478" s="151"/>
      <c r="O478" s="151"/>
    </row>
    <row r="479" ht="12.0" customHeight="1">
      <c r="B479" s="1"/>
      <c r="J479" s="151"/>
      <c r="O479" s="151"/>
    </row>
    <row r="480" ht="12.0" customHeight="1">
      <c r="B480" s="1"/>
      <c r="J480" s="151"/>
      <c r="O480" s="151"/>
    </row>
    <row r="481" ht="12.0" customHeight="1">
      <c r="B481" s="1"/>
      <c r="J481" s="151"/>
      <c r="O481" s="151"/>
    </row>
    <row r="482" ht="12.0" customHeight="1">
      <c r="B482" s="1"/>
      <c r="J482" s="151"/>
      <c r="O482" s="151"/>
    </row>
    <row r="483" ht="12.0" customHeight="1">
      <c r="B483" s="1"/>
      <c r="J483" s="151"/>
      <c r="O483" s="151"/>
    </row>
    <row r="484" ht="12.0" customHeight="1">
      <c r="B484" s="1"/>
      <c r="J484" s="151"/>
      <c r="O484" s="151"/>
    </row>
    <row r="485" ht="12.0" customHeight="1">
      <c r="B485" s="1"/>
      <c r="J485" s="151"/>
      <c r="O485" s="151"/>
    </row>
    <row r="486" ht="12.0" customHeight="1">
      <c r="B486" s="1"/>
      <c r="J486" s="151"/>
      <c r="O486" s="151"/>
    </row>
    <row r="487" ht="12.0" customHeight="1">
      <c r="B487" s="1"/>
      <c r="J487" s="151"/>
      <c r="O487" s="151"/>
    </row>
    <row r="488" ht="12.0" customHeight="1">
      <c r="B488" s="1"/>
      <c r="J488" s="151"/>
      <c r="O488" s="151"/>
    </row>
    <row r="489" ht="12.0" customHeight="1">
      <c r="B489" s="1"/>
      <c r="J489" s="151"/>
      <c r="O489" s="151"/>
    </row>
    <row r="490" ht="12.0" customHeight="1">
      <c r="B490" s="1"/>
      <c r="J490" s="151"/>
      <c r="O490" s="151"/>
    </row>
    <row r="491" ht="12.0" customHeight="1">
      <c r="B491" s="1"/>
      <c r="J491" s="151"/>
      <c r="O491" s="151"/>
    </row>
    <row r="492" ht="12.0" customHeight="1">
      <c r="B492" s="1"/>
      <c r="J492" s="151"/>
      <c r="O492" s="151"/>
    </row>
    <row r="493" ht="12.0" customHeight="1">
      <c r="B493" s="1"/>
      <c r="J493" s="151"/>
      <c r="O493" s="151"/>
    </row>
    <row r="494" ht="12.0" customHeight="1">
      <c r="B494" s="1"/>
      <c r="J494" s="151"/>
      <c r="O494" s="151"/>
    </row>
    <row r="495" ht="12.0" customHeight="1">
      <c r="B495" s="1"/>
      <c r="J495" s="151"/>
      <c r="O495" s="151"/>
    </row>
    <row r="496" ht="12.0" customHeight="1">
      <c r="B496" s="1"/>
      <c r="J496" s="151"/>
      <c r="O496" s="151"/>
    </row>
    <row r="497" ht="12.0" customHeight="1">
      <c r="B497" s="1"/>
      <c r="J497" s="151"/>
      <c r="O497" s="151"/>
    </row>
    <row r="498" ht="12.0" customHeight="1">
      <c r="B498" s="1"/>
      <c r="J498" s="151"/>
      <c r="O498" s="151"/>
    </row>
    <row r="499" ht="12.0" customHeight="1">
      <c r="B499" s="1"/>
      <c r="J499" s="151"/>
      <c r="O499" s="151"/>
    </row>
    <row r="500" ht="12.0" customHeight="1">
      <c r="B500" s="1"/>
      <c r="J500" s="151"/>
      <c r="O500" s="151"/>
    </row>
    <row r="501" ht="12.0" customHeight="1">
      <c r="B501" s="1"/>
      <c r="J501" s="151"/>
      <c r="O501" s="151"/>
    </row>
    <row r="502" ht="12.0" customHeight="1">
      <c r="B502" s="1"/>
      <c r="J502" s="151"/>
      <c r="O502" s="151"/>
    </row>
    <row r="503" ht="12.0" customHeight="1">
      <c r="B503" s="1"/>
      <c r="J503" s="151"/>
      <c r="O503" s="151"/>
    </row>
    <row r="504" ht="12.0" customHeight="1">
      <c r="B504" s="1"/>
      <c r="J504" s="151"/>
      <c r="O504" s="151"/>
    </row>
    <row r="505" ht="12.0" customHeight="1">
      <c r="B505" s="1"/>
      <c r="J505" s="151"/>
      <c r="O505" s="151"/>
    </row>
    <row r="506" ht="12.0" customHeight="1">
      <c r="B506" s="1"/>
      <c r="J506" s="151"/>
      <c r="O506" s="151"/>
    </row>
    <row r="507" ht="12.0" customHeight="1">
      <c r="B507" s="1"/>
      <c r="J507" s="151"/>
      <c r="O507" s="151"/>
    </row>
    <row r="508" ht="12.0" customHeight="1">
      <c r="B508" s="1"/>
      <c r="J508" s="151"/>
      <c r="O508" s="151"/>
    </row>
    <row r="509" ht="12.0" customHeight="1">
      <c r="B509" s="1"/>
      <c r="J509" s="151"/>
      <c r="O509" s="151"/>
    </row>
    <row r="510" ht="12.0" customHeight="1">
      <c r="B510" s="1"/>
      <c r="J510" s="151"/>
      <c r="O510" s="151"/>
    </row>
    <row r="511" ht="12.0" customHeight="1">
      <c r="B511" s="1"/>
      <c r="J511" s="151"/>
      <c r="O511" s="151"/>
    </row>
    <row r="512" ht="12.0" customHeight="1">
      <c r="B512" s="1"/>
      <c r="J512" s="151"/>
      <c r="O512" s="151"/>
    </row>
    <row r="513" ht="12.0" customHeight="1">
      <c r="B513" s="1"/>
      <c r="J513" s="151"/>
      <c r="O513" s="151"/>
    </row>
    <row r="514" ht="12.0" customHeight="1">
      <c r="B514" s="1"/>
      <c r="J514" s="151"/>
      <c r="O514" s="151"/>
    </row>
    <row r="515" ht="12.0" customHeight="1">
      <c r="B515" s="1"/>
      <c r="J515" s="151"/>
      <c r="O515" s="151"/>
    </row>
    <row r="516" ht="12.0" customHeight="1">
      <c r="B516" s="1"/>
      <c r="J516" s="151"/>
      <c r="O516" s="151"/>
    </row>
    <row r="517" ht="12.0" customHeight="1">
      <c r="B517" s="1"/>
      <c r="J517" s="151"/>
      <c r="O517" s="151"/>
    </row>
    <row r="518" ht="12.0" customHeight="1">
      <c r="B518" s="1"/>
      <c r="J518" s="151"/>
      <c r="O518" s="151"/>
    </row>
    <row r="519" ht="12.0" customHeight="1">
      <c r="B519" s="1"/>
      <c r="J519" s="151"/>
      <c r="O519" s="151"/>
    </row>
    <row r="520" ht="12.0" customHeight="1">
      <c r="B520" s="1"/>
      <c r="J520" s="151"/>
      <c r="O520" s="151"/>
    </row>
    <row r="521" ht="12.0" customHeight="1">
      <c r="B521" s="1"/>
      <c r="J521" s="151"/>
      <c r="O521" s="151"/>
    </row>
    <row r="522" ht="12.0" customHeight="1">
      <c r="B522" s="1"/>
      <c r="J522" s="151"/>
      <c r="O522" s="151"/>
    </row>
    <row r="523" ht="12.0" customHeight="1">
      <c r="B523" s="1"/>
      <c r="J523" s="151"/>
      <c r="O523" s="151"/>
    </row>
    <row r="524" ht="12.0" customHeight="1">
      <c r="B524" s="1"/>
      <c r="J524" s="151"/>
      <c r="O524" s="151"/>
    </row>
    <row r="525" ht="12.0" customHeight="1">
      <c r="B525" s="1"/>
      <c r="J525" s="151"/>
      <c r="O525" s="151"/>
    </row>
    <row r="526" ht="12.0" customHeight="1">
      <c r="B526" s="1"/>
      <c r="J526" s="151"/>
      <c r="O526" s="151"/>
    </row>
    <row r="527" ht="12.0" customHeight="1">
      <c r="B527" s="1"/>
      <c r="J527" s="151"/>
      <c r="O527" s="151"/>
    </row>
    <row r="528" ht="12.0" customHeight="1">
      <c r="B528" s="1"/>
      <c r="J528" s="151"/>
      <c r="O528" s="151"/>
    </row>
    <row r="529" ht="12.0" customHeight="1">
      <c r="B529" s="1"/>
      <c r="J529" s="151"/>
      <c r="O529" s="151"/>
    </row>
    <row r="530" ht="12.0" customHeight="1">
      <c r="B530" s="1"/>
      <c r="J530" s="151"/>
      <c r="O530" s="151"/>
    </row>
    <row r="531" ht="12.0" customHeight="1">
      <c r="B531" s="1"/>
      <c r="J531" s="151"/>
      <c r="O531" s="151"/>
    </row>
    <row r="532" ht="12.0" customHeight="1">
      <c r="B532" s="1"/>
      <c r="J532" s="151"/>
      <c r="O532" s="151"/>
    </row>
    <row r="533" ht="12.0" customHeight="1">
      <c r="B533" s="1"/>
      <c r="J533" s="151"/>
      <c r="O533" s="151"/>
    </row>
    <row r="534" ht="12.0" customHeight="1">
      <c r="B534" s="1"/>
      <c r="J534" s="151"/>
      <c r="O534" s="151"/>
    </row>
    <row r="535" ht="12.0" customHeight="1">
      <c r="B535" s="1"/>
      <c r="J535" s="151"/>
      <c r="O535" s="151"/>
    </row>
    <row r="536" ht="12.0" customHeight="1">
      <c r="B536" s="1"/>
      <c r="J536" s="151"/>
      <c r="O536" s="151"/>
    </row>
    <row r="537" ht="12.0" customHeight="1">
      <c r="B537" s="1"/>
      <c r="J537" s="151"/>
      <c r="O537" s="151"/>
    </row>
    <row r="538" ht="12.0" customHeight="1">
      <c r="B538" s="1"/>
      <c r="J538" s="151"/>
      <c r="O538" s="151"/>
    </row>
    <row r="539" ht="12.0" customHeight="1">
      <c r="B539" s="1"/>
      <c r="J539" s="151"/>
      <c r="O539" s="151"/>
    </row>
    <row r="540" ht="12.0" customHeight="1">
      <c r="B540" s="1"/>
      <c r="J540" s="151"/>
      <c r="O540" s="151"/>
    </row>
    <row r="541" ht="12.0" customHeight="1">
      <c r="B541" s="1"/>
      <c r="J541" s="151"/>
      <c r="O541" s="151"/>
    </row>
    <row r="542" ht="12.0" customHeight="1">
      <c r="B542" s="1"/>
      <c r="J542" s="151"/>
      <c r="O542" s="151"/>
    </row>
    <row r="543" ht="12.0" customHeight="1">
      <c r="B543" s="1"/>
      <c r="J543" s="151"/>
      <c r="O543" s="151"/>
    </row>
    <row r="544" ht="12.0" customHeight="1">
      <c r="B544" s="1"/>
      <c r="J544" s="151"/>
      <c r="O544" s="151"/>
    </row>
    <row r="545" ht="12.0" customHeight="1">
      <c r="B545" s="1"/>
      <c r="J545" s="151"/>
      <c r="O545" s="151"/>
    </row>
    <row r="546" ht="12.0" customHeight="1">
      <c r="B546" s="1"/>
      <c r="J546" s="151"/>
      <c r="O546" s="151"/>
    </row>
    <row r="547" ht="12.0" customHeight="1">
      <c r="B547" s="1"/>
      <c r="J547" s="151"/>
      <c r="O547" s="151"/>
    </row>
    <row r="548" ht="12.0" customHeight="1">
      <c r="B548" s="1"/>
      <c r="J548" s="151"/>
      <c r="O548" s="151"/>
    </row>
    <row r="549" ht="12.0" customHeight="1">
      <c r="B549" s="1"/>
      <c r="J549" s="151"/>
      <c r="O549" s="151"/>
    </row>
    <row r="550" ht="12.0" customHeight="1">
      <c r="B550" s="1"/>
      <c r="J550" s="151"/>
      <c r="O550" s="151"/>
    </row>
    <row r="551" ht="12.0" customHeight="1">
      <c r="B551" s="1"/>
      <c r="J551" s="151"/>
      <c r="O551" s="151"/>
    </row>
    <row r="552" ht="12.0" customHeight="1">
      <c r="B552" s="1"/>
      <c r="J552" s="151"/>
      <c r="O552" s="151"/>
    </row>
    <row r="553" ht="12.0" customHeight="1">
      <c r="B553" s="1"/>
      <c r="J553" s="151"/>
      <c r="O553" s="151"/>
    </row>
    <row r="554" ht="12.0" customHeight="1">
      <c r="B554" s="1"/>
      <c r="J554" s="151"/>
      <c r="O554" s="151"/>
    </row>
    <row r="555" ht="12.0" customHeight="1">
      <c r="B555" s="1"/>
      <c r="J555" s="151"/>
      <c r="O555" s="151"/>
    </row>
    <row r="556" ht="12.0" customHeight="1">
      <c r="B556" s="1"/>
      <c r="J556" s="151"/>
      <c r="O556" s="151"/>
    </row>
    <row r="557" ht="12.0" customHeight="1">
      <c r="B557" s="1"/>
      <c r="J557" s="151"/>
      <c r="O557" s="151"/>
    </row>
    <row r="558" ht="12.0" customHeight="1">
      <c r="B558" s="1"/>
      <c r="J558" s="151"/>
      <c r="O558" s="151"/>
    </row>
    <row r="559" ht="12.0" customHeight="1">
      <c r="B559" s="1"/>
      <c r="J559" s="151"/>
      <c r="O559" s="151"/>
    </row>
    <row r="560" ht="12.0" customHeight="1">
      <c r="B560" s="1"/>
      <c r="J560" s="151"/>
      <c r="O560" s="151"/>
    </row>
    <row r="561" ht="12.0" customHeight="1">
      <c r="B561" s="1"/>
      <c r="J561" s="151"/>
      <c r="O561" s="151"/>
    </row>
    <row r="562" ht="12.0" customHeight="1">
      <c r="B562" s="1"/>
      <c r="J562" s="151"/>
      <c r="O562" s="151"/>
    </row>
    <row r="563" ht="12.0" customHeight="1">
      <c r="B563" s="1"/>
      <c r="J563" s="151"/>
      <c r="O563" s="151"/>
    </row>
    <row r="564" ht="12.0" customHeight="1">
      <c r="B564" s="1"/>
      <c r="J564" s="151"/>
      <c r="O564" s="151"/>
    </row>
    <row r="565" ht="12.0" customHeight="1">
      <c r="B565" s="1"/>
      <c r="J565" s="151"/>
      <c r="O565" s="151"/>
    </row>
    <row r="566" ht="12.0" customHeight="1">
      <c r="B566" s="1"/>
      <c r="J566" s="151"/>
      <c r="O566" s="151"/>
    </row>
    <row r="567" ht="12.0" customHeight="1">
      <c r="B567" s="1"/>
      <c r="J567" s="151"/>
      <c r="O567" s="151"/>
    </row>
    <row r="568" ht="12.0" customHeight="1">
      <c r="B568" s="1"/>
      <c r="J568" s="151"/>
      <c r="O568" s="151"/>
    </row>
    <row r="569" ht="12.0" customHeight="1">
      <c r="B569" s="1"/>
      <c r="J569" s="151"/>
      <c r="O569" s="151"/>
    </row>
    <row r="570" ht="12.0" customHeight="1">
      <c r="B570" s="1"/>
      <c r="J570" s="151"/>
      <c r="O570" s="151"/>
    </row>
    <row r="571" ht="12.0" customHeight="1">
      <c r="B571" s="1"/>
      <c r="J571" s="151"/>
      <c r="O571" s="151"/>
    </row>
    <row r="572" ht="12.0" customHeight="1">
      <c r="B572" s="1"/>
      <c r="J572" s="151"/>
      <c r="O572" s="151"/>
    </row>
    <row r="573" ht="12.0" customHeight="1">
      <c r="B573" s="1"/>
      <c r="J573" s="151"/>
      <c r="O573" s="151"/>
    </row>
    <row r="574" ht="12.0" customHeight="1">
      <c r="B574" s="1"/>
      <c r="J574" s="151"/>
      <c r="O574" s="151"/>
    </row>
    <row r="575" ht="12.0" customHeight="1">
      <c r="B575" s="1"/>
      <c r="J575" s="151"/>
      <c r="O575" s="151"/>
    </row>
    <row r="576" ht="12.0" customHeight="1">
      <c r="B576" s="1"/>
      <c r="J576" s="151"/>
      <c r="O576" s="151"/>
    </row>
    <row r="577" ht="12.0" customHeight="1">
      <c r="B577" s="1"/>
      <c r="J577" s="151"/>
      <c r="O577" s="151"/>
    </row>
    <row r="578" ht="12.0" customHeight="1">
      <c r="B578" s="1"/>
      <c r="J578" s="151"/>
      <c r="O578" s="151"/>
    </row>
    <row r="579" ht="12.0" customHeight="1">
      <c r="B579" s="1"/>
      <c r="J579" s="151"/>
      <c r="O579" s="151"/>
    </row>
    <row r="580" ht="12.0" customHeight="1">
      <c r="B580" s="1"/>
      <c r="J580" s="151"/>
      <c r="O580" s="151"/>
    </row>
    <row r="581" ht="12.0" customHeight="1">
      <c r="B581" s="1"/>
      <c r="J581" s="151"/>
      <c r="O581" s="151"/>
    </row>
    <row r="582" ht="12.0" customHeight="1">
      <c r="B582" s="1"/>
      <c r="J582" s="151"/>
      <c r="O582" s="151"/>
    </row>
    <row r="583" ht="12.0" customHeight="1">
      <c r="B583" s="1"/>
      <c r="J583" s="151"/>
      <c r="O583" s="151"/>
    </row>
    <row r="584" ht="12.0" customHeight="1">
      <c r="B584" s="1"/>
      <c r="J584" s="151"/>
      <c r="O584" s="151"/>
    </row>
    <row r="585" ht="12.0" customHeight="1">
      <c r="B585" s="1"/>
      <c r="J585" s="151"/>
      <c r="O585" s="151"/>
    </row>
    <row r="586" ht="12.0" customHeight="1">
      <c r="B586" s="1"/>
      <c r="J586" s="151"/>
      <c r="O586" s="151"/>
    </row>
    <row r="587" ht="12.0" customHeight="1">
      <c r="B587" s="1"/>
      <c r="J587" s="151"/>
      <c r="O587" s="151"/>
    </row>
    <row r="588" ht="12.0" customHeight="1">
      <c r="B588" s="1"/>
      <c r="J588" s="151"/>
      <c r="O588" s="151"/>
    </row>
    <row r="589" ht="12.0" customHeight="1">
      <c r="B589" s="1"/>
      <c r="J589" s="151"/>
      <c r="O589" s="151"/>
    </row>
    <row r="590" ht="12.0" customHeight="1">
      <c r="B590" s="1"/>
      <c r="J590" s="151"/>
      <c r="O590" s="151"/>
    </row>
    <row r="591" ht="12.0" customHeight="1">
      <c r="B591" s="1"/>
      <c r="J591" s="151"/>
      <c r="O591" s="151"/>
    </row>
    <row r="592" ht="12.0" customHeight="1">
      <c r="B592" s="1"/>
      <c r="J592" s="151"/>
      <c r="O592" s="151"/>
    </row>
    <row r="593" ht="12.0" customHeight="1">
      <c r="B593" s="1"/>
      <c r="J593" s="151"/>
      <c r="O593" s="151"/>
    </row>
    <row r="594" ht="12.0" customHeight="1">
      <c r="B594" s="1"/>
      <c r="J594" s="151"/>
      <c r="O594" s="151"/>
    </row>
    <row r="595" ht="12.0" customHeight="1">
      <c r="B595" s="1"/>
      <c r="J595" s="151"/>
      <c r="O595" s="151"/>
    </row>
    <row r="596" ht="12.0" customHeight="1">
      <c r="B596" s="1"/>
      <c r="J596" s="151"/>
      <c r="O596" s="151"/>
    </row>
    <row r="597" ht="12.0" customHeight="1">
      <c r="B597" s="1"/>
      <c r="J597" s="151"/>
      <c r="O597" s="151"/>
    </row>
    <row r="598" ht="12.0" customHeight="1">
      <c r="B598" s="1"/>
      <c r="J598" s="151"/>
      <c r="O598" s="151"/>
    </row>
    <row r="599" ht="12.0" customHeight="1">
      <c r="B599" s="1"/>
      <c r="J599" s="151"/>
      <c r="O599" s="151"/>
    </row>
    <row r="600" ht="12.0" customHeight="1">
      <c r="B600" s="1"/>
      <c r="J600" s="151"/>
      <c r="O600" s="151"/>
    </row>
    <row r="601" ht="12.0" customHeight="1">
      <c r="B601" s="1"/>
      <c r="J601" s="151"/>
      <c r="O601" s="151"/>
    </row>
    <row r="602" ht="12.0" customHeight="1">
      <c r="B602" s="1"/>
      <c r="J602" s="151"/>
      <c r="O602" s="151"/>
    </row>
    <row r="603" ht="12.0" customHeight="1">
      <c r="B603" s="1"/>
      <c r="J603" s="151"/>
      <c r="O603" s="151"/>
    </row>
    <row r="604" ht="12.0" customHeight="1">
      <c r="B604" s="1"/>
      <c r="J604" s="151"/>
      <c r="O604" s="151"/>
    </row>
    <row r="605" ht="12.0" customHeight="1">
      <c r="B605" s="1"/>
      <c r="J605" s="151"/>
      <c r="O605" s="151"/>
    </row>
    <row r="606" ht="12.0" customHeight="1">
      <c r="B606" s="1"/>
      <c r="J606" s="151"/>
      <c r="O606" s="151"/>
    </row>
    <row r="607" ht="12.0" customHeight="1">
      <c r="B607" s="1"/>
      <c r="J607" s="151"/>
      <c r="O607" s="151"/>
    </row>
    <row r="608" ht="12.0" customHeight="1">
      <c r="B608" s="1"/>
      <c r="J608" s="151"/>
      <c r="O608" s="151"/>
    </row>
    <row r="609" ht="12.0" customHeight="1">
      <c r="B609" s="1"/>
      <c r="J609" s="151"/>
      <c r="O609" s="151"/>
    </row>
    <row r="610" ht="12.0" customHeight="1">
      <c r="B610" s="1"/>
      <c r="J610" s="151"/>
      <c r="O610" s="151"/>
    </row>
    <row r="611" ht="12.0" customHeight="1">
      <c r="B611" s="1"/>
      <c r="J611" s="151"/>
      <c r="O611" s="151"/>
    </row>
    <row r="612" ht="12.0" customHeight="1">
      <c r="B612" s="1"/>
      <c r="J612" s="151"/>
      <c r="O612" s="151"/>
    </row>
    <row r="613" ht="12.0" customHeight="1">
      <c r="B613" s="1"/>
      <c r="J613" s="151"/>
      <c r="O613" s="151"/>
    </row>
    <row r="614" ht="12.0" customHeight="1">
      <c r="B614" s="1"/>
      <c r="J614" s="151"/>
      <c r="O614" s="151"/>
    </row>
    <row r="615" ht="12.0" customHeight="1">
      <c r="B615" s="1"/>
      <c r="J615" s="151"/>
      <c r="O615" s="151"/>
    </row>
    <row r="616" ht="12.0" customHeight="1">
      <c r="B616" s="1"/>
      <c r="J616" s="151"/>
      <c r="O616" s="151"/>
    </row>
    <row r="617" ht="12.0" customHeight="1">
      <c r="B617" s="1"/>
      <c r="J617" s="151"/>
      <c r="O617" s="151"/>
    </row>
    <row r="618" ht="12.0" customHeight="1">
      <c r="B618" s="1"/>
      <c r="J618" s="151"/>
      <c r="O618" s="151"/>
    </row>
    <row r="619" ht="12.0" customHeight="1">
      <c r="B619" s="1"/>
      <c r="J619" s="151"/>
      <c r="O619" s="151"/>
    </row>
    <row r="620" ht="12.0" customHeight="1">
      <c r="B620" s="1"/>
      <c r="J620" s="151"/>
      <c r="O620" s="151"/>
    </row>
    <row r="621" ht="12.0" customHeight="1">
      <c r="B621" s="1"/>
      <c r="J621" s="151"/>
      <c r="O621" s="151"/>
    </row>
    <row r="622" ht="12.0" customHeight="1">
      <c r="B622" s="1"/>
      <c r="J622" s="151"/>
      <c r="O622" s="151"/>
    </row>
    <row r="623" ht="12.0" customHeight="1">
      <c r="B623" s="1"/>
      <c r="J623" s="151"/>
      <c r="O623" s="151"/>
    </row>
    <row r="624" ht="12.0" customHeight="1">
      <c r="B624" s="1"/>
      <c r="J624" s="151"/>
      <c r="O624" s="151"/>
    </row>
    <row r="625" ht="12.0" customHeight="1">
      <c r="B625" s="1"/>
      <c r="J625" s="151"/>
      <c r="O625" s="151"/>
    </row>
    <row r="626" ht="12.0" customHeight="1">
      <c r="B626" s="1"/>
      <c r="J626" s="151"/>
      <c r="O626" s="151"/>
    </row>
    <row r="627" ht="12.0" customHeight="1">
      <c r="B627" s="1"/>
      <c r="J627" s="151"/>
      <c r="O627" s="151"/>
    </row>
    <row r="628" ht="12.0" customHeight="1">
      <c r="B628" s="1"/>
      <c r="J628" s="151"/>
      <c r="O628" s="151"/>
    </row>
    <row r="629" ht="12.0" customHeight="1">
      <c r="B629" s="1"/>
      <c r="J629" s="151"/>
      <c r="O629" s="151"/>
    </row>
    <row r="630" ht="12.0" customHeight="1">
      <c r="B630" s="1"/>
      <c r="J630" s="151"/>
      <c r="O630" s="151"/>
    </row>
    <row r="631" ht="12.0" customHeight="1">
      <c r="B631" s="1"/>
      <c r="J631" s="151"/>
      <c r="O631" s="151"/>
    </row>
    <row r="632" ht="12.0" customHeight="1">
      <c r="B632" s="1"/>
      <c r="J632" s="151"/>
      <c r="O632" s="151"/>
    </row>
    <row r="633" ht="12.0" customHeight="1">
      <c r="B633" s="1"/>
      <c r="J633" s="151"/>
      <c r="O633" s="151"/>
    </row>
    <row r="634" ht="12.0" customHeight="1">
      <c r="B634" s="1"/>
      <c r="J634" s="151"/>
      <c r="O634" s="151"/>
    </row>
    <row r="635" ht="12.0" customHeight="1">
      <c r="B635" s="1"/>
      <c r="J635" s="151"/>
      <c r="O635" s="151"/>
    </row>
    <row r="636" ht="12.0" customHeight="1">
      <c r="B636" s="1"/>
      <c r="J636" s="151"/>
      <c r="O636" s="151"/>
    </row>
    <row r="637" ht="12.0" customHeight="1">
      <c r="B637" s="1"/>
      <c r="J637" s="151"/>
      <c r="O637" s="151"/>
    </row>
    <row r="638" ht="12.0" customHeight="1">
      <c r="B638" s="1"/>
      <c r="J638" s="151"/>
      <c r="O638" s="151"/>
    </row>
    <row r="639" ht="12.0" customHeight="1">
      <c r="B639" s="1"/>
      <c r="J639" s="151"/>
      <c r="O639" s="151"/>
    </row>
    <row r="640" ht="12.0" customHeight="1">
      <c r="B640" s="1"/>
      <c r="J640" s="151"/>
      <c r="O640" s="151"/>
    </row>
    <row r="641" ht="12.0" customHeight="1">
      <c r="B641" s="1"/>
      <c r="J641" s="151"/>
      <c r="O641" s="151"/>
    </row>
    <row r="642" ht="12.0" customHeight="1">
      <c r="B642" s="1"/>
      <c r="J642" s="151"/>
      <c r="O642" s="151"/>
    </row>
    <row r="643" ht="12.0" customHeight="1">
      <c r="B643" s="1"/>
      <c r="J643" s="151"/>
      <c r="O643" s="151"/>
    </row>
    <row r="644" ht="12.0" customHeight="1">
      <c r="B644" s="1"/>
      <c r="J644" s="151"/>
      <c r="O644" s="151"/>
    </row>
    <row r="645" ht="12.0" customHeight="1">
      <c r="B645" s="1"/>
      <c r="J645" s="151"/>
      <c r="O645" s="151"/>
    </row>
    <row r="646" ht="12.0" customHeight="1">
      <c r="B646" s="1"/>
      <c r="J646" s="151"/>
      <c r="O646" s="151"/>
    </row>
    <row r="647" ht="12.0" customHeight="1">
      <c r="B647" s="1"/>
      <c r="J647" s="151"/>
      <c r="O647" s="151"/>
    </row>
    <row r="648" ht="12.0" customHeight="1">
      <c r="B648" s="1"/>
      <c r="J648" s="151"/>
      <c r="O648" s="151"/>
    </row>
    <row r="649" ht="12.0" customHeight="1">
      <c r="B649" s="1"/>
      <c r="J649" s="151"/>
      <c r="O649" s="151"/>
    </row>
    <row r="650" ht="12.0" customHeight="1">
      <c r="B650" s="1"/>
      <c r="J650" s="151"/>
      <c r="O650" s="151"/>
    </row>
    <row r="651" ht="12.0" customHeight="1">
      <c r="B651" s="1"/>
      <c r="J651" s="151"/>
      <c r="O651" s="151"/>
    </row>
    <row r="652" ht="12.0" customHeight="1">
      <c r="B652" s="1"/>
      <c r="J652" s="151"/>
      <c r="O652" s="151"/>
    </row>
    <row r="653" ht="12.0" customHeight="1">
      <c r="B653" s="1"/>
      <c r="J653" s="151"/>
      <c r="O653" s="151"/>
    </row>
    <row r="654" ht="12.0" customHeight="1">
      <c r="B654" s="1"/>
      <c r="J654" s="151"/>
      <c r="O654" s="151"/>
    </row>
    <row r="655" ht="12.0" customHeight="1">
      <c r="B655" s="1"/>
      <c r="J655" s="151"/>
      <c r="O655" s="151"/>
    </row>
    <row r="656" ht="12.0" customHeight="1">
      <c r="B656" s="1"/>
      <c r="J656" s="151"/>
      <c r="O656" s="151"/>
    </row>
    <row r="657" ht="12.0" customHeight="1">
      <c r="B657" s="1"/>
      <c r="J657" s="151"/>
      <c r="O657" s="151"/>
    </row>
    <row r="658" ht="12.0" customHeight="1">
      <c r="B658" s="1"/>
      <c r="J658" s="151"/>
      <c r="O658" s="151"/>
    </row>
    <row r="659" ht="12.0" customHeight="1">
      <c r="B659" s="1"/>
      <c r="J659" s="151"/>
      <c r="O659" s="151"/>
    </row>
    <row r="660" ht="12.0" customHeight="1">
      <c r="B660" s="1"/>
      <c r="J660" s="151"/>
      <c r="O660" s="151"/>
    </row>
    <row r="661" ht="12.0" customHeight="1">
      <c r="B661" s="1"/>
      <c r="J661" s="151"/>
      <c r="O661" s="151"/>
    </row>
    <row r="662" ht="12.0" customHeight="1">
      <c r="B662" s="1"/>
      <c r="J662" s="151"/>
      <c r="O662" s="151"/>
    </row>
    <row r="663" ht="12.0" customHeight="1">
      <c r="B663" s="1"/>
      <c r="J663" s="151"/>
      <c r="O663" s="151"/>
    </row>
    <row r="664" ht="12.0" customHeight="1">
      <c r="B664" s="1"/>
      <c r="J664" s="151"/>
      <c r="O664" s="151"/>
    </row>
    <row r="665" ht="12.0" customHeight="1">
      <c r="B665" s="1"/>
      <c r="J665" s="151"/>
      <c r="O665" s="151"/>
    </row>
    <row r="666" ht="12.0" customHeight="1">
      <c r="B666" s="1"/>
      <c r="J666" s="151"/>
      <c r="O666" s="151"/>
    </row>
    <row r="667" ht="12.0" customHeight="1">
      <c r="B667" s="1"/>
      <c r="J667" s="151"/>
      <c r="O667" s="151"/>
    </row>
    <row r="668" ht="12.0" customHeight="1">
      <c r="B668" s="1"/>
      <c r="J668" s="151"/>
      <c r="O668" s="151"/>
    </row>
    <row r="669" ht="12.0" customHeight="1">
      <c r="B669" s="1"/>
      <c r="J669" s="151"/>
      <c r="O669" s="151"/>
    </row>
    <row r="670" ht="12.0" customHeight="1">
      <c r="B670" s="1"/>
      <c r="J670" s="151"/>
      <c r="O670" s="151"/>
    </row>
    <row r="671" ht="12.0" customHeight="1">
      <c r="B671" s="1"/>
      <c r="J671" s="151"/>
      <c r="O671" s="151"/>
    </row>
    <row r="672" ht="12.0" customHeight="1">
      <c r="B672" s="1"/>
      <c r="J672" s="151"/>
      <c r="O672" s="151"/>
    </row>
    <row r="673" ht="12.0" customHeight="1">
      <c r="B673" s="1"/>
      <c r="J673" s="151"/>
      <c r="O673" s="151"/>
    </row>
    <row r="674" ht="12.0" customHeight="1">
      <c r="B674" s="1"/>
      <c r="J674" s="151"/>
      <c r="O674" s="151"/>
    </row>
    <row r="675" ht="12.0" customHeight="1">
      <c r="B675" s="1"/>
      <c r="J675" s="151"/>
      <c r="O675" s="151"/>
    </row>
    <row r="676" ht="12.0" customHeight="1">
      <c r="B676" s="1"/>
      <c r="J676" s="151"/>
      <c r="O676" s="151"/>
    </row>
    <row r="677" ht="12.0" customHeight="1">
      <c r="B677" s="1"/>
      <c r="J677" s="151"/>
      <c r="O677" s="151"/>
    </row>
    <row r="678" ht="12.0" customHeight="1">
      <c r="B678" s="1"/>
      <c r="J678" s="151"/>
      <c r="O678" s="151"/>
    </row>
    <row r="679" ht="12.0" customHeight="1">
      <c r="B679" s="1"/>
      <c r="J679" s="151"/>
      <c r="O679" s="151"/>
    </row>
    <row r="680" ht="12.0" customHeight="1">
      <c r="B680" s="1"/>
      <c r="J680" s="151"/>
      <c r="O680" s="151"/>
    </row>
    <row r="681" ht="12.0" customHeight="1">
      <c r="B681" s="1"/>
      <c r="J681" s="151"/>
      <c r="O681" s="151"/>
    </row>
    <row r="682" ht="12.0" customHeight="1">
      <c r="B682" s="1"/>
      <c r="J682" s="151"/>
      <c r="O682" s="151"/>
    </row>
    <row r="683" ht="12.0" customHeight="1">
      <c r="B683" s="1"/>
      <c r="J683" s="151"/>
      <c r="O683" s="151"/>
    </row>
    <row r="684" ht="12.0" customHeight="1">
      <c r="B684" s="1"/>
      <c r="J684" s="151"/>
      <c r="O684" s="151"/>
    </row>
    <row r="685" ht="12.0" customHeight="1">
      <c r="B685" s="1"/>
      <c r="J685" s="151"/>
      <c r="O685" s="151"/>
    </row>
    <row r="686" ht="12.0" customHeight="1">
      <c r="B686" s="1"/>
      <c r="J686" s="151"/>
      <c r="O686" s="151"/>
    </row>
    <row r="687" ht="12.0" customHeight="1">
      <c r="B687" s="1"/>
      <c r="J687" s="151"/>
      <c r="O687" s="151"/>
    </row>
    <row r="688" ht="12.0" customHeight="1">
      <c r="B688" s="1"/>
      <c r="J688" s="151"/>
      <c r="O688" s="151"/>
    </row>
    <row r="689" ht="12.0" customHeight="1">
      <c r="B689" s="1"/>
      <c r="J689" s="151"/>
      <c r="O689" s="151"/>
    </row>
    <row r="690" ht="12.0" customHeight="1">
      <c r="B690" s="1"/>
      <c r="J690" s="151"/>
      <c r="O690" s="151"/>
    </row>
    <row r="691" ht="12.0" customHeight="1">
      <c r="B691" s="1"/>
      <c r="J691" s="151"/>
      <c r="O691" s="151"/>
    </row>
    <row r="692" ht="12.0" customHeight="1">
      <c r="B692" s="1"/>
      <c r="J692" s="151"/>
      <c r="O692" s="151"/>
    </row>
    <row r="693" ht="12.0" customHeight="1">
      <c r="B693" s="1"/>
      <c r="J693" s="151"/>
      <c r="O693" s="151"/>
    </row>
    <row r="694" ht="12.0" customHeight="1">
      <c r="B694" s="1"/>
      <c r="J694" s="151"/>
      <c r="O694" s="151"/>
    </row>
    <row r="695" ht="12.0" customHeight="1">
      <c r="B695" s="1"/>
      <c r="J695" s="151"/>
      <c r="O695" s="151"/>
    </row>
    <row r="696" ht="12.0" customHeight="1">
      <c r="B696" s="1"/>
      <c r="J696" s="151"/>
      <c r="O696" s="151"/>
    </row>
    <row r="697" ht="12.0" customHeight="1">
      <c r="B697" s="1"/>
      <c r="J697" s="151"/>
      <c r="O697" s="151"/>
    </row>
    <row r="698" ht="12.0" customHeight="1">
      <c r="B698" s="1"/>
      <c r="J698" s="151"/>
      <c r="O698" s="151"/>
    </row>
    <row r="699" ht="12.0" customHeight="1">
      <c r="B699" s="1"/>
      <c r="J699" s="151"/>
      <c r="O699" s="151"/>
    </row>
    <row r="700" ht="12.0" customHeight="1">
      <c r="B700" s="1"/>
      <c r="J700" s="151"/>
      <c r="O700" s="151"/>
    </row>
    <row r="701" ht="12.0" customHeight="1">
      <c r="B701" s="1"/>
      <c r="J701" s="151"/>
      <c r="O701" s="151"/>
    </row>
    <row r="702" ht="12.0" customHeight="1">
      <c r="B702" s="1"/>
      <c r="J702" s="151"/>
      <c r="O702" s="151"/>
    </row>
    <row r="703" ht="12.0" customHeight="1">
      <c r="B703" s="1"/>
      <c r="J703" s="151"/>
      <c r="O703" s="151"/>
    </row>
    <row r="704" ht="12.0" customHeight="1">
      <c r="B704" s="1"/>
      <c r="J704" s="151"/>
      <c r="O704" s="151"/>
    </row>
    <row r="705" ht="12.0" customHeight="1">
      <c r="B705" s="1"/>
      <c r="J705" s="151"/>
      <c r="O705" s="151"/>
    </row>
    <row r="706" ht="12.0" customHeight="1">
      <c r="B706" s="1"/>
      <c r="J706" s="151"/>
      <c r="O706" s="151"/>
    </row>
    <row r="707" ht="12.0" customHeight="1">
      <c r="B707" s="1"/>
      <c r="J707" s="151"/>
      <c r="O707" s="151"/>
    </row>
    <row r="708" ht="12.0" customHeight="1">
      <c r="B708" s="1"/>
      <c r="J708" s="151"/>
      <c r="O708" s="151"/>
    </row>
    <row r="709" ht="12.0" customHeight="1">
      <c r="B709" s="1"/>
      <c r="J709" s="151"/>
      <c r="O709" s="151"/>
    </row>
    <row r="710" ht="12.0" customHeight="1">
      <c r="B710" s="1"/>
      <c r="J710" s="151"/>
      <c r="O710" s="151"/>
    </row>
    <row r="711" ht="12.0" customHeight="1">
      <c r="B711" s="1"/>
      <c r="J711" s="151"/>
      <c r="O711" s="151"/>
    </row>
    <row r="712" ht="12.0" customHeight="1">
      <c r="B712" s="1"/>
      <c r="J712" s="151"/>
      <c r="O712" s="151"/>
    </row>
    <row r="713" ht="12.0" customHeight="1">
      <c r="B713" s="1"/>
      <c r="J713" s="151"/>
      <c r="O713" s="151"/>
    </row>
    <row r="714" ht="12.0" customHeight="1">
      <c r="B714" s="1"/>
      <c r="J714" s="151"/>
      <c r="O714" s="151"/>
    </row>
    <row r="715" ht="12.0" customHeight="1">
      <c r="B715" s="1"/>
      <c r="J715" s="151"/>
      <c r="O715" s="151"/>
    </row>
    <row r="716" ht="12.0" customHeight="1">
      <c r="B716" s="1"/>
      <c r="J716" s="151"/>
      <c r="O716" s="151"/>
    </row>
    <row r="717" ht="12.0" customHeight="1">
      <c r="B717" s="1"/>
      <c r="J717" s="151"/>
      <c r="O717" s="151"/>
    </row>
    <row r="718" ht="12.0" customHeight="1">
      <c r="B718" s="1"/>
      <c r="J718" s="151"/>
      <c r="O718" s="151"/>
    </row>
    <row r="719" ht="12.0" customHeight="1">
      <c r="B719" s="1"/>
      <c r="J719" s="151"/>
      <c r="O719" s="151"/>
    </row>
    <row r="720" ht="12.0" customHeight="1">
      <c r="B720" s="1"/>
      <c r="J720" s="151"/>
      <c r="O720" s="151"/>
    </row>
    <row r="721" ht="12.0" customHeight="1">
      <c r="B721" s="1"/>
      <c r="J721" s="151"/>
      <c r="O721" s="151"/>
    </row>
    <row r="722" ht="12.0" customHeight="1">
      <c r="B722" s="1"/>
      <c r="J722" s="151"/>
      <c r="O722" s="151"/>
    </row>
    <row r="723" ht="12.0" customHeight="1">
      <c r="B723" s="1"/>
      <c r="J723" s="151"/>
      <c r="O723" s="151"/>
    </row>
    <row r="724" ht="12.0" customHeight="1">
      <c r="B724" s="1"/>
      <c r="J724" s="151"/>
      <c r="O724" s="151"/>
    </row>
    <row r="725" ht="12.0" customHeight="1">
      <c r="B725" s="1"/>
      <c r="J725" s="151"/>
      <c r="O725" s="151"/>
    </row>
    <row r="726" ht="12.0" customHeight="1">
      <c r="B726" s="1"/>
      <c r="J726" s="151"/>
      <c r="O726" s="151"/>
    </row>
    <row r="727" ht="12.0" customHeight="1">
      <c r="B727" s="1"/>
      <c r="J727" s="151"/>
      <c r="O727" s="151"/>
    </row>
    <row r="728" ht="12.0" customHeight="1">
      <c r="B728" s="1"/>
      <c r="J728" s="151"/>
      <c r="O728" s="151"/>
    </row>
    <row r="729" ht="12.0" customHeight="1">
      <c r="B729" s="1"/>
      <c r="J729" s="151"/>
      <c r="O729" s="151"/>
    </row>
    <row r="730" ht="12.0" customHeight="1">
      <c r="B730" s="1"/>
      <c r="J730" s="151"/>
      <c r="O730" s="151"/>
    </row>
    <row r="731" ht="12.0" customHeight="1">
      <c r="B731" s="1"/>
      <c r="J731" s="151"/>
      <c r="O731" s="151"/>
    </row>
    <row r="732" ht="12.0" customHeight="1">
      <c r="B732" s="1"/>
      <c r="J732" s="151"/>
      <c r="O732" s="151"/>
    </row>
    <row r="733" ht="12.0" customHeight="1">
      <c r="B733" s="1"/>
      <c r="J733" s="151"/>
      <c r="O733" s="151"/>
    </row>
    <row r="734" ht="12.0" customHeight="1">
      <c r="B734" s="1"/>
      <c r="J734" s="151"/>
      <c r="O734" s="151"/>
    </row>
    <row r="735" ht="12.0" customHeight="1">
      <c r="B735" s="1"/>
      <c r="J735" s="151"/>
      <c r="O735" s="151"/>
    </row>
    <row r="736" ht="12.0" customHeight="1">
      <c r="B736" s="1"/>
      <c r="J736" s="151"/>
      <c r="O736" s="151"/>
    </row>
    <row r="737" ht="12.0" customHeight="1">
      <c r="B737" s="1"/>
      <c r="J737" s="151"/>
      <c r="O737" s="151"/>
    </row>
    <row r="738" ht="12.0" customHeight="1">
      <c r="B738" s="1"/>
      <c r="J738" s="151"/>
      <c r="O738" s="151"/>
    </row>
    <row r="739" ht="12.0" customHeight="1">
      <c r="B739" s="1"/>
      <c r="J739" s="151"/>
      <c r="O739" s="151"/>
    </row>
    <row r="740" ht="12.0" customHeight="1">
      <c r="B740" s="1"/>
      <c r="J740" s="151"/>
      <c r="O740" s="151"/>
    </row>
    <row r="741" ht="12.0" customHeight="1">
      <c r="B741" s="1"/>
      <c r="J741" s="151"/>
      <c r="O741" s="151"/>
    </row>
    <row r="742" ht="12.0" customHeight="1">
      <c r="B742" s="1"/>
      <c r="J742" s="151"/>
      <c r="O742" s="151"/>
    </row>
    <row r="743" ht="12.0" customHeight="1">
      <c r="B743" s="1"/>
      <c r="J743" s="151"/>
      <c r="O743" s="151"/>
    </row>
    <row r="744" ht="12.0" customHeight="1">
      <c r="B744" s="1"/>
      <c r="J744" s="151"/>
      <c r="O744" s="151"/>
    </row>
    <row r="745" ht="12.0" customHeight="1">
      <c r="B745" s="1"/>
      <c r="J745" s="151"/>
      <c r="O745" s="151"/>
    </row>
    <row r="746" ht="12.0" customHeight="1">
      <c r="B746" s="1"/>
      <c r="J746" s="151"/>
      <c r="O746" s="151"/>
    </row>
    <row r="747" ht="12.0" customHeight="1">
      <c r="B747" s="1"/>
      <c r="J747" s="151"/>
      <c r="O747" s="151"/>
    </row>
    <row r="748" ht="12.0" customHeight="1">
      <c r="B748" s="1"/>
      <c r="J748" s="151"/>
      <c r="O748" s="151"/>
    </row>
    <row r="749" ht="12.0" customHeight="1">
      <c r="B749" s="1"/>
      <c r="J749" s="151"/>
      <c r="O749" s="151"/>
    </row>
    <row r="750" ht="12.0" customHeight="1">
      <c r="B750" s="1"/>
      <c r="J750" s="151"/>
      <c r="O750" s="151"/>
    </row>
    <row r="751" ht="12.0" customHeight="1">
      <c r="B751" s="1"/>
      <c r="J751" s="151"/>
      <c r="O751" s="151"/>
    </row>
    <row r="752" ht="12.0" customHeight="1">
      <c r="B752" s="1"/>
      <c r="J752" s="151"/>
      <c r="O752" s="151"/>
    </row>
    <row r="753" ht="12.0" customHeight="1">
      <c r="B753" s="1"/>
      <c r="J753" s="151"/>
      <c r="O753" s="151"/>
    </row>
    <row r="754" ht="12.0" customHeight="1">
      <c r="B754" s="1"/>
      <c r="J754" s="151"/>
      <c r="O754" s="151"/>
    </row>
    <row r="755" ht="12.0" customHeight="1">
      <c r="B755" s="1"/>
      <c r="J755" s="151"/>
      <c r="O755" s="151"/>
    </row>
    <row r="756" ht="12.0" customHeight="1">
      <c r="B756" s="1"/>
      <c r="J756" s="151"/>
      <c r="O756" s="151"/>
    </row>
    <row r="757" ht="12.0" customHeight="1">
      <c r="B757" s="1"/>
      <c r="J757" s="151"/>
      <c r="O757" s="151"/>
    </row>
    <row r="758" ht="12.0" customHeight="1">
      <c r="B758" s="1"/>
      <c r="J758" s="151"/>
      <c r="O758" s="151"/>
    </row>
    <row r="759" ht="12.0" customHeight="1">
      <c r="B759" s="1"/>
      <c r="J759" s="151"/>
      <c r="O759" s="151"/>
    </row>
    <row r="760" ht="12.0" customHeight="1">
      <c r="B760" s="1"/>
      <c r="J760" s="151"/>
      <c r="O760" s="151"/>
    </row>
    <row r="761" ht="12.0" customHeight="1">
      <c r="B761" s="1"/>
      <c r="J761" s="151"/>
      <c r="O761" s="151"/>
    </row>
    <row r="762" ht="12.0" customHeight="1">
      <c r="B762" s="1"/>
      <c r="J762" s="151"/>
      <c r="O762" s="151"/>
    </row>
    <row r="763" ht="12.0" customHeight="1">
      <c r="B763" s="1"/>
      <c r="J763" s="151"/>
      <c r="O763" s="151"/>
    </row>
    <row r="764" ht="12.0" customHeight="1">
      <c r="B764" s="1"/>
      <c r="J764" s="151"/>
      <c r="O764" s="151"/>
    </row>
    <row r="765" ht="12.0" customHeight="1">
      <c r="B765" s="1"/>
      <c r="J765" s="151"/>
      <c r="O765" s="151"/>
    </row>
    <row r="766" ht="12.0" customHeight="1">
      <c r="B766" s="1"/>
      <c r="J766" s="151"/>
      <c r="O766" s="151"/>
    </row>
    <row r="767" ht="12.0" customHeight="1">
      <c r="B767" s="1"/>
      <c r="J767" s="151"/>
      <c r="O767" s="151"/>
    </row>
    <row r="768" ht="12.0" customHeight="1">
      <c r="B768" s="1"/>
      <c r="J768" s="151"/>
      <c r="O768" s="151"/>
    </row>
    <row r="769" ht="12.0" customHeight="1">
      <c r="B769" s="1"/>
      <c r="J769" s="151"/>
      <c r="O769" s="151"/>
    </row>
    <row r="770" ht="12.0" customHeight="1">
      <c r="B770" s="1"/>
      <c r="J770" s="151"/>
      <c r="O770" s="151"/>
    </row>
    <row r="771" ht="12.0" customHeight="1">
      <c r="B771" s="1"/>
      <c r="J771" s="151"/>
      <c r="O771" s="151"/>
    </row>
    <row r="772" ht="12.0" customHeight="1">
      <c r="B772" s="1"/>
      <c r="J772" s="151"/>
      <c r="O772" s="151"/>
    </row>
    <row r="773" ht="12.0" customHeight="1">
      <c r="B773" s="1"/>
      <c r="J773" s="151"/>
      <c r="O773" s="151"/>
    </row>
    <row r="774" ht="12.0" customHeight="1">
      <c r="B774" s="1"/>
      <c r="J774" s="151"/>
      <c r="O774" s="151"/>
    </row>
    <row r="775" ht="12.0" customHeight="1">
      <c r="B775" s="1"/>
      <c r="J775" s="151"/>
      <c r="O775" s="151"/>
    </row>
    <row r="776" ht="12.0" customHeight="1">
      <c r="B776" s="1"/>
      <c r="J776" s="151"/>
      <c r="O776" s="151"/>
    </row>
    <row r="777" ht="12.0" customHeight="1">
      <c r="B777" s="1"/>
      <c r="J777" s="151"/>
      <c r="O777" s="151"/>
    </row>
    <row r="778" ht="12.0" customHeight="1">
      <c r="B778" s="1"/>
      <c r="J778" s="151"/>
      <c r="O778" s="151"/>
    </row>
    <row r="779" ht="12.0" customHeight="1">
      <c r="B779" s="1"/>
      <c r="J779" s="151"/>
      <c r="O779" s="151"/>
    </row>
    <row r="780" ht="12.0" customHeight="1">
      <c r="B780" s="1"/>
      <c r="J780" s="151"/>
      <c r="O780" s="151"/>
    </row>
    <row r="781" ht="12.0" customHeight="1">
      <c r="B781" s="1"/>
      <c r="J781" s="151"/>
      <c r="O781" s="151"/>
    </row>
    <row r="782" ht="12.0" customHeight="1">
      <c r="B782" s="1"/>
      <c r="J782" s="151"/>
      <c r="O782" s="151"/>
    </row>
    <row r="783" ht="12.0" customHeight="1">
      <c r="B783" s="1"/>
      <c r="J783" s="151"/>
      <c r="O783" s="151"/>
    </row>
    <row r="784" ht="12.0" customHeight="1">
      <c r="B784" s="1"/>
      <c r="J784" s="151"/>
      <c r="O784" s="151"/>
    </row>
    <row r="785" ht="12.0" customHeight="1">
      <c r="B785" s="1"/>
      <c r="J785" s="151"/>
      <c r="O785" s="151"/>
    </row>
    <row r="786" ht="12.0" customHeight="1">
      <c r="B786" s="1"/>
      <c r="J786" s="151"/>
      <c r="O786" s="151"/>
    </row>
    <row r="787" ht="12.0" customHeight="1">
      <c r="B787" s="1"/>
      <c r="J787" s="151"/>
      <c r="O787" s="151"/>
    </row>
    <row r="788" ht="12.0" customHeight="1">
      <c r="B788" s="1"/>
      <c r="J788" s="151"/>
      <c r="O788" s="151"/>
    </row>
    <row r="789" ht="12.0" customHeight="1">
      <c r="B789" s="1"/>
      <c r="J789" s="151"/>
      <c r="O789" s="151"/>
    </row>
    <row r="790" ht="12.0" customHeight="1">
      <c r="B790" s="1"/>
      <c r="J790" s="151"/>
      <c r="O790" s="151"/>
    </row>
    <row r="791" ht="12.0" customHeight="1">
      <c r="B791" s="1"/>
      <c r="J791" s="151"/>
      <c r="O791" s="151"/>
    </row>
    <row r="792" ht="12.0" customHeight="1">
      <c r="B792" s="1"/>
      <c r="J792" s="151"/>
      <c r="O792" s="151"/>
    </row>
    <row r="793" ht="12.0" customHeight="1">
      <c r="B793" s="1"/>
      <c r="J793" s="151"/>
      <c r="O793" s="151"/>
    </row>
    <row r="794" ht="12.0" customHeight="1">
      <c r="B794" s="1"/>
      <c r="J794" s="151"/>
      <c r="O794" s="151"/>
    </row>
    <row r="795" ht="12.0" customHeight="1">
      <c r="B795" s="1"/>
      <c r="J795" s="151"/>
      <c r="O795" s="151"/>
    </row>
    <row r="796" ht="12.0" customHeight="1">
      <c r="B796" s="1"/>
      <c r="J796" s="151"/>
      <c r="O796" s="151"/>
    </row>
    <row r="797" ht="12.0" customHeight="1">
      <c r="B797" s="1"/>
      <c r="J797" s="151"/>
      <c r="O797" s="151"/>
    </row>
    <row r="798" ht="12.0" customHeight="1">
      <c r="B798" s="1"/>
      <c r="J798" s="151"/>
      <c r="O798" s="151"/>
    </row>
    <row r="799" ht="12.0" customHeight="1">
      <c r="B799" s="1"/>
      <c r="J799" s="151"/>
      <c r="O799" s="151"/>
    </row>
    <row r="800" ht="12.0" customHeight="1">
      <c r="B800" s="1"/>
      <c r="J800" s="151"/>
      <c r="O800" s="151"/>
    </row>
    <row r="801" ht="12.0" customHeight="1">
      <c r="B801" s="1"/>
      <c r="J801" s="151"/>
      <c r="O801" s="151"/>
    </row>
    <row r="802" ht="12.0" customHeight="1">
      <c r="B802" s="1"/>
      <c r="J802" s="151"/>
      <c r="O802" s="151"/>
    </row>
    <row r="803" ht="12.0" customHeight="1">
      <c r="B803" s="1"/>
      <c r="J803" s="151"/>
      <c r="O803" s="151"/>
    </row>
    <row r="804" ht="12.0" customHeight="1">
      <c r="B804" s="1"/>
      <c r="J804" s="151"/>
      <c r="O804" s="151"/>
    </row>
    <row r="805" ht="12.0" customHeight="1">
      <c r="B805" s="1"/>
      <c r="J805" s="151"/>
      <c r="O805" s="151"/>
    </row>
    <row r="806" ht="12.0" customHeight="1">
      <c r="B806" s="1"/>
      <c r="J806" s="151"/>
      <c r="O806" s="151"/>
    </row>
    <row r="807" ht="12.0" customHeight="1">
      <c r="B807" s="1"/>
      <c r="J807" s="151"/>
      <c r="O807" s="151"/>
    </row>
    <row r="808" ht="12.0" customHeight="1">
      <c r="B808" s="1"/>
      <c r="J808" s="151"/>
      <c r="O808" s="151"/>
    </row>
    <row r="809" ht="12.0" customHeight="1">
      <c r="B809" s="1"/>
      <c r="J809" s="151"/>
      <c r="O809" s="151"/>
    </row>
    <row r="810" ht="12.0" customHeight="1">
      <c r="B810" s="1"/>
      <c r="J810" s="151"/>
      <c r="O810" s="151"/>
    </row>
    <row r="811" ht="12.0" customHeight="1">
      <c r="B811" s="1"/>
      <c r="J811" s="151"/>
      <c r="O811" s="151"/>
    </row>
    <row r="812" ht="12.0" customHeight="1">
      <c r="B812" s="1"/>
      <c r="J812" s="151"/>
      <c r="O812" s="151"/>
    </row>
    <row r="813" ht="12.0" customHeight="1">
      <c r="B813" s="1"/>
      <c r="J813" s="151"/>
      <c r="O813" s="151"/>
    </row>
    <row r="814" ht="12.0" customHeight="1">
      <c r="B814" s="1"/>
      <c r="J814" s="151"/>
      <c r="O814" s="151"/>
    </row>
    <row r="815" ht="12.0" customHeight="1">
      <c r="B815" s="1"/>
      <c r="J815" s="151"/>
      <c r="O815" s="151"/>
    </row>
    <row r="816" ht="12.0" customHeight="1">
      <c r="B816" s="1"/>
      <c r="J816" s="151"/>
      <c r="O816" s="151"/>
    </row>
    <row r="817" ht="12.0" customHeight="1">
      <c r="B817" s="1"/>
      <c r="J817" s="151"/>
      <c r="O817" s="151"/>
    </row>
    <row r="818" ht="12.0" customHeight="1">
      <c r="B818" s="1"/>
      <c r="J818" s="151"/>
      <c r="O818" s="151"/>
    </row>
    <row r="819" ht="12.0" customHeight="1">
      <c r="B819" s="1"/>
      <c r="J819" s="151"/>
      <c r="O819" s="151"/>
    </row>
    <row r="820" ht="12.0" customHeight="1">
      <c r="B820" s="1"/>
      <c r="J820" s="151"/>
      <c r="O820" s="151"/>
    </row>
    <row r="821" ht="12.0" customHeight="1">
      <c r="B821" s="1"/>
      <c r="J821" s="151"/>
      <c r="O821" s="151"/>
    </row>
    <row r="822" ht="12.0" customHeight="1">
      <c r="B822" s="1"/>
      <c r="J822" s="151"/>
      <c r="O822" s="151"/>
    </row>
    <row r="823" ht="12.0" customHeight="1">
      <c r="B823" s="1"/>
      <c r="J823" s="151"/>
      <c r="O823" s="151"/>
    </row>
    <row r="824" ht="12.0" customHeight="1">
      <c r="B824" s="1"/>
      <c r="J824" s="151"/>
      <c r="O824" s="151"/>
    </row>
    <row r="825" ht="12.0" customHeight="1">
      <c r="B825" s="1"/>
      <c r="J825" s="151"/>
      <c r="O825" s="151"/>
    </row>
    <row r="826" ht="12.0" customHeight="1">
      <c r="B826" s="1"/>
      <c r="J826" s="151"/>
      <c r="O826" s="151"/>
    </row>
    <row r="827" ht="12.0" customHeight="1">
      <c r="B827" s="1"/>
      <c r="J827" s="151"/>
      <c r="O827" s="151"/>
    </row>
    <row r="828" ht="12.0" customHeight="1">
      <c r="B828" s="1"/>
      <c r="J828" s="151"/>
      <c r="O828" s="151"/>
    </row>
    <row r="829" ht="12.0" customHeight="1">
      <c r="B829" s="1"/>
      <c r="J829" s="151"/>
      <c r="O829" s="151"/>
    </row>
    <row r="830" ht="12.0" customHeight="1">
      <c r="B830" s="1"/>
      <c r="J830" s="151"/>
      <c r="O830" s="151"/>
    </row>
    <row r="831" ht="12.0" customHeight="1">
      <c r="B831" s="1"/>
      <c r="J831" s="151"/>
      <c r="O831" s="151"/>
    </row>
    <row r="832" ht="12.0" customHeight="1">
      <c r="B832" s="1"/>
      <c r="J832" s="151"/>
      <c r="O832" s="151"/>
    </row>
    <row r="833" ht="12.0" customHeight="1">
      <c r="B833" s="1"/>
      <c r="J833" s="151"/>
      <c r="O833" s="151"/>
    </row>
    <row r="834" ht="12.0" customHeight="1">
      <c r="B834" s="1"/>
      <c r="J834" s="151"/>
      <c r="O834" s="151"/>
    </row>
    <row r="835" ht="12.0" customHeight="1">
      <c r="B835" s="1"/>
      <c r="J835" s="151"/>
      <c r="O835" s="151"/>
    </row>
    <row r="836" ht="12.0" customHeight="1">
      <c r="B836" s="1"/>
      <c r="J836" s="151"/>
      <c r="O836" s="151"/>
    </row>
    <row r="837" ht="12.0" customHeight="1">
      <c r="B837" s="1"/>
      <c r="J837" s="151"/>
      <c r="O837" s="151"/>
    </row>
    <row r="838" ht="12.0" customHeight="1">
      <c r="B838" s="1"/>
      <c r="J838" s="151"/>
      <c r="O838" s="151"/>
    </row>
    <row r="839" ht="12.0" customHeight="1">
      <c r="B839" s="1"/>
      <c r="J839" s="151"/>
      <c r="O839" s="151"/>
    </row>
    <row r="840" ht="12.0" customHeight="1">
      <c r="B840" s="1"/>
      <c r="J840" s="151"/>
      <c r="O840" s="151"/>
    </row>
    <row r="841" ht="12.0" customHeight="1">
      <c r="B841" s="1"/>
      <c r="J841" s="151"/>
      <c r="O841" s="151"/>
    </row>
    <row r="842" ht="12.0" customHeight="1">
      <c r="B842" s="1"/>
      <c r="J842" s="151"/>
      <c r="O842" s="151"/>
    </row>
    <row r="843" ht="12.0" customHeight="1">
      <c r="B843" s="1"/>
      <c r="J843" s="151"/>
      <c r="O843" s="151"/>
    </row>
    <row r="844" ht="12.0" customHeight="1">
      <c r="B844" s="1"/>
      <c r="J844" s="151"/>
      <c r="O844" s="151"/>
    </row>
    <row r="845" ht="12.0" customHeight="1">
      <c r="B845" s="1"/>
      <c r="J845" s="151"/>
      <c r="O845" s="151"/>
    </row>
    <row r="846" ht="12.0" customHeight="1">
      <c r="B846" s="1"/>
      <c r="J846" s="151"/>
      <c r="O846" s="151"/>
    </row>
    <row r="847" ht="12.0" customHeight="1">
      <c r="B847" s="1"/>
      <c r="J847" s="151"/>
      <c r="O847" s="151"/>
    </row>
    <row r="848" ht="12.0" customHeight="1">
      <c r="B848" s="1"/>
      <c r="J848" s="151"/>
      <c r="O848" s="151"/>
    </row>
    <row r="849" ht="12.0" customHeight="1">
      <c r="B849" s="1"/>
      <c r="J849" s="151"/>
      <c r="O849" s="151"/>
    </row>
    <row r="850" ht="12.0" customHeight="1">
      <c r="B850" s="1"/>
      <c r="J850" s="151"/>
      <c r="O850" s="151"/>
    </row>
    <row r="851" ht="12.0" customHeight="1">
      <c r="B851" s="1"/>
      <c r="J851" s="151"/>
      <c r="O851" s="151"/>
    </row>
    <row r="852" ht="12.0" customHeight="1">
      <c r="B852" s="1"/>
      <c r="J852" s="151"/>
      <c r="O852" s="151"/>
    </row>
    <row r="853" ht="12.0" customHeight="1">
      <c r="B853" s="1"/>
      <c r="J853" s="151"/>
      <c r="O853" s="151"/>
    </row>
    <row r="854" ht="12.0" customHeight="1">
      <c r="B854" s="1"/>
      <c r="J854" s="151"/>
      <c r="O854" s="151"/>
    </row>
    <row r="855" ht="12.0" customHeight="1">
      <c r="B855" s="1"/>
      <c r="J855" s="151"/>
      <c r="O855" s="151"/>
    </row>
    <row r="856" ht="12.0" customHeight="1">
      <c r="B856" s="1"/>
      <c r="J856" s="151"/>
      <c r="O856" s="151"/>
    </row>
    <row r="857" ht="12.0" customHeight="1">
      <c r="B857" s="1"/>
      <c r="J857" s="151"/>
      <c r="O857" s="151"/>
    </row>
    <row r="858" ht="12.0" customHeight="1">
      <c r="B858" s="1"/>
      <c r="J858" s="151"/>
      <c r="O858" s="151"/>
    </row>
    <row r="859" ht="12.0" customHeight="1">
      <c r="B859" s="1"/>
      <c r="J859" s="151"/>
      <c r="O859" s="151"/>
    </row>
    <row r="860" ht="12.0" customHeight="1">
      <c r="B860" s="1"/>
      <c r="J860" s="151"/>
      <c r="O860" s="151"/>
    </row>
    <row r="861" ht="12.0" customHeight="1">
      <c r="B861" s="1"/>
      <c r="J861" s="151"/>
      <c r="O861" s="151"/>
    </row>
    <row r="862" ht="12.0" customHeight="1">
      <c r="B862" s="1"/>
      <c r="J862" s="151"/>
      <c r="O862" s="151"/>
    </row>
    <row r="863" ht="12.0" customHeight="1">
      <c r="B863" s="1"/>
      <c r="J863" s="151"/>
      <c r="O863" s="151"/>
    </row>
    <row r="864" ht="12.0" customHeight="1">
      <c r="B864" s="1"/>
      <c r="J864" s="151"/>
      <c r="O864" s="151"/>
    </row>
    <row r="865" ht="12.0" customHeight="1">
      <c r="B865" s="1"/>
      <c r="J865" s="151"/>
      <c r="O865" s="151"/>
    </row>
    <row r="866" ht="12.0" customHeight="1">
      <c r="B866" s="1"/>
      <c r="J866" s="151"/>
      <c r="O866" s="151"/>
    </row>
    <row r="867" ht="12.0" customHeight="1">
      <c r="B867" s="1"/>
      <c r="J867" s="151"/>
      <c r="O867" s="151"/>
    </row>
    <row r="868" ht="12.0" customHeight="1">
      <c r="B868" s="1"/>
      <c r="J868" s="151"/>
      <c r="O868" s="151"/>
    </row>
    <row r="869" ht="12.0" customHeight="1">
      <c r="B869" s="1"/>
      <c r="J869" s="151"/>
      <c r="O869" s="151"/>
    </row>
    <row r="870" ht="12.0" customHeight="1">
      <c r="B870" s="1"/>
      <c r="J870" s="151"/>
      <c r="O870" s="151"/>
    </row>
    <row r="871" ht="12.0" customHeight="1">
      <c r="B871" s="1"/>
      <c r="J871" s="151"/>
      <c r="O871" s="151"/>
    </row>
    <row r="872" ht="12.0" customHeight="1">
      <c r="B872" s="1"/>
      <c r="J872" s="151"/>
      <c r="O872" s="151"/>
    </row>
    <row r="873" ht="12.0" customHeight="1">
      <c r="B873" s="1"/>
      <c r="J873" s="151"/>
      <c r="O873" s="151"/>
    </row>
    <row r="874" ht="12.0" customHeight="1">
      <c r="B874" s="1"/>
      <c r="J874" s="151"/>
      <c r="O874" s="151"/>
    </row>
    <row r="875" ht="12.0" customHeight="1">
      <c r="B875" s="1"/>
      <c r="J875" s="151"/>
      <c r="O875" s="151"/>
    </row>
    <row r="876" ht="12.0" customHeight="1">
      <c r="B876" s="1"/>
      <c r="J876" s="151"/>
      <c r="O876" s="151"/>
    </row>
    <row r="877" ht="12.0" customHeight="1">
      <c r="B877" s="1"/>
      <c r="J877" s="151"/>
      <c r="O877" s="151"/>
    </row>
    <row r="878" ht="12.0" customHeight="1">
      <c r="B878" s="1"/>
      <c r="J878" s="151"/>
      <c r="O878" s="151"/>
    </row>
    <row r="879" ht="12.0" customHeight="1">
      <c r="B879" s="1"/>
      <c r="J879" s="151"/>
      <c r="O879" s="151"/>
    </row>
    <row r="880" ht="12.0" customHeight="1">
      <c r="B880" s="1"/>
      <c r="J880" s="151"/>
      <c r="O880" s="151"/>
    </row>
    <row r="881" ht="12.0" customHeight="1">
      <c r="B881" s="1"/>
      <c r="J881" s="151"/>
      <c r="O881" s="151"/>
    </row>
    <row r="882" ht="12.0" customHeight="1">
      <c r="B882" s="1"/>
      <c r="J882" s="151"/>
      <c r="O882" s="151"/>
    </row>
    <row r="883" ht="12.0" customHeight="1">
      <c r="B883" s="1"/>
      <c r="J883" s="151"/>
      <c r="O883" s="151"/>
    </row>
    <row r="884" ht="12.0" customHeight="1">
      <c r="B884" s="1"/>
      <c r="J884" s="151"/>
      <c r="O884" s="151"/>
    </row>
    <row r="885" ht="12.0" customHeight="1">
      <c r="B885" s="1"/>
      <c r="J885" s="151"/>
      <c r="O885" s="151"/>
    </row>
    <row r="886" ht="12.0" customHeight="1">
      <c r="B886" s="1"/>
      <c r="J886" s="151"/>
      <c r="O886" s="151"/>
    </row>
    <row r="887" ht="12.0" customHeight="1">
      <c r="B887" s="1"/>
      <c r="J887" s="151"/>
      <c r="O887" s="151"/>
    </row>
    <row r="888" ht="12.0" customHeight="1">
      <c r="B888" s="1"/>
      <c r="J888" s="151"/>
      <c r="O888" s="151"/>
    </row>
    <row r="889" ht="12.0" customHeight="1">
      <c r="B889" s="1"/>
      <c r="J889" s="151"/>
      <c r="O889" s="151"/>
    </row>
    <row r="890" ht="12.0" customHeight="1">
      <c r="B890" s="1"/>
      <c r="J890" s="151"/>
      <c r="O890" s="151"/>
    </row>
    <row r="891" ht="12.0" customHeight="1">
      <c r="B891" s="1"/>
      <c r="J891" s="151"/>
      <c r="O891" s="151"/>
    </row>
    <row r="892" ht="12.0" customHeight="1">
      <c r="B892" s="1"/>
      <c r="J892" s="151"/>
      <c r="O892" s="151"/>
    </row>
    <row r="893" ht="12.0" customHeight="1">
      <c r="B893" s="1"/>
      <c r="J893" s="151"/>
      <c r="O893" s="151"/>
    </row>
    <row r="894" ht="12.0" customHeight="1">
      <c r="B894" s="1"/>
      <c r="J894" s="151"/>
      <c r="O894" s="151"/>
    </row>
    <row r="895" ht="12.0" customHeight="1">
      <c r="B895" s="1"/>
      <c r="J895" s="151"/>
      <c r="O895" s="151"/>
    </row>
    <row r="896" ht="12.0" customHeight="1">
      <c r="B896" s="1"/>
      <c r="J896" s="151"/>
      <c r="O896" s="151"/>
    </row>
    <row r="897" ht="12.0" customHeight="1">
      <c r="B897" s="1"/>
      <c r="J897" s="151"/>
      <c r="O897" s="151"/>
    </row>
    <row r="898" ht="12.0" customHeight="1">
      <c r="B898" s="1"/>
      <c r="J898" s="151"/>
      <c r="O898" s="151"/>
    </row>
    <row r="899" ht="12.0" customHeight="1">
      <c r="B899" s="1"/>
      <c r="J899" s="151"/>
      <c r="O899" s="151"/>
    </row>
    <row r="900" ht="12.0" customHeight="1">
      <c r="B900" s="1"/>
      <c r="J900" s="151"/>
      <c r="O900" s="151"/>
    </row>
    <row r="901" ht="12.0" customHeight="1">
      <c r="B901" s="1"/>
      <c r="J901" s="151"/>
      <c r="O901" s="151"/>
    </row>
    <row r="902" ht="12.0" customHeight="1">
      <c r="B902" s="1"/>
      <c r="J902" s="151"/>
      <c r="O902" s="151"/>
    </row>
    <row r="903" ht="12.0" customHeight="1">
      <c r="B903" s="1"/>
      <c r="J903" s="151"/>
      <c r="O903" s="151"/>
    </row>
    <row r="904" ht="12.0" customHeight="1">
      <c r="B904" s="1"/>
      <c r="J904" s="151"/>
      <c r="O904" s="151"/>
    </row>
    <row r="905" ht="12.0" customHeight="1">
      <c r="B905" s="1"/>
      <c r="J905" s="151"/>
      <c r="O905" s="151"/>
    </row>
    <row r="906" ht="12.0" customHeight="1">
      <c r="B906" s="1"/>
      <c r="J906" s="151"/>
      <c r="O906" s="151"/>
    </row>
    <row r="907" ht="12.0" customHeight="1">
      <c r="B907" s="1"/>
      <c r="J907" s="151"/>
      <c r="O907" s="151"/>
    </row>
    <row r="908" ht="12.0" customHeight="1">
      <c r="B908" s="1"/>
      <c r="J908" s="151"/>
      <c r="O908" s="151"/>
    </row>
    <row r="909" ht="12.0" customHeight="1">
      <c r="B909" s="1"/>
      <c r="J909" s="151"/>
      <c r="O909" s="151"/>
    </row>
    <row r="910" ht="12.0" customHeight="1">
      <c r="B910" s="1"/>
      <c r="J910" s="151"/>
      <c r="O910" s="151"/>
    </row>
    <row r="911" ht="12.0" customHeight="1">
      <c r="B911" s="1"/>
      <c r="J911" s="151"/>
      <c r="O911" s="151"/>
    </row>
    <row r="912" ht="12.0" customHeight="1">
      <c r="B912" s="1"/>
      <c r="J912" s="151"/>
      <c r="O912" s="151"/>
    </row>
    <row r="913" ht="12.0" customHeight="1">
      <c r="B913" s="1"/>
      <c r="J913" s="151"/>
      <c r="O913" s="151"/>
    </row>
    <row r="914" ht="12.0" customHeight="1">
      <c r="B914" s="1"/>
      <c r="J914" s="151"/>
      <c r="O914" s="151"/>
    </row>
    <row r="915" ht="12.0" customHeight="1">
      <c r="B915" s="1"/>
      <c r="J915" s="151"/>
      <c r="O915" s="151"/>
    </row>
    <row r="916" ht="12.0" customHeight="1">
      <c r="B916" s="1"/>
      <c r="J916" s="151"/>
      <c r="O916" s="151"/>
    </row>
    <row r="917" ht="12.0" customHeight="1">
      <c r="B917" s="1"/>
      <c r="J917" s="151"/>
      <c r="O917" s="151"/>
    </row>
    <row r="918" ht="12.0" customHeight="1">
      <c r="B918" s="1"/>
      <c r="J918" s="151"/>
      <c r="O918" s="151"/>
    </row>
    <row r="919" ht="12.0" customHeight="1">
      <c r="B919" s="1"/>
      <c r="J919" s="151"/>
      <c r="O919" s="151"/>
    </row>
    <row r="920" ht="12.0" customHeight="1">
      <c r="B920" s="1"/>
      <c r="J920" s="151"/>
      <c r="O920" s="151"/>
    </row>
    <row r="921" ht="12.0" customHeight="1">
      <c r="B921" s="1"/>
      <c r="J921" s="151"/>
      <c r="O921" s="151"/>
    </row>
    <row r="922" ht="12.0" customHeight="1">
      <c r="B922" s="1"/>
      <c r="J922" s="151"/>
      <c r="O922" s="151"/>
    </row>
    <row r="923" ht="12.0" customHeight="1">
      <c r="B923" s="1"/>
      <c r="J923" s="151"/>
      <c r="O923" s="151"/>
    </row>
    <row r="924" ht="12.0" customHeight="1">
      <c r="B924" s="1"/>
      <c r="J924" s="151"/>
      <c r="O924" s="151"/>
    </row>
    <row r="925" ht="12.0" customHeight="1">
      <c r="B925" s="1"/>
      <c r="J925" s="151"/>
      <c r="O925" s="151"/>
    </row>
    <row r="926" ht="12.0" customHeight="1">
      <c r="B926" s="1"/>
      <c r="J926" s="151"/>
      <c r="O926" s="151"/>
    </row>
    <row r="927" ht="12.0" customHeight="1">
      <c r="B927" s="1"/>
      <c r="J927" s="151"/>
      <c r="O927" s="151"/>
    </row>
    <row r="928" ht="12.0" customHeight="1">
      <c r="B928" s="1"/>
      <c r="J928" s="151"/>
      <c r="O928" s="151"/>
    </row>
    <row r="929" ht="12.0" customHeight="1">
      <c r="B929" s="1"/>
      <c r="J929" s="151"/>
      <c r="O929" s="151"/>
    </row>
    <row r="930" ht="12.0" customHeight="1">
      <c r="B930" s="1"/>
      <c r="J930" s="151"/>
      <c r="O930" s="151"/>
    </row>
    <row r="931" ht="12.0" customHeight="1">
      <c r="B931" s="1"/>
      <c r="J931" s="151"/>
      <c r="O931" s="151"/>
    </row>
    <row r="932" ht="12.0" customHeight="1">
      <c r="B932" s="1"/>
      <c r="J932" s="151"/>
      <c r="O932" s="151"/>
    </row>
    <row r="933" ht="12.0" customHeight="1">
      <c r="B933" s="1"/>
      <c r="J933" s="151"/>
      <c r="O933" s="151"/>
    </row>
    <row r="934" ht="12.0" customHeight="1">
      <c r="B934" s="1"/>
      <c r="J934" s="151"/>
      <c r="O934" s="151"/>
    </row>
    <row r="935" ht="12.0" customHeight="1">
      <c r="B935" s="1"/>
      <c r="J935" s="151"/>
      <c r="O935" s="151"/>
    </row>
    <row r="936" ht="12.0" customHeight="1">
      <c r="B936" s="1"/>
      <c r="J936" s="151"/>
      <c r="O936" s="151"/>
    </row>
    <row r="937" ht="12.0" customHeight="1">
      <c r="B937" s="1"/>
      <c r="J937" s="151"/>
      <c r="O937" s="151"/>
    </row>
    <row r="938" ht="12.0" customHeight="1">
      <c r="B938" s="1"/>
      <c r="J938" s="151"/>
      <c r="O938" s="151"/>
    </row>
    <row r="939" ht="12.0" customHeight="1">
      <c r="B939" s="1"/>
      <c r="J939" s="151"/>
      <c r="O939" s="151"/>
    </row>
    <row r="940" ht="12.0" customHeight="1">
      <c r="B940" s="1"/>
      <c r="J940" s="151"/>
      <c r="O940" s="151"/>
    </row>
    <row r="941" ht="12.0" customHeight="1">
      <c r="B941" s="1"/>
      <c r="J941" s="151"/>
      <c r="O941" s="151"/>
    </row>
    <row r="942" ht="12.0" customHeight="1">
      <c r="B942" s="1"/>
      <c r="J942" s="151"/>
      <c r="O942" s="151"/>
    </row>
    <row r="943" ht="12.0" customHeight="1">
      <c r="B943" s="1"/>
      <c r="J943" s="151"/>
      <c r="O943" s="151"/>
    </row>
    <row r="944" ht="12.0" customHeight="1">
      <c r="B944" s="1"/>
      <c r="J944" s="151"/>
      <c r="O944" s="151"/>
    </row>
    <row r="945" ht="12.0" customHeight="1">
      <c r="B945" s="1"/>
      <c r="J945" s="151"/>
      <c r="O945" s="151"/>
    </row>
    <row r="946" ht="12.0" customHeight="1">
      <c r="B946" s="1"/>
      <c r="J946" s="151"/>
      <c r="O946" s="151"/>
    </row>
    <row r="947" ht="12.0" customHeight="1">
      <c r="B947" s="1"/>
      <c r="J947" s="151"/>
      <c r="O947" s="151"/>
    </row>
    <row r="948" ht="12.0" customHeight="1">
      <c r="B948" s="1"/>
      <c r="J948" s="151"/>
      <c r="O948" s="151"/>
    </row>
    <row r="949" ht="12.0" customHeight="1">
      <c r="B949" s="1"/>
      <c r="J949" s="151"/>
      <c r="O949" s="151"/>
    </row>
    <row r="950" ht="12.0" customHeight="1">
      <c r="B950" s="1"/>
      <c r="J950" s="151"/>
      <c r="O950" s="151"/>
    </row>
    <row r="951" ht="12.0" customHeight="1">
      <c r="B951" s="1"/>
      <c r="J951" s="151"/>
      <c r="O951" s="151"/>
    </row>
    <row r="952" ht="12.0" customHeight="1">
      <c r="B952" s="1"/>
      <c r="J952" s="151"/>
      <c r="O952" s="151"/>
    </row>
    <row r="953" ht="12.0" customHeight="1">
      <c r="B953" s="1"/>
      <c r="J953" s="151"/>
      <c r="O953" s="151"/>
    </row>
    <row r="954" ht="12.0" customHeight="1">
      <c r="B954" s="1"/>
      <c r="J954" s="151"/>
      <c r="O954" s="151"/>
    </row>
    <row r="955" ht="12.0" customHeight="1">
      <c r="B955" s="1"/>
      <c r="J955" s="151"/>
      <c r="O955" s="151"/>
    </row>
    <row r="956" ht="12.0" customHeight="1">
      <c r="B956" s="1"/>
      <c r="J956" s="151"/>
      <c r="O956" s="151"/>
    </row>
    <row r="957" ht="12.0" customHeight="1">
      <c r="B957" s="1"/>
      <c r="J957" s="151"/>
      <c r="O957" s="151"/>
    </row>
    <row r="958" ht="12.0" customHeight="1">
      <c r="B958" s="1"/>
      <c r="J958" s="151"/>
      <c r="O958" s="151"/>
    </row>
    <row r="959" ht="12.0" customHeight="1">
      <c r="B959" s="1"/>
      <c r="J959" s="151"/>
      <c r="O959" s="151"/>
    </row>
    <row r="960" ht="12.0" customHeight="1">
      <c r="B960" s="1"/>
      <c r="J960" s="151"/>
      <c r="O960" s="151"/>
    </row>
    <row r="961" ht="12.0" customHeight="1">
      <c r="B961" s="1"/>
      <c r="J961" s="151"/>
      <c r="O961" s="151"/>
    </row>
    <row r="962" ht="12.0" customHeight="1">
      <c r="B962" s="1"/>
      <c r="J962" s="151"/>
      <c r="O962" s="151"/>
    </row>
    <row r="963" ht="12.0" customHeight="1">
      <c r="B963" s="1"/>
      <c r="J963" s="151"/>
      <c r="O963" s="151"/>
    </row>
    <row r="964" ht="12.0" customHeight="1">
      <c r="B964" s="1"/>
      <c r="J964" s="151"/>
      <c r="O964" s="151"/>
    </row>
    <row r="965" ht="12.0" customHeight="1">
      <c r="B965" s="1"/>
      <c r="J965" s="151"/>
      <c r="O965" s="151"/>
    </row>
    <row r="966" ht="12.0" customHeight="1">
      <c r="B966" s="1"/>
      <c r="J966" s="151"/>
      <c r="O966" s="151"/>
    </row>
    <row r="967" ht="12.0" customHeight="1">
      <c r="B967" s="1"/>
      <c r="J967" s="151"/>
      <c r="O967" s="151"/>
    </row>
    <row r="968" ht="12.0" customHeight="1">
      <c r="B968" s="1"/>
      <c r="J968" s="151"/>
      <c r="O968" s="151"/>
    </row>
    <row r="969" ht="12.0" customHeight="1">
      <c r="B969" s="1"/>
      <c r="J969" s="151"/>
      <c r="O969" s="151"/>
    </row>
    <row r="970" ht="12.0" customHeight="1">
      <c r="B970" s="1"/>
      <c r="J970" s="151"/>
      <c r="O970" s="151"/>
    </row>
    <row r="971" ht="12.0" customHeight="1">
      <c r="B971" s="1"/>
      <c r="J971" s="151"/>
      <c r="O971" s="151"/>
    </row>
    <row r="972" ht="12.0" customHeight="1">
      <c r="B972" s="1"/>
      <c r="J972" s="151"/>
      <c r="O972" s="151"/>
    </row>
    <row r="973" ht="12.0" customHeight="1">
      <c r="B973" s="1"/>
      <c r="J973" s="151"/>
      <c r="O973" s="151"/>
    </row>
    <row r="974" ht="12.0" customHeight="1">
      <c r="B974" s="1"/>
      <c r="J974" s="151"/>
      <c r="O974" s="151"/>
    </row>
    <row r="975" ht="12.0" customHeight="1">
      <c r="B975" s="1"/>
      <c r="J975" s="151"/>
      <c r="O975" s="151"/>
    </row>
    <row r="976" ht="12.0" customHeight="1">
      <c r="B976" s="1"/>
      <c r="J976" s="151"/>
      <c r="O976" s="151"/>
    </row>
    <row r="977" ht="12.0" customHeight="1">
      <c r="B977" s="1"/>
      <c r="J977" s="151"/>
      <c r="O977" s="151"/>
    </row>
    <row r="978" ht="12.0" customHeight="1">
      <c r="B978" s="1"/>
      <c r="J978" s="151"/>
      <c r="O978" s="151"/>
    </row>
    <row r="979" ht="12.0" customHeight="1">
      <c r="B979" s="1"/>
      <c r="J979" s="151"/>
      <c r="O979" s="151"/>
    </row>
    <row r="980" ht="12.0" customHeight="1">
      <c r="B980" s="1"/>
      <c r="J980" s="151"/>
      <c r="O980" s="151"/>
    </row>
    <row r="981" ht="12.0" customHeight="1">
      <c r="B981" s="1"/>
      <c r="J981" s="151"/>
      <c r="O981" s="151"/>
    </row>
    <row r="982" ht="12.0" customHeight="1">
      <c r="B982" s="1"/>
      <c r="J982" s="151"/>
      <c r="O982" s="151"/>
    </row>
    <row r="983" ht="12.0" customHeight="1">
      <c r="B983" s="1"/>
      <c r="J983" s="151"/>
      <c r="O983" s="151"/>
    </row>
    <row r="984" ht="12.0" customHeight="1">
      <c r="B984" s="1"/>
      <c r="J984" s="151"/>
      <c r="O984" s="151"/>
    </row>
    <row r="985" ht="12.0" customHeight="1">
      <c r="B985" s="1"/>
      <c r="J985" s="151"/>
      <c r="O985" s="151"/>
    </row>
    <row r="986" ht="12.0" customHeight="1">
      <c r="B986" s="1"/>
      <c r="J986" s="151"/>
      <c r="O986" s="151"/>
    </row>
    <row r="987" ht="12.0" customHeight="1">
      <c r="B987" s="1"/>
      <c r="J987" s="151"/>
      <c r="O987" s="151"/>
    </row>
    <row r="988" ht="12.0" customHeight="1">
      <c r="B988" s="1"/>
      <c r="J988" s="151"/>
      <c r="O988" s="151"/>
    </row>
    <row r="989" ht="12.0" customHeight="1">
      <c r="B989" s="1"/>
      <c r="J989" s="151"/>
      <c r="O989" s="151"/>
    </row>
    <row r="990" ht="12.0" customHeight="1">
      <c r="B990" s="1"/>
      <c r="J990" s="151"/>
      <c r="O990" s="151"/>
    </row>
    <row r="991" ht="12.0" customHeight="1">
      <c r="B991" s="1"/>
      <c r="J991" s="151"/>
      <c r="O991" s="151"/>
    </row>
    <row r="992" ht="12.0" customHeight="1">
      <c r="B992" s="1"/>
      <c r="J992" s="151"/>
      <c r="O992" s="151"/>
    </row>
    <row r="993" ht="12.0" customHeight="1">
      <c r="B993" s="1"/>
      <c r="J993" s="151"/>
      <c r="O993" s="151"/>
    </row>
    <row r="994" ht="12.0" customHeight="1">
      <c r="B994" s="1"/>
      <c r="J994" s="151"/>
      <c r="O994" s="151"/>
    </row>
    <row r="995" ht="12.0" customHeight="1">
      <c r="B995" s="1"/>
      <c r="J995" s="151"/>
      <c r="O995" s="151"/>
    </row>
    <row r="996" ht="12.0" customHeight="1">
      <c r="B996" s="1"/>
      <c r="J996" s="151"/>
      <c r="O996" s="151"/>
    </row>
    <row r="997" ht="12.0" customHeight="1">
      <c r="B997" s="1"/>
      <c r="J997" s="151"/>
      <c r="O997" s="151"/>
    </row>
    <row r="998" ht="12.0" customHeight="1">
      <c r="B998" s="1"/>
      <c r="J998" s="151"/>
      <c r="O998" s="151"/>
    </row>
    <row r="999" ht="12.0" customHeight="1">
      <c r="B999" s="1"/>
      <c r="J999" s="151"/>
      <c r="O999" s="151"/>
    </row>
    <row r="1000" ht="12.0" customHeight="1">
      <c r="B1000" s="1"/>
      <c r="J1000" s="151"/>
      <c r="O1000" s="151"/>
    </row>
  </sheetData>
  <mergeCells count="22">
    <mergeCell ref="I5:J5"/>
    <mergeCell ref="N5:O5"/>
    <mergeCell ref="E7:G7"/>
    <mergeCell ref="H7:J7"/>
    <mergeCell ref="K7:M7"/>
    <mergeCell ref="B18:B20"/>
    <mergeCell ref="B21:B25"/>
    <mergeCell ref="B56:B59"/>
    <mergeCell ref="B60:B62"/>
    <mergeCell ref="B63:B65"/>
    <mergeCell ref="B67:B69"/>
    <mergeCell ref="B70:B72"/>
    <mergeCell ref="B73:B75"/>
    <mergeCell ref="B76:B78"/>
    <mergeCell ref="B89:B91"/>
    <mergeCell ref="B26:B30"/>
    <mergeCell ref="B35:B37"/>
    <mergeCell ref="B38:B40"/>
    <mergeCell ref="B41:B43"/>
    <mergeCell ref="B44:B46"/>
    <mergeCell ref="B47:B52"/>
    <mergeCell ref="B53:B55"/>
  </mergeCells>
  <dataValidations>
    <dataValidation type="list" allowBlank="1" showErrorMessage="1" sqref="I21">
      <formula1>"STOCK BRICKS,BLOCKS,FACE BRICKS,NO BRICKWORK DONE"</formula1>
    </dataValidation>
    <dataValidation type="list" allowBlank="1" showErrorMessage="1" sqref="I26">
      <formula1>"CONCRETE ROOF TILES,IBR,CORRUGATED ROOFING SHEETS,NO ROOFING DONE"</formula1>
    </dataValidation>
    <dataValidation type="list" allowBlank="1" showErrorMessage="1" sqref="I18 I35 I38 I41 I44 I53 I60 I63 I67 I70 I73 I76 I79 I84 I89 I98 I105">
      <formula1>"YES,NO"</formula1>
    </dataValidation>
    <dataValidation type="list" allowBlank="1" showErrorMessage="1" sqref="N17:N18 N21 N26 N31 N35 N38 N41 N44 N47 N53 N56 N60 N63 N67 N70 N73 N76 N79 N84 N89 N93">
      <formula1>"DELAPIDATED,POOR,FAIR,GOOD,VERY GOOD,EXCELLENT,NOT APPLICABLE"</formula1>
    </dataValidation>
    <dataValidation type="list" allowBlank="1" showErrorMessage="1" sqref="I56">
      <formula1>"STEEL WINDOW FRAMES,ALUMINIUM WINDOW FRAMES,NO WINDOWS FITTED"</formula1>
    </dataValidation>
    <dataValidation type="list" allowBlank="1" showErrorMessage="1" sqref="I13">
      <formula1>"2010-2013,2014-2021,2021-2023"</formula1>
    </dataValidation>
    <dataValidation type="list" allowBlank="1" showErrorMessage="1" sqref="I93">
      <formula1>"2 Pumps,3 Pumps,4 Pumps,5 Pumps,6 Pumps,7 Pumps"</formula1>
    </dataValidation>
    <dataValidation type="list" allowBlank="1" showErrorMessage="1" sqref="I47">
      <formula1>"VINYL FLOORING,TILING FLOORING,TIMBER FLOORING,NO FLOORING"</formula1>
    </dataValidation>
    <dataValidation type="list" allowBlank="1" showErrorMessage="1" sqref="I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4.38"/>
    <col customWidth="1" min="3" max="3" width="19.63"/>
    <col customWidth="1" min="4" max="4" width="25.38"/>
    <col customWidth="1" min="5" max="5" width="20.63"/>
    <col customWidth="1" min="6" max="7" width="24.25"/>
    <col customWidth="1" min="8" max="8" width="19.38"/>
    <col customWidth="1" min="9" max="9" width="20.0"/>
    <col customWidth="1" min="10" max="10" width="24.88"/>
    <col customWidth="1" min="11" max="11" width="20.38"/>
    <col customWidth="1" min="12" max="12" width="17.88"/>
    <col customWidth="1" min="13" max="13" width="16.88"/>
    <col customWidth="1" min="14" max="14" width="15.5"/>
    <col customWidth="1" min="15" max="26" width="9.13"/>
  </cols>
  <sheetData>
    <row r="1" ht="12.0" customHeight="1">
      <c r="B1" s="1"/>
      <c r="D1" s="161"/>
      <c r="E1" s="859"/>
      <c r="H1" s="349"/>
      <c r="L1" s="2"/>
      <c r="N1" s="2"/>
    </row>
    <row r="2" ht="12.0" customHeight="1">
      <c r="B2" s="1"/>
      <c r="D2" s="161"/>
      <c r="E2" s="859"/>
      <c r="H2" s="349"/>
      <c r="L2" s="2"/>
      <c r="N2" s="2"/>
    </row>
    <row r="3" ht="12.0" customHeight="1">
      <c r="B3" s="1"/>
      <c r="D3" s="161"/>
      <c r="E3" s="859"/>
      <c r="H3" s="349"/>
      <c r="L3" s="2"/>
      <c r="N3" s="2"/>
    </row>
    <row r="4" ht="12.0" customHeight="1">
      <c r="B4" s="1"/>
      <c r="D4" s="161"/>
      <c r="E4" s="859"/>
      <c r="H4" s="349"/>
      <c r="L4" s="2"/>
      <c r="N4" s="2"/>
    </row>
    <row r="5" ht="12.0" customHeight="1">
      <c r="B5" s="1"/>
      <c r="D5" s="161"/>
      <c r="E5" s="859"/>
      <c r="H5" s="349"/>
      <c r="L5" s="2"/>
      <c r="N5" s="2"/>
    </row>
    <row r="6" ht="12.0" customHeight="1">
      <c r="B6" s="1"/>
      <c r="C6" s="4" t="s">
        <v>187</v>
      </c>
      <c r="D6" s="161"/>
      <c r="E6" s="859"/>
      <c r="H6" s="349"/>
      <c r="L6" s="2"/>
      <c r="N6" s="2"/>
    </row>
    <row r="7" ht="45.0" customHeight="1">
      <c r="B7" s="1"/>
      <c r="C7" s="4"/>
      <c r="D7" s="161"/>
      <c r="E7" s="859"/>
      <c r="H7" s="349"/>
      <c r="L7" s="2"/>
      <c r="N7" s="2"/>
    </row>
    <row r="8" ht="41.25" customHeight="1">
      <c r="B8" s="1"/>
      <c r="C8" s="4"/>
      <c r="D8" s="161"/>
      <c r="E8" s="859"/>
      <c r="H8" s="349"/>
      <c r="K8" s="6" t="s">
        <v>2</v>
      </c>
      <c r="L8" s="7"/>
      <c r="M8" s="8" t="s">
        <v>3</v>
      </c>
      <c r="N8" s="7"/>
    </row>
    <row r="9" ht="82.5" customHeight="1">
      <c r="A9" s="20"/>
      <c r="B9" s="167" t="s">
        <v>6</v>
      </c>
      <c r="C9" s="167" t="s">
        <v>7</v>
      </c>
      <c r="D9" s="175" t="s">
        <v>97</v>
      </c>
      <c r="E9" s="860"/>
      <c r="F9" s="44"/>
      <c r="G9" s="361" t="s">
        <v>8</v>
      </c>
      <c r="H9" s="362" t="s">
        <v>9</v>
      </c>
      <c r="I9" s="362" t="s">
        <v>10</v>
      </c>
      <c r="J9" s="362" t="s">
        <v>11</v>
      </c>
      <c r="K9" s="26" t="s">
        <v>13</v>
      </c>
      <c r="L9" s="24" t="s">
        <v>14</v>
      </c>
      <c r="M9" s="31" t="s">
        <v>18</v>
      </c>
      <c r="N9" s="24" t="s">
        <v>14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0.0" customHeight="1">
      <c r="A10" s="17"/>
      <c r="B10" s="52"/>
      <c r="C10" s="184" t="s">
        <v>19</v>
      </c>
      <c r="D10" s="185">
        <v>636.0</v>
      </c>
      <c r="E10" s="861"/>
      <c r="F10" s="185">
        <v>636.0</v>
      </c>
      <c r="G10" s="48"/>
      <c r="H10" s="862"/>
      <c r="I10" s="255"/>
      <c r="J10" s="772"/>
      <c r="K10" s="188">
        <v>500.0</v>
      </c>
      <c r="L10" s="863"/>
      <c r="M10" s="193"/>
      <c r="N10" s="19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30.0" hidden="1" customHeight="1">
      <c r="A11" s="17"/>
      <c r="B11" s="52"/>
      <c r="C11" s="184"/>
      <c r="D11" s="185"/>
      <c r="E11" s="861"/>
      <c r="F11" s="185"/>
      <c r="G11" s="48"/>
      <c r="H11" s="862"/>
      <c r="I11" s="255"/>
      <c r="J11" s="255"/>
      <c r="K11" s="864"/>
      <c r="L11" s="865"/>
      <c r="M11" s="193"/>
      <c r="N11" s="19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0.0" hidden="1" customHeight="1">
      <c r="A12" s="17"/>
      <c r="B12" s="52"/>
      <c r="C12" s="184"/>
      <c r="D12" s="185"/>
      <c r="E12" s="861"/>
      <c r="F12" s="185"/>
      <c r="G12" s="48"/>
      <c r="H12" s="862"/>
      <c r="I12" s="255"/>
      <c r="J12" s="255"/>
      <c r="K12" s="54"/>
      <c r="L12" s="865"/>
      <c r="M12" s="193"/>
      <c r="N12" s="19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0.0" hidden="1" customHeight="1">
      <c r="A13" s="17"/>
      <c r="B13" s="52"/>
      <c r="C13" s="184"/>
      <c r="D13" s="185"/>
      <c r="E13" s="861"/>
      <c r="F13" s="185"/>
      <c r="G13" s="48"/>
      <c r="H13" s="862"/>
      <c r="I13" s="255"/>
      <c r="J13" s="255"/>
      <c r="K13" s="54"/>
      <c r="L13" s="865"/>
      <c r="M13" s="193"/>
      <c r="N13" s="19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hidden="1" customHeight="1">
      <c r="A14" s="17"/>
      <c r="B14" s="52"/>
      <c r="C14" s="184"/>
      <c r="D14" s="185"/>
      <c r="E14" s="861"/>
      <c r="F14" s="185"/>
      <c r="G14" s="48"/>
      <c r="H14" s="862"/>
      <c r="I14" s="255"/>
      <c r="J14" s="255"/>
      <c r="K14" s="54"/>
      <c r="L14" s="865"/>
      <c r="M14" s="193"/>
      <c r="N14" s="19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customHeight="1">
      <c r="A15" s="17"/>
      <c r="B15" s="52"/>
      <c r="C15" s="194" t="s">
        <v>20</v>
      </c>
      <c r="D15" s="185"/>
      <c r="E15" s="861"/>
      <c r="F15" s="185"/>
      <c r="G15" s="54"/>
      <c r="H15" s="862"/>
      <c r="I15" s="255"/>
      <c r="J15" s="255"/>
      <c r="K15" s="824" t="s">
        <v>11</v>
      </c>
      <c r="L15" s="865"/>
      <c r="M15" s="193"/>
      <c r="N15" s="19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hidden="1" customHeight="1">
      <c r="A16" s="17"/>
      <c r="B16" s="52"/>
      <c r="C16" s="383"/>
      <c r="D16" s="185"/>
      <c r="E16" s="861"/>
      <c r="F16" s="185"/>
      <c r="G16" s="63">
        <v>1.24</v>
      </c>
      <c r="H16" s="862"/>
      <c r="I16" s="203">
        <v>1.25</v>
      </c>
      <c r="J16" s="203">
        <v>1.32</v>
      </c>
      <c r="K16" s="72" t="s">
        <v>25</v>
      </c>
      <c r="L16" s="99"/>
      <c r="M16" s="255"/>
      <c r="N16" s="800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66">
        <v>611000.0</v>
      </c>
      <c r="E17" s="866">
        <f t="shared" ref="E17:E18" si="1">D17/$D$10</f>
        <v>960.6918239</v>
      </c>
      <c r="F17" s="66">
        <v>611000.0</v>
      </c>
      <c r="G17" s="54"/>
      <c r="H17" s="71">
        <f>960.691823899371*$G$16</f>
        <v>1191.257862</v>
      </c>
      <c r="I17" s="867">
        <f t="shared" ref="I17:I43" si="2">H17/$I$16</f>
        <v>953.0062893</v>
      </c>
      <c r="J17" s="867">
        <f>H17/$J$16</f>
        <v>902.468077</v>
      </c>
      <c r="K17" s="68"/>
      <c r="L17" s="73">
        <f>IF(K15="2010-2013",K10*J17,IF(K15="2014-2021",K10*I17,IF(K15="2021-2023",K10*H17,-2)))</f>
        <v>451234.0385</v>
      </c>
      <c r="M17" s="72" t="s">
        <v>87</v>
      </c>
      <c r="N17" s="801">
        <f t="shared" ref="N17:N18" si="3">IF(M17="Delapidated",L17*0.6,IF(M17="Poor",L17*0.7,IF(M17="Fair",L17*0.8,IF(M17="Good",L17*0.85,IF(M17="Very Good",L17*0.9,IF(M17="Excellent",L17*1,IF(M17="Not Applicable",L17*1,0)))))))</f>
        <v>270740.4231</v>
      </c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44">
        <f>B17+1</f>
        <v>2</v>
      </c>
      <c r="C18" s="208" t="s">
        <v>24</v>
      </c>
      <c r="D18" s="66">
        <v>113600.0</v>
      </c>
      <c r="E18" s="866">
        <f t="shared" si="1"/>
        <v>178.6163522</v>
      </c>
      <c r="F18" s="66">
        <v>113600.0</v>
      </c>
      <c r="G18" s="219"/>
      <c r="H18" s="219"/>
      <c r="I18" s="867">
        <f t="shared" si="2"/>
        <v>0</v>
      </c>
      <c r="J18" s="867"/>
      <c r="K18" s="72" t="s">
        <v>25</v>
      </c>
      <c r="L18" s="73">
        <f t="array" ref="L18">IF(K18="YES",IF(K15="2010-2013",J19*$K$10,IF(K15="2014-2021",I19*$K$10,IF(K15="2021-2023",H19*$K$10,0))),0)</f>
        <v>83895.55937</v>
      </c>
      <c r="M18" s="72" t="s">
        <v>139</v>
      </c>
      <c r="N18" s="801">
        <f t="shared" si="3"/>
        <v>58726.89156</v>
      </c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hidden="1" customHeight="1">
      <c r="A19" s="34"/>
      <c r="B19" s="44"/>
      <c r="C19" s="79" t="s">
        <v>25</v>
      </c>
      <c r="D19" s="66"/>
      <c r="E19" s="866"/>
      <c r="F19" s="66"/>
      <c r="G19" s="66"/>
      <c r="H19" s="71">
        <f>178.616352201258*G16</f>
        <v>221.4842767</v>
      </c>
      <c r="I19" s="867">
        <f t="shared" si="2"/>
        <v>177.1874214</v>
      </c>
      <c r="J19" s="867">
        <f t="shared" ref="J19:J20" si="4">H19/$J$16</f>
        <v>167.7911187</v>
      </c>
      <c r="K19" s="68"/>
      <c r="L19" s="73"/>
      <c r="M19" s="219"/>
      <c r="N19" s="802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hidden="1" customHeight="1">
      <c r="A20" s="34"/>
      <c r="B20" s="44"/>
      <c r="C20" s="79" t="s">
        <v>26</v>
      </c>
      <c r="D20" s="66"/>
      <c r="E20" s="866"/>
      <c r="F20" s="66"/>
      <c r="G20" s="66"/>
      <c r="H20" s="71">
        <v>0.0</v>
      </c>
      <c r="I20" s="867">
        <f t="shared" si="2"/>
        <v>0</v>
      </c>
      <c r="J20" s="867">
        <f t="shared" si="4"/>
        <v>0</v>
      </c>
      <c r="K20" s="68"/>
      <c r="L20" s="402"/>
      <c r="M20" s="219"/>
      <c r="N20" s="802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customHeight="1">
      <c r="A21" s="34"/>
      <c r="B21" s="44">
        <v>3.0</v>
      </c>
      <c r="C21" s="208" t="s">
        <v>83</v>
      </c>
      <c r="D21" s="66">
        <v>452300.0</v>
      </c>
      <c r="E21" s="866">
        <f>D21/$D$10</f>
        <v>711.163522</v>
      </c>
      <c r="F21" s="66">
        <f>452300+1900</f>
        <v>454200</v>
      </c>
      <c r="G21" s="66"/>
      <c r="H21" s="219"/>
      <c r="I21" s="867">
        <f t="shared" si="2"/>
        <v>0</v>
      </c>
      <c r="J21" s="867"/>
      <c r="K21" s="72" t="s">
        <v>28</v>
      </c>
      <c r="L21" s="73">
        <f>IF(K21="STOCK BRICKS",IF(K15="2010-2013",J22*$K$10,IF(K15="2014-2021",I22*$K$10,IF(K15="2021-2023",H22*$K$10,0))),IF(K21="BLOCKS",IF(K15="2010-2013",J23*$K$10,IF(K15="2014-2021",I23*$K$10,IF(K15="2021-2023",H23*$K$10,0))),IF(K21="FACE BRICKS",IF(K15="2010-2013",J24*$K$10,IF(K15="2014-2021",I24*$K$10,IF(K15="2021-2023",H24*$K$10,0))),0)))</f>
        <v>335434.534</v>
      </c>
      <c r="M21" s="72" t="s">
        <v>23</v>
      </c>
      <c r="N21" s="801">
        <f>IF(M21="Delapidated",L21*0.6,IF(M21="Poor",L21*0.7,IF(M21="Fair",L21*0.8,IF(M21="Good",L21*0.85,IF(M21="Very Good",L21*0.9,IF(M21="Excellent",L21*1,IF(M21="Not Applicable",L21*1,0)))))))</f>
        <v>335434.534</v>
      </c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hidden="1" customHeight="1">
      <c r="A22" s="34"/>
      <c r="B22" s="44"/>
      <c r="C22" s="79" t="s">
        <v>28</v>
      </c>
      <c r="D22" s="66"/>
      <c r="E22" s="866"/>
      <c r="F22" s="66"/>
      <c r="G22" s="66"/>
      <c r="H22" s="71">
        <f>714.150943396226*G16</f>
        <v>885.5471698</v>
      </c>
      <c r="I22" s="867">
        <f t="shared" si="2"/>
        <v>708.4377358</v>
      </c>
      <c r="J22" s="867">
        <f t="shared" ref="J22:J25" si="5">H22/$J$16</f>
        <v>670.869068</v>
      </c>
      <c r="K22" s="868"/>
      <c r="L22" s="402"/>
      <c r="M22" s="219"/>
      <c r="N22" s="80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hidden="1" customHeight="1">
      <c r="A23" s="34"/>
      <c r="B23" s="44"/>
      <c r="C23" s="79" t="s">
        <v>29</v>
      </c>
      <c r="D23" s="66"/>
      <c r="E23" s="866"/>
      <c r="F23" s="66"/>
      <c r="G23" s="66"/>
      <c r="H23" s="71">
        <f>H22*0.8</f>
        <v>708.4377358</v>
      </c>
      <c r="I23" s="867">
        <f t="shared" si="2"/>
        <v>566.7501887</v>
      </c>
      <c r="J23" s="867">
        <f t="shared" si="5"/>
        <v>536.6952544</v>
      </c>
      <c r="K23" s="68"/>
      <c r="L23" s="73"/>
      <c r="M23" s="219"/>
      <c r="N23" s="80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hidden="1" customHeight="1">
      <c r="A24" s="34"/>
      <c r="B24" s="44"/>
      <c r="C24" s="79" t="s">
        <v>30</v>
      </c>
      <c r="D24" s="66"/>
      <c r="E24" s="866"/>
      <c r="F24" s="66"/>
      <c r="G24" s="66"/>
      <c r="H24" s="71">
        <f>H22*1.3</f>
        <v>1151.211321</v>
      </c>
      <c r="I24" s="867">
        <f t="shared" si="2"/>
        <v>920.9690566</v>
      </c>
      <c r="J24" s="867">
        <f t="shared" si="5"/>
        <v>872.1297885</v>
      </c>
      <c r="K24" s="68"/>
      <c r="L24" s="402"/>
      <c r="M24" s="219"/>
      <c r="N24" s="802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hidden="1" customHeight="1">
      <c r="A25" s="34"/>
      <c r="B25" s="44"/>
      <c r="C25" s="79" t="s">
        <v>31</v>
      </c>
      <c r="D25" s="66"/>
      <c r="E25" s="866"/>
      <c r="F25" s="66"/>
      <c r="G25" s="66"/>
      <c r="H25" s="71">
        <v>0.0</v>
      </c>
      <c r="I25" s="867">
        <f t="shared" si="2"/>
        <v>0</v>
      </c>
      <c r="J25" s="867">
        <f t="shared" si="5"/>
        <v>0</v>
      </c>
      <c r="K25" s="68"/>
      <c r="L25" s="73"/>
      <c r="M25" s="219"/>
      <c r="N25" s="802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customHeight="1">
      <c r="A26" s="34"/>
      <c r="B26" s="44">
        <v>4.0</v>
      </c>
      <c r="C26" s="208" t="s">
        <v>188</v>
      </c>
      <c r="D26" s="66">
        <v>206000.0</v>
      </c>
      <c r="E26" s="866">
        <f>D26/$D$10</f>
        <v>323.8993711</v>
      </c>
      <c r="F26" s="66">
        <f>206000+2500</f>
        <v>208500</v>
      </c>
      <c r="G26" s="66"/>
      <c r="H26" s="219"/>
      <c r="I26" s="867">
        <f t="shared" si="2"/>
        <v>0</v>
      </c>
      <c r="J26" s="867"/>
      <c r="K26" s="72" t="s">
        <v>33</v>
      </c>
      <c r="L26" s="73">
        <f>IF(K26="CONCRETE ROOF TILES",IF(K15="2010-2013",I27*$K$10,IF(K15="2014-2021",H27*$K$10,IF(K15="2021-2023",F25*$K$10,0))),IF(K26="IBR",IF(K15="2010-2013",I28*$K$10,IF(K15="2014-2021",H28*$K$10,IF(K15="2021-2023",F26*$K$10,0))),IF(K26="CORRUGATED ROOFING SHEETS",IF(K15="2010-2013",I29*$K$10,IF(K15="2014-2021",H29*$K$10,IF(K15="2021-2023",F27*$K$10,0))),0)))</f>
        <v>64480</v>
      </c>
      <c r="M26" s="72" t="s">
        <v>23</v>
      </c>
      <c r="N26" s="801">
        <f>IF(M26="Delapidated",L26*0.6,IF(M26="Poor",L26*0.7,IF(M26="Fair",L26*0.8,IF(M26="Good",L26*0.85,IF(M26="Very Good",L26*0.9,IF(M26="Excellent",L26*1,IF(M26="Not Applicable",L26*1,0)))))))</f>
        <v>64480</v>
      </c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customHeight="1">
      <c r="A27" s="34"/>
      <c r="B27" s="44"/>
      <c r="C27" s="79" t="s">
        <v>33</v>
      </c>
      <c r="D27" s="66"/>
      <c r="E27" s="866"/>
      <c r="F27" s="66"/>
      <c r="G27" s="66"/>
      <c r="H27" s="67">
        <f>130*G16</f>
        <v>161.2</v>
      </c>
      <c r="I27" s="867">
        <f t="shared" si="2"/>
        <v>128.96</v>
      </c>
      <c r="J27" s="867">
        <f t="shared" ref="J27:J34" si="6">H27/$J$16</f>
        <v>122.1212121</v>
      </c>
      <c r="K27" s="868"/>
      <c r="L27" s="402"/>
      <c r="M27" s="219"/>
      <c r="N27" s="80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customHeight="1">
      <c r="A28" s="34"/>
      <c r="B28" s="44"/>
      <c r="C28" s="79" t="s">
        <v>34</v>
      </c>
      <c r="D28" s="66"/>
      <c r="E28" s="866"/>
      <c r="F28" s="66"/>
      <c r="G28" s="66"/>
      <c r="H28" s="67">
        <f>H27*1.6</f>
        <v>257.92</v>
      </c>
      <c r="I28" s="867">
        <f t="shared" si="2"/>
        <v>206.336</v>
      </c>
      <c r="J28" s="867">
        <f t="shared" si="6"/>
        <v>195.3939394</v>
      </c>
      <c r="K28" s="68"/>
      <c r="L28" s="73"/>
      <c r="M28" s="219"/>
      <c r="N28" s="80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customHeight="1">
      <c r="A29" s="34"/>
      <c r="B29" s="44"/>
      <c r="C29" s="79" t="s">
        <v>35</v>
      </c>
      <c r="D29" s="66"/>
      <c r="E29" s="866"/>
      <c r="F29" s="66"/>
      <c r="G29" s="66"/>
      <c r="H29" s="67">
        <f>H27*0.6</f>
        <v>96.72</v>
      </c>
      <c r="I29" s="867">
        <f t="shared" si="2"/>
        <v>77.376</v>
      </c>
      <c r="J29" s="867">
        <f t="shared" si="6"/>
        <v>73.27272727</v>
      </c>
      <c r="K29" s="68"/>
      <c r="L29" s="402"/>
      <c r="M29" s="219"/>
      <c r="N29" s="802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customHeight="1">
      <c r="A30" s="34"/>
      <c r="B30" s="44"/>
      <c r="C30" s="79" t="s">
        <v>36</v>
      </c>
      <c r="D30" s="66"/>
      <c r="E30" s="866"/>
      <c r="F30" s="66"/>
      <c r="G30" s="66"/>
      <c r="H30" s="67">
        <v>0.0</v>
      </c>
      <c r="I30" s="867">
        <f t="shared" si="2"/>
        <v>0</v>
      </c>
      <c r="J30" s="867">
        <f t="shared" si="6"/>
        <v>0</v>
      </c>
      <c r="K30" s="868"/>
      <c r="L30" s="402"/>
      <c r="M30" s="219"/>
      <c r="N30" s="802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customHeight="1">
      <c r="A31" s="34"/>
      <c r="B31" s="456">
        <v>5.0</v>
      </c>
      <c r="C31" s="92" t="s">
        <v>158</v>
      </c>
      <c r="D31" s="66"/>
      <c r="E31" s="866"/>
      <c r="F31" s="66"/>
      <c r="G31" s="66"/>
      <c r="H31" s="67"/>
      <c r="I31" s="867">
        <f t="shared" si="2"/>
        <v>0</v>
      </c>
      <c r="J31" s="867">
        <f t="shared" si="6"/>
        <v>0</v>
      </c>
      <c r="K31" s="72" t="s">
        <v>38</v>
      </c>
      <c r="L31" s="70">
        <f>IF(K31="TIMBER ROOF TRUSSES",IF(K15="2010-2013",J32*$K$10,IF(K15="2014-2021",I32*$K$10,IF(K15="2021-2023",H32*$K$10,0))),IF(K31="STRUCTURAL STEEL TRUSSES",IF(K15="2010-2013",J33*$K$10,IF(K15="2014-2021",I33*$K$10,IF(K15="2021-2023",H33*$K$10,0))),0))</f>
        <v>211363.6364</v>
      </c>
      <c r="M31" s="72" t="s">
        <v>23</v>
      </c>
      <c r="N31" s="211">
        <f>IF(M31="Delapidated",L31*0.6,IF(M31="Poor",L31*0.7,IF(M31="Fair",L31*0.8,IF(M31="Good",L31*0.85,IF(M31="Very Good",L31*0.9,IF(M31="Excellent",L31*1,IF(M31="Not Applicable",L31*1,0)))))))</f>
        <v>211363.6364</v>
      </c>
      <c r="O31" s="206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customHeight="1">
      <c r="A32" s="34"/>
      <c r="B32" s="456"/>
      <c r="C32" s="79" t="s">
        <v>38</v>
      </c>
      <c r="D32" s="66"/>
      <c r="E32" s="866"/>
      <c r="F32" s="66"/>
      <c r="G32" s="66"/>
      <c r="H32" s="67">
        <f>450*G16</f>
        <v>558</v>
      </c>
      <c r="I32" s="867">
        <f t="shared" si="2"/>
        <v>446.4</v>
      </c>
      <c r="J32" s="867">
        <f t="shared" si="6"/>
        <v>422.7272727</v>
      </c>
      <c r="K32" s="868"/>
      <c r="L32" s="402"/>
      <c r="M32" s="219"/>
      <c r="N32" s="802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customHeight="1">
      <c r="A33" s="34"/>
      <c r="B33" s="456"/>
      <c r="C33" s="79" t="s">
        <v>137</v>
      </c>
      <c r="D33" s="66"/>
      <c r="E33" s="866"/>
      <c r="F33" s="66"/>
      <c r="G33" s="66"/>
      <c r="H33" s="67">
        <f>1100*G16</f>
        <v>1364</v>
      </c>
      <c r="I33" s="867">
        <f t="shared" si="2"/>
        <v>1091.2</v>
      </c>
      <c r="J33" s="867">
        <f t="shared" si="6"/>
        <v>1033.333333</v>
      </c>
      <c r="K33" s="868"/>
      <c r="L33" s="402"/>
      <c r="M33" s="219"/>
      <c r="N33" s="802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customHeight="1">
      <c r="A34" s="34"/>
      <c r="B34" s="456"/>
      <c r="C34" s="79" t="s">
        <v>41</v>
      </c>
      <c r="D34" s="66"/>
      <c r="E34" s="866"/>
      <c r="F34" s="66"/>
      <c r="G34" s="66"/>
      <c r="H34" s="67">
        <v>0.0</v>
      </c>
      <c r="I34" s="867">
        <f t="shared" si="2"/>
        <v>0</v>
      </c>
      <c r="J34" s="867">
        <f t="shared" si="6"/>
        <v>0</v>
      </c>
      <c r="K34" s="868"/>
      <c r="L34" s="402"/>
      <c r="M34" s="219"/>
      <c r="N34" s="802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customHeight="1">
      <c r="A35" s="34"/>
      <c r="B35" s="44">
        <f>B26+1</f>
        <v>5</v>
      </c>
      <c r="C35" s="208" t="s">
        <v>119</v>
      </c>
      <c r="D35" s="66">
        <v>37200.0</v>
      </c>
      <c r="E35" s="866">
        <f>D35/$D$10</f>
        <v>58.49056604</v>
      </c>
      <c r="F35" s="66">
        <f>37200+9000</f>
        <v>46200</v>
      </c>
      <c r="G35" s="66"/>
      <c r="H35" s="219"/>
      <c r="I35" s="867">
        <f t="shared" si="2"/>
        <v>0</v>
      </c>
      <c r="J35" s="867"/>
      <c r="K35" s="72" t="s">
        <v>25</v>
      </c>
      <c r="L35" s="73">
        <f t="array" ref="L35">IF(K35="YES",IF(K15="2010-2013",J36*$K$10,IF(K15="2014-2021",I36*$K$10,IF(K15="2021-2023",H36*$K$10,0))),0)</f>
        <v>2941.100629</v>
      </c>
      <c r="M35" s="72" t="s">
        <v>23</v>
      </c>
      <c r="N35" s="801">
        <f>IF(M35="Delapidated",L35*0.6,IF(M35="Poor",L35*0.7,IF(M35="Fair",L35*0.8,IF(M35="Good",L35*0.85,IF(M35="Very Good",L35*0.9,IF(M35="Excellent",L35*1,IF(M35="Not Applicable",L35*1,0)))))))</f>
        <v>2941.100629</v>
      </c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customHeight="1">
      <c r="A36" s="34"/>
      <c r="B36" s="44"/>
      <c r="C36" s="79" t="s">
        <v>25</v>
      </c>
      <c r="D36" s="66"/>
      <c r="E36" s="866"/>
      <c r="F36" s="66"/>
      <c r="G36" s="66"/>
      <c r="H36" s="71">
        <f>72.6415094339623*8.62%*G16</f>
        <v>7.76450566</v>
      </c>
      <c r="I36" s="867">
        <f t="shared" si="2"/>
        <v>6.211604528</v>
      </c>
      <c r="J36" s="867">
        <f t="shared" ref="J36:J37" si="7">H36/$J$16</f>
        <v>5.882201258</v>
      </c>
      <c r="K36" s="68"/>
      <c r="L36" s="402"/>
      <c r="M36" s="219"/>
      <c r="N36" s="802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customHeight="1">
      <c r="A37" s="34"/>
      <c r="B37" s="44"/>
      <c r="C37" s="79" t="s">
        <v>26</v>
      </c>
      <c r="D37" s="66"/>
      <c r="E37" s="866"/>
      <c r="F37" s="66"/>
      <c r="G37" s="66"/>
      <c r="H37" s="71">
        <v>0.0</v>
      </c>
      <c r="I37" s="867">
        <f t="shared" si="2"/>
        <v>0</v>
      </c>
      <c r="J37" s="867">
        <f t="shared" si="7"/>
        <v>0</v>
      </c>
      <c r="K37" s="868"/>
      <c r="L37" s="402"/>
      <c r="M37" s="219"/>
      <c r="N37" s="802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customHeight="1">
      <c r="A38" s="34"/>
      <c r="B38" s="83">
        <f>B35+1</f>
        <v>6</v>
      </c>
      <c r="C38" s="208" t="s">
        <v>45</v>
      </c>
      <c r="D38" s="66"/>
      <c r="E38" s="66"/>
      <c r="F38" s="66"/>
      <c r="G38" s="66"/>
      <c r="H38" s="66"/>
      <c r="I38" s="867">
        <f t="shared" si="2"/>
        <v>0</v>
      </c>
      <c r="J38" s="867"/>
      <c r="K38" s="72" t="s">
        <v>25</v>
      </c>
      <c r="L38" s="73">
        <f t="array" ref="L38">IF(K38="YES",IF(K15="2010-2013",J39*$K$10,IF(K15="2014-2021",I39*$K$10,IF(K15="2021-2023",H39*$K$10,0))),0)</f>
        <v>25296.19497</v>
      </c>
      <c r="M38" s="72" t="s">
        <v>23</v>
      </c>
      <c r="N38" s="801">
        <f>IF(M38="Delapidated",L38*0.6,IF(M38="Poor",L38*0.7,IF(M38="Fair",L38*0.8,IF(M38="Good",L38*0.85,IF(M38="Very Good",L38*0.9,IF(M38="Excellent",L38*1,IF(M38="Not Applicable",L38*1,0)))))))</f>
        <v>25296.19497</v>
      </c>
      <c r="O38" s="869"/>
      <c r="P38" s="869"/>
      <c r="Q38" s="869"/>
      <c r="R38" s="869"/>
      <c r="S38" s="857"/>
      <c r="T38" s="869"/>
      <c r="U38" s="247"/>
      <c r="V38" s="247"/>
      <c r="W38" s="249"/>
      <c r="X38" s="218"/>
      <c r="Y38" s="218"/>
      <c r="Z38" s="34"/>
    </row>
    <row r="39" ht="30.0" customHeight="1">
      <c r="A39" s="34"/>
      <c r="B39" s="84"/>
      <c r="C39" s="79" t="s">
        <v>25</v>
      </c>
      <c r="D39" s="66"/>
      <c r="E39" s="66"/>
      <c r="F39" s="66"/>
      <c r="G39" s="66"/>
      <c r="H39" s="66">
        <f>72.6415094339623*74.14%*G16</f>
        <v>66.78195472</v>
      </c>
      <c r="I39" s="867">
        <f t="shared" si="2"/>
        <v>53.42556377</v>
      </c>
      <c r="J39" s="867">
        <f t="shared" ref="J39:J40" si="8">H39/$J$16</f>
        <v>50.59238994</v>
      </c>
      <c r="K39" s="461"/>
      <c r="L39" s="73"/>
      <c r="M39" s="219"/>
      <c r="N39" s="802"/>
      <c r="O39" s="869"/>
      <c r="P39" s="869"/>
      <c r="Q39" s="869"/>
      <c r="R39" s="870"/>
      <c r="S39" s="869"/>
      <c r="T39" s="869"/>
      <c r="U39" s="247"/>
      <c r="V39" s="247"/>
      <c r="W39" s="249"/>
      <c r="X39" s="218"/>
      <c r="Y39" s="218"/>
      <c r="Z39" s="34"/>
    </row>
    <row r="40" ht="30.0" customHeight="1">
      <c r="A40" s="34"/>
      <c r="B40" s="85"/>
      <c r="C40" s="79" t="s">
        <v>26</v>
      </c>
      <c r="D40" s="66"/>
      <c r="E40" s="66"/>
      <c r="F40" s="66"/>
      <c r="G40" s="66"/>
      <c r="H40" s="66"/>
      <c r="I40" s="867">
        <f t="shared" si="2"/>
        <v>0</v>
      </c>
      <c r="J40" s="867">
        <f t="shared" si="8"/>
        <v>0</v>
      </c>
      <c r="K40" s="461"/>
      <c r="L40" s="73"/>
      <c r="M40" s="219"/>
      <c r="N40" s="802"/>
      <c r="O40" s="869"/>
      <c r="P40" s="869"/>
      <c r="Q40" s="869"/>
      <c r="R40" s="870"/>
      <c r="S40" s="869"/>
      <c r="T40" s="869"/>
      <c r="U40" s="247"/>
      <c r="V40" s="247"/>
      <c r="W40" s="249"/>
      <c r="X40" s="218"/>
      <c r="Y40" s="218"/>
      <c r="Z40" s="34"/>
    </row>
    <row r="41" ht="30.0" customHeight="1">
      <c r="A41" s="34"/>
      <c r="B41" s="83">
        <f>B38+1</f>
        <v>7</v>
      </c>
      <c r="C41" s="208" t="s">
        <v>49</v>
      </c>
      <c r="D41" s="66"/>
      <c r="E41" s="66"/>
      <c r="F41" s="66"/>
      <c r="G41" s="66"/>
      <c r="H41" s="66"/>
      <c r="I41" s="867">
        <f t="shared" si="2"/>
        <v>0</v>
      </c>
      <c r="J41" s="867"/>
      <c r="K41" s="72" t="s">
        <v>26</v>
      </c>
      <c r="L41" s="73">
        <f>IF(K39="YES",IF(K15="2010-2013",I40*$S$17,IF(K15="2014-2021",H40*$S$17,IF(K15="2021-2023",F40*$S$17,0))),0)</f>
        <v>0</v>
      </c>
      <c r="M41" s="219"/>
      <c r="N41" s="801"/>
      <c r="O41" s="869"/>
      <c r="P41" s="869"/>
      <c r="Q41" s="869"/>
      <c r="R41" s="869"/>
      <c r="S41" s="857"/>
      <c r="T41" s="869"/>
      <c r="U41" s="247"/>
      <c r="V41" s="247"/>
      <c r="W41" s="249"/>
      <c r="X41" s="218"/>
      <c r="Y41" s="218"/>
      <c r="Z41" s="34"/>
    </row>
    <row r="42" ht="30.0" customHeight="1">
      <c r="A42" s="34"/>
      <c r="B42" s="84"/>
      <c r="C42" s="79" t="s">
        <v>25</v>
      </c>
      <c r="D42" s="66"/>
      <c r="E42" s="66"/>
      <c r="F42" s="66"/>
      <c r="G42" s="66"/>
      <c r="H42" s="66">
        <f>72.6415094339623*17.24%*G16</f>
        <v>15.52901132</v>
      </c>
      <c r="I42" s="867">
        <f t="shared" si="2"/>
        <v>12.42320906</v>
      </c>
      <c r="J42" s="867">
        <f t="shared" ref="J42:J43" si="9">H42/$J$16</f>
        <v>11.76440252</v>
      </c>
      <c r="K42" s="461"/>
      <c r="L42" s="73"/>
      <c r="M42" s="219"/>
      <c r="N42" s="802"/>
      <c r="O42" s="869"/>
      <c r="P42" s="869"/>
      <c r="Q42" s="869"/>
      <c r="R42" s="870"/>
      <c r="S42" s="869"/>
      <c r="T42" s="869"/>
      <c r="U42" s="247"/>
      <c r="V42" s="247"/>
      <c r="W42" s="249"/>
      <c r="X42" s="218"/>
      <c r="Y42" s="218"/>
      <c r="Z42" s="34"/>
    </row>
    <row r="43" ht="30.0" customHeight="1">
      <c r="A43" s="34"/>
      <c r="B43" s="85"/>
      <c r="C43" s="79" t="s">
        <v>26</v>
      </c>
      <c r="D43" s="66"/>
      <c r="E43" s="66"/>
      <c r="F43" s="66"/>
      <c r="G43" s="66"/>
      <c r="H43" s="66"/>
      <c r="I43" s="867">
        <f t="shared" si="2"/>
        <v>0</v>
      </c>
      <c r="J43" s="867">
        <f t="shared" si="9"/>
        <v>0</v>
      </c>
      <c r="K43" s="461"/>
      <c r="L43" s="73"/>
      <c r="M43" s="871" t="s">
        <v>128</v>
      </c>
      <c r="N43" s="801">
        <f>IF(M43="Delapidated",I43*0.6,IF(M43="Poor",I43*0.7,IF(M43="Fair",I43*0.8,IF(M43="Good",I43*0.85,IF(M43="Very Good",I43*0.9,IF(M43="Excellent",I43*1,IF(M43="Not Applicable",I43*1,0)))))))</f>
        <v>0</v>
      </c>
      <c r="O43" s="869"/>
      <c r="P43" s="869"/>
      <c r="Q43" s="869"/>
      <c r="R43" s="870"/>
      <c r="S43" s="869"/>
      <c r="T43" s="869"/>
      <c r="U43" s="247"/>
      <c r="V43" s="247"/>
      <c r="W43" s="249"/>
      <c r="X43" s="218"/>
      <c r="Y43" s="218"/>
      <c r="Z43" s="34"/>
    </row>
    <row r="44" ht="30.0" customHeight="1">
      <c r="A44" s="34"/>
      <c r="B44" s="44"/>
      <c r="C44" s="79"/>
      <c r="D44" s="66"/>
      <c r="E44" s="866"/>
      <c r="F44" s="66"/>
      <c r="G44" s="66"/>
      <c r="H44" s="71"/>
      <c r="I44" s="867"/>
      <c r="J44" s="867"/>
      <c r="K44" s="219"/>
      <c r="L44" s="73"/>
      <c r="M44" s="219"/>
      <c r="N44" s="801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44">
        <f>B35+1</f>
        <v>6</v>
      </c>
      <c r="C45" s="208" t="s">
        <v>50</v>
      </c>
      <c r="D45" s="66">
        <v>171000.0</v>
      </c>
      <c r="E45" s="866">
        <f t="shared" ref="E45:E47" si="10">D45/$D$10</f>
        <v>268.8679245</v>
      </c>
      <c r="F45" s="66">
        <v>171000.0</v>
      </c>
      <c r="G45" s="66"/>
      <c r="H45" s="219"/>
      <c r="I45" s="867"/>
      <c r="J45" s="867"/>
      <c r="K45" s="72" t="s">
        <v>25</v>
      </c>
      <c r="L45" s="73">
        <f>IF(K45="YES",IF(K15="2010-2013",J48*$K$10,IF(K15="2014-2021",I48*$K$10,IF(K15="2021-2023",H48*$K$10,0))),0)</f>
        <v>101843.9108</v>
      </c>
      <c r="M45" s="72" t="s">
        <v>23</v>
      </c>
      <c r="N45" s="801">
        <f>IF(M45="Delapidated",L45*0.6,IF(M45="Poor",L45*0.7,IF(M45="Fair",L45*0.8,IF(M45="Good",L45*0.85,IF(M45="Very Good",L45*0.9,IF(M45="Excellent",L45*1,IF(M45="Not Applicable",L45*1,0)))))))</f>
        <v>101843.9108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customHeight="1">
      <c r="A46" s="34"/>
      <c r="B46" s="44">
        <f t="shared" ref="B46:B47" si="11">B45+1</f>
        <v>7</v>
      </c>
      <c r="C46" s="208" t="s">
        <v>189</v>
      </c>
      <c r="D46" s="66">
        <v>9000.0</v>
      </c>
      <c r="E46" s="866">
        <f t="shared" si="10"/>
        <v>14.1509434</v>
      </c>
      <c r="F46" s="66"/>
      <c r="G46" s="66"/>
      <c r="H46" s="71">
        <v>0.0</v>
      </c>
      <c r="I46" s="867">
        <f t="shared" ref="I46:I49" si="12">H46/$I$16</f>
        <v>0</v>
      </c>
      <c r="J46" s="867">
        <f t="shared" ref="J46:J49" si="13">H46/$J$16</f>
        <v>0</v>
      </c>
      <c r="K46" s="68"/>
      <c r="L46" s="34"/>
      <c r="M46" s="219"/>
      <c r="N46" s="801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customHeight="1">
      <c r="A47" s="34"/>
      <c r="B47" s="44">
        <f t="shared" si="11"/>
        <v>8</v>
      </c>
      <c r="C47" s="208" t="s">
        <v>162</v>
      </c>
      <c r="D47" s="66">
        <v>0.0</v>
      </c>
      <c r="E47" s="866">
        <f t="shared" si="10"/>
        <v>0</v>
      </c>
      <c r="F47" s="66">
        <v>0.0</v>
      </c>
      <c r="G47" s="66"/>
      <c r="H47" s="71">
        <v>0.0</v>
      </c>
      <c r="I47" s="867">
        <f t="shared" si="12"/>
        <v>0</v>
      </c>
      <c r="J47" s="867">
        <f t="shared" si="13"/>
        <v>0</v>
      </c>
      <c r="K47" s="72" t="s">
        <v>26</v>
      </c>
      <c r="L47" s="73">
        <f>IF(K47="YES",IF(K15="2010-2013",J48*$K$10,IF(K15="2014-2021",I48*$K$10,IF(K15="2021-2023",H48*$K$10,0))),0)</f>
        <v>0</v>
      </c>
      <c r="M47" s="219"/>
      <c r="N47" s="802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44"/>
      <c r="C48" s="79" t="s">
        <v>25</v>
      </c>
      <c r="D48" s="66"/>
      <c r="E48" s="866"/>
      <c r="F48" s="66"/>
      <c r="G48" s="66"/>
      <c r="H48" s="71">
        <v>268.867924528302</v>
      </c>
      <c r="I48" s="867">
        <f t="shared" si="12"/>
        <v>215.0943396</v>
      </c>
      <c r="J48" s="867">
        <f t="shared" si="13"/>
        <v>203.6878216</v>
      </c>
      <c r="K48" s="68"/>
      <c r="L48" s="73"/>
      <c r="M48" s="219"/>
      <c r="N48" s="802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customHeight="1">
      <c r="A49" s="34"/>
      <c r="B49" s="44"/>
      <c r="C49" s="79" t="s">
        <v>26</v>
      </c>
      <c r="D49" s="66"/>
      <c r="E49" s="866"/>
      <c r="F49" s="66"/>
      <c r="G49" s="66"/>
      <c r="H49" s="71">
        <v>0.0</v>
      </c>
      <c r="I49" s="867">
        <f t="shared" si="12"/>
        <v>0</v>
      </c>
      <c r="J49" s="867">
        <f t="shared" si="13"/>
        <v>0</v>
      </c>
      <c r="K49" s="68"/>
      <c r="L49" s="402"/>
      <c r="M49" s="219"/>
      <c r="N49" s="801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25.5" customHeight="1">
      <c r="A50" s="218"/>
      <c r="B50" s="375"/>
      <c r="C50" s="92" t="s">
        <v>190</v>
      </c>
      <c r="D50" s="221"/>
      <c r="E50" s="872"/>
      <c r="F50" s="221"/>
      <c r="G50" s="221"/>
      <c r="H50" s="225"/>
      <c r="I50" s="867"/>
      <c r="J50" s="867"/>
      <c r="K50" s="72" t="s">
        <v>52</v>
      </c>
      <c r="L50" s="73">
        <f>IF(K50="VINYL FLOORING",IF(K15="2010-2013",J51*$K$10,IF(K15="2014-2021",I51*$K$10,IF(K15="2021-2023",H51*$K$10,0))),IF(K50="TILING FLOORING",IF(K15="2010-2013",J52*$K$10,IF(K15="2014-2021",I52*$K$10,IF(K15="2021-2023",H53*$K$10,0))),IF(K50="TIMBER FLOORING",IF(K15="2010-2013",J53*$K$10,IF(K15="2014-2021",I53*$K$10,IF(K15="2021-2023",H52*$K$10,0))),IF(K50="CARPETS FLOORING",IF(K15="2010-2013",I54*$K$10,IF(K15="2014-2021",H54*$K$10,IF(K15="2021-2023",G54*$K$10,0))),0))))</f>
        <v>115799.5045</v>
      </c>
      <c r="M50" s="72" t="s">
        <v>23</v>
      </c>
      <c r="N50" s="801">
        <f>IF(M50="Delapidated",L50*0.6,IF(M50="Poor",L50*0.7,IF(M50="Fair",L50*0.8,IF(M50="Good",L50*0.85,IF(M50="Very Good",L50*0.9,IF(M50="Excellent",L50*1,IF(M50="Not Applicable",L50*1,0)))))))</f>
        <v>115799.5045</v>
      </c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</row>
    <row r="51" ht="30.0" customHeight="1">
      <c r="A51" s="218"/>
      <c r="B51" s="375"/>
      <c r="C51" s="79" t="s">
        <v>53</v>
      </c>
      <c r="D51" s="221"/>
      <c r="E51" s="872"/>
      <c r="F51" s="221"/>
      <c r="G51" s="221"/>
      <c r="H51" s="225">
        <f>H52*0.7*G16</f>
        <v>265.3568805</v>
      </c>
      <c r="I51" s="867">
        <f t="shared" ref="I51:I55" si="14">H51/$I$16</f>
        <v>212.2855044</v>
      </c>
      <c r="J51" s="867">
        <f t="shared" ref="J51:J55" si="15">H51/$J$16</f>
        <v>201.0279398</v>
      </c>
      <c r="K51" s="68"/>
      <c r="L51" s="73"/>
      <c r="M51" s="612"/>
      <c r="N51" s="802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</row>
    <row r="52" ht="30.0" customHeight="1">
      <c r="A52" s="218"/>
      <c r="B52" s="375"/>
      <c r="C52" s="79" t="s">
        <v>52</v>
      </c>
      <c r="D52" s="221"/>
      <c r="E52" s="872"/>
      <c r="F52" s="221"/>
      <c r="G52" s="221"/>
      <c r="H52" s="225">
        <f>308.176100628931*0.8*G16</f>
        <v>305.7106918</v>
      </c>
      <c r="I52" s="867">
        <f t="shared" si="14"/>
        <v>244.5685535</v>
      </c>
      <c r="J52" s="867">
        <f t="shared" si="15"/>
        <v>231.599009</v>
      </c>
      <c r="K52" s="68"/>
      <c r="L52" s="402"/>
      <c r="M52" s="219"/>
      <c r="N52" s="801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</row>
    <row r="53" ht="30.0" customHeight="1">
      <c r="A53" s="218"/>
      <c r="B53" s="375"/>
      <c r="C53" s="79" t="s">
        <v>54</v>
      </c>
      <c r="D53" s="221"/>
      <c r="E53" s="872"/>
      <c r="F53" s="221"/>
      <c r="G53" s="221"/>
      <c r="H53" s="225">
        <f>H52*1.2*G16</f>
        <v>454.8975094</v>
      </c>
      <c r="I53" s="867">
        <f t="shared" si="14"/>
        <v>363.9180075</v>
      </c>
      <c r="J53" s="867">
        <f t="shared" si="15"/>
        <v>344.6193253</v>
      </c>
      <c r="K53" s="68"/>
      <c r="L53" s="402"/>
      <c r="M53" s="219"/>
      <c r="N53" s="802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</row>
    <row r="54" ht="30.0" customHeight="1">
      <c r="A54" s="218"/>
      <c r="B54" s="375"/>
      <c r="C54" s="79" t="s">
        <v>55</v>
      </c>
      <c r="D54" s="221"/>
      <c r="E54" s="872"/>
      <c r="F54" s="221"/>
      <c r="G54" s="221"/>
      <c r="H54" s="225">
        <f>H52*1.3*G16</f>
        <v>492.8056352</v>
      </c>
      <c r="I54" s="867">
        <f t="shared" si="14"/>
        <v>394.2445082</v>
      </c>
      <c r="J54" s="867">
        <f t="shared" si="15"/>
        <v>373.3376024</v>
      </c>
      <c r="K54" s="68"/>
      <c r="L54" s="402"/>
      <c r="M54" s="871" t="s">
        <v>128</v>
      </c>
      <c r="N54" s="801">
        <f>IF(M54="Delapidated",I54*0.6,IF(M54="Poor",I54*0.7,IF(M54="Fair",I54*0.8,IF(M54="Good",I54*0.85,IF(M54="Very Good",I54*0.9,IF(M54="Excellent",I54*1,IF(M54="Not Applicable",I54*1,0)))))))</f>
        <v>236.5467049</v>
      </c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</row>
    <row r="55" ht="30.0" customHeight="1">
      <c r="A55" s="218"/>
      <c r="B55" s="375"/>
      <c r="C55" s="79" t="s">
        <v>56</v>
      </c>
      <c r="D55" s="221"/>
      <c r="E55" s="872"/>
      <c r="F55" s="221"/>
      <c r="G55" s="221"/>
      <c r="H55" s="225">
        <v>0.0</v>
      </c>
      <c r="I55" s="867">
        <f t="shared" si="14"/>
        <v>0</v>
      </c>
      <c r="J55" s="867">
        <f t="shared" si="15"/>
        <v>0</v>
      </c>
      <c r="K55" s="68"/>
      <c r="L55" s="402"/>
      <c r="M55" s="219"/>
      <c r="N55" s="801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</row>
    <row r="56" ht="30.0" customHeight="1">
      <c r="B56" s="61">
        <v>10.0</v>
      </c>
      <c r="C56" s="92" t="s">
        <v>162</v>
      </c>
      <c r="D56" s="92"/>
      <c r="E56" s="92"/>
      <c r="F56" s="303"/>
      <c r="G56" s="303"/>
      <c r="H56" s="303"/>
      <c r="I56" s="77"/>
      <c r="J56" s="347"/>
      <c r="K56" s="72" t="s">
        <v>38</v>
      </c>
      <c r="L56" s="70">
        <f>IF(K56="TIMBER ROOF TRUSSES",IF(K15="2010-2013",J57*$K$10,IF(K15="2014-2021",I57*$K$10,IF(K15="2021-2023",H57*$K$10,0))),IF(K56="STRUCTURAL STEEL TRUSSES",IF(K15="2010-2013",J58*$K$10,IF(K15="2014-2021",I58*$K$10,IF(K15="2021-2023",H58*$K$10,0))),0))</f>
        <v>352272.7273</v>
      </c>
      <c r="M56" s="207" t="s">
        <v>23</v>
      </c>
      <c r="N56" s="801">
        <f>IF(M56="Delapidated",L56*0.6,IF(M56="Poor",L56*0.7,IF(M56="Fair",L56*0.8,IF(M56="Good",L56*0.85,IF(M56="Very Good",L56*0.9,IF(M56="Excellent",L56*1,IF(M56="Not Applicable",L56*1,0)))))))</f>
        <v>352272.7273</v>
      </c>
    </row>
    <row r="57" ht="30.0" customHeight="1">
      <c r="B57" s="61"/>
      <c r="C57" s="79" t="s">
        <v>38</v>
      </c>
      <c r="D57" s="220"/>
      <c r="E57" s="220"/>
      <c r="F57" s="67"/>
      <c r="G57" s="303"/>
      <c r="H57" s="67">
        <v>930.0</v>
      </c>
      <c r="I57" s="303">
        <f t="shared" ref="I57:I58" si="16">H57/$I$16</f>
        <v>744</v>
      </c>
      <c r="J57" s="303">
        <f t="shared" ref="J57:J58" si="17">H57/$J$16</f>
        <v>704.5454545</v>
      </c>
      <c r="K57" s="70"/>
      <c r="L57" s="34"/>
      <c r="M57" s="801"/>
    </row>
    <row r="58" ht="30.0" customHeight="1">
      <c r="B58" s="61"/>
      <c r="C58" s="79" t="s">
        <v>137</v>
      </c>
      <c r="D58" s="220"/>
      <c r="E58" s="220"/>
      <c r="F58" s="303"/>
      <c r="G58" s="303"/>
      <c r="H58" s="303">
        <v>434.0</v>
      </c>
      <c r="I58" s="303">
        <f t="shared" si="16"/>
        <v>347.2</v>
      </c>
      <c r="J58" s="303">
        <f t="shared" si="17"/>
        <v>328.7878788</v>
      </c>
      <c r="K58" s="70"/>
      <c r="L58" s="34"/>
      <c r="M58" s="801"/>
    </row>
    <row r="59" ht="30.0" customHeight="1">
      <c r="B59" s="61"/>
      <c r="C59" s="79" t="s">
        <v>41</v>
      </c>
      <c r="D59" s="220"/>
      <c r="E59" s="220"/>
      <c r="F59" s="303"/>
      <c r="G59" s="303"/>
      <c r="H59" s="303">
        <v>0.0</v>
      </c>
      <c r="I59" s="303">
        <v>0.0</v>
      </c>
      <c r="J59" s="303">
        <v>0.0</v>
      </c>
      <c r="K59" s="70"/>
      <c r="L59" s="34"/>
      <c r="M59" s="801"/>
    </row>
    <row r="60" ht="31.5" customHeight="1">
      <c r="A60" s="34"/>
      <c r="B60" s="44">
        <f>B47+1</f>
        <v>9</v>
      </c>
      <c r="C60" s="208" t="s">
        <v>57</v>
      </c>
      <c r="D60" s="66">
        <v>123200.0</v>
      </c>
      <c r="E60" s="866">
        <f>D60/$D$10</f>
        <v>193.7106918</v>
      </c>
      <c r="F60" s="66">
        <v>123200.0</v>
      </c>
      <c r="G60" s="66"/>
      <c r="H60" s="219"/>
      <c r="I60" s="867"/>
      <c r="J60" s="867"/>
      <c r="K60" s="72" t="s">
        <v>58</v>
      </c>
      <c r="L60" s="73">
        <f>IF(K60="STEEL WINDOW FRAMES",IF(K15="2010-2013",I61*$K$10,IF(K15="2014-2021",H61*$K$10,IF(K15="2021-2023",F62*$K$10,0))),IF(K60="ALUMINIUM WINDOW FRAMES",IF(K15="2010-2013",I62*$K$10,IF(K15="2014-2021",H62*$K$10,IF(K15="2021-2023",F63*$K$10,0))),0))</f>
        <v>90985</v>
      </c>
      <c r="M60" s="72" t="s">
        <v>23</v>
      </c>
      <c r="N60" s="801">
        <f>IF(M60="Delapidated",L60*0.6,IF(M60="Poor",L60*0.7,IF(M60="Fair",L60*0.8,IF(M60="Good",L60*0.85,IF(M60="Very Good",L60*0.9,IF(M60="Excellent",L60*1,IF(M60="Not Applicable",L60*1,0)))))))</f>
        <v>90985</v>
      </c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44"/>
      <c r="C61" s="79" t="s">
        <v>59</v>
      </c>
      <c r="D61" s="66"/>
      <c r="E61" s="866"/>
      <c r="F61" s="66"/>
      <c r="G61" s="66"/>
      <c r="H61" s="219">
        <f>H62*0.3*G16</f>
        <v>89.35486792</v>
      </c>
      <c r="I61" s="873">
        <v>57.19</v>
      </c>
      <c r="J61" s="867">
        <f>I61/$I$16</f>
        <v>45.752</v>
      </c>
      <c r="K61" s="72"/>
      <c r="L61" s="73"/>
      <c r="M61" s="871"/>
      <c r="N61" s="80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customHeight="1">
      <c r="A62" s="34"/>
      <c r="B62" s="44"/>
      <c r="C62" s="79" t="s">
        <v>58</v>
      </c>
      <c r="D62" s="66"/>
      <c r="E62" s="866"/>
      <c r="F62" s="66"/>
      <c r="G62" s="66"/>
      <c r="H62" s="71">
        <f>193.710691823899*G16</f>
        <v>240.2012579</v>
      </c>
      <c r="I62" s="873">
        <v>181.97</v>
      </c>
      <c r="J62" s="867">
        <f t="shared" ref="J62:J63" si="18">H62/$J$16</f>
        <v>181.9706499</v>
      </c>
      <c r="K62" s="68"/>
      <c r="L62" s="73"/>
      <c r="M62" s="219"/>
      <c r="N62" s="802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customHeight="1">
      <c r="A63" s="34"/>
      <c r="B63" s="44"/>
      <c r="C63" s="79" t="s">
        <v>60</v>
      </c>
      <c r="D63" s="66"/>
      <c r="E63" s="866"/>
      <c r="F63" s="66"/>
      <c r="G63" s="66"/>
      <c r="H63" s="71">
        <v>0.0</v>
      </c>
      <c r="I63" s="867">
        <f>H63/$I$16</f>
        <v>0</v>
      </c>
      <c r="J63" s="867">
        <f t="shared" si="18"/>
        <v>0</v>
      </c>
      <c r="K63" s="68"/>
      <c r="L63" s="73"/>
      <c r="M63" s="219"/>
      <c r="N63" s="80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44">
        <f>B60+1</f>
        <v>10</v>
      </c>
      <c r="C64" s="208" t="s">
        <v>61</v>
      </c>
      <c r="D64" s="66">
        <v>206200.0</v>
      </c>
      <c r="E64" s="866">
        <f>D64/$D$10</f>
        <v>324.2138365</v>
      </c>
      <c r="F64" s="66">
        <v>206200.0</v>
      </c>
      <c r="G64" s="66"/>
      <c r="H64" s="219"/>
      <c r="I64" s="867"/>
      <c r="J64" s="867"/>
      <c r="K64" s="72" t="s">
        <v>25</v>
      </c>
      <c r="L64" s="73">
        <f>IF(K64="YES",IF(K15="2010-2013",J65*$K$10,IF(K15="2014-2021",I65*$K$10,IF(K15="2021-2023",H65*$K$10,0))),0)</f>
        <v>152282.2565</v>
      </c>
      <c r="M64" s="72" t="s">
        <v>23</v>
      </c>
      <c r="N64" s="801">
        <f>IF(M64="Delapidated",L64*0.6,IF(M64="Poor",L64*0.7,IF(M64="Fair",L64*0.8,IF(M64="Good",L64*0.85,IF(M64="Very Good",L64*0.9,IF(M64="Excellent",L64*1,IF(M64="Not Applicable",L64*1,0)))))))</f>
        <v>152282.2565</v>
      </c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customHeight="1">
      <c r="A65" s="34"/>
      <c r="B65" s="44"/>
      <c r="C65" s="79" t="s">
        <v>25</v>
      </c>
      <c r="D65" s="66"/>
      <c r="E65" s="866"/>
      <c r="F65" s="66"/>
      <c r="G65" s="66"/>
      <c r="H65" s="71">
        <f>324.213836477987*G16</f>
        <v>402.0251572</v>
      </c>
      <c r="I65" s="867">
        <f t="shared" ref="I65:I66" si="19">H65/$I$16</f>
        <v>321.6201258</v>
      </c>
      <c r="J65" s="867">
        <f t="shared" ref="J65:J66" si="20">H65/$J$16</f>
        <v>304.5645131</v>
      </c>
      <c r="K65" s="219"/>
      <c r="L65" s="681"/>
      <c r="M65" s="219"/>
      <c r="N65" s="802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customHeight="1">
      <c r="A66" s="34"/>
      <c r="B66" s="44"/>
      <c r="C66" s="79" t="s">
        <v>26</v>
      </c>
      <c r="D66" s="66"/>
      <c r="E66" s="866"/>
      <c r="F66" s="66"/>
      <c r="G66" s="66"/>
      <c r="H66" s="71">
        <v>0.0</v>
      </c>
      <c r="I66" s="867">
        <f t="shared" si="19"/>
        <v>0</v>
      </c>
      <c r="J66" s="867">
        <f t="shared" si="20"/>
        <v>0</v>
      </c>
      <c r="K66" s="68"/>
      <c r="L66" s="73"/>
      <c r="M66" s="219"/>
      <c r="N66" s="80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44">
        <f>B64+1</f>
        <v>11</v>
      </c>
      <c r="C67" s="208" t="s">
        <v>92</v>
      </c>
      <c r="D67" s="66">
        <v>196000.0</v>
      </c>
      <c r="E67" s="866">
        <f>D67/$D$10</f>
        <v>308.1761006</v>
      </c>
      <c r="F67" s="66">
        <v>196000.0</v>
      </c>
      <c r="G67" s="66"/>
      <c r="H67" s="219"/>
      <c r="I67" s="867"/>
      <c r="J67" s="867"/>
      <c r="K67" s="72" t="s">
        <v>25</v>
      </c>
      <c r="L67" s="73">
        <f>IF(K67="YES",IF(K15="2010-2013",J68*$K$10,IF(K15="2014-2021",I68*$K$10,IF(K15="2021-2023",H68*$K$10,0))),0)</f>
        <v>28949.87612</v>
      </c>
      <c r="M67" s="72" t="s">
        <v>23</v>
      </c>
      <c r="N67" s="801">
        <f>IF(M67="Delapidated",L67*0.6,IF(M67="Poor",L67*0.7,IF(M67="Fair",L67*0.8,IF(M67="Good",L67*0.85,IF(M67="Very Good",L67*0.9,IF(M67="Excellent",L67*1,IF(M67="Not Applicable",L67*1,0)))))))</f>
        <v>28949.87612</v>
      </c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0.0" customHeight="1">
      <c r="A68" s="34"/>
      <c r="B68" s="44"/>
      <c r="C68" s="79" t="s">
        <v>25</v>
      </c>
      <c r="D68" s="66"/>
      <c r="E68" s="866"/>
      <c r="F68" s="66"/>
      <c r="G68" s="66"/>
      <c r="H68" s="71">
        <f>308.176100628931*0.2*G16</f>
        <v>76.42767296</v>
      </c>
      <c r="I68" s="867">
        <f t="shared" ref="I68:I69" si="21">H68/$I$16</f>
        <v>61.14213836</v>
      </c>
      <c r="J68" s="867">
        <f t="shared" ref="J68:J69" si="22">H68/$J$16</f>
        <v>57.89975224</v>
      </c>
      <c r="K68" s="219"/>
      <c r="L68" s="681"/>
      <c r="M68" s="219"/>
      <c r="N68" s="802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customHeight="1">
      <c r="A69" s="34"/>
      <c r="B69" s="44"/>
      <c r="C69" s="79" t="s">
        <v>26</v>
      </c>
      <c r="D69" s="66"/>
      <c r="E69" s="866"/>
      <c r="F69" s="66"/>
      <c r="G69" s="66"/>
      <c r="H69" s="71">
        <v>0.0</v>
      </c>
      <c r="I69" s="867">
        <f t="shared" si="21"/>
        <v>0</v>
      </c>
      <c r="J69" s="867">
        <f t="shared" si="22"/>
        <v>0</v>
      </c>
      <c r="K69" s="68"/>
      <c r="L69" s="73"/>
      <c r="M69" s="255"/>
      <c r="N69" s="799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customHeight="1">
      <c r="A70" s="34"/>
      <c r="B70" s="44"/>
      <c r="C70" s="214" t="s">
        <v>167</v>
      </c>
      <c r="D70" s="66"/>
      <c r="E70" s="66"/>
      <c r="F70" s="67"/>
      <c r="G70" s="67"/>
      <c r="H70" s="67"/>
      <c r="I70" s="227">
        <v>5.0</v>
      </c>
      <c r="J70" s="45"/>
      <c r="K70" s="227">
        <v>1.0</v>
      </c>
      <c r="L70" s="199"/>
      <c r="M70" s="199"/>
      <c r="N70" s="45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44">
        <f>B67+1</f>
        <v>12</v>
      </c>
      <c r="C71" s="208" t="s">
        <v>93</v>
      </c>
      <c r="D71" s="66">
        <v>2300.0</v>
      </c>
      <c r="E71" s="866">
        <f t="shared" ref="E71:E72" si="23">D71/$D$10</f>
        <v>3.616352201</v>
      </c>
      <c r="F71" s="66">
        <f>139500+3600</f>
        <v>143100</v>
      </c>
      <c r="G71" s="66"/>
      <c r="H71" s="874">
        <v>143100.0</v>
      </c>
      <c r="I71" s="867"/>
      <c r="J71" s="874">
        <v>143100.0</v>
      </c>
      <c r="K71" s="72" t="s">
        <v>25</v>
      </c>
      <c r="L71" s="73">
        <f>IF(K71="YES",IF(K15="2010-2013",F71*K70,IF(K15="2014-2021",E71*K70,IF(K15="2021-2023",D71*K70,0))),0)</f>
        <v>143100</v>
      </c>
      <c r="M71" s="72" t="s">
        <v>23</v>
      </c>
      <c r="N71" s="799">
        <f>IF(M71="Delapidated",L71*0.6,IF(M71="Poor",L71*0.7,IF(M71="Fair",L71*0.8,IF(M71="Good",L71*0.85,IF(M71="Very Good",L71*0.9,IF(M71="Excellent",L71*1,IF(M71="Not Applicable",L71*1,0)))))))</f>
        <v>143100</v>
      </c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customHeight="1">
      <c r="A72" s="34"/>
      <c r="B72" s="44">
        <f>B71+1</f>
        <v>13</v>
      </c>
      <c r="C72" s="208" t="s">
        <v>191</v>
      </c>
      <c r="D72" s="66">
        <v>3600.0</v>
      </c>
      <c r="E72" s="866">
        <f t="shared" si="23"/>
        <v>5.660377358</v>
      </c>
      <c r="F72" s="66"/>
      <c r="G72" s="66"/>
      <c r="H72" s="71">
        <v>0.0</v>
      </c>
      <c r="I72" s="867">
        <f t="shared" ref="I72:I74" si="24">H72/$I$16</f>
        <v>0</v>
      </c>
      <c r="J72" s="867">
        <f t="shared" ref="J72:J74" si="25">H72/$J$16</f>
        <v>0</v>
      </c>
      <c r="K72" s="72" t="s">
        <v>25</v>
      </c>
      <c r="L72" s="73">
        <f>IF(K72="YES",IF(K1="2010-2013",I73*$S$17,IF(K1="2014-2021",H73*$S$17,IF(K1="2021-2023",J73*$S$17,0))),0)</f>
        <v>0</v>
      </c>
      <c r="M72" s="255"/>
      <c r="N72" s="800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hidden="1" customHeight="1">
      <c r="A73" s="34"/>
      <c r="B73" s="44"/>
      <c r="C73" s="79" t="s">
        <v>25</v>
      </c>
      <c r="D73" s="66"/>
      <c r="E73" s="866"/>
      <c r="F73" s="66"/>
      <c r="G73" s="66"/>
      <c r="H73" s="71">
        <f>225*G16</f>
        <v>279</v>
      </c>
      <c r="I73" s="867">
        <f t="shared" si="24"/>
        <v>223.2</v>
      </c>
      <c r="J73" s="867">
        <f t="shared" si="25"/>
        <v>211.3636364</v>
      </c>
      <c r="K73" s="68"/>
      <c r="L73" s="73"/>
      <c r="M73" s="255"/>
      <c r="N73" s="800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hidden="1" customHeight="1">
      <c r="A74" s="34"/>
      <c r="B74" s="44"/>
      <c r="C74" s="79" t="s">
        <v>26</v>
      </c>
      <c r="D74" s="66"/>
      <c r="E74" s="866"/>
      <c r="F74" s="66"/>
      <c r="G74" s="66"/>
      <c r="H74" s="71">
        <v>0.0</v>
      </c>
      <c r="I74" s="867">
        <f t="shared" si="24"/>
        <v>0</v>
      </c>
      <c r="J74" s="867">
        <f t="shared" si="25"/>
        <v>0</v>
      </c>
      <c r="K74" s="68"/>
      <c r="L74" s="73"/>
      <c r="M74" s="219"/>
      <c r="N74" s="801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34"/>
      <c r="B75" s="44">
        <f>B72+1</f>
        <v>14</v>
      </c>
      <c r="C75" s="208" t="s">
        <v>65</v>
      </c>
      <c r="D75" s="66">
        <v>95500.0</v>
      </c>
      <c r="E75" s="866">
        <f>D75/$D$10</f>
        <v>150.1572327</v>
      </c>
      <c r="F75" s="66">
        <v>95500.0</v>
      </c>
      <c r="G75" s="66"/>
      <c r="H75" s="219"/>
      <c r="I75" s="867"/>
      <c r="J75" s="867"/>
      <c r="K75" s="72" t="s">
        <v>25</v>
      </c>
      <c r="L75" s="73">
        <f>IF(K75="YES",IF(K15="2010-2013",J76*$K$10,IF(K15="2014-2021",I76*$K$10,IF(K15="2021-2023",H76*$K$10,0))),0)</f>
        <v>70528.39718</v>
      </c>
      <c r="M75" s="72" t="s">
        <v>23</v>
      </c>
      <c r="N75" s="801">
        <f>IF(M75="Delapidated",L75*0.6,IF(M75="Poor",L75*0.7,IF(M75="Fair",L75*0.8,IF(M75="Good",L75*0.85,IF(M75="Very Good",L75*0.9,IF(M75="Excellent",L75*1,IF(M75="Not Applicable",L75*1,0)))))))</f>
        <v>70528.39718</v>
      </c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customHeight="1">
      <c r="A76" s="34"/>
      <c r="B76" s="44"/>
      <c r="C76" s="79" t="s">
        <v>25</v>
      </c>
      <c r="D76" s="66"/>
      <c r="E76" s="866"/>
      <c r="F76" s="66"/>
      <c r="G76" s="66"/>
      <c r="H76" s="71">
        <f>150.157232704403*G16</f>
        <v>186.1949686</v>
      </c>
      <c r="I76" s="867">
        <f t="shared" ref="I76:I77" si="26">H76/$I$16</f>
        <v>148.9559748</v>
      </c>
      <c r="J76" s="867">
        <f t="shared" ref="J76:J77" si="27">H76/$J$16</f>
        <v>141.0567944</v>
      </c>
      <c r="K76" s="68"/>
      <c r="L76" s="73"/>
      <c r="M76" s="255"/>
      <c r="N76" s="800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customHeight="1">
      <c r="A77" s="34"/>
      <c r="B77" s="44"/>
      <c r="C77" s="79" t="s">
        <v>26</v>
      </c>
      <c r="D77" s="66"/>
      <c r="E77" s="866"/>
      <c r="F77" s="66"/>
      <c r="G77" s="66"/>
      <c r="H77" s="71">
        <v>0.0</v>
      </c>
      <c r="I77" s="867">
        <f t="shared" si="26"/>
        <v>0</v>
      </c>
      <c r="J77" s="867">
        <f t="shared" si="27"/>
        <v>0</v>
      </c>
      <c r="K77" s="68"/>
      <c r="L77" s="73"/>
      <c r="M77" s="219"/>
      <c r="N77" s="801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30.0" customHeight="1">
      <c r="A78" s="34"/>
      <c r="B78" s="44">
        <f>B75+1</f>
        <v>15</v>
      </c>
      <c r="C78" s="208" t="s">
        <v>66</v>
      </c>
      <c r="D78" s="66">
        <v>350000.0</v>
      </c>
      <c r="E78" s="866">
        <f>D78/$D$10</f>
        <v>550.3144654</v>
      </c>
      <c r="F78" s="66">
        <v>350000.0</v>
      </c>
      <c r="G78" s="66"/>
      <c r="H78" s="219"/>
      <c r="I78" s="867"/>
      <c r="J78" s="867"/>
      <c r="K78" s="72" t="s">
        <v>25</v>
      </c>
      <c r="L78" s="99">
        <f>IF(K78="YES",IF(K15="2010-2013",J79*$K$10,IF(K15="2014-2021",I79*$K$10,IF(K15="2021-2023",H79*$K$10,0))),0)</f>
        <v>258481.0368</v>
      </c>
      <c r="M78" s="72" t="s">
        <v>23</v>
      </c>
      <c r="N78" s="801">
        <f>IF(M78="Delapidated",L78*0.6,IF(M78="Poor",L78*0.7,IF(M78="Fair",L78*0.8,IF(M78="Good",L78*0.85,IF(M78="Very Good",L78*0.9,IF(M78="Excellent",L78*1,IF(M78="Not Applicable",L78*1,0)))))))</f>
        <v>258481.0368</v>
      </c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30.0" customHeight="1">
      <c r="A79" s="34"/>
      <c r="B79" s="44"/>
      <c r="C79" s="79" t="s">
        <v>25</v>
      </c>
      <c r="D79" s="66"/>
      <c r="E79" s="866"/>
      <c r="F79" s="66"/>
      <c r="G79" s="66"/>
      <c r="H79" s="71">
        <f>550.314465408805*G16</f>
        <v>682.3899371</v>
      </c>
      <c r="I79" s="867">
        <f t="shared" ref="I79:I80" si="28">H79/$I$16</f>
        <v>545.9119497</v>
      </c>
      <c r="J79" s="867">
        <f t="shared" ref="J79:J80" si="29">H79/$J$16</f>
        <v>516.9620736</v>
      </c>
      <c r="K79" s="68"/>
      <c r="L79" s="99"/>
      <c r="M79" s="255"/>
      <c r="N79" s="799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30.0" customHeight="1">
      <c r="A80" s="34"/>
      <c r="B80" s="44"/>
      <c r="C80" s="79" t="s">
        <v>26</v>
      </c>
      <c r="D80" s="66"/>
      <c r="E80" s="866"/>
      <c r="F80" s="66"/>
      <c r="G80" s="66"/>
      <c r="H80" s="71">
        <v>0.0</v>
      </c>
      <c r="I80" s="867">
        <f t="shared" si="28"/>
        <v>0</v>
      </c>
      <c r="J80" s="867">
        <f t="shared" si="29"/>
        <v>0</v>
      </c>
      <c r="K80" s="68"/>
      <c r="L80" s="99"/>
      <c r="M80" s="255"/>
      <c r="N80" s="800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30.0" customHeight="1">
      <c r="A81" s="34"/>
      <c r="B81" s="44">
        <v>17.0</v>
      </c>
      <c r="C81" s="208" t="s">
        <v>68</v>
      </c>
      <c r="D81" s="66">
        <v>150000.0</v>
      </c>
      <c r="E81" s="866">
        <f>D81/$D$10</f>
        <v>235.8490566</v>
      </c>
      <c r="F81" s="66">
        <v>150000.0</v>
      </c>
      <c r="G81" s="66"/>
      <c r="H81" s="219"/>
      <c r="I81" s="867"/>
      <c r="J81" s="867"/>
      <c r="K81" s="72" t="s">
        <v>25</v>
      </c>
      <c r="L81" s="99">
        <f>IF(K81="YES",IF(K15="2010-2013",J82*$K$10,IF(K15="2014-2021",I82*$K$10,IF(K15="2021-2023",H82*$K$10,0))),0)</f>
        <v>110777.5872</v>
      </c>
      <c r="M81" s="72" t="s">
        <v>23</v>
      </c>
      <c r="N81" s="801">
        <f>IF(M81="Delapidated",L81*0.6,IF(M81="Poor",L81*0.7,IF(M81="Fair",L81*0.8,IF(M81="Good",L81*0.85,IF(M81="Very Good",L81*0.9,IF(M81="Excellent",L81*1,IF(M81="Not Applicable",L81*1,0)))))))</f>
        <v>110777.5872</v>
      </c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30.0" customHeight="1">
      <c r="A82" s="34"/>
      <c r="B82" s="44"/>
      <c r="C82" s="79" t="s">
        <v>25</v>
      </c>
      <c r="D82" s="66"/>
      <c r="E82" s="866"/>
      <c r="F82" s="66"/>
      <c r="G82" s="66"/>
      <c r="H82" s="71">
        <f>235.849056603774*G16</f>
        <v>292.4528302</v>
      </c>
      <c r="I82" s="867">
        <f t="shared" ref="I82:I94" si="30">H82/$I$16</f>
        <v>233.9622642</v>
      </c>
      <c r="J82" s="867">
        <f t="shared" ref="J82:J94" si="31">H82/$J$16</f>
        <v>221.5551744</v>
      </c>
      <c r="K82" s="322"/>
      <c r="L82" s="402"/>
      <c r="M82" s="255"/>
      <c r="N82" s="800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30.0" customHeight="1">
      <c r="A83" s="34"/>
      <c r="B83" s="44"/>
      <c r="C83" s="79" t="s">
        <v>26</v>
      </c>
      <c r="D83" s="66"/>
      <c r="E83" s="866"/>
      <c r="F83" s="66"/>
      <c r="G83" s="66"/>
      <c r="H83" s="71">
        <v>0.0</v>
      </c>
      <c r="I83" s="867">
        <f t="shared" si="30"/>
        <v>0</v>
      </c>
      <c r="J83" s="867">
        <f t="shared" si="31"/>
        <v>0</v>
      </c>
      <c r="K83" s="322"/>
      <c r="L83" s="402"/>
      <c r="M83" s="255"/>
      <c r="N83" s="802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30.0" customHeight="1">
      <c r="A84" s="88"/>
      <c r="B84" s="656"/>
      <c r="C84" s="657" t="s">
        <v>71</v>
      </c>
      <c r="D84" s="562">
        <f>SUM(D17:D83)</f>
        <v>2726900</v>
      </c>
      <c r="E84" s="866"/>
      <c r="F84" s="219"/>
      <c r="G84" s="219"/>
      <c r="H84" s="71"/>
      <c r="I84" s="867">
        <f t="shared" si="30"/>
        <v>0</v>
      </c>
      <c r="J84" s="867">
        <f t="shared" si="31"/>
        <v>0</v>
      </c>
      <c r="K84" s="219"/>
      <c r="L84" s="402"/>
      <c r="M84" s="255"/>
      <c r="N84" s="800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30.0" customHeight="1">
      <c r="A85" s="17"/>
      <c r="B85" s="44" t="str">
        <f>#REF!+1</f>
        <v>#REF!</v>
      </c>
      <c r="C85" s="254" t="s">
        <v>72</v>
      </c>
      <c r="D85" s="71">
        <v>120000.0</v>
      </c>
      <c r="E85" s="861"/>
      <c r="F85" s="255"/>
      <c r="G85" s="255"/>
      <c r="H85" s="862"/>
      <c r="I85" s="867">
        <f t="shared" si="30"/>
        <v>0</v>
      </c>
      <c r="J85" s="867">
        <f t="shared" si="31"/>
        <v>0</v>
      </c>
      <c r="K85" s="255"/>
      <c r="L85" s="602"/>
      <c r="M85" s="255"/>
      <c r="N85" s="801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customHeight="1">
      <c r="A86" s="17"/>
      <c r="B86" s="44"/>
      <c r="C86" s="254" t="s">
        <v>192</v>
      </c>
      <c r="D86" s="71">
        <v>250000.0</v>
      </c>
      <c r="E86" s="861"/>
      <c r="F86" s="255"/>
      <c r="G86" s="255"/>
      <c r="H86" s="862"/>
      <c r="I86" s="867">
        <f t="shared" si="30"/>
        <v>0</v>
      </c>
      <c r="J86" s="867">
        <f t="shared" si="31"/>
        <v>0</v>
      </c>
      <c r="K86" s="255"/>
      <c r="L86" s="602"/>
      <c r="M86" s="255"/>
      <c r="N86" s="800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0.0" customHeight="1">
      <c r="A87" s="17"/>
      <c r="B87" s="44"/>
      <c r="C87" s="254"/>
      <c r="D87" s="71"/>
      <c r="E87" s="861"/>
      <c r="F87" s="255"/>
      <c r="G87" s="255"/>
      <c r="H87" s="862"/>
      <c r="I87" s="867">
        <f t="shared" si="30"/>
        <v>0</v>
      </c>
      <c r="J87" s="867">
        <f t="shared" si="31"/>
        <v>0</v>
      </c>
      <c r="K87" s="255"/>
      <c r="L87" s="602"/>
      <c r="M87" s="255"/>
      <c r="N87" s="800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customHeight="1">
      <c r="A88" s="17"/>
      <c r="B88" s="61"/>
      <c r="C88" s="255"/>
      <c r="D88" s="97"/>
      <c r="E88" s="861"/>
      <c r="F88" s="255"/>
      <c r="G88" s="255"/>
      <c r="H88" s="862"/>
      <c r="I88" s="867">
        <f t="shared" si="30"/>
        <v>0</v>
      </c>
      <c r="J88" s="867">
        <f t="shared" si="31"/>
        <v>0</v>
      </c>
      <c r="K88" s="255"/>
      <c r="L88" s="602"/>
      <c r="M88" s="255"/>
      <c r="N88" s="800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0.0" customHeight="1">
      <c r="A89" s="17"/>
      <c r="B89" s="656"/>
      <c r="C89" s="657" t="s">
        <v>71</v>
      </c>
      <c r="D89" s="562">
        <f>SUM(D84:D88)</f>
        <v>3096900</v>
      </c>
      <c r="E89" s="861"/>
      <c r="F89" s="255"/>
      <c r="G89" s="255"/>
      <c r="H89" s="862"/>
      <c r="I89" s="867">
        <f t="shared" si="30"/>
        <v>0</v>
      </c>
      <c r="J89" s="867">
        <f t="shared" si="31"/>
        <v>0</v>
      </c>
      <c r="K89" s="255"/>
      <c r="L89" s="602"/>
      <c r="M89" s="255"/>
      <c r="N89" s="800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0.0" customHeight="1">
      <c r="A90" s="17"/>
      <c r="B90" s="174"/>
      <c r="C90" s="660" t="s">
        <v>73</v>
      </c>
      <c r="D90" s="338">
        <f>D89*14%</f>
        <v>433566</v>
      </c>
      <c r="E90" s="861"/>
      <c r="F90" s="255"/>
      <c r="G90" s="255"/>
      <c r="H90" s="862"/>
      <c r="I90" s="867">
        <f t="shared" si="30"/>
        <v>0</v>
      </c>
      <c r="J90" s="867">
        <f t="shared" si="31"/>
        <v>0</v>
      </c>
      <c r="K90" s="255"/>
      <c r="L90" s="602"/>
      <c r="M90" s="255"/>
      <c r="N90" s="800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0.0" customHeight="1">
      <c r="A91" s="250"/>
      <c r="B91" s="367"/>
      <c r="C91" s="875"/>
      <c r="D91" s="728"/>
      <c r="E91" s="389"/>
      <c r="F91" s="193"/>
      <c r="G91" s="193"/>
      <c r="H91" s="380"/>
      <c r="I91" s="867">
        <f t="shared" si="30"/>
        <v>0</v>
      </c>
      <c r="J91" s="867">
        <f t="shared" si="31"/>
        <v>0</v>
      </c>
      <c r="K91" s="876"/>
      <c r="L91" s="610"/>
      <c r="M91" s="193"/>
      <c r="N91" s="610"/>
      <c r="O91" s="250"/>
      <c r="P91" s="250"/>
      <c r="Q91" s="250"/>
      <c r="R91" s="250"/>
      <c r="S91" s="250"/>
      <c r="T91" s="250"/>
      <c r="U91" s="250"/>
      <c r="V91" s="250"/>
      <c r="W91" s="250"/>
      <c r="X91" s="250"/>
      <c r="Y91" s="250"/>
      <c r="Z91" s="250"/>
    </row>
    <row r="92" ht="30.0" customHeight="1">
      <c r="A92" s="17"/>
      <c r="B92" s="367"/>
      <c r="C92" s="214" t="s">
        <v>69</v>
      </c>
      <c r="D92" s="338"/>
      <c r="E92" s="861"/>
      <c r="F92" s="255"/>
      <c r="G92" s="255"/>
      <c r="H92" s="98"/>
      <c r="I92" s="867">
        <f t="shared" si="30"/>
        <v>0</v>
      </c>
      <c r="J92" s="867">
        <f t="shared" si="31"/>
        <v>0</v>
      </c>
      <c r="K92" s="227">
        <v>1.0</v>
      </c>
      <c r="L92" s="189"/>
      <c r="M92" s="193"/>
      <c r="N92" s="610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30.0" customHeight="1">
      <c r="A93" s="17"/>
      <c r="B93" s="375">
        <v>18.0</v>
      </c>
      <c r="C93" s="74" t="s">
        <v>70</v>
      </c>
      <c r="D93" s="338"/>
      <c r="E93" s="861"/>
      <c r="F93" s="255"/>
      <c r="G93" s="255"/>
      <c r="H93" s="98"/>
      <c r="I93" s="867">
        <f t="shared" si="30"/>
        <v>0</v>
      </c>
      <c r="J93" s="867">
        <f t="shared" si="31"/>
        <v>0</v>
      </c>
      <c r="K93" s="229" t="s">
        <v>25</v>
      </c>
      <c r="L93" s="99">
        <f>IF(K93="YES",IF(K15="2010-2013",J94*$K$92,IF(K15="2014-2021",I94*$K$92,IF(K15="2021-2023",H94*$K$92,0))),0)</f>
        <v>2724.242424</v>
      </c>
      <c r="M93" s="72" t="s">
        <v>23</v>
      </c>
      <c r="N93" s="801">
        <f>IF(M93="Delapidated",L93*0.6,IF(M93="Poor",L93*0.7,IF(M93="Fair",L93*0.8,IF(M93="Good",L93*0.85,IF(M93="Very Good",L93*0.9,IF(M93="Excellent",L93*1,IF(M93="Not Applicable",L93*1,0)))))))</f>
        <v>2724.242424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30.0" customHeight="1">
      <c r="A94" s="17"/>
      <c r="B94" s="340"/>
      <c r="C94" s="877" t="s">
        <v>25</v>
      </c>
      <c r="D94" s="878"/>
      <c r="E94" s="879"/>
      <c r="F94" s="17"/>
      <c r="G94" s="655"/>
      <c r="H94" s="111">
        <f>2900*G16</f>
        <v>3596</v>
      </c>
      <c r="I94" s="867">
        <f t="shared" si="30"/>
        <v>2876.8</v>
      </c>
      <c r="J94" s="867">
        <f t="shared" si="31"/>
        <v>2724.242424</v>
      </c>
      <c r="K94" s="114"/>
      <c r="L94" s="880"/>
      <c r="M94" s="17"/>
      <c r="N94" s="881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30.0" customHeight="1">
      <c r="A95" s="17"/>
      <c r="B95" s="340"/>
      <c r="C95" s="79" t="s">
        <v>26</v>
      </c>
      <c r="D95" s="882"/>
      <c r="E95" s="879"/>
      <c r="F95" s="17"/>
      <c r="G95" s="255"/>
      <c r="H95" s="98"/>
      <c r="I95" s="98"/>
      <c r="J95" s="98"/>
      <c r="K95" s="122"/>
      <c r="L95" s="883"/>
      <c r="M95" s="17"/>
      <c r="N95" s="884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30.0" customHeight="1">
      <c r="A96" s="17"/>
      <c r="B96" s="340"/>
      <c r="C96" s="570"/>
      <c r="D96" s="882"/>
      <c r="E96" s="879"/>
      <c r="F96" s="17"/>
      <c r="G96" s="17"/>
      <c r="H96" s="885"/>
      <c r="I96" s="885"/>
      <c r="J96" s="886"/>
      <c r="K96" s="245"/>
      <c r="L96" s="130"/>
      <c r="M96" s="17"/>
      <c r="N96" s="738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30.0" customHeight="1">
      <c r="A97" s="17"/>
      <c r="B97" s="340"/>
      <c r="C97" s="17"/>
      <c r="D97" s="341">
        <f>ROUNDUP(SUM(D89:D90),-2)</f>
        <v>3530500</v>
      </c>
      <c r="E97" s="879"/>
      <c r="F97" s="129">
        <f>SUM(F17:F83)</f>
        <v>2868500</v>
      </c>
      <c r="G97" s="129"/>
      <c r="H97" s="431"/>
      <c r="I97" s="17"/>
      <c r="J97" s="17"/>
      <c r="K97" s="340" t="s">
        <v>143</v>
      </c>
      <c r="L97" s="436">
        <f>SUM(L17:L93)</f>
        <v>2602389.603</v>
      </c>
      <c r="M97" s="17"/>
      <c r="N97" s="266">
        <f>SUM(N17:N93)</f>
        <v>2396963.866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30.0" customHeight="1">
      <c r="A98" s="17"/>
      <c r="B98" s="340"/>
      <c r="C98" s="17"/>
      <c r="D98" s="831"/>
      <c r="E98" s="879"/>
      <c r="F98" s="129"/>
      <c r="G98" s="129"/>
      <c r="H98" s="431"/>
      <c r="I98" s="17"/>
      <c r="J98" s="17"/>
      <c r="K98" s="340"/>
      <c r="L98" s="115"/>
      <c r="M98" s="17"/>
      <c r="N98" s="88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30.0" customHeight="1">
      <c r="A99" s="147"/>
      <c r="B99" s="119"/>
      <c r="C99" s="17"/>
      <c r="D99" s="17"/>
      <c r="E99" s="879"/>
      <c r="F99" s="344">
        <f>D97/D10</f>
        <v>5551.100629</v>
      </c>
      <c r="G99" s="148"/>
      <c r="H99" s="431"/>
      <c r="I99" s="17"/>
      <c r="J99" s="17"/>
      <c r="K99" s="138" t="s">
        <v>131</v>
      </c>
      <c r="L99" s="436">
        <f>L97/K10</f>
        <v>5204.779205</v>
      </c>
      <c r="M99" s="17"/>
      <c r="N99" s="266">
        <f>N97/K10</f>
        <v>4793.927732</v>
      </c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</row>
    <row r="100" ht="12.0" customHeight="1">
      <c r="B100" s="1"/>
      <c r="D100" s="161"/>
      <c r="E100" s="859"/>
      <c r="H100" s="349"/>
      <c r="K100" s="1"/>
      <c r="L100" s="2"/>
      <c r="N100" s="2"/>
    </row>
    <row r="101" ht="45.75" customHeight="1">
      <c r="B101" s="1"/>
      <c r="C101" s="574"/>
      <c r="D101" s="161"/>
      <c r="E101" s="859"/>
      <c r="F101" s="888">
        <f>AVERAGE(F99)</f>
        <v>5551.100629</v>
      </c>
      <c r="G101" s="889"/>
      <c r="H101" s="349"/>
      <c r="L101" s="2"/>
      <c r="N101" s="2"/>
    </row>
    <row r="102" ht="12.0" customHeight="1">
      <c r="B102" s="1"/>
      <c r="D102" s="161"/>
      <c r="E102" s="859"/>
      <c r="H102" s="349"/>
      <c r="L102" s="2"/>
      <c r="N102" s="2"/>
    </row>
    <row r="103" ht="12.0" customHeight="1">
      <c r="B103" s="1"/>
      <c r="D103" s="161"/>
      <c r="E103" s="859"/>
      <c r="H103" s="349"/>
      <c r="L103" s="2"/>
      <c r="N103" s="2"/>
    </row>
    <row r="104" ht="12.0" customHeight="1">
      <c r="B104" s="1"/>
      <c r="D104" s="161"/>
      <c r="E104" s="859"/>
      <c r="H104" s="349"/>
      <c r="L104" s="2"/>
      <c r="N104" s="2"/>
    </row>
    <row r="105" ht="12.0" customHeight="1">
      <c r="B105" s="1"/>
      <c r="D105" s="161"/>
      <c r="E105" s="859"/>
      <c r="H105" s="349"/>
      <c r="L105" s="2"/>
      <c r="N105" s="2"/>
    </row>
    <row r="106" ht="12.0" customHeight="1">
      <c r="B106" s="1"/>
      <c r="D106" s="161"/>
      <c r="E106" s="859"/>
      <c r="H106" s="349"/>
      <c r="L106" s="2"/>
      <c r="N106" s="2"/>
    </row>
    <row r="107" ht="12.0" customHeight="1">
      <c r="B107" s="1"/>
      <c r="D107" s="161"/>
      <c r="E107" s="859"/>
      <c r="H107" s="349"/>
      <c r="L107" s="2"/>
      <c r="N107" s="2"/>
    </row>
    <row r="108" ht="12.0" customHeight="1">
      <c r="B108" s="1"/>
      <c r="D108" s="161"/>
      <c r="E108" s="859"/>
      <c r="H108" s="349"/>
      <c r="L108" s="2"/>
      <c r="N108" s="2"/>
    </row>
    <row r="109" ht="12.0" customHeight="1">
      <c r="B109" s="1"/>
      <c r="D109" s="161"/>
      <c r="E109" s="859"/>
      <c r="H109" s="349"/>
      <c r="L109" s="2"/>
      <c r="N109" s="2"/>
    </row>
    <row r="110" ht="12.0" customHeight="1">
      <c r="B110" s="1"/>
      <c r="D110" s="161"/>
      <c r="E110" s="859"/>
      <c r="H110" s="349"/>
      <c r="L110" s="2"/>
      <c r="N110" s="2"/>
    </row>
    <row r="111" ht="12.0" customHeight="1">
      <c r="B111" s="1"/>
      <c r="D111" s="161"/>
      <c r="E111" s="859"/>
      <c r="H111" s="349"/>
      <c r="L111" s="2"/>
      <c r="N111" s="2"/>
    </row>
    <row r="112" ht="12.0" customHeight="1">
      <c r="B112" s="1"/>
      <c r="D112" s="161"/>
      <c r="E112" s="859"/>
      <c r="H112" s="349"/>
      <c r="L112" s="2"/>
      <c r="N112" s="2"/>
    </row>
    <row r="113" ht="12.0" customHeight="1">
      <c r="B113" s="1"/>
      <c r="D113" s="161"/>
      <c r="E113" s="859"/>
      <c r="H113" s="349"/>
      <c r="L113" s="2"/>
      <c r="N113" s="2"/>
    </row>
    <row r="114" ht="12.0" customHeight="1">
      <c r="B114" s="1"/>
      <c r="C114" s="72"/>
      <c r="D114" s="161"/>
      <c r="E114" s="859"/>
      <c r="H114" s="349"/>
      <c r="L114" s="2"/>
      <c r="N114" s="2"/>
    </row>
    <row r="115" ht="12.0" customHeight="1">
      <c r="B115" s="1"/>
      <c r="D115" s="161"/>
      <c r="E115" s="859"/>
      <c r="H115" s="349"/>
      <c r="L115" s="2"/>
      <c r="N115" s="2"/>
    </row>
    <row r="116" ht="12.0" customHeight="1">
      <c r="B116" s="1"/>
      <c r="D116" s="161"/>
      <c r="E116" s="859"/>
      <c r="H116" s="349"/>
      <c r="L116" s="2"/>
      <c r="N116" s="2"/>
    </row>
    <row r="117" ht="12.0" customHeight="1">
      <c r="B117" s="1"/>
      <c r="D117" s="161"/>
      <c r="E117" s="859"/>
      <c r="H117" s="349"/>
      <c r="L117" s="2"/>
      <c r="N117" s="2"/>
    </row>
    <row r="118" ht="12.0" customHeight="1">
      <c r="B118" s="1"/>
      <c r="D118" s="161"/>
      <c r="E118" s="859"/>
      <c r="H118" s="349"/>
      <c r="L118" s="2"/>
      <c r="N118" s="2"/>
    </row>
    <row r="119" ht="12.0" customHeight="1">
      <c r="B119" s="1"/>
      <c r="D119" s="161"/>
      <c r="E119" s="859"/>
      <c r="H119" s="349"/>
      <c r="L119" s="2"/>
      <c r="N119" s="2"/>
    </row>
    <row r="120" ht="12.0" customHeight="1">
      <c r="B120" s="1"/>
      <c r="D120" s="161"/>
      <c r="E120" s="859"/>
      <c r="H120" s="349"/>
      <c r="L120" s="2"/>
      <c r="N120" s="2"/>
    </row>
    <row r="121" ht="12.0" customHeight="1">
      <c r="B121" s="1"/>
      <c r="D121" s="161"/>
      <c r="E121" s="859"/>
      <c r="H121" s="349"/>
      <c r="L121" s="2"/>
      <c r="N121" s="2"/>
    </row>
    <row r="122" ht="12.0" customHeight="1">
      <c r="B122" s="1"/>
      <c r="D122" s="161"/>
      <c r="E122" s="859"/>
      <c r="H122" s="349"/>
      <c r="L122" s="2"/>
      <c r="N122" s="2"/>
    </row>
    <row r="123" ht="12.0" customHeight="1">
      <c r="B123" s="1"/>
      <c r="D123" s="161"/>
      <c r="E123" s="859"/>
      <c r="H123" s="349"/>
      <c r="L123" s="2"/>
      <c r="N123" s="2"/>
    </row>
    <row r="124" ht="12.0" customHeight="1">
      <c r="B124" s="1"/>
      <c r="D124" s="161"/>
      <c r="E124" s="859"/>
      <c r="H124" s="349"/>
      <c r="L124" s="2"/>
      <c r="N124" s="2"/>
    </row>
    <row r="125" ht="12.0" customHeight="1">
      <c r="B125" s="1"/>
      <c r="D125" s="161"/>
      <c r="E125" s="859"/>
      <c r="H125" s="349"/>
      <c r="L125" s="2"/>
      <c r="N125" s="2"/>
    </row>
    <row r="126" ht="12.0" customHeight="1">
      <c r="B126" s="1"/>
      <c r="D126" s="161"/>
      <c r="E126" s="859"/>
      <c r="H126" s="349"/>
      <c r="L126" s="2"/>
      <c r="N126" s="2"/>
    </row>
    <row r="127" ht="12.0" customHeight="1">
      <c r="B127" s="1"/>
      <c r="D127" s="161"/>
      <c r="E127" s="859"/>
      <c r="H127" s="349"/>
      <c r="L127" s="2"/>
      <c r="N127" s="2"/>
    </row>
    <row r="128" ht="12.0" customHeight="1">
      <c r="B128" s="1"/>
      <c r="D128" s="161"/>
      <c r="E128" s="859"/>
      <c r="H128" s="349"/>
      <c r="L128" s="2"/>
      <c r="N128" s="2"/>
    </row>
    <row r="129" ht="12.0" customHeight="1">
      <c r="B129" s="1"/>
      <c r="D129" s="161"/>
      <c r="E129" s="859"/>
      <c r="H129" s="349"/>
      <c r="L129" s="2"/>
      <c r="N129" s="2"/>
    </row>
    <row r="130" ht="12.0" customHeight="1">
      <c r="B130" s="1"/>
      <c r="D130" s="161"/>
      <c r="E130" s="859"/>
      <c r="H130" s="349"/>
      <c r="L130" s="2"/>
      <c r="N130" s="2"/>
    </row>
    <row r="131" ht="12.0" customHeight="1">
      <c r="B131" s="1"/>
      <c r="D131" s="161"/>
      <c r="E131" s="859"/>
      <c r="H131" s="349"/>
      <c r="L131" s="2"/>
      <c r="N131" s="2"/>
    </row>
    <row r="132" ht="12.0" customHeight="1">
      <c r="B132" s="1"/>
      <c r="D132" s="161"/>
      <c r="E132" s="859"/>
      <c r="H132" s="349"/>
      <c r="L132" s="2"/>
      <c r="N132" s="2"/>
    </row>
    <row r="133" ht="12.0" customHeight="1">
      <c r="B133" s="1"/>
      <c r="D133" s="161"/>
      <c r="E133" s="859"/>
      <c r="H133" s="349"/>
      <c r="L133" s="2"/>
      <c r="N133" s="2"/>
    </row>
    <row r="134" ht="12.0" customHeight="1">
      <c r="B134" s="1"/>
      <c r="D134" s="161"/>
      <c r="E134" s="859"/>
      <c r="H134" s="349"/>
      <c r="L134" s="2"/>
      <c r="N134" s="2"/>
    </row>
    <row r="135" ht="12.0" customHeight="1">
      <c r="B135" s="1"/>
      <c r="D135" s="161"/>
      <c r="E135" s="859"/>
      <c r="H135" s="349"/>
      <c r="L135" s="2"/>
      <c r="N135" s="2"/>
    </row>
    <row r="136" ht="12.0" customHeight="1">
      <c r="B136" s="1"/>
      <c r="D136" s="161"/>
      <c r="E136" s="859"/>
      <c r="H136" s="349"/>
      <c r="L136" s="2"/>
      <c r="N136" s="2"/>
    </row>
    <row r="137" ht="12.0" customHeight="1">
      <c r="B137" s="1"/>
      <c r="D137" s="161"/>
      <c r="E137" s="859"/>
      <c r="H137" s="349"/>
      <c r="L137" s="2"/>
      <c r="N137" s="2"/>
    </row>
    <row r="138" ht="12.0" customHeight="1">
      <c r="B138" s="1"/>
      <c r="D138" s="161"/>
      <c r="E138" s="859"/>
      <c r="H138" s="349"/>
      <c r="L138" s="2"/>
      <c r="N138" s="2"/>
    </row>
    <row r="139" ht="12.0" customHeight="1">
      <c r="B139" s="1"/>
      <c r="D139" s="161"/>
      <c r="E139" s="859"/>
      <c r="H139" s="349"/>
      <c r="L139" s="2"/>
      <c r="N139" s="2"/>
    </row>
    <row r="140" ht="12.0" customHeight="1">
      <c r="B140" s="1"/>
      <c r="D140" s="161"/>
      <c r="E140" s="859"/>
      <c r="H140" s="349"/>
      <c r="L140" s="2"/>
      <c r="N140" s="2"/>
    </row>
    <row r="141" ht="12.0" customHeight="1">
      <c r="B141" s="1"/>
      <c r="D141" s="161"/>
      <c r="E141" s="859"/>
      <c r="H141" s="349"/>
      <c r="L141" s="2"/>
      <c r="N141" s="2"/>
    </row>
    <row r="142" ht="12.0" customHeight="1">
      <c r="B142" s="1"/>
      <c r="D142" s="161"/>
      <c r="E142" s="859"/>
      <c r="H142" s="349"/>
      <c r="L142" s="2"/>
      <c r="N142" s="2"/>
    </row>
    <row r="143" ht="12.0" customHeight="1">
      <c r="B143" s="1"/>
      <c r="D143" s="161"/>
      <c r="E143" s="859"/>
      <c r="H143" s="349"/>
      <c r="L143" s="2"/>
      <c r="N143" s="2"/>
    </row>
    <row r="144" ht="12.0" customHeight="1">
      <c r="B144" s="1"/>
      <c r="D144" s="161"/>
      <c r="E144" s="859"/>
      <c r="H144" s="349"/>
      <c r="L144" s="2"/>
      <c r="N144" s="2"/>
    </row>
    <row r="145" ht="12.0" customHeight="1">
      <c r="B145" s="1"/>
      <c r="D145" s="161"/>
      <c r="E145" s="859"/>
      <c r="H145" s="349"/>
      <c r="L145" s="2"/>
      <c r="N145" s="2"/>
    </row>
    <row r="146" ht="12.0" customHeight="1">
      <c r="B146" s="1"/>
      <c r="D146" s="161"/>
      <c r="E146" s="859"/>
      <c r="H146" s="349"/>
      <c r="L146" s="2"/>
      <c r="N146" s="2"/>
    </row>
    <row r="147" ht="12.0" customHeight="1">
      <c r="B147" s="1"/>
      <c r="D147" s="161"/>
      <c r="E147" s="859"/>
      <c r="H147" s="349"/>
      <c r="L147" s="2"/>
      <c r="N147" s="2"/>
    </row>
    <row r="148" ht="12.0" customHeight="1">
      <c r="B148" s="1"/>
      <c r="D148" s="161"/>
      <c r="E148" s="859"/>
      <c r="H148" s="349"/>
      <c r="L148" s="2"/>
      <c r="N148" s="2"/>
    </row>
    <row r="149" ht="12.0" customHeight="1">
      <c r="B149" s="1"/>
      <c r="D149" s="161"/>
      <c r="E149" s="859"/>
      <c r="H149" s="349"/>
      <c r="L149" s="2"/>
      <c r="N149" s="2"/>
    </row>
    <row r="150" ht="12.0" customHeight="1">
      <c r="B150" s="1"/>
      <c r="D150" s="161"/>
      <c r="E150" s="859"/>
      <c r="H150" s="349"/>
      <c r="L150" s="2"/>
      <c r="N150" s="2"/>
    </row>
    <row r="151" ht="12.0" customHeight="1">
      <c r="B151" s="1"/>
      <c r="D151" s="161"/>
      <c r="E151" s="859"/>
      <c r="H151" s="349"/>
      <c r="L151" s="2"/>
      <c r="N151" s="2"/>
    </row>
    <row r="152" ht="12.0" customHeight="1">
      <c r="B152" s="1"/>
      <c r="D152" s="161"/>
      <c r="E152" s="859"/>
      <c r="H152" s="349"/>
      <c r="L152" s="2"/>
      <c r="N152" s="2"/>
    </row>
    <row r="153" ht="12.0" customHeight="1">
      <c r="B153" s="1"/>
      <c r="D153" s="161"/>
      <c r="E153" s="859"/>
      <c r="H153" s="349"/>
      <c r="L153" s="2"/>
      <c r="N153" s="2"/>
    </row>
    <row r="154" ht="12.0" customHeight="1">
      <c r="B154" s="1"/>
      <c r="D154" s="161"/>
      <c r="E154" s="859"/>
      <c r="H154" s="349"/>
      <c r="L154" s="2"/>
      <c r="N154" s="2"/>
    </row>
    <row r="155" ht="12.0" customHeight="1">
      <c r="B155" s="1"/>
      <c r="D155" s="161"/>
      <c r="E155" s="859"/>
      <c r="H155" s="349"/>
      <c r="L155" s="2"/>
      <c r="N155" s="2"/>
    </row>
    <row r="156" ht="12.0" customHeight="1">
      <c r="B156" s="1"/>
      <c r="D156" s="161"/>
      <c r="E156" s="859"/>
      <c r="H156" s="349"/>
      <c r="L156" s="2"/>
      <c r="N156" s="2"/>
    </row>
    <row r="157" ht="12.0" customHeight="1">
      <c r="B157" s="1"/>
      <c r="D157" s="161"/>
      <c r="E157" s="859"/>
      <c r="H157" s="349"/>
      <c r="L157" s="2"/>
      <c r="N157" s="2"/>
    </row>
    <row r="158" ht="12.0" customHeight="1">
      <c r="B158" s="1"/>
      <c r="D158" s="161"/>
      <c r="E158" s="859"/>
      <c r="H158" s="349"/>
      <c r="L158" s="2"/>
      <c r="N158" s="2"/>
    </row>
    <row r="159" ht="12.0" customHeight="1">
      <c r="B159" s="1"/>
      <c r="D159" s="161"/>
      <c r="E159" s="859"/>
      <c r="H159" s="349"/>
      <c r="L159" s="2"/>
      <c r="N159" s="2"/>
    </row>
    <row r="160" ht="12.0" customHeight="1">
      <c r="B160" s="1"/>
      <c r="D160" s="161"/>
      <c r="E160" s="859"/>
      <c r="H160" s="349"/>
      <c r="L160" s="2"/>
      <c r="N160" s="2"/>
    </row>
    <row r="161" ht="12.0" customHeight="1">
      <c r="B161" s="1"/>
      <c r="D161" s="161"/>
      <c r="E161" s="859"/>
      <c r="H161" s="349"/>
      <c r="L161" s="2"/>
      <c r="N161" s="2"/>
    </row>
    <row r="162" ht="12.0" customHeight="1">
      <c r="B162" s="1"/>
      <c r="D162" s="161"/>
      <c r="E162" s="859"/>
      <c r="H162" s="349"/>
      <c r="L162" s="2"/>
      <c r="N162" s="2"/>
    </row>
    <row r="163" ht="12.0" customHeight="1">
      <c r="B163" s="1"/>
      <c r="D163" s="161"/>
      <c r="E163" s="859"/>
      <c r="H163" s="349"/>
      <c r="L163" s="2"/>
      <c r="N163" s="2"/>
    </row>
    <row r="164" ht="12.0" customHeight="1">
      <c r="B164" s="1"/>
      <c r="D164" s="161"/>
      <c r="E164" s="859"/>
      <c r="H164" s="349"/>
      <c r="L164" s="2"/>
      <c r="N164" s="2"/>
    </row>
    <row r="165" ht="12.0" customHeight="1">
      <c r="B165" s="1"/>
      <c r="D165" s="161"/>
      <c r="E165" s="859"/>
      <c r="H165" s="349"/>
      <c r="L165" s="2"/>
      <c r="N165" s="2"/>
    </row>
    <row r="166" ht="12.0" customHeight="1">
      <c r="B166" s="1"/>
      <c r="D166" s="161"/>
      <c r="E166" s="859"/>
      <c r="H166" s="349"/>
      <c r="L166" s="2"/>
      <c r="N166" s="2"/>
    </row>
    <row r="167" ht="12.0" customHeight="1">
      <c r="B167" s="1"/>
      <c r="D167" s="161"/>
      <c r="E167" s="859"/>
      <c r="H167" s="349"/>
      <c r="L167" s="2"/>
      <c r="N167" s="2"/>
    </row>
    <row r="168" ht="12.0" customHeight="1">
      <c r="B168" s="1"/>
      <c r="D168" s="161"/>
      <c r="E168" s="859"/>
      <c r="H168" s="349"/>
      <c r="L168" s="2"/>
      <c r="N168" s="2"/>
    </row>
    <row r="169" ht="12.0" customHeight="1">
      <c r="B169" s="1"/>
      <c r="D169" s="161"/>
      <c r="E169" s="859"/>
      <c r="H169" s="349"/>
      <c r="L169" s="2"/>
      <c r="N169" s="2"/>
    </row>
    <row r="170" ht="12.0" customHeight="1">
      <c r="B170" s="1"/>
      <c r="D170" s="161"/>
      <c r="E170" s="859"/>
      <c r="H170" s="349"/>
      <c r="L170" s="2"/>
      <c r="N170" s="2"/>
    </row>
    <row r="171" ht="12.0" customHeight="1">
      <c r="B171" s="1"/>
      <c r="D171" s="161"/>
      <c r="E171" s="859"/>
      <c r="H171" s="349"/>
      <c r="L171" s="2"/>
      <c r="N171" s="2"/>
    </row>
    <row r="172" ht="12.0" customHeight="1">
      <c r="B172" s="1"/>
      <c r="D172" s="161"/>
      <c r="E172" s="859"/>
      <c r="H172" s="349"/>
      <c r="L172" s="2"/>
      <c r="N172" s="2"/>
    </row>
    <row r="173" ht="12.0" customHeight="1">
      <c r="B173" s="1"/>
      <c r="D173" s="161"/>
      <c r="E173" s="859"/>
      <c r="H173" s="349"/>
      <c r="L173" s="2"/>
      <c r="N173" s="2"/>
    </row>
    <row r="174" ht="12.0" customHeight="1">
      <c r="B174" s="1"/>
      <c r="D174" s="161"/>
      <c r="E174" s="859"/>
      <c r="H174" s="349"/>
      <c r="L174" s="2"/>
      <c r="N174" s="2"/>
    </row>
    <row r="175" ht="12.0" customHeight="1">
      <c r="B175" s="1"/>
      <c r="D175" s="161"/>
      <c r="E175" s="859"/>
      <c r="H175" s="349"/>
      <c r="L175" s="2"/>
      <c r="N175" s="2"/>
    </row>
    <row r="176" ht="12.0" customHeight="1">
      <c r="B176" s="1"/>
      <c r="D176" s="161"/>
      <c r="E176" s="859"/>
      <c r="H176" s="349"/>
      <c r="L176" s="2"/>
      <c r="N176" s="2"/>
    </row>
    <row r="177" ht="12.0" customHeight="1">
      <c r="B177" s="1"/>
      <c r="D177" s="161"/>
      <c r="E177" s="859"/>
      <c r="H177" s="349"/>
      <c r="L177" s="2"/>
      <c r="N177" s="2"/>
    </row>
    <row r="178" ht="12.0" customHeight="1">
      <c r="B178" s="1"/>
      <c r="D178" s="161"/>
      <c r="E178" s="859"/>
      <c r="H178" s="349"/>
      <c r="L178" s="2"/>
      <c r="N178" s="2"/>
    </row>
    <row r="179" ht="12.0" customHeight="1">
      <c r="B179" s="1"/>
      <c r="D179" s="161"/>
      <c r="E179" s="859"/>
      <c r="H179" s="349"/>
      <c r="L179" s="2"/>
      <c r="N179" s="2"/>
    </row>
    <row r="180" ht="12.0" customHeight="1">
      <c r="B180" s="1"/>
      <c r="D180" s="161"/>
      <c r="E180" s="859"/>
      <c r="H180" s="349"/>
      <c r="L180" s="2"/>
      <c r="N180" s="2"/>
    </row>
    <row r="181" ht="12.0" customHeight="1">
      <c r="B181" s="1"/>
      <c r="D181" s="161"/>
      <c r="E181" s="859"/>
      <c r="H181" s="349"/>
      <c r="L181" s="2"/>
      <c r="N181" s="2"/>
    </row>
    <row r="182" ht="12.0" customHeight="1">
      <c r="B182" s="1"/>
      <c r="D182" s="161"/>
      <c r="E182" s="859"/>
      <c r="H182" s="349"/>
      <c r="L182" s="2"/>
      <c r="N182" s="2"/>
    </row>
    <row r="183" ht="12.0" customHeight="1">
      <c r="B183" s="1"/>
      <c r="D183" s="161"/>
      <c r="E183" s="859"/>
      <c r="H183" s="349"/>
      <c r="L183" s="2"/>
      <c r="N183" s="2"/>
    </row>
    <row r="184" ht="12.0" customHeight="1">
      <c r="B184" s="1"/>
      <c r="D184" s="161"/>
      <c r="E184" s="859"/>
      <c r="H184" s="349"/>
      <c r="L184" s="2"/>
      <c r="N184" s="2"/>
    </row>
    <row r="185" ht="12.0" customHeight="1">
      <c r="B185" s="1"/>
      <c r="D185" s="161"/>
      <c r="E185" s="859"/>
      <c r="H185" s="349"/>
      <c r="L185" s="2"/>
      <c r="N185" s="2"/>
    </row>
    <row r="186" ht="12.0" customHeight="1">
      <c r="B186" s="1"/>
      <c r="D186" s="161"/>
      <c r="E186" s="859"/>
      <c r="H186" s="349"/>
      <c r="L186" s="2"/>
      <c r="N186" s="2"/>
    </row>
    <row r="187" ht="12.0" customHeight="1">
      <c r="B187" s="1"/>
      <c r="D187" s="161"/>
      <c r="E187" s="859"/>
      <c r="H187" s="349"/>
      <c r="L187" s="2"/>
      <c r="N187" s="2"/>
    </row>
    <row r="188" ht="12.0" customHeight="1">
      <c r="B188" s="1"/>
      <c r="D188" s="161"/>
      <c r="E188" s="859"/>
      <c r="H188" s="349"/>
      <c r="L188" s="2"/>
      <c r="N188" s="2"/>
    </row>
    <row r="189" ht="12.0" customHeight="1">
      <c r="B189" s="1"/>
      <c r="D189" s="161"/>
      <c r="E189" s="859"/>
      <c r="H189" s="349"/>
      <c r="L189" s="2"/>
      <c r="N189" s="2"/>
    </row>
    <row r="190" ht="12.0" customHeight="1">
      <c r="B190" s="1"/>
      <c r="D190" s="161"/>
      <c r="E190" s="859"/>
      <c r="H190" s="349"/>
      <c r="L190" s="2"/>
      <c r="N190" s="2"/>
    </row>
    <row r="191" ht="12.0" customHeight="1">
      <c r="B191" s="1"/>
      <c r="D191" s="161"/>
      <c r="E191" s="859"/>
      <c r="H191" s="349"/>
      <c r="L191" s="2"/>
      <c r="N191" s="2"/>
    </row>
    <row r="192" ht="12.0" customHeight="1">
      <c r="B192" s="1"/>
      <c r="D192" s="161"/>
      <c r="E192" s="859"/>
      <c r="H192" s="349"/>
      <c r="L192" s="2"/>
      <c r="N192" s="2"/>
    </row>
    <row r="193" ht="12.0" customHeight="1">
      <c r="B193" s="1"/>
      <c r="D193" s="161"/>
      <c r="E193" s="859"/>
      <c r="H193" s="349"/>
      <c r="L193" s="2"/>
      <c r="N193" s="2"/>
    </row>
    <row r="194" ht="12.0" customHeight="1">
      <c r="B194" s="1"/>
      <c r="D194" s="161"/>
      <c r="E194" s="859"/>
      <c r="H194" s="349"/>
      <c r="L194" s="2"/>
      <c r="N194" s="2"/>
    </row>
    <row r="195" ht="12.0" customHeight="1">
      <c r="B195" s="1"/>
      <c r="D195" s="161"/>
      <c r="E195" s="859"/>
      <c r="H195" s="349"/>
      <c r="L195" s="2"/>
      <c r="N195" s="2"/>
    </row>
    <row r="196" ht="12.0" customHeight="1">
      <c r="B196" s="1"/>
      <c r="D196" s="161"/>
      <c r="E196" s="859"/>
      <c r="H196" s="349"/>
      <c r="L196" s="2"/>
      <c r="N196" s="2"/>
    </row>
    <row r="197" ht="12.0" customHeight="1">
      <c r="B197" s="1"/>
      <c r="D197" s="161"/>
      <c r="E197" s="859"/>
      <c r="H197" s="349"/>
      <c r="L197" s="2"/>
      <c r="N197" s="2"/>
    </row>
    <row r="198" ht="12.0" customHeight="1">
      <c r="B198" s="1"/>
      <c r="D198" s="161"/>
      <c r="E198" s="859"/>
      <c r="H198" s="349"/>
      <c r="L198" s="2"/>
      <c r="N198" s="2"/>
    </row>
    <row r="199" ht="12.0" customHeight="1">
      <c r="B199" s="1"/>
      <c r="D199" s="161"/>
      <c r="E199" s="859"/>
      <c r="H199" s="349"/>
      <c r="L199" s="2"/>
      <c r="N199" s="2"/>
    </row>
    <row r="200" ht="12.0" customHeight="1">
      <c r="B200" s="1"/>
      <c r="D200" s="161"/>
      <c r="E200" s="859"/>
      <c r="H200" s="349"/>
      <c r="L200" s="2"/>
      <c r="N200" s="2"/>
    </row>
    <row r="201" ht="12.0" customHeight="1">
      <c r="B201" s="1"/>
      <c r="D201" s="161"/>
      <c r="E201" s="859"/>
      <c r="H201" s="349"/>
      <c r="L201" s="2"/>
      <c r="N201" s="2"/>
    </row>
    <row r="202" ht="12.0" customHeight="1">
      <c r="B202" s="1"/>
      <c r="D202" s="161"/>
      <c r="E202" s="859"/>
      <c r="H202" s="349"/>
      <c r="L202" s="2"/>
      <c r="N202" s="2"/>
    </row>
    <row r="203" ht="12.0" customHeight="1">
      <c r="B203" s="1"/>
      <c r="D203" s="161"/>
      <c r="E203" s="859"/>
      <c r="H203" s="349"/>
      <c r="L203" s="2"/>
      <c r="N203" s="2"/>
    </row>
    <row r="204" ht="12.0" customHeight="1">
      <c r="B204" s="1"/>
      <c r="D204" s="161"/>
      <c r="E204" s="859"/>
      <c r="H204" s="349"/>
      <c r="L204" s="2"/>
      <c r="N204" s="2"/>
    </row>
    <row r="205" ht="12.0" customHeight="1">
      <c r="B205" s="1"/>
      <c r="D205" s="161"/>
      <c r="E205" s="859"/>
      <c r="H205" s="349"/>
      <c r="L205" s="2"/>
      <c r="N205" s="2"/>
    </row>
    <row r="206" ht="12.0" customHeight="1">
      <c r="B206" s="1"/>
      <c r="D206" s="161"/>
      <c r="E206" s="859"/>
      <c r="H206" s="349"/>
      <c r="L206" s="2"/>
      <c r="N206" s="2"/>
    </row>
    <row r="207" ht="12.0" customHeight="1">
      <c r="B207" s="1"/>
      <c r="D207" s="161"/>
      <c r="E207" s="859"/>
      <c r="H207" s="349"/>
      <c r="L207" s="2"/>
      <c r="N207" s="2"/>
    </row>
    <row r="208" ht="12.0" customHeight="1">
      <c r="B208" s="1"/>
      <c r="D208" s="161"/>
      <c r="E208" s="859"/>
      <c r="H208" s="349"/>
      <c r="L208" s="2"/>
      <c r="N208" s="2"/>
    </row>
    <row r="209" ht="12.0" customHeight="1">
      <c r="B209" s="1"/>
      <c r="D209" s="161"/>
      <c r="E209" s="859"/>
      <c r="H209" s="349"/>
      <c r="L209" s="2"/>
      <c r="N209" s="2"/>
    </row>
    <row r="210" ht="12.0" customHeight="1">
      <c r="B210" s="1"/>
      <c r="D210" s="161"/>
      <c r="E210" s="859"/>
      <c r="H210" s="349"/>
      <c r="L210" s="2"/>
      <c r="N210" s="2"/>
    </row>
    <row r="211" ht="12.0" customHeight="1">
      <c r="B211" s="1"/>
      <c r="D211" s="161"/>
      <c r="E211" s="859"/>
      <c r="H211" s="349"/>
      <c r="L211" s="2"/>
      <c r="N211" s="2"/>
    </row>
    <row r="212" ht="12.0" customHeight="1">
      <c r="B212" s="1"/>
      <c r="D212" s="161"/>
      <c r="E212" s="859"/>
      <c r="H212" s="349"/>
      <c r="L212" s="2"/>
      <c r="N212" s="2"/>
    </row>
    <row r="213" ht="12.0" customHeight="1">
      <c r="B213" s="1"/>
      <c r="D213" s="161"/>
      <c r="E213" s="859"/>
      <c r="H213" s="349"/>
      <c r="L213" s="2"/>
      <c r="N213" s="2"/>
    </row>
    <row r="214" ht="12.0" customHeight="1">
      <c r="B214" s="1"/>
      <c r="D214" s="161"/>
      <c r="E214" s="859"/>
      <c r="H214" s="349"/>
      <c r="L214" s="2"/>
      <c r="N214" s="2"/>
    </row>
    <row r="215" ht="12.0" customHeight="1">
      <c r="B215" s="1"/>
      <c r="D215" s="161"/>
      <c r="E215" s="859"/>
      <c r="H215" s="349"/>
      <c r="L215" s="2"/>
      <c r="N215" s="2"/>
    </row>
    <row r="216" ht="12.0" customHeight="1">
      <c r="B216" s="1"/>
      <c r="D216" s="161"/>
      <c r="E216" s="859"/>
      <c r="H216" s="349"/>
      <c r="L216" s="2"/>
      <c r="N216" s="2"/>
    </row>
    <row r="217" ht="12.0" customHeight="1">
      <c r="B217" s="1"/>
      <c r="D217" s="161"/>
      <c r="E217" s="859"/>
      <c r="H217" s="349"/>
      <c r="L217" s="2"/>
      <c r="N217" s="2"/>
    </row>
    <row r="218" ht="12.0" customHeight="1">
      <c r="B218" s="1"/>
      <c r="D218" s="161"/>
      <c r="E218" s="859"/>
      <c r="H218" s="349"/>
      <c r="L218" s="2"/>
      <c r="N218" s="2"/>
    </row>
    <row r="219" ht="12.0" customHeight="1">
      <c r="B219" s="1"/>
      <c r="D219" s="161"/>
      <c r="E219" s="859"/>
      <c r="H219" s="349"/>
      <c r="L219" s="2"/>
      <c r="N219" s="2"/>
    </row>
    <row r="220" ht="12.0" customHeight="1">
      <c r="B220" s="1"/>
      <c r="D220" s="161"/>
      <c r="E220" s="859"/>
      <c r="H220" s="349"/>
      <c r="L220" s="2"/>
      <c r="N220" s="2"/>
    </row>
    <row r="221" ht="12.0" customHeight="1">
      <c r="B221" s="1"/>
      <c r="D221" s="161"/>
      <c r="E221" s="859"/>
      <c r="H221" s="349"/>
      <c r="L221" s="2"/>
      <c r="N221" s="2"/>
    </row>
    <row r="222" ht="12.0" customHeight="1">
      <c r="B222" s="1"/>
      <c r="D222" s="161"/>
      <c r="E222" s="859"/>
      <c r="H222" s="349"/>
      <c r="L222" s="2"/>
      <c r="N222" s="2"/>
    </row>
    <row r="223" ht="12.0" customHeight="1">
      <c r="B223" s="1"/>
      <c r="D223" s="161"/>
      <c r="E223" s="859"/>
      <c r="H223" s="349"/>
      <c r="L223" s="2"/>
      <c r="N223" s="2"/>
    </row>
    <row r="224" ht="12.0" customHeight="1">
      <c r="B224" s="1"/>
      <c r="D224" s="161"/>
      <c r="E224" s="859"/>
      <c r="H224" s="349"/>
      <c r="L224" s="2"/>
      <c r="N224" s="2"/>
    </row>
    <row r="225" ht="12.0" customHeight="1">
      <c r="B225" s="1"/>
      <c r="D225" s="161"/>
      <c r="E225" s="859"/>
      <c r="H225" s="349"/>
      <c r="L225" s="2"/>
      <c r="N225" s="2"/>
    </row>
    <row r="226" ht="12.0" customHeight="1">
      <c r="B226" s="1"/>
      <c r="D226" s="161"/>
      <c r="E226" s="859"/>
      <c r="H226" s="349"/>
      <c r="L226" s="2"/>
      <c r="N226" s="2"/>
    </row>
    <row r="227" ht="12.0" customHeight="1">
      <c r="B227" s="1"/>
      <c r="D227" s="161"/>
      <c r="E227" s="859"/>
      <c r="H227" s="349"/>
      <c r="L227" s="2"/>
      <c r="N227" s="2"/>
    </row>
    <row r="228" ht="12.0" customHeight="1">
      <c r="B228" s="1"/>
      <c r="D228" s="161"/>
      <c r="E228" s="859"/>
      <c r="H228" s="349"/>
      <c r="L228" s="2"/>
      <c r="N228" s="2"/>
    </row>
    <row r="229" ht="12.0" customHeight="1">
      <c r="B229" s="1"/>
      <c r="D229" s="161"/>
      <c r="E229" s="859"/>
      <c r="H229" s="349"/>
      <c r="L229" s="2"/>
      <c r="N229" s="2"/>
    </row>
    <row r="230" ht="12.0" customHeight="1">
      <c r="B230" s="1"/>
      <c r="D230" s="161"/>
      <c r="E230" s="859"/>
      <c r="H230" s="349"/>
      <c r="L230" s="2"/>
      <c r="N230" s="2"/>
    </row>
    <row r="231" ht="12.0" customHeight="1">
      <c r="B231" s="1"/>
      <c r="D231" s="161"/>
      <c r="E231" s="859"/>
      <c r="H231" s="349"/>
      <c r="L231" s="2"/>
      <c r="N231" s="2"/>
    </row>
    <row r="232" ht="12.0" customHeight="1">
      <c r="B232" s="1"/>
      <c r="D232" s="161"/>
      <c r="E232" s="859"/>
      <c r="H232" s="349"/>
      <c r="L232" s="2"/>
      <c r="N232" s="2"/>
    </row>
    <row r="233" ht="12.0" customHeight="1">
      <c r="B233" s="1"/>
      <c r="D233" s="161"/>
      <c r="E233" s="859"/>
      <c r="H233" s="349"/>
      <c r="L233" s="2"/>
      <c r="N233" s="2"/>
    </row>
    <row r="234" ht="12.0" customHeight="1">
      <c r="B234" s="1"/>
      <c r="D234" s="161"/>
      <c r="E234" s="859"/>
      <c r="H234" s="349"/>
      <c r="L234" s="2"/>
      <c r="N234" s="2"/>
    </row>
    <row r="235" ht="12.0" customHeight="1">
      <c r="B235" s="1"/>
      <c r="D235" s="161"/>
      <c r="E235" s="859"/>
      <c r="H235" s="349"/>
      <c r="L235" s="2"/>
      <c r="N235" s="2"/>
    </row>
    <row r="236" ht="12.0" customHeight="1">
      <c r="B236" s="1"/>
      <c r="D236" s="161"/>
      <c r="E236" s="859"/>
      <c r="H236" s="349"/>
      <c r="L236" s="2"/>
      <c r="N236" s="2"/>
    </row>
    <row r="237" ht="12.0" customHeight="1">
      <c r="B237" s="1"/>
      <c r="D237" s="161"/>
      <c r="E237" s="859"/>
      <c r="H237" s="349"/>
      <c r="L237" s="2"/>
      <c r="N237" s="2"/>
    </row>
    <row r="238" ht="12.0" customHeight="1">
      <c r="B238" s="1"/>
      <c r="D238" s="161"/>
      <c r="E238" s="859"/>
      <c r="H238" s="349"/>
      <c r="L238" s="2"/>
      <c r="N238" s="2"/>
    </row>
    <row r="239" ht="12.0" customHeight="1">
      <c r="B239" s="1"/>
      <c r="D239" s="161"/>
      <c r="E239" s="859"/>
      <c r="H239" s="349"/>
      <c r="L239" s="2"/>
      <c r="N239" s="2"/>
    </row>
    <row r="240" ht="12.0" customHeight="1">
      <c r="B240" s="1"/>
      <c r="D240" s="161"/>
      <c r="E240" s="859"/>
      <c r="H240" s="349"/>
      <c r="L240" s="2"/>
      <c r="N240" s="2"/>
    </row>
    <row r="241" ht="12.0" customHeight="1">
      <c r="B241" s="1"/>
      <c r="D241" s="161"/>
      <c r="E241" s="859"/>
      <c r="H241" s="349"/>
      <c r="L241" s="2"/>
      <c r="N241" s="2"/>
    </row>
    <row r="242" ht="12.0" customHeight="1">
      <c r="B242" s="1"/>
      <c r="D242" s="161"/>
      <c r="E242" s="859"/>
      <c r="H242" s="349"/>
      <c r="L242" s="2"/>
      <c r="N242" s="2"/>
    </row>
    <row r="243" ht="12.0" customHeight="1">
      <c r="B243" s="1"/>
      <c r="D243" s="161"/>
      <c r="E243" s="859"/>
      <c r="H243" s="349"/>
      <c r="L243" s="2"/>
      <c r="N243" s="2"/>
    </row>
    <row r="244" ht="12.0" customHeight="1">
      <c r="B244" s="1"/>
      <c r="D244" s="161"/>
      <c r="E244" s="859"/>
      <c r="H244" s="349"/>
      <c r="L244" s="2"/>
      <c r="N244" s="2"/>
    </row>
    <row r="245" ht="12.0" customHeight="1">
      <c r="B245" s="1"/>
      <c r="D245" s="161"/>
      <c r="E245" s="859"/>
      <c r="H245" s="349"/>
      <c r="L245" s="2"/>
      <c r="N245" s="2"/>
    </row>
    <row r="246" ht="12.0" customHeight="1">
      <c r="B246" s="1"/>
      <c r="D246" s="161"/>
      <c r="E246" s="859"/>
      <c r="H246" s="349"/>
      <c r="L246" s="2"/>
      <c r="N246" s="2"/>
    </row>
    <row r="247" ht="12.0" customHeight="1">
      <c r="B247" s="1"/>
      <c r="D247" s="161"/>
      <c r="E247" s="859"/>
      <c r="H247" s="349"/>
      <c r="L247" s="2"/>
      <c r="N247" s="2"/>
    </row>
    <row r="248" ht="12.0" customHeight="1">
      <c r="B248" s="1"/>
      <c r="D248" s="161"/>
      <c r="E248" s="859"/>
      <c r="H248" s="349"/>
      <c r="L248" s="2"/>
      <c r="N248" s="2"/>
    </row>
    <row r="249" ht="12.0" customHeight="1">
      <c r="B249" s="1"/>
      <c r="D249" s="161"/>
      <c r="E249" s="859"/>
      <c r="H249" s="349"/>
      <c r="L249" s="2"/>
      <c r="N249" s="2"/>
    </row>
    <row r="250" ht="12.0" customHeight="1">
      <c r="B250" s="1"/>
      <c r="D250" s="161"/>
      <c r="E250" s="859"/>
      <c r="H250" s="349"/>
      <c r="L250" s="2"/>
      <c r="N250" s="2"/>
    </row>
    <row r="251" ht="12.0" customHeight="1">
      <c r="B251" s="1"/>
      <c r="D251" s="161"/>
      <c r="E251" s="859"/>
      <c r="H251" s="349"/>
      <c r="L251" s="2"/>
      <c r="N251" s="2"/>
    </row>
    <row r="252" ht="12.0" customHeight="1">
      <c r="B252" s="1"/>
      <c r="D252" s="161"/>
      <c r="E252" s="859"/>
      <c r="H252" s="349"/>
      <c r="L252" s="2"/>
      <c r="N252" s="2"/>
    </row>
    <row r="253" ht="12.0" customHeight="1">
      <c r="B253" s="1"/>
      <c r="D253" s="161"/>
      <c r="E253" s="859"/>
      <c r="H253" s="349"/>
      <c r="L253" s="2"/>
      <c r="N253" s="2"/>
    </row>
    <row r="254" ht="12.0" customHeight="1">
      <c r="B254" s="1"/>
      <c r="D254" s="161"/>
      <c r="E254" s="859"/>
      <c r="H254" s="349"/>
      <c r="L254" s="2"/>
      <c r="N254" s="2"/>
    </row>
    <row r="255" ht="12.0" customHeight="1">
      <c r="B255" s="1"/>
      <c r="D255" s="161"/>
      <c r="E255" s="859"/>
      <c r="H255" s="349"/>
      <c r="L255" s="2"/>
      <c r="N255" s="2"/>
    </row>
    <row r="256" ht="12.0" customHeight="1">
      <c r="B256" s="1"/>
      <c r="D256" s="161"/>
      <c r="E256" s="859"/>
      <c r="H256" s="349"/>
      <c r="L256" s="2"/>
      <c r="N256" s="2"/>
    </row>
    <row r="257" ht="12.0" customHeight="1">
      <c r="B257" s="1"/>
      <c r="D257" s="161"/>
      <c r="E257" s="859"/>
      <c r="H257" s="349"/>
      <c r="L257" s="2"/>
      <c r="N257" s="2"/>
    </row>
    <row r="258" ht="12.0" customHeight="1">
      <c r="B258" s="1"/>
      <c r="D258" s="161"/>
      <c r="E258" s="859"/>
      <c r="H258" s="349"/>
      <c r="L258" s="2"/>
      <c r="N258" s="2"/>
    </row>
    <row r="259" ht="12.0" customHeight="1">
      <c r="B259" s="1"/>
      <c r="D259" s="161"/>
      <c r="E259" s="859"/>
      <c r="H259" s="349"/>
      <c r="L259" s="2"/>
      <c r="N259" s="2"/>
    </row>
    <row r="260" ht="12.0" customHeight="1">
      <c r="B260" s="1"/>
      <c r="D260" s="161"/>
      <c r="E260" s="859"/>
      <c r="H260" s="349"/>
      <c r="L260" s="2"/>
      <c r="N260" s="2"/>
    </row>
    <row r="261" ht="12.0" customHeight="1">
      <c r="B261" s="1"/>
      <c r="D261" s="161"/>
      <c r="E261" s="859"/>
      <c r="H261" s="349"/>
      <c r="L261" s="2"/>
      <c r="N261" s="2"/>
    </row>
    <row r="262" ht="12.0" customHeight="1">
      <c r="B262" s="1"/>
      <c r="D262" s="161"/>
      <c r="E262" s="859"/>
      <c r="H262" s="349"/>
      <c r="L262" s="2"/>
      <c r="N262" s="2"/>
    </row>
    <row r="263" ht="12.0" customHeight="1">
      <c r="B263" s="1"/>
      <c r="D263" s="161"/>
      <c r="E263" s="859"/>
      <c r="H263" s="349"/>
      <c r="L263" s="2"/>
      <c r="N263" s="2"/>
    </row>
    <row r="264" ht="12.0" customHeight="1">
      <c r="B264" s="1"/>
      <c r="D264" s="161"/>
      <c r="E264" s="859"/>
      <c r="H264" s="349"/>
      <c r="L264" s="2"/>
      <c r="N264" s="2"/>
    </row>
    <row r="265" ht="12.0" customHeight="1">
      <c r="B265" s="1"/>
      <c r="D265" s="161"/>
      <c r="E265" s="859"/>
      <c r="H265" s="349"/>
      <c r="L265" s="2"/>
      <c r="N265" s="2"/>
    </row>
    <row r="266" ht="12.0" customHeight="1">
      <c r="B266" s="1"/>
      <c r="D266" s="161"/>
      <c r="E266" s="859"/>
      <c r="H266" s="349"/>
      <c r="L266" s="2"/>
      <c r="N266" s="2"/>
    </row>
    <row r="267" ht="12.0" customHeight="1">
      <c r="B267" s="1"/>
      <c r="D267" s="161"/>
      <c r="E267" s="859"/>
      <c r="H267" s="349"/>
      <c r="L267" s="2"/>
      <c r="N267" s="2"/>
    </row>
    <row r="268" ht="12.0" customHeight="1">
      <c r="B268" s="1"/>
      <c r="D268" s="161"/>
      <c r="E268" s="859"/>
      <c r="H268" s="349"/>
      <c r="L268" s="2"/>
      <c r="N268" s="2"/>
    </row>
    <row r="269" ht="12.0" customHeight="1">
      <c r="B269" s="1"/>
      <c r="D269" s="161"/>
      <c r="E269" s="859"/>
      <c r="H269" s="349"/>
      <c r="L269" s="2"/>
      <c r="N269" s="2"/>
    </row>
    <row r="270" ht="12.0" customHeight="1">
      <c r="B270" s="1"/>
      <c r="D270" s="161"/>
      <c r="E270" s="859"/>
      <c r="H270" s="349"/>
      <c r="L270" s="2"/>
      <c r="N270" s="2"/>
    </row>
    <row r="271" ht="12.0" customHeight="1">
      <c r="B271" s="1"/>
      <c r="D271" s="161"/>
      <c r="E271" s="859"/>
      <c r="H271" s="349"/>
      <c r="L271" s="2"/>
      <c r="N271" s="2"/>
    </row>
    <row r="272" ht="12.0" customHeight="1">
      <c r="B272" s="1"/>
      <c r="D272" s="161"/>
      <c r="E272" s="859"/>
      <c r="H272" s="349"/>
      <c r="L272" s="2"/>
      <c r="N272" s="2"/>
    </row>
    <row r="273" ht="12.0" customHeight="1">
      <c r="B273" s="1"/>
      <c r="D273" s="161"/>
      <c r="E273" s="859"/>
      <c r="H273" s="349"/>
      <c r="L273" s="2"/>
      <c r="N273" s="2"/>
    </row>
    <row r="274" ht="12.0" customHeight="1">
      <c r="B274" s="1"/>
      <c r="D274" s="161"/>
      <c r="E274" s="859"/>
      <c r="H274" s="349"/>
      <c r="L274" s="2"/>
      <c r="N274" s="2"/>
    </row>
    <row r="275" ht="12.0" customHeight="1">
      <c r="B275" s="1"/>
      <c r="D275" s="161"/>
      <c r="E275" s="859"/>
      <c r="H275" s="349"/>
      <c r="L275" s="2"/>
      <c r="N275" s="2"/>
    </row>
    <row r="276" ht="12.0" customHeight="1">
      <c r="B276" s="1"/>
      <c r="D276" s="161"/>
      <c r="E276" s="859"/>
      <c r="H276" s="349"/>
      <c r="L276" s="2"/>
      <c r="N276" s="2"/>
    </row>
    <row r="277" ht="12.0" customHeight="1">
      <c r="B277" s="1"/>
      <c r="D277" s="161"/>
      <c r="E277" s="859"/>
      <c r="H277" s="349"/>
      <c r="L277" s="2"/>
      <c r="N277" s="2"/>
    </row>
    <row r="278" ht="12.0" customHeight="1">
      <c r="B278" s="1"/>
      <c r="D278" s="161"/>
      <c r="E278" s="859"/>
      <c r="H278" s="349"/>
      <c r="L278" s="2"/>
      <c r="N278" s="2"/>
    </row>
    <row r="279" ht="12.0" customHeight="1">
      <c r="B279" s="1"/>
      <c r="D279" s="161"/>
      <c r="E279" s="859"/>
      <c r="H279" s="349"/>
      <c r="L279" s="2"/>
      <c r="N279" s="2"/>
    </row>
    <row r="280" ht="12.0" customHeight="1">
      <c r="B280" s="1"/>
      <c r="D280" s="161"/>
      <c r="E280" s="859"/>
      <c r="H280" s="349"/>
      <c r="L280" s="2"/>
      <c r="N280" s="2"/>
    </row>
    <row r="281" ht="12.0" customHeight="1">
      <c r="B281" s="1"/>
      <c r="D281" s="161"/>
      <c r="E281" s="859"/>
      <c r="H281" s="349"/>
      <c r="L281" s="2"/>
      <c r="N281" s="2"/>
    </row>
    <row r="282" ht="12.0" customHeight="1">
      <c r="B282" s="1"/>
      <c r="D282" s="161"/>
      <c r="E282" s="859"/>
      <c r="H282" s="349"/>
      <c r="L282" s="2"/>
      <c r="N282" s="2"/>
    </row>
    <row r="283" ht="12.0" customHeight="1">
      <c r="B283" s="1"/>
      <c r="D283" s="161"/>
      <c r="E283" s="859"/>
      <c r="H283" s="349"/>
      <c r="L283" s="2"/>
      <c r="N283" s="2"/>
    </row>
    <row r="284" ht="12.0" customHeight="1">
      <c r="B284" s="1"/>
      <c r="D284" s="161"/>
      <c r="E284" s="859"/>
      <c r="H284" s="349"/>
      <c r="L284" s="2"/>
      <c r="N284" s="2"/>
    </row>
    <row r="285" ht="12.0" customHeight="1">
      <c r="B285" s="1"/>
      <c r="D285" s="161"/>
      <c r="E285" s="859"/>
      <c r="H285" s="349"/>
      <c r="L285" s="2"/>
      <c r="N285" s="2"/>
    </row>
    <row r="286" ht="12.0" customHeight="1">
      <c r="B286" s="1"/>
      <c r="D286" s="161"/>
      <c r="E286" s="859"/>
      <c r="H286" s="349"/>
      <c r="L286" s="2"/>
      <c r="N286" s="2"/>
    </row>
    <row r="287" ht="12.0" customHeight="1">
      <c r="B287" s="1"/>
      <c r="D287" s="161"/>
      <c r="E287" s="859"/>
      <c r="H287" s="349"/>
      <c r="L287" s="2"/>
      <c r="N287" s="2"/>
    </row>
    <row r="288" ht="12.0" customHeight="1">
      <c r="B288" s="1"/>
      <c r="D288" s="161"/>
      <c r="E288" s="859"/>
      <c r="H288" s="349"/>
      <c r="L288" s="2"/>
      <c r="N288" s="2"/>
    </row>
    <row r="289" ht="12.0" customHeight="1">
      <c r="B289" s="1"/>
      <c r="D289" s="161"/>
      <c r="E289" s="859"/>
      <c r="H289" s="349"/>
      <c r="L289" s="2"/>
      <c r="N289" s="2"/>
    </row>
    <row r="290" ht="12.0" customHeight="1">
      <c r="B290" s="1"/>
      <c r="D290" s="161"/>
      <c r="E290" s="859"/>
      <c r="H290" s="349"/>
      <c r="L290" s="2"/>
      <c r="N290" s="2"/>
    </row>
    <row r="291" ht="12.0" customHeight="1">
      <c r="B291" s="1"/>
      <c r="D291" s="161"/>
      <c r="E291" s="859"/>
      <c r="H291" s="349"/>
      <c r="L291" s="2"/>
      <c r="N291" s="2"/>
    </row>
    <row r="292" ht="12.0" customHeight="1">
      <c r="B292" s="1"/>
      <c r="D292" s="161"/>
      <c r="E292" s="859"/>
      <c r="H292" s="349"/>
      <c r="L292" s="2"/>
      <c r="N292" s="2"/>
    </row>
    <row r="293" ht="12.0" customHeight="1">
      <c r="B293" s="1"/>
      <c r="D293" s="161"/>
      <c r="E293" s="859"/>
      <c r="H293" s="349"/>
      <c r="L293" s="2"/>
      <c r="N293" s="2"/>
    </row>
    <row r="294" ht="12.0" customHeight="1">
      <c r="B294" s="1"/>
      <c r="D294" s="161"/>
      <c r="E294" s="859"/>
      <c r="H294" s="349"/>
      <c r="L294" s="2"/>
      <c r="N294" s="2"/>
    </row>
    <row r="295" ht="12.0" customHeight="1">
      <c r="B295" s="1"/>
      <c r="D295" s="161"/>
      <c r="E295" s="859"/>
      <c r="H295" s="349"/>
      <c r="L295" s="2"/>
      <c r="N295" s="2"/>
    </row>
    <row r="296" ht="12.0" customHeight="1">
      <c r="B296" s="1"/>
      <c r="D296" s="161"/>
      <c r="E296" s="859"/>
      <c r="H296" s="349"/>
      <c r="L296" s="2"/>
      <c r="N296" s="2"/>
    </row>
    <row r="297" ht="12.0" customHeight="1">
      <c r="B297" s="1"/>
      <c r="D297" s="161"/>
      <c r="E297" s="859"/>
      <c r="H297" s="349"/>
      <c r="L297" s="2"/>
      <c r="N297" s="2"/>
    </row>
    <row r="298" ht="12.0" customHeight="1">
      <c r="B298" s="1"/>
      <c r="D298" s="161"/>
      <c r="E298" s="859"/>
      <c r="H298" s="349"/>
      <c r="L298" s="2"/>
      <c r="N298" s="2"/>
    </row>
    <row r="299" ht="12.0" customHeight="1">
      <c r="B299" s="1"/>
      <c r="D299" s="161"/>
      <c r="E299" s="859"/>
      <c r="H299" s="349"/>
      <c r="L299" s="2"/>
      <c r="N299" s="2"/>
    </row>
    <row r="300" ht="12.0" customHeight="1">
      <c r="B300" s="1"/>
      <c r="D300" s="161"/>
      <c r="E300" s="859"/>
      <c r="H300" s="349"/>
      <c r="L300" s="2"/>
      <c r="N300" s="2"/>
    </row>
    <row r="301" ht="12.0" customHeight="1">
      <c r="B301" s="1"/>
      <c r="D301" s="161"/>
      <c r="E301" s="859"/>
      <c r="H301" s="349"/>
      <c r="L301" s="2"/>
      <c r="N301" s="2"/>
    </row>
    <row r="302" ht="12.0" customHeight="1">
      <c r="B302" s="1"/>
      <c r="D302" s="161"/>
      <c r="E302" s="859"/>
      <c r="H302" s="349"/>
      <c r="L302" s="2"/>
      <c r="N302" s="2"/>
    </row>
    <row r="303" ht="12.0" customHeight="1">
      <c r="B303" s="1"/>
      <c r="D303" s="161"/>
      <c r="E303" s="859"/>
      <c r="H303" s="349"/>
      <c r="L303" s="2"/>
      <c r="N303" s="2"/>
    </row>
    <row r="304" ht="12.0" customHeight="1">
      <c r="B304" s="1"/>
      <c r="D304" s="161"/>
      <c r="E304" s="859"/>
      <c r="H304" s="349"/>
      <c r="L304" s="2"/>
      <c r="N304" s="2"/>
    </row>
    <row r="305" ht="12.0" customHeight="1">
      <c r="B305" s="1"/>
      <c r="D305" s="161"/>
      <c r="E305" s="859"/>
      <c r="H305" s="349"/>
      <c r="L305" s="2"/>
      <c r="N305" s="2"/>
    </row>
    <row r="306" ht="12.0" customHeight="1">
      <c r="B306" s="1"/>
      <c r="D306" s="161"/>
      <c r="E306" s="859"/>
      <c r="H306" s="349"/>
      <c r="L306" s="2"/>
      <c r="N306" s="2"/>
    </row>
    <row r="307" ht="12.0" customHeight="1">
      <c r="B307" s="1"/>
      <c r="D307" s="161"/>
      <c r="E307" s="859"/>
      <c r="H307" s="349"/>
      <c r="L307" s="2"/>
      <c r="N307" s="2"/>
    </row>
    <row r="308" ht="12.0" customHeight="1">
      <c r="B308" s="1"/>
      <c r="D308" s="161"/>
      <c r="E308" s="859"/>
      <c r="H308" s="349"/>
      <c r="L308" s="2"/>
      <c r="N308" s="2"/>
    </row>
    <row r="309" ht="12.0" customHeight="1">
      <c r="B309" s="1"/>
      <c r="D309" s="161"/>
      <c r="E309" s="859"/>
      <c r="H309" s="349"/>
      <c r="L309" s="2"/>
      <c r="N309" s="2"/>
    </row>
    <row r="310" ht="12.0" customHeight="1">
      <c r="B310" s="1"/>
      <c r="D310" s="161"/>
      <c r="E310" s="859"/>
      <c r="H310" s="349"/>
      <c r="L310" s="2"/>
      <c r="N310" s="2"/>
    </row>
    <row r="311" ht="12.0" customHeight="1">
      <c r="B311" s="1"/>
      <c r="D311" s="161"/>
      <c r="E311" s="859"/>
      <c r="H311" s="349"/>
      <c r="L311" s="2"/>
      <c r="N311" s="2"/>
    </row>
    <row r="312" ht="12.0" customHeight="1">
      <c r="B312" s="1"/>
      <c r="D312" s="161"/>
      <c r="E312" s="859"/>
      <c r="H312" s="349"/>
      <c r="L312" s="2"/>
      <c r="N312" s="2"/>
    </row>
    <row r="313" ht="12.0" customHeight="1">
      <c r="B313" s="1"/>
      <c r="D313" s="161"/>
      <c r="E313" s="859"/>
      <c r="H313" s="349"/>
      <c r="L313" s="2"/>
      <c r="N313" s="2"/>
    </row>
    <row r="314" ht="12.0" customHeight="1">
      <c r="B314" s="1"/>
      <c r="D314" s="161"/>
      <c r="E314" s="859"/>
      <c r="H314" s="349"/>
      <c r="L314" s="2"/>
      <c r="N314" s="2"/>
    </row>
    <row r="315" ht="12.0" customHeight="1">
      <c r="B315" s="1"/>
      <c r="D315" s="161"/>
      <c r="E315" s="859"/>
      <c r="H315" s="349"/>
      <c r="L315" s="2"/>
      <c r="N315" s="2"/>
    </row>
    <row r="316" ht="12.0" customHeight="1">
      <c r="B316" s="1"/>
      <c r="D316" s="161"/>
      <c r="E316" s="859"/>
      <c r="H316" s="349"/>
      <c r="L316" s="2"/>
      <c r="N316" s="2"/>
    </row>
    <row r="317" ht="12.0" customHeight="1">
      <c r="B317" s="1"/>
      <c r="D317" s="161"/>
      <c r="E317" s="859"/>
      <c r="H317" s="349"/>
      <c r="L317" s="2"/>
      <c r="N317" s="2"/>
    </row>
    <row r="318" ht="12.0" customHeight="1">
      <c r="B318" s="1"/>
      <c r="D318" s="161"/>
      <c r="E318" s="859"/>
      <c r="H318" s="349"/>
      <c r="L318" s="2"/>
      <c r="N318" s="2"/>
    </row>
    <row r="319" ht="12.0" customHeight="1">
      <c r="B319" s="1"/>
      <c r="D319" s="161"/>
      <c r="E319" s="859"/>
      <c r="H319" s="349"/>
      <c r="L319" s="2"/>
      <c r="N319" s="2"/>
    </row>
    <row r="320" ht="12.0" customHeight="1">
      <c r="B320" s="1"/>
      <c r="D320" s="161"/>
      <c r="E320" s="859"/>
      <c r="H320" s="349"/>
      <c r="L320" s="2"/>
      <c r="N320" s="2"/>
    </row>
    <row r="321" ht="12.0" customHeight="1">
      <c r="B321" s="1"/>
      <c r="D321" s="161"/>
      <c r="E321" s="859"/>
      <c r="H321" s="349"/>
      <c r="L321" s="2"/>
      <c r="N321" s="2"/>
    </row>
    <row r="322" ht="12.0" customHeight="1">
      <c r="B322" s="1"/>
      <c r="D322" s="161"/>
      <c r="E322" s="859"/>
      <c r="H322" s="349"/>
      <c r="L322" s="2"/>
      <c r="N322" s="2"/>
    </row>
    <row r="323" ht="12.0" customHeight="1">
      <c r="B323" s="1"/>
      <c r="D323" s="161"/>
      <c r="E323" s="859"/>
      <c r="H323" s="349"/>
      <c r="L323" s="2"/>
      <c r="N323" s="2"/>
    </row>
    <row r="324" ht="12.0" customHeight="1">
      <c r="B324" s="1"/>
      <c r="D324" s="161"/>
      <c r="E324" s="859"/>
      <c r="H324" s="349"/>
      <c r="L324" s="2"/>
      <c r="N324" s="2"/>
    </row>
    <row r="325" ht="12.0" customHeight="1">
      <c r="B325" s="1"/>
      <c r="D325" s="161"/>
      <c r="E325" s="859"/>
      <c r="H325" s="349"/>
      <c r="L325" s="2"/>
      <c r="N325" s="2"/>
    </row>
    <row r="326" ht="12.0" customHeight="1">
      <c r="B326" s="1"/>
      <c r="D326" s="161"/>
      <c r="E326" s="859"/>
      <c r="H326" s="349"/>
      <c r="L326" s="2"/>
      <c r="N326" s="2"/>
    </row>
    <row r="327" ht="12.0" customHeight="1">
      <c r="B327" s="1"/>
      <c r="D327" s="161"/>
      <c r="E327" s="859"/>
      <c r="H327" s="349"/>
      <c r="L327" s="2"/>
      <c r="N327" s="2"/>
    </row>
    <row r="328" ht="12.0" customHeight="1">
      <c r="B328" s="1"/>
      <c r="D328" s="161"/>
      <c r="E328" s="859"/>
      <c r="H328" s="349"/>
      <c r="L328" s="2"/>
      <c r="N328" s="2"/>
    </row>
    <row r="329" ht="12.0" customHeight="1">
      <c r="B329" s="1"/>
      <c r="D329" s="161"/>
      <c r="E329" s="859"/>
      <c r="H329" s="349"/>
      <c r="L329" s="2"/>
      <c r="N329" s="2"/>
    </row>
    <row r="330" ht="12.0" customHeight="1">
      <c r="B330" s="1"/>
      <c r="D330" s="161"/>
      <c r="E330" s="859"/>
      <c r="H330" s="349"/>
      <c r="L330" s="2"/>
      <c r="N330" s="2"/>
    </row>
    <row r="331" ht="12.0" customHeight="1">
      <c r="B331" s="1"/>
      <c r="D331" s="161"/>
      <c r="E331" s="859"/>
      <c r="H331" s="349"/>
      <c r="L331" s="2"/>
      <c r="N331" s="2"/>
    </row>
    <row r="332" ht="12.0" customHeight="1">
      <c r="B332" s="1"/>
      <c r="D332" s="161"/>
      <c r="E332" s="859"/>
      <c r="H332" s="349"/>
      <c r="L332" s="2"/>
      <c r="N332" s="2"/>
    </row>
    <row r="333" ht="12.0" customHeight="1">
      <c r="B333" s="1"/>
      <c r="D333" s="161"/>
      <c r="E333" s="859"/>
      <c r="H333" s="349"/>
      <c r="L333" s="2"/>
      <c r="N333" s="2"/>
    </row>
    <row r="334" ht="12.0" customHeight="1">
      <c r="B334" s="1"/>
      <c r="D334" s="161"/>
      <c r="E334" s="859"/>
      <c r="H334" s="349"/>
      <c r="L334" s="2"/>
      <c r="N334" s="2"/>
    </row>
    <row r="335" ht="12.0" customHeight="1">
      <c r="B335" s="1"/>
      <c r="D335" s="161"/>
      <c r="E335" s="859"/>
      <c r="H335" s="349"/>
      <c r="L335" s="2"/>
      <c r="N335" s="2"/>
    </row>
    <row r="336" ht="12.0" customHeight="1">
      <c r="B336" s="1"/>
      <c r="D336" s="161"/>
      <c r="E336" s="859"/>
      <c r="H336" s="349"/>
      <c r="L336" s="2"/>
      <c r="N336" s="2"/>
    </row>
    <row r="337" ht="12.0" customHeight="1">
      <c r="B337" s="1"/>
      <c r="D337" s="161"/>
      <c r="E337" s="859"/>
      <c r="H337" s="349"/>
      <c r="L337" s="2"/>
      <c r="N337" s="2"/>
    </row>
    <row r="338" ht="12.0" customHeight="1">
      <c r="B338" s="1"/>
      <c r="D338" s="161"/>
      <c r="E338" s="859"/>
      <c r="H338" s="349"/>
      <c r="L338" s="2"/>
      <c r="N338" s="2"/>
    </row>
    <row r="339" ht="12.0" customHeight="1">
      <c r="B339" s="1"/>
      <c r="D339" s="161"/>
      <c r="E339" s="859"/>
      <c r="H339" s="349"/>
      <c r="L339" s="2"/>
      <c r="N339" s="2"/>
    </row>
    <row r="340" ht="12.0" customHeight="1">
      <c r="B340" s="1"/>
      <c r="D340" s="161"/>
      <c r="E340" s="859"/>
      <c r="H340" s="349"/>
      <c r="L340" s="2"/>
      <c r="N340" s="2"/>
    </row>
    <row r="341" ht="12.0" customHeight="1">
      <c r="B341" s="1"/>
      <c r="D341" s="161"/>
      <c r="E341" s="859"/>
      <c r="H341" s="349"/>
      <c r="L341" s="2"/>
      <c r="N341" s="2"/>
    </row>
    <row r="342" ht="12.0" customHeight="1">
      <c r="B342" s="1"/>
      <c r="D342" s="161"/>
      <c r="E342" s="859"/>
      <c r="H342" s="349"/>
      <c r="L342" s="2"/>
      <c r="N342" s="2"/>
    </row>
    <row r="343" ht="12.0" customHeight="1">
      <c r="B343" s="1"/>
      <c r="D343" s="161"/>
      <c r="E343" s="859"/>
      <c r="H343" s="349"/>
      <c r="L343" s="2"/>
      <c r="N343" s="2"/>
    </row>
    <row r="344" ht="12.0" customHeight="1">
      <c r="B344" s="1"/>
      <c r="D344" s="161"/>
      <c r="E344" s="859"/>
      <c r="H344" s="349"/>
      <c r="L344" s="2"/>
      <c r="N344" s="2"/>
    </row>
    <row r="345" ht="12.0" customHeight="1">
      <c r="B345" s="1"/>
      <c r="D345" s="161"/>
      <c r="E345" s="859"/>
      <c r="H345" s="349"/>
      <c r="L345" s="2"/>
      <c r="N345" s="2"/>
    </row>
    <row r="346" ht="12.0" customHeight="1">
      <c r="B346" s="1"/>
      <c r="D346" s="161"/>
      <c r="E346" s="859"/>
      <c r="H346" s="349"/>
      <c r="L346" s="2"/>
      <c r="N346" s="2"/>
    </row>
    <row r="347" ht="12.0" customHeight="1">
      <c r="B347" s="1"/>
      <c r="D347" s="161"/>
      <c r="E347" s="859"/>
      <c r="H347" s="349"/>
      <c r="L347" s="2"/>
      <c r="N347" s="2"/>
    </row>
    <row r="348" ht="12.0" customHeight="1">
      <c r="B348" s="1"/>
      <c r="D348" s="161"/>
      <c r="E348" s="859"/>
      <c r="H348" s="349"/>
      <c r="L348" s="2"/>
      <c r="N348" s="2"/>
    </row>
    <row r="349" ht="12.0" customHeight="1">
      <c r="B349" s="1"/>
      <c r="D349" s="161"/>
      <c r="E349" s="859"/>
      <c r="H349" s="349"/>
      <c r="L349" s="2"/>
      <c r="N349" s="2"/>
    </row>
    <row r="350" ht="12.0" customHeight="1">
      <c r="B350" s="1"/>
      <c r="D350" s="161"/>
      <c r="E350" s="859"/>
      <c r="H350" s="349"/>
      <c r="L350" s="2"/>
      <c r="N350" s="2"/>
    </row>
    <row r="351" ht="12.0" customHeight="1">
      <c r="B351" s="1"/>
      <c r="D351" s="161"/>
      <c r="E351" s="859"/>
      <c r="H351" s="349"/>
      <c r="L351" s="2"/>
      <c r="N351" s="2"/>
    </row>
    <row r="352" ht="12.0" customHeight="1">
      <c r="B352" s="1"/>
      <c r="D352" s="161"/>
      <c r="E352" s="859"/>
      <c r="H352" s="349"/>
      <c r="L352" s="2"/>
      <c r="N352" s="2"/>
    </row>
    <row r="353" ht="12.0" customHeight="1">
      <c r="B353" s="1"/>
      <c r="D353" s="161"/>
      <c r="E353" s="859"/>
      <c r="H353" s="349"/>
      <c r="L353" s="2"/>
      <c r="N353" s="2"/>
    </row>
    <row r="354" ht="12.0" customHeight="1">
      <c r="B354" s="1"/>
      <c r="D354" s="161"/>
      <c r="E354" s="859"/>
      <c r="H354" s="349"/>
      <c r="L354" s="2"/>
      <c r="N354" s="2"/>
    </row>
    <row r="355" ht="12.0" customHeight="1">
      <c r="B355" s="1"/>
      <c r="D355" s="161"/>
      <c r="E355" s="859"/>
      <c r="H355" s="349"/>
      <c r="L355" s="2"/>
      <c r="N355" s="2"/>
    </row>
    <row r="356" ht="12.0" customHeight="1">
      <c r="B356" s="1"/>
      <c r="D356" s="161"/>
      <c r="E356" s="859"/>
      <c r="H356" s="349"/>
      <c r="L356" s="2"/>
      <c r="N356" s="2"/>
    </row>
    <row r="357" ht="12.0" customHeight="1">
      <c r="B357" s="1"/>
      <c r="D357" s="161"/>
      <c r="E357" s="859"/>
      <c r="H357" s="349"/>
      <c r="L357" s="2"/>
      <c r="N357" s="2"/>
    </row>
    <row r="358" ht="12.0" customHeight="1">
      <c r="B358" s="1"/>
      <c r="D358" s="161"/>
      <c r="E358" s="859"/>
      <c r="H358" s="349"/>
      <c r="L358" s="2"/>
      <c r="N358" s="2"/>
    </row>
    <row r="359" ht="12.0" customHeight="1">
      <c r="B359" s="1"/>
      <c r="D359" s="161"/>
      <c r="E359" s="859"/>
      <c r="H359" s="349"/>
      <c r="L359" s="2"/>
      <c r="N359" s="2"/>
    </row>
    <row r="360" ht="12.0" customHeight="1">
      <c r="B360" s="1"/>
      <c r="D360" s="161"/>
      <c r="E360" s="859"/>
      <c r="H360" s="349"/>
      <c r="L360" s="2"/>
      <c r="N360" s="2"/>
    </row>
    <row r="361" ht="12.0" customHeight="1">
      <c r="B361" s="1"/>
      <c r="D361" s="161"/>
      <c r="E361" s="859"/>
      <c r="H361" s="349"/>
      <c r="L361" s="2"/>
      <c r="N361" s="2"/>
    </row>
    <row r="362" ht="12.0" customHeight="1">
      <c r="B362" s="1"/>
      <c r="D362" s="161"/>
      <c r="E362" s="859"/>
      <c r="H362" s="349"/>
      <c r="L362" s="2"/>
      <c r="N362" s="2"/>
    </row>
    <row r="363" ht="12.0" customHeight="1">
      <c r="B363" s="1"/>
      <c r="D363" s="161"/>
      <c r="E363" s="859"/>
      <c r="H363" s="349"/>
      <c r="L363" s="2"/>
      <c r="N363" s="2"/>
    </row>
    <row r="364" ht="12.0" customHeight="1">
      <c r="B364" s="1"/>
      <c r="D364" s="161"/>
      <c r="E364" s="859"/>
      <c r="H364" s="349"/>
      <c r="L364" s="2"/>
      <c r="N364" s="2"/>
    </row>
    <row r="365" ht="12.0" customHeight="1">
      <c r="B365" s="1"/>
      <c r="D365" s="161"/>
      <c r="E365" s="859"/>
      <c r="H365" s="349"/>
      <c r="L365" s="2"/>
      <c r="N365" s="2"/>
    </row>
    <row r="366" ht="12.0" customHeight="1">
      <c r="B366" s="1"/>
      <c r="D366" s="161"/>
      <c r="E366" s="859"/>
      <c r="H366" s="349"/>
      <c r="L366" s="2"/>
      <c r="N366" s="2"/>
    </row>
    <row r="367" ht="12.0" customHeight="1">
      <c r="B367" s="1"/>
      <c r="D367" s="161"/>
      <c r="E367" s="859"/>
      <c r="H367" s="349"/>
      <c r="L367" s="2"/>
      <c r="N367" s="2"/>
    </row>
    <row r="368" ht="12.0" customHeight="1">
      <c r="B368" s="1"/>
      <c r="D368" s="161"/>
      <c r="E368" s="859"/>
      <c r="H368" s="349"/>
      <c r="L368" s="2"/>
      <c r="N368" s="2"/>
    </row>
    <row r="369" ht="12.0" customHeight="1">
      <c r="B369" s="1"/>
      <c r="D369" s="161"/>
      <c r="E369" s="859"/>
      <c r="H369" s="349"/>
      <c r="L369" s="2"/>
      <c r="N369" s="2"/>
    </row>
    <row r="370" ht="12.0" customHeight="1">
      <c r="B370" s="1"/>
      <c r="D370" s="161"/>
      <c r="E370" s="859"/>
      <c r="H370" s="349"/>
      <c r="L370" s="2"/>
      <c r="N370" s="2"/>
    </row>
    <row r="371" ht="12.0" customHeight="1">
      <c r="B371" s="1"/>
      <c r="D371" s="161"/>
      <c r="E371" s="859"/>
      <c r="H371" s="349"/>
      <c r="L371" s="2"/>
      <c r="N371" s="2"/>
    </row>
    <row r="372" ht="12.0" customHeight="1">
      <c r="B372" s="1"/>
      <c r="D372" s="161"/>
      <c r="E372" s="859"/>
      <c r="H372" s="349"/>
      <c r="L372" s="2"/>
      <c r="N372" s="2"/>
    </row>
    <row r="373" ht="12.0" customHeight="1">
      <c r="B373" s="1"/>
      <c r="D373" s="161"/>
      <c r="E373" s="859"/>
      <c r="H373" s="349"/>
      <c r="L373" s="2"/>
      <c r="N373" s="2"/>
    </row>
    <row r="374" ht="12.0" customHeight="1">
      <c r="B374" s="1"/>
      <c r="D374" s="161"/>
      <c r="E374" s="859"/>
      <c r="H374" s="349"/>
      <c r="L374" s="2"/>
      <c r="N374" s="2"/>
    </row>
    <row r="375" ht="12.0" customHeight="1">
      <c r="B375" s="1"/>
      <c r="D375" s="161"/>
      <c r="E375" s="859"/>
      <c r="H375" s="349"/>
      <c r="L375" s="2"/>
      <c r="N375" s="2"/>
    </row>
    <row r="376" ht="12.0" customHeight="1">
      <c r="B376" s="1"/>
      <c r="D376" s="161"/>
      <c r="E376" s="859"/>
      <c r="H376" s="349"/>
      <c r="L376" s="2"/>
      <c r="N376" s="2"/>
    </row>
    <row r="377" ht="12.0" customHeight="1">
      <c r="B377" s="1"/>
      <c r="D377" s="161"/>
      <c r="E377" s="859"/>
      <c r="H377" s="349"/>
      <c r="L377" s="2"/>
      <c r="N377" s="2"/>
    </row>
    <row r="378" ht="12.0" customHeight="1">
      <c r="B378" s="1"/>
      <c r="D378" s="161"/>
      <c r="E378" s="859"/>
      <c r="H378" s="349"/>
      <c r="L378" s="2"/>
      <c r="N378" s="2"/>
    </row>
    <row r="379" ht="12.0" customHeight="1">
      <c r="B379" s="1"/>
      <c r="D379" s="161"/>
      <c r="E379" s="859"/>
      <c r="H379" s="349"/>
      <c r="L379" s="2"/>
      <c r="N379" s="2"/>
    </row>
    <row r="380" ht="12.0" customHeight="1">
      <c r="B380" s="1"/>
      <c r="D380" s="161"/>
      <c r="E380" s="859"/>
      <c r="H380" s="349"/>
      <c r="L380" s="2"/>
      <c r="N380" s="2"/>
    </row>
    <row r="381" ht="12.0" customHeight="1">
      <c r="B381" s="1"/>
      <c r="D381" s="161"/>
      <c r="E381" s="859"/>
      <c r="H381" s="349"/>
      <c r="L381" s="2"/>
      <c r="N381" s="2"/>
    </row>
    <row r="382" ht="12.0" customHeight="1">
      <c r="B382" s="1"/>
      <c r="D382" s="161"/>
      <c r="E382" s="859"/>
      <c r="H382" s="349"/>
      <c r="L382" s="2"/>
      <c r="N382" s="2"/>
    </row>
    <row r="383" ht="12.0" customHeight="1">
      <c r="B383" s="1"/>
      <c r="D383" s="161"/>
      <c r="E383" s="859"/>
      <c r="H383" s="349"/>
      <c r="L383" s="2"/>
      <c r="N383" s="2"/>
    </row>
    <row r="384" ht="12.0" customHeight="1">
      <c r="B384" s="1"/>
      <c r="D384" s="161"/>
      <c r="E384" s="859"/>
      <c r="H384" s="349"/>
      <c r="L384" s="2"/>
      <c r="N384" s="2"/>
    </row>
    <row r="385" ht="12.0" customHeight="1">
      <c r="B385" s="1"/>
      <c r="D385" s="161"/>
      <c r="E385" s="859"/>
      <c r="H385" s="349"/>
      <c r="L385" s="2"/>
      <c r="N385" s="2"/>
    </row>
    <row r="386" ht="12.0" customHeight="1">
      <c r="B386" s="1"/>
      <c r="D386" s="161"/>
      <c r="E386" s="859"/>
      <c r="H386" s="349"/>
      <c r="L386" s="2"/>
      <c r="N386" s="2"/>
    </row>
    <row r="387" ht="12.0" customHeight="1">
      <c r="B387" s="1"/>
      <c r="D387" s="161"/>
      <c r="E387" s="859"/>
      <c r="H387" s="349"/>
      <c r="L387" s="2"/>
      <c r="N387" s="2"/>
    </row>
    <row r="388" ht="12.0" customHeight="1">
      <c r="B388" s="1"/>
      <c r="D388" s="161"/>
      <c r="E388" s="859"/>
      <c r="H388" s="349"/>
      <c r="L388" s="2"/>
      <c r="N388" s="2"/>
    </row>
    <row r="389" ht="12.0" customHeight="1">
      <c r="B389" s="1"/>
      <c r="D389" s="161"/>
      <c r="E389" s="859"/>
      <c r="H389" s="349"/>
      <c r="L389" s="2"/>
      <c r="N389" s="2"/>
    </row>
    <row r="390" ht="12.0" customHeight="1">
      <c r="B390" s="1"/>
      <c r="D390" s="161"/>
      <c r="E390" s="859"/>
      <c r="H390" s="349"/>
      <c r="L390" s="2"/>
      <c r="N390" s="2"/>
    </row>
    <row r="391" ht="12.0" customHeight="1">
      <c r="B391" s="1"/>
      <c r="D391" s="161"/>
      <c r="E391" s="859"/>
      <c r="H391" s="349"/>
      <c r="L391" s="2"/>
      <c r="N391" s="2"/>
    </row>
    <row r="392" ht="12.0" customHeight="1">
      <c r="B392" s="1"/>
      <c r="D392" s="161"/>
      <c r="E392" s="859"/>
      <c r="H392" s="349"/>
      <c r="L392" s="2"/>
      <c r="N392" s="2"/>
    </row>
    <row r="393" ht="12.0" customHeight="1">
      <c r="B393" s="1"/>
      <c r="D393" s="161"/>
      <c r="E393" s="859"/>
      <c r="H393" s="349"/>
      <c r="L393" s="2"/>
      <c r="N393" s="2"/>
    </row>
    <row r="394" ht="12.0" customHeight="1">
      <c r="B394" s="1"/>
      <c r="D394" s="161"/>
      <c r="E394" s="859"/>
      <c r="H394" s="349"/>
      <c r="L394" s="2"/>
      <c r="N394" s="2"/>
    </row>
    <row r="395" ht="12.0" customHeight="1">
      <c r="B395" s="1"/>
      <c r="D395" s="161"/>
      <c r="E395" s="859"/>
      <c r="H395" s="349"/>
      <c r="L395" s="2"/>
      <c r="N395" s="2"/>
    </row>
    <row r="396" ht="12.0" customHeight="1">
      <c r="B396" s="1"/>
      <c r="D396" s="161"/>
      <c r="E396" s="859"/>
      <c r="H396" s="349"/>
      <c r="L396" s="2"/>
      <c r="N396" s="2"/>
    </row>
    <row r="397" ht="12.0" customHeight="1">
      <c r="B397" s="1"/>
      <c r="D397" s="161"/>
      <c r="E397" s="859"/>
      <c r="H397" s="349"/>
      <c r="L397" s="2"/>
      <c r="N397" s="2"/>
    </row>
    <row r="398" ht="12.0" customHeight="1">
      <c r="B398" s="1"/>
      <c r="D398" s="161"/>
      <c r="E398" s="859"/>
      <c r="H398" s="349"/>
      <c r="L398" s="2"/>
      <c r="N398" s="2"/>
    </row>
    <row r="399" ht="12.0" customHeight="1">
      <c r="B399" s="1"/>
      <c r="D399" s="161"/>
      <c r="E399" s="859"/>
      <c r="H399" s="349"/>
      <c r="L399" s="2"/>
      <c r="N399" s="2"/>
    </row>
    <row r="400" ht="12.0" customHeight="1">
      <c r="B400" s="1"/>
      <c r="D400" s="161"/>
      <c r="E400" s="859"/>
      <c r="H400" s="349"/>
      <c r="L400" s="2"/>
      <c r="N400" s="2"/>
    </row>
    <row r="401" ht="12.0" customHeight="1">
      <c r="B401" s="1"/>
      <c r="D401" s="161"/>
      <c r="E401" s="859"/>
      <c r="H401" s="349"/>
      <c r="L401" s="2"/>
      <c r="N401" s="2"/>
    </row>
    <row r="402" ht="12.0" customHeight="1">
      <c r="B402" s="1"/>
      <c r="D402" s="161"/>
      <c r="E402" s="859"/>
      <c r="H402" s="349"/>
      <c r="L402" s="2"/>
      <c r="N402" s="2"/>
    </row>
    <row r="403" ht="12.0" customHeight="1">
      <c r="B403" s="1"/>
      <c r="D403" s="161"/>
      <c r="E403" s="859"/>
      <c r="H403" s="349"/>
      <c r="L403" s="2"/>
      <c r="N403" s="2"/>
    </row>
    <row r="404" ht="12.0" customHeight="1">
      <c r="B404" s="1"/>
      <c r="D404" s="161"/>
      <c r="E404" s="859"/>
      <c r="H404" s="349"/>
      <c r="L404" s="2"/>
      <c r="N404" s="2"/>
    </row>
    <row r="405" ht="12.0" customHeight="1">
      <c r="B405" s="1"/>
      <c r="D405" s="161"/>
      <c r="E405" s="859"/>
      <c r="H405" s="349"/>
      <c r="L405" s="2"/>
      <c r="N405" s="2"/>
    </row>
    <row r="406" ht="12.0" customHeight="1">
      <c r="B406" s="1"/>
      <c r="D406" s="161"/>
      <c r="E406" s="859"/>
      <c r="H406" s="349"/>
      <c r="L406" s="2"/>
      <c r="N406" s="2"/>
    </row>
    <row r="407" ht="12.0" customHeight="1">
      <c r="B407" s="1"/>
      <c r="D407" s="161"/>
      <c r="E407" s="859"/>
      <c r="H407" s="349"/>
      <c r="L407" s="2"/>
      <c r="N407" s="2"/>
    </row>
    <row r="408" ht="12.0" customHeight="1">
      <c r="B408" s="1"/>
      <c r="D408" s="161"/>
      <c r="E408" s="859"/>
      <c r="H408" s="349"/>
      <c r="L408" s="2"/>
      <c r="N408" s="2"/>
    </row>
    <row r="409" ht="12.0" customHeight="1">
      <c r="B409" s="1"/>
      <c r="D409" s="161"/>
      <c r="E409" s="859"/>
      <c r="H409" s="349"/>
      <c r="L409" s="2"/>
      <c r="N409" s="2"/>
    </row>
    <row r="410" ht="12.0" customHeight="1">
      <c r="B410" s="1"/>
      <c r="D410" s="161"/>
      <c r="E410" s="859"/>
      <c r="H410" s="349"/>
      <c r="L410" s="2"/>
      <c r="N410" s="2"/>
    </row>
    <row r="411" ht="12.0" customHeight="1">
      <c r="B411" s="1"/>
      <c r="D411" s="161"/>
      <c r="E411" s="859"/>
      <c r="H411" s="349"/>
      <c r="L411" s="2"/>
      <c r="N411" s="2"/>
    </row>
    <row r="412" ht="12.0" customHeight="1">
      <c r="B412" s="1"/>
      <c r="D412" s="161"/>
      <c r="E412" s="859"/>
      <c r="H412" s="349"/>
      <c r="L412" s="2"/>
      <c r="N412" s="2"/>
    </row>
    <row r="413" ht="12.0" customHeight="1">
      <c r="B413" s="1"/>
      <c r="D413" s="161"/>
      <c r="E413" s="859"/>
      <c r="H413" s="349"/>
      <c r="L413" s="2"/>
      <c r="N413" s="2"/>
    </row>
    <row r="414" ht="12.0" customHeight="1">
      <c r="B414" s="1"/>
      <c r="D414" s="161"/>
      <c r="E414" s="859"/>
      <c r="H414" s="349"/>
      <c r="L414" s="2"/>
      <c r="N414" s="2"/>
    </row>
    <row r="415" ht="12.0" customHeight="1">
      <c r="B415" s="1"/>
      <c r="D415" s="161"/>
      <c r="E415" s="859"/>
      <c r="H415" s="349"/>
      <c r="L415" s="2"/>
      <c r="N415" s="2"/>
    </row>
    <row r="416" ht="12.0" customHeight="1">
      <c r="B416" s="1"/>
      <c r="D416" s="161"/>
      <c r="E416" s="859"/>
      <c r="H416" s="349"/>
      <c r="L416" s="2"/>
      <c r="N416" s="2"/>
    </row>
    <row r="417" ht="12.0" customHeight="1">
      <c r="B417" s="1"/>
      <c r="D417" s="161"/>
      <c r="E417" s="859"/>
      <c r="H417" s="349"/>
      <c r="L417" s="2"/>
      <c r="N417" s="2"/>
    </row>
    <row r="418" ht="12.0" customHeight="1">
      <c r="B418" s="1"/>
      <c r="D418" s="161"/>
      <c r="E418" s="859"/>
      <c r="H418" s="349"/>
      <c r="L418" s="2"/>
      <c r="N418" s="2"/>
    </row>
    <row r="419" ht="12.0" customHeight="1">
      <c r="B419" s="1"/>
      <c r="D419" s="161"/>
      <c r="E419" s="859"/>
      <c r="H419" s="349"/>
      <c r="L419" s="2"/>
      <c r="N419" s="2"/>
    </row>
    <row r="420" ht="12.0" customHeight="1">
      <c r="B420" s="1"/>
      <c r="D420" s="161"/>
      <c r="E420" s="859"/>
      <c r="H420" s="349"/>
      <c r="L420" s="2"/>
      <c r="N420" s="2"/>
    </row>
    <row r="421" ht="12.0" customHeight="1">
      <c r="B421" s="1"/>
      <c r="D421" s="161"/>
      <c r="E421" s="859"/>
      <c r="H421" s="349"/>
      <c r="L421" s="2"/>
      <c r="N421" s="2"/>
    </row>
    <row r="422" ht="12.0" customHeight="1">
      <c r="B422" s="1"/>
      <c r="D422" s="161"/>
      <c r="E422" s="859"/>
      <c r="H422" s="349"/>
      <c r="L422" s="2"/>
      <c r="N422" s="2"/>
    </row>
    <row r="423" ht="12.0" customHeight="1">
      <c r="B423" s="1"/>
      <c r="D423" s="161"/>
      <c r="E423" s="859"/>
      <c r="H423" s="349"/>
      <c r="L423" s="2"/>
      <c r="N423" s="2"/>
    </row>
    <row r="424" ht="12.0" customHeight="1">
      <c r="B424" s="1"/>
      <c r="D424" s="161"/>
      <c r="E424" s="859"/>
      <c r="H424" s="349"/>
      <c r="L424" s="2"/>
      <c r="N424" s="2"/>
    </row>
    <row r="425" ht="12.0" customHeight="1">
      <c r="B425" s="1"/>
      <c r="D425" s="161"/>
      <c r="E425" s="859"/>
      <c r="H425" s="349"/>
      <c r="L425" s="2"/>
      <c r="N425" s="2"/>
    </row>
    <row r="426" ht="12.0" customHeight="1">
      <c r="B426" s="1"/>
      <c r="D426" s="161"/>
      <c r="E426" s="859"/>
      <c r="H426" s="349"/>
      <c r="L426" s="2"/>
      <c r="N426" s="2"/>
    </row>
    <row r="427" ht="12.0" customHeight="1">
      <c r="B427" s="1"/>
      <c r="D427" s="161"/>
      <c r="E427" s="859"/>
      <c r="H427" s="349"/>
      <c r="L427" s="2"/>
      <c r="N427" s="2"/>
    </row>
    <row r="428" ht="12.0" customHeight="1">
      <c r="B428" s="1"/>
      <c r="D428" s="161"/>
      <c r="E428" s="859"/>
      <c r="H428" s="349"/>
      <c r="L428" s="2"/>
      <c r="N428" s="2"/>
    </row>
    <row r="429" ht="12.0" customHeight="1">
      <c r="B429" s="1"/>
      <c r="D429" s="161"/>
      <c r="E429" s="859"/>
      <c r="H429" s="349"/>
      <c r="L429" s="2"/>
      <c r="N429" s="2"/>
    </row>
    <row r="430" ht="12.0" customHeight="1">
      <c r="B430" s="1"/>
      <c r="D430" s="161"/>
      <c r="E430" s="859"/>
      <c r="H430" s="349"/>
      <c r="L430" s="2"/>
      <c r="N430" s="2"/>
    </row>
    <row r="431" ht="12.0" customHeight="1">
      <c r="B431" s="1"/>
      <c r="D431" s="161"/>
      <c r="E431" s="859"/>
      <c r="H431" s="349"/>
      <c r="L431" s="2"/>
      <c r="N431" s="2"/>
    </row>
    <row r="432" ht="12.0" customHeight="1">
      <c r="B432" s="1"/>
      <c r="D432" s="161"/>
      <c r="E432" s="859"/>
      <c r="H432" s="349"/>
      <c r="L432" s="2"/>
      <c r="N432" s="2"/>
    </row>
    <row r="433" ht="12.0" customHeight="1">
      <c r="B433" s="1"/>
      <c r="D433" s="161"/>
      <c r="E433" s="859"/>
      <c r="H433" s="349"/>
      <c r="L433" s="2"/>
      <c r="N433" s="2"/>
    </row>
    <row r="434" ht="12.0" customHeight="1">
      <c r="B434" s="1"/>
      <c r="D434" s="161"/>
      <c r="E434" s="859"/>
      <c r="H434" s="349"/>
      <c r="L434" s="2"/>
      <c r="N434" s="2"/>
    </row>
    <row r="435" ht="12.0" customHeight="1">
      <c r="B435" s="1"/>
      <c r="D435" s="161"/>
      <c r="E435" s="859"/>
      <c r="H435" s="349"/>
      <c r="L435" s="2"/>
      <c r="N435" s="2"/>
    </row>
    <row r="436" ht="12.0" customHeight="1">
      <c r="B436" s="1"/>
      <c r="D436" s="161"/>
      <c r="E436" s="859"/>
      <c r="H436" s="349"/>
      <c r="L436" s="2"/>
      <c r="N436" s="2"/>
    </row>
    <row r="437" ht="12.0" customHeight="1">
      <c r="B437" s="1"/>
      <c r="D437" s="161"/>
      <c r="E437" s="859"/>
      <c r="H437" s="349"/>
      <c r="L437" s="2"/>
      <c r="N437" s="2"/>
    </row>
    <row r="438" ht="12.0" customHeight="1">
      <c r="B438" s="1"/>
      <c r="D438" s="161"/>
      <c r="E438" s="859"/>
      <c r="H438" s="349"/>
      <c r="L438" s="2"/>
      <c r="N438" s="2"/>
    </row>
    <row r="439" ht="12.0" customHeight="1">
      <c r="B439" s="1"/>
      <c r="D439" s="161"/>
      <c r="E439" s="859"/>
      <c r="H439" s="349"/>
      <c r="L439" s="2"/>
      <c r="N439" s="2"/>
    </row>
    <row r="440" ht="12.0" customHeight="1">
      <c r="B440" s="1"/>
      <c r="D440" s="161"/>
      <c r="E440" s="859"/>
      <c r="H440" s="349"/>
      <c r="L440" s="2"/>
      <c r="N440" s="2"/>
    </row>
    <row r="441" ht="12.0" customHeight="1">
      <c r="B441" s="1"/>
      <c r="D441" s="161"/>
      <c r="E441" s="859"/>
      <c r="H441" s="349"/>
      <c r="L441" s="2"/>
      <c r="N441" s="2"/>
    </row>
    <row r="442" ht="12.0" customHeight="1">
      <c r="B442" s="1"/>
      <c r="D442" s="161"/>
      <c r="E442" s="859"/>
      <c r="H442" s="349"/>
      <c r="L442" s="2"/>
      <c r="N442" s="2"/>
    </row>
    <row r="443" ht="12.0" customHeight="1">
      <c r="B443" s="1"/>
      <c r="D443" s="161"/>
      <c r="E443" s="859"/>
      <c r="H443" s="349"/>
      <c r="L443" s="2"/>
      <c r="N443" s="2"/>
    </row>
    <row r="444" ht="12.0" customHeight="1">
      <c r="B444" s="1"/>
      <c r="D444" s="161"/>
      <c r="E444" s="859"/>
      <c r="H444" s="349"/>
      <c r="L444" s="2"/>
      <c r="N444" s="2"/>
    </row>
    <row r="445" ht="12.0" customHeight="1">
      <c r="B445" s="1"/>
      <c r="D445" s="161"/>
      <c r="E445" s="859"/>
      <c r="H445" s="349"/>
      <c r="L445" s="2"/>
      <c r="N445" s="2"/>
    </row>
    <row r="446" ht="12.0" customHeight="1">
      <c r="B446" s="1"/>
      <c r="D446" s="161"/>
      <c r="E446" s="859"/>
      <c r="H446" s="349"/>
      <c r="L446" s="2"/>
      <c r="N446" s="2"/>
    </row>
    <row r="447" ht="12.0" customHeight="1">
      <c r="B447" s="1"/>
      <c r="D447" s="161"/>
      <c r="E447" s="859"/>
      <c r="H447" s="349"/>
      <c r="L447" s="2"/>
      <c r="N447" s="2"/>
    </row>
    <row r="448" ht="12.0" customHeight="1">
      <c r="B448" s="1"/>
      <c r="D448" s="161"/>
      <c r="E448" s="859"/>
      <c r="H448" s="349"/>
      <c r="L448" s="2"/>
      <c r="N448" s="2"/>
    </row>
    <row r="449" ht="12.0" customHeight="1">
      <c r="B449" s="1"/>
      <c r="D449" s="161"/>
      <c r="E449" s="859"/>
      <c r="H449" s="349"/>
      <c r="L449" s="2"/>
      <c r="N449" s="2"/>
    </row>
    <row r="450" ht="12.0" customHeight="1">
      <c r="B450" s="1"/>
      <c r="D450" s="161"/>
      <c r="E450" s="859"/>
      <c r="H450" s="349"/>
      <c r="L450" s="2"/>
      <c r="N450" s="2"/>
    </row>
    <row r="451" ht="12.0" customHeight="1">
      <c r="B451" s="1"/>
      <c r="D451" s="161"/>
      <c r="E451" s="859"/>
      <c r="H451" s="349"/>
      <c r="L451" s="2"/>
      <c r="N451" s="2"/>
    </row>
    <row r="452" ht="12.0" customHeight="1">
      <c r="B452" s="1"/>
      <c r="D452" s="161"/>
      <c r="E452" s="859"/>
      <c r="H452" s="349"/>
      <c r="L452" s="2"/>
      <c r="N452" s="2"/>
    </row>
    <row r="453" ht="12.0" customHeight="1">
      <c r="B453" s="1"/>
      <c r="D453" s="161"/>
      <c r="E453" s="859"/>
      <c r="H453" s="349"/>
      <c r="L453" s="2"/>
      <c r="N453" s="2"/>
    </row>
    <row r="454" ht="12.0" customHeight="1">
      <c r="B454" s="1"/>
      <c r="D454" s="161"/>
      <c r="E454" s="859"/>
      <c r="H454" s="349"/>
      <c r="L454" s="2"/>
      <c r="N454" s="2"/>
    </row>
    <row r="455" ht="12.0" customHeight="1">
      <c r="B455" s="1"/>
      <c r="D455" s="161"/>
      <c r="E455" s="859"/>
      <c r="H455" s="349"/>
      <c r="L455" s="2"/>
      <c r="N455" s="2"/>
    </row>
    <row r="456" ht="12.0" customHeight="1">
      <c r="B456" s="1"/>
      <c r="D456" s="161"/>
      <c r="E456" s="859"/>
      <c r="H456" s="349"/>
      <c r="L456" s="2"/>
      <c r="N456" s="2"/>
    </row>
    <row r="457" ht="12.0" customHeight="1">
      <c r="B457" s="1"/>
      <c r="D457" s="161"/>
      <c r="E457" s="859"/>
      <c r="H457" s="349"/>
      <c r="L457" s="2"/>
      <c r="N457" s="2"/>
    </row>
    <row r="458" ht="12.0" customHeight="1">
      <c r="B458" s="1"/>
      <c r="D458" s="161"/>
      <c r="E458" s="859"/>
      <c r="H458" s="349"/>
      <c r="L458" s="2"/>
      <c r="N458" s="2"/>
    </row>
    <row r="459" ht="12.0" customHeight="1">
      <c r="B459" s="1"/>
      <c r="D459" s="161"/>
      <c r="E459" s="859"/>
      <c r="H459" s="349"/>
      <c r="L459" s="2"/>
      <c r="N459" s="2"/>
    </row>
    <row r="460" ht="12.0" customHeight="1">
      <c r="B460" s="1"/>
      <c r="D460" s="161"/>
      <c r="E460" s="859"/>
      <c r="H460" s="349"/>
      <c r="L460" s="2"/>
      <c r="N460" s="2"/>
    </row>
    <row r="461" ht="12.0" customHeight="1">
      <c r="B461" s="1"/>
      <c r="D461" s="161"/>
      <c r="E461" s="859"/>
      <c r="H461" s="349"/>
      <c r="L461" s="2"/>
      <c r="N461" s="2"/>
    </row>
    <row r="462" ht="12.0" customHeight="1">
      <c r="B462" s="1"/>
      <c r="D462" s="161"/>
      <c r="E462" s="859"/>
      <c r="H462" s="349"/>
      <c r="L462" s="2"/>
      <c r="N462" s="2"/>
    </row>
    <row r="463" ht="12.0" customHeight="1">
      <c r="B463" s="1"/>
      <c r="D463" s="161"/>
      <c r="E463" s="859"/>
      <c r="H463" s="349"/>
      <c r="L463" s="2"/>
      <c r="N463" s="2"/>
    </row>
    <row r="464" ht="12.0" customHeight="1">
      <c r="B464" s="1"/>
      <c r="D464" s="161"/>
      <c r="E464" s="859"/>
      <c r="H464" s="349"/>
      <c r="L464" s="2"/>
      <c r="N464" s="2"/>
    </row>
    <row r="465" ht="12.0" customHeight="1">
      <c r="B465" s="1"/>
      <c r="D465" s="161"/>
      <c r="E465" s="859"/>
      <c r="H465" s="349"/>
      <c r="L465" s="2"/>
      <c r="N465" s="2"/>
    </row>
    <row r="466" ht="12.0" customHeight="1">
      <c r="B466" s="1"/>
      <c r="D466" s="161"/>
      <c r="E466" s="859"/>
      <c r="H466" s="349"/>
      <c r="L466" s="2"/>
      <c r="N466" s="2"/>
    </row>
    <row r="467" ht="12.0" customHeight="1">
      <c r="B467" s="1"/>
      <c r="D467" s="161"/>
      <c r="E467" s="859"/>
      <c r="H467" s="349"/>
      <c r="L467" s="2"/>
      <c r="N467" s="2"/>
    </row>
    <row r="468" ht="12.0" customHeight="1">
      <c r="B468" s="1"/>
      <c r="D468" s="161"/>
      <c r="E468" s="859"/>
      <c r="H468" s="349"/>
      <c r="L468" s="2"/>
      <c r="N468" s="2"/>
    </row>
    <row r="469" ht="12.0" customHeight="1">
      <c r="B469" s="1"/>
      <c r="D469" s="161"/>
      <c r="E469" s="859"/>
      <c r="H469" s="349"/>
      <c r="L469" s="2"/>
      <c r="N469" s="2"/>
    </row>
    <row r="470" ht="12.0" customHeight="1">
      <c r="B470" s="1"/>
      <c r="D470" s="161"/>
      <c r="E470" s="859"/>
      <c r="H470" s="349"/>
      <c r="L470" s="2"/>
      <c r="N470" s="2"/>
    </row>
    <row r="471" ht="12.0" customHeight="1">
      <c r="B471" s="1"/>
      <c r="D471" s="161"/>
      <c r="E471" s="859"/>
      <c r="H471" s="349"/>
      <c r="L471" s="2"/>
      <c r="N471" s="2"/>
    </row>
    <row r="472" ht="12.0" customHeight="1">
      <c r="B472" s="1"/>
      <c r="D472" s="161"/>
      <c r="E472" s="859"/>
      <c r="H472" s="349"/>
      <c r="L472" s="2"/>
      <c r="N472" s="2"/>
    </row>
    <row r="473" ht="12.0" customHeight="1">
      <c r="B473" s="1"/>
      <c r="D473" s="161"/>
      <c r="E473" s="859"/>
      <c r="H473" s="349"/>
      <c r="L473" s="2"/>
      <c r="N473" s="2"/>
    </row>
    <row r="474" ht="12.0" customHeight="1">
      <c r="B474" s="1"/>
      <c r="D474" s="161"/>
      <c r="E474" s="859"/>
      <c r="H474" s="349"/>
      <c r="L474" s="2"/>
      <c r="N474" s="2"/>
    </row>
    <row r="475" ht="12.0" customHeight="1">
      <c r="B475" s="1"/>
      <c r="D475" s="161"/>
      <c r="E475" s="859"/>
      <c r="H475" s="349"/>
      <c r="L475" s="2"/>
      <c r="N475" s="2"/>
    </row>
    <row r="476" ht="12.0" customHeight="1">
      <c r="B476" s="1"/>
      <c r="D476" s="161"/>
      <c r="E476" s="859"/>
      <c r="H476" s="349"/>
      <c r="L476" s="2"/>
      <c r="N476" s="2"/>
    </row>
    <row r="477" ht="12.0" customHeight="1">
      <c r="B477" s="1"/>
      <c r="D477" s="161"/>
      <c r="E477" s="859"/>
      <c r="H477" s="349"/>
      <c r="L477" s="2"/>
      <c r="N477" s="2"/>
    </row>
    <row r="478" ht="12.0" customHeight="1">
      <c r="B478" s="1"/>
      <c r="D478" s="161"/>
      <c r="E478" s="859"/>
      <c r="H478" s="349"/>
      <c r="L478" s="2"/>
      <c r="N478" s="2"/>
    </row>
    <row r="479" ht="12.0" customHeight="1">
      <c r="B479" s="1"/>
      <c r="D479" s="161"/>
      <c r="E479" s="859"/>
      <c r="H479" s="349"/>
      <c r="L479" s="2"/>
      <c r="N479" s="2"/>
    </row>
    <row r="480" ht="12.0" customHeight="1">
      <c r="B480" s="1"/>
      <c r="D480" s="161"/>
      <c r="E480" s="859"/>
      <c r="H480" s="349"/>
      <c r="L480" s="2"/>
      <c r="N480" s="2"/>
    </row>
    <row r="481" ht="12.0" customHeight="1">
      <c r="B481" s="1"/>
      <c r="D481" s="161"/>
      <c r="E481" s="859"/>
      <c r="H481" s="349"/>
      <c r="L481" s="2"/>
      <c r="N481" s="2"/>
    </row>
    <row r="482" ht="12.0" customHeight="1">
      <c r="B482" s="1"/>
      <c r="D482" s="161"/>
      <c r="E482" s="859"/>
      <c r="H482" s="349"/>
      <c r="L482" s="2"/>
      <c r="N482" s="2"/>
    </row>
    <row r="483" ht="12.0" customHeight="1">
      <c r="B483" s="1"/>
      <c r="D483" s="161"/>
      <c r="E483" s="859"/>
      <c r="H483" s="349"/>
      <c r="L483" s="2"/>
      <c r="N483" s="2"/>
    </row>
    <row r="484" ht="12.0" customHeight="1">
      <c r="B484" s="1"/>
      <c r="D484" s="161"/>
      <c r="E484" s="859"/>
      <c r="H484" s="349"/>
      <c r="L484" s="2"/>
      <c r="N484" s="2"/>
    </row>
    <row r="485" ht="12.0" customHeight="1">
      <c r="B485" s="1"/>
      <c r="D485" s="161"/>
      <c r="E485" s="859"/>
      <c r="H485" s="349"/>
      <c r="L485" s="2"/>
      <c r="N485" s="2"/>
    </row>
    <row r="486" ht="12.0" customHeight="1">
      <c r="B486" s="1"/>
      <c r="D486" s="161"/>
      <c r="E486" s="859"/>
      <c r="H486" s="349"/>
      <c r="L486" s="2"/>
      <c r="N486" s="2"/>
    </row>
    <row r="487" ht="12.0" customHeight="1">
      <c r="B487" s="1"/>
      <c r="D487" s="161"/>
      <c r="E487" s="859"/>
      <c r="H487" s="349"/>
      <c r="L487" s="2"/>
      <c r="N487" s="2"/>
    </row>
    <row r="488" ht="12.0" customHeight="1">
      <c r="B488" s="1"/>
      <c r="D488" s="161"/>
      <c r="E488" s="859"/>
      <c r="H488" s="349"/>
      <c r="L488" s="2"/>
      <c r="N488" s="2"/>
    </row>
    <row r="489" ht="12.0" customHeight="1">
      <c r="B489" s="1"/>
      <c r="D489" s="161"/>
      <c r="E489" s="859"/>
      <c r="H489" s="349"/>
      <c r="L489" s="2"/>
      <c r="N489" s="2"/>
    </row>
    <row r="490" ht="12.0" customHeight="1">
      <c r="B490" s="1"/>
      <c r="D490" s="161"/>
      <c r="E490" s="859"/>
      <c r="H490" s="349"/>
      <c r="L490" s="2"/>
      <c r="N490" s="2"/>
    </row>
    <row r="491" ht="12.0" customHeight="1">
      <c r="B491" s="1"/>
      <c r="D491" s="161"/>
      <c r="E491" s="859"/>
      <c r="H491" s="349"/>
      <c r="L491" s="2"/>
      <c r="N491" s="2"/>
    </row>
    <row r="492" ht="12.0" customHeight="1">
      <c r="B492" s="1"/>
      <c r="D492" s="161"/>
      <c r="E492" s="859"/>
      <c r="H492" s="349"/>
      <c r="L492" s="2"/>
      <c r="N492" s="2"/>
    </row>
    <row r="493" ht="12.0" customHeight="1">
      <c r="B493" s="1"/>
      <c r="D493" s="161"/>
      <c r="E493" s="859"/>
      <c r="H493" s="349"/>
      <c r="L493" s="2"/>
      <c r="N493" s="2"/>
    </row>
    <row r="494" ht="12.0" customHeight="1">
      <c r="B494" s="1"/>
      <c r="D494" s="161"/>
      <c r="E494" s="859"/>
      <c r="H494" s="349"/>
      <c r="L494" s="2"/>
      <c r="N494" s="2"/>
    </row>
    <row r="495" ht="12.0" customHeight="1">
      <c r="B495" s="1"/>
      <c r="D495" s="161"/>
      <c r="E495" s="859"/>
      <c r="H495" s="349"/>
      <c r="L495" s="2"/>
      <c r="N495" s="2"/>
    </row>
    <row r="496" ht="12.0" customHeight="1">
      <c r="B496" s="1"/>
      <c r="D496" s="161"/>
      <c r="E496" s="859"/>
      <c r="H496" s="349"/>
      <c r="L496" s="2"/>
      <c r="N496" s="2"/>
    </row>
    <row r="497" ht="12.0" customHeight="1">
      <c r="B497" s="1"/>
      <c r="D497" s="161"/>
      <c r="E497" s="859"/>
      <c r="H497" s="349"/>
      <c r="L497" s="2"/>
      <c r="N497" s="2"/>
    </row>
    <row r="498" ht="12.0" customHeight="1">
      <c r="B498" s="1"/>
      <c r="D498" s="161"/>
      <c r="E498" s="859"/>
      <c r="H498" s="349"/>
      <c r="L498" s="2"/>
      <c r="N498" s="2"/>
    </row>
    <row r="499" ht="12.0" customHeight="1">
      <c r="B499" s="1"/>
      <c r="D499" s="161"/>
      <c r="E499" s="859"/>
      <c r="H499" s="349"/>
      <c r="L499" s="2"/>
      <c r="N499" s="2"/>
    </row>
    <row r="500" ht="12.0" customHeight="1">
      <c r="B500" s="1"/>
      <c r="D500" s="161"/>
      <c r="E500" s="859"/>
      <c r="H500" s="349"/>
      <c r="L500" s="2"/>
      <c r="N500" s="2"/>
    </row>
    <row r="501" ht="12.0" customHeight="1">
      <c r="B501" s="1"/>
      <c r="D501" s="161"/>
      <c r="E501" s="859"/>
      <c r="H501" s="349"/>
      <c r="L501" s="2"/>
      <c r="N501" s="2"/>
    </row>
    <row r="502" ht="12.0" customHeight="1">
      <c r="B502" s="1"/>
      <c r="D502" s="161"/>
      <c r="E502" s="859"/>
      <c r="H502" s="349"/>
      <c r="L502" s="2"/>
      <c r="N502" s="2"/>
    </row>
    <row r="503" ht="12.0" customHeight="1">
      <c r="B503" s="1"/>
      <c r="D503" s="161"/>
      <c r="E503" s="859"/>
      <c r="H503" s="349"/>
      <c r="L503" s="2"/>
      <c r="N503" s="2"/>
    </row>
    <row r="504" ht="12.0" customHeight="1">
      <c r="B504" s="1"/>
      <c r="D504" s="161"/>
      <c r="E504" s="859"/>
      <c r="H504" s="349"/>
      <c r="L504" s="2"/>
      <c r="N504" s="2"/>
    </row>
    <row r="505" ht="12.0" customHeight="1">
      <c r="B505" s="1"/>
      <c r="D505" s="161"/>
      <c r="E505" s="859"/>
      <c r="H505" s="349"/>
      <c r="L505" s="2"/>
      <c r="N505" s="2"/>
    </row>
    <row r="506" ht="12.0" customHeight="1">
      <c r="B506" s="1"/>
      <c r="D506" s="161"/>
      <c r="E506" s="859"/>
      <c r="H506" s="349"/>
      <c r="L506" s="2"/>
      <c r="N506" s="2"/>
    </row>
    <row r="507" ht="12.0" customHeight="1">
      <c r="B507" s="1"/>
      <c r="D507" s="161"/>
      <c r="E507" s="859"/>
      <c r="H507" s="349"/>
      <c r="L507" s="2"/>
      <c r="N507" s="2"/>
    </row>
    <row r="508" ht="12.0" customHeight="1">
      <c r="B508" s="1"/>
      <c r="D508" s="161"/>
      <c r="E508" s="859"/>
      <c r="H508" s="349"/>
      <c r="L508" s="2"/>
      <c r="N508" s="2"/>
    </row>
    <row r="509" ht="12.0" customHeight="1">
      <c r="B509" s="1"/>
      <c r="D509" s="161"/>
      <c r="E509" s="859"/>
      <c r="H509" s="349"/>
      <c r="L509" s="2"/>
      <c r="N509" s="2"/>
    </row>
    <row r="510" ht="12.0" customHeight="1">
      <c r="B510" s="1"/>
      <c r="D510" s="161"/>
      <c r="E510" s="859"/>
      <c r="H510" s="349"/>
      <c r="L510" s="2"/>
      <c r="N510" s="2"/>
    </row>
    <row r="511" ht="12.0" customHeight="1">
      <c r="B511" s="1"/>
      <c r="D511" s="161"/>
      <c r="E511" s="859"/>
      <c r="H511" s="349"/>
      <c r="L511" s="2"/>
      <c r="N511" s="2"/>
    </row>
    <row r="512" ht="12.0" customHeight="1">
      <c r="B512" s="1"/>
      <c r="D512" s="161"/>
      <c r="E512" s="859"/>
      <c r="H512" s="349"/>
      <c r="L512" s="2"/>
      <c r="N512" s="2"/>
    </row>
    <row r="513" ht="12.0" customHeight="1">
      <c r="B513" s="1"/>
      <c r="D513" s="161"/>
      <c r="E513" s="859"/>
      <c r="H513" s="349"/>
      <c r="L513" s="2"/>
      <c r="N513" s="2"/>
    </row>
    <row r="514" ht="12.0" customHeight="1">
      <c r="B514" s="1"/>
      <c r="D514" s="161"/>
      <c r="E514" s="859"/>
      <c r="H514" s="349"/>
      <c r="L514" s="2"/>
      <c r="N514" s="2"/>
    </row>
    <row r="515" ht="12.0" customHeight="1">
      <c r="B515" s="1"/>
      <c r="D515" s="161"/>
      <c r="E515" s="859"/>
      <c r="H515" s="349"/>
      <c r="L515" s="2"/>
      <c r="N515" s="2"/>
    </row>
    <row r="516" ht="12.0" customHeight="1">
      <c r="B516" s="1"/>
      <c r="D516" s="161"/>
      <c r="E516" s="859"/>
      <c r="H516" s="349"/>
      <c r="L516" s="2"/>
      <c r="N516" s="2"/>
    </row>
    <row r="517" ht="12.0" customHeight="1">
      <c r="B517" s="1"/>
      <c r="D517" s="161"/>
      <c r="E517" s="859"/>
      <c r="H517" s="349"/>
      <c r="L517" s="2"/>
      <c r="N517" s="2"/>
    </row>
    <row r="518" ht="12.0" customHeight="1">
      <c r="B518" s="1"/>
      <c r="D518" s="161"/>
      <c r="E518" s="859"/>
      <c r="H518" s="349"/>
      <c r="L518" s="2"/>
      <c r="N518" s="2"/>
    </row>
    <row r="519" ht="12.0" customHeight="1">
      <c r="B519" s="1"/>
      <c r="D519" s="161"/>
      <c r="E519" s="859"/>
      <c r="H519" s="349"/>
      <c r="L519" s="2"/>
      <c r="N519" s="2"/>
    </row>
    <row r="520" ht="12.0" customHeight="1">
      <c r="B520" s="1"/>
      <c r="D520" s="161"/>
      <c r="E520" s="859"/>
      <c r="H520" s="349"/>
      <c r="L520" s="2"/>
      <c r="N520" s="2"/>
    </row>
    <row r="521" ht="12.0" customHeight="1">
      <c r="B521" s="1"/>
      <c r="D521" s="161"/>
      <c r="E521" s="859"/>
      <c r="H521" s="349"/>
      <c r="L521" s="2"/>
      <c r="N521" s="2"/>
    </row>
    <row r="522" ht="12.0" customHeight="1">
      <c r="B522" s="1"/>
      <c r="D522" s="161"/>
      <c r="E522" s="859"/>
      <c r="H522" s="349"/>
      <c r="L522" s="2"/>
      <c r="N522" s="2"/>
    </row>
    <row r="523" ht="12.0" customHeight="1">
      <c r="B523" s="1"/>
      <c r="D523" s="161"/>
      <c r="E523" s="859"/>
      <c r="H523" s="349"/>
      <c r="L523" s="2"/>
      <c r="N523" s="2"/>
    </row>
    <row r="524" ht="12.0" customHeight="1">
      <c r="B524" s="1"/>
      <c r="D524" s="161"/>
      <c r="E524" s="859"/>
      <c r="H524" s="349"/>
      <c r="L524" s="2"/>
      <c r="N524" s="2"/>
    </row>
    <row r="525" ht="12.0" customHeight="1">
      <c r="B525" s="1"/>
      <c r="D525" s="161"/>
      <c r="E525" s="859"/>
      <c r="H525" s="349"/>
      <c r="L525" s="2"/>
      <c r="N525" s="2"/>
    </row>
    <row r="526" ht="12.0" customHeight="1">
      <c r="B526" s="1"/>
      <c r="D526" s="161"/>
      <c r="E526" s="859"/>
      <c r="H526" s="349"/>
      <c r="L526" s="2"/>
      <c r="N526" s="2"/>
    </row>
    <row r="527" ht="12.0" customHeight="1">
      <c r="B527" s="1"/>
      <c r="D527" s="161"/>
      <c r="E527" s="859"/>
      <c r="H527" s="349"/>
      <c r="L527" s="2"/>
      <c r="N527" s="2"/>
    </row>
    <row r="528" ht="12.0" customHeight="1">
      <c r="B528" s="1"/>
      <c r="D528" s="161"/>
      <c r="E528" s="859"/>
      <c r="H528" s="349"/>
      <c r="L528" s="2"/>
      <c r="N528" s="2"/>
    </row>
    <row r="529" ht="12.0" customHeight="1">
      <c r="B529" s="1"/>
      <c r="D529" s="161"/>
      <c r="E529" s="859"/>
      <c r="H529" s="349"/>
      <c r="L529" s="2"/>
      <c r="N529" s="2"/>
    </row>
    <row r="530" ht="12.0" customHeight="1">
      <c r="B530" s="1"/>
      <c r="D530" s="161"/>
      <c r="E530" s="859"/>
      <c r="H530" s="349"/>
      <c r="L530" s="2"/>
      <c r="N530" s="2"/>
    </row>
    <row r="531" ht="12.0" customHeight="1">
      <c r="B531" s="1"/>
      <c r="D531" s="161"/>
      <c r="E531" s="859"/>
      <c r="H531" s="349"/>
      <c r="L531" s="2"/>
      <c r="N531" s="2"/>
    </row>
    <row r="532" ht="12.0" customHeight="1">
      <c r="B532" s="1"/>
      <c r="D532" s="161"/>
      <c r="E532" s="859"/>
      <c r="H532" s="349"/>
      <c r="L532" s="2"/>
      <c r="N532" s="2"/>
    </row>
    <row r="533" ht="12.0" customHeight="1">
      <c r="B533" s="1"/>
      <c r="D533" s="161"/>
      <c r="E533" s="859"/>
      <c r="H533" s="349"/>
      <c r="L533" s="2"/>
      <c r="N533" s="2"/>
    </row>
    <row r="534" ht="12.0" customHeight="1">
      <c r="B534" s="1"/>
      <c r="D534" s="161"/>
      <c r="E534" s="859"/>
      <c r="H534" s="349"/>
      <c r="L534" s="2"/>
      <c r="N534" s="2"/>
    </row>
    <row r="535" ht="12.0" customHeight="1">
      <c r="B535" s="1"/>
      <c r="D535" s="161"/>
      <c r="E535" s="859"/>
      <c r="H535" s="349"/>
      <c r="L535" s="2"/>
      <c r="N535" s="2"/>
    </row>
    <row r="536" ht="12.0" customHeight="1">
      <c r="B536" s="1"/>
      <c r="D536" s="161"/>
      <c r="E536" s="859"/>
      <c r="H536" s="349"/>
      <c r="L536" s="2"/>
      <c r="N536" s="2"/>
    </row>
    <row r="537" ht="12.0" customHeight="1">
      <c r="B537" s="1"/>
      <c r="D537" s="161"/>
      <c r="E537" s="859"/>
      <c r="H537" s="349"/>
      <c r="L537" s="2"/>
      <c r="N537" s="2"/>
    </row>
    <row r="538" ht="12.0" customHeight="1">
      <c r="B538" s="1"/>
      <c r="D538" s="161"/>
      <c r="E538" s="859"/>
      <c r="H538" s="349"/>
      <c r="L538" s="2"/>
      <c r="N538" s="2"/>
    </row>
    <row r="539" ht="12.0" customHeight="1">
      <c r="B539" s="1"/>
      <c r="D539" s="161"/>
      <c r="E539" s="859"/>
      <c r="H539" s="349"/>
      <c r="L539" s="2"/>
      <c r="N539" s="2"/>
    </row>
    <row r="540" ht="12.0" customHeight="1">
      <c r="B540" s="1"/>
      <c r="D540" s="161"/>
      <c r="E540" s="859"/>
      <c r="H540" s="349"/>
      <c r="L540" s="2"/>
      <c r="N540" s="2"/>
    </row>
    <row r="541" ht="12.0" customHeight="1">
      <c r="B541" s="1"/>
      <c r="D541" s="161"/>
      <c r="E541" s="859"/>
      <c r="H541" s="349"/>
      <c r="L541" s="2"/>
      <c r="N541" s="2"/>
    </row>
    <row r="542" ht="12.0" customHeight="1">
      <c r="B542" s="1"/>
      <c r="D542" s="161"/>
      <c r="E542" s="859"/>
      <c r="H542" s="349"/>
      <c r="L542" s="2"/>
      <c r="N542" s="2"/>
    </row>
    <row r="543" ht="12.0" customHeight="1">
      <c r="B543" s="1"/>
      <c r="D543" s="161"/>
      <c r="E543" s="859"/>
      <c r="H543" s="349"/>
      <c r="L543" s="2"/>
      <c r="N543" s="2"/>
    </row>
    <row r="544" ht="12.0" customHeight="1">
      <c r="B544" s="1"/>
      <c r="D544" s="161"/>
      <c r="E544" s="859"/>
      <c r="H544" s="349"/>
      <c r="L544" s="2"/>
      <c r="N544" s="2"/>
    </row>
    <row r="545" ht="12.0" customHeight="1">
      <c r="B545" s="1"/>
      <c r="D545" s="161"/>
      <c r="E545" s="859"/>
      <c r="H545" s="349"/>
      <c r="L545" s="2"/>
      <c r="N545" s="2"/>
    </row>
    <row r="546" ht="12.0" customHeight="1">
      <c r="B546" s="1"/>
      <c r="D546" s="161"/>
      <c r="E546" s="859"/>
      <c r="H546" s="349"/>
      <c r="L546" s="2"/>
      <c r="N546" s="2"/>
    </row>
    <row r="547" ht="12.0" customHeight="1">
      <c r="B547" s="1"/>
      <c r="D547" s="161"/>
      <c r="E547" s="859"/>
      <c r="H547" s="349"/>
      <c r="L547" s="2"/>
      <c r="N547" s="2"/>
    </row>
    <row r="548" ht="12.0" customHeight="1">
      <c r="B548" s="1"/>
      <c r="D548" s="161"/>
      <c r="E548" s="859"/>
      <c r="H548" s="349"/>
      <c r="L548" s="2"/>
      <c r="N548" s="2"/>
    </row>
    <row r="549" ht="12.0" customHeight="1">
      <c r="B549" s="1"/>
      <c r="D549" s="161"/>
      <c r="E549" s="859"/>
      <c r="H549" s="349"/>
      <c r="L549" s="2"/>
      <c r="N549" s="2"/>
    </row>
    <row r="550" ht="12.0" customHeight="1">
      <c r="B550" s="1"/>
      <c r="D550" s="161"/>
      <c r="E550" s="859"/>
      <c r="H550" s="349"/>
      <c r="L550" s="2"/>
      <c r="N550" s="2"/>
    </row>
    <row r="551" ht="12.0" customHeight="1">
      <c r="B551" s="1"/>
      <c r="D551" s="161"/>
      <c r="E551" s="859"/>
      <c r="H551" s="349"/>
      <c r="L551" s="2"/>
      <c r="N551" s="2"/>
    </row>
    <row r="552" ht="12.0" customHeight="1">
      <c r="B552" s="1"/>
      <c r="D552" s="161"/>
      <c r="E552" s="859"/>
      <c r="H552" s="349"/>
      <c r="L552" s="2"/>
      <c r="N552" s="2"/>
    </row>
    <row r="553" ht="12.0" customHeight="1">
      <c r="B553" s="1"/>
      <c r="D553" s="161"/>
      <c r="E553" s="859"/>
      <c r="H553" s="349"/>
      <c r="L553" s="2"/>
      <c r="N553" s="2"/>
    </row>
    <row r="554" ht="12.0" customHeight="1">
      <c r="B554" s="1"/>
      <c r="D554" s="161"/>
      <c r="E554" s="859"/>
      <c r="H554" s="349"/>
      <c r="L554" s="2"/>
      <c r="N554" s="2"/>
    </row>
    <row r="555" ht="12.0" customHeight="1">
      <c r="B555" s="1"/>
      <c r="D555" s="161"/>
      <c r="E555" s="859"/>
      <c r="H555" s="349"/>
      <c r="L555" s="2"/>
      <c r="N555" s="2"/>
    </row>
    <row r="556" ht="12.0" customHeight="1">
      <c r="B556" s="1"/>
      <c r="D556" s="161"/>
      <c r="E556" s="859"/>
      <c r="H556" s="349"/>
      <c r="L556" s="2"/>
      <c r="N556" s="2"/>
    </row>
    <row r="557" ht="12.0" customHeight="1">
      <c r="B557" s="1"/>
      <c r="D557" s="161"/>
      <c r="E557" s="859"/>
      <c r="H557" s="349"/>
      <c r="L557" s="2"/>
      <c r="N557" s="2"/>
    </row>
    <row r="558" ht="12.0" customHeight="1">
      <c r="B558" s="1"/>
      <c r="D558" s="161"/>
      <c r="E558" s="859"/>
      <c r="H558" s="349"/>
      <c r="L558" s="2"/>
      <c r="N558" s="2"/>
    </row>
    <row r="559" ht="12.0" customHeight="1">
      <c r="B559" s="1"/>
      <c r="D559" s="161"/>
      <c r="E559" s="859"/>
      <c r="H559" s="349"/>
      <c r="L559" s="2"/>
      <c r="N559" s="2"/>
    </row>
    <row r="560" ht="12.0" customHeight="1">
      <c r="B560" s="1"/>
      <c r="D560" s="161"/>
      <c r="E560" s="859"/>
      <c r="H560" s="349"/>
      <c r="L560" s="2"/>
      <c r="N560" s="2"/>
    </row>
    <row r="561" ht="12.0" customHeight="1">
      <c r="B561" s="1"/>
      <c r="D561" s="161"/>
      <c r="E561" s="859"/>
      <c r="H561" s="349"/>
      <c r="L561" s="2"/>
      <c r="N561" s="2"/>
    </row>
    <row r="562" ht="12.0" customHeight="1">
      <c r="B562" s="1"/>
      <c r="D562" s="161"/>
      <c r="E562" s="859"/>
      <c r="H562" s="349"/>
      <c r="L562" s="2"/>
      <c r="N562" s="2"/>
    </row>
    <row r="563" ht="12.0" customHeight="1">
      <c r="B563" s="1"/>
      <c r="D563" s="161"/>
      <c r="E563" s="859"/>
      <c r="H563" s="349"/>
      <c r="L563" s="2"/>
      <c r="N563" s="2"/>
    </row>
    <row r="564" ht="12.0" customHeight="1">
      <c r="B564" s="1"/>
      <c r="D564" s="161"/>
      <c r="E564" s="859"/>
      <c r="H564" s="349"/>
      <c r="L564" s="2"/>
      <c r="N564" s="2"/>
    </row>
    <row r="565" ht="12.0" customHeight="1">
      <c r="B565" s="1"/>
      <c r="D565" s="161"/>
      <c r="E565" s="859"/>
      <c r="H565" s="349"/>
      <c r="L565" s="2"/>
      <c r="N565" s="2"/>
    </row>
    <row r="566" ht="12.0" customHeight="1">
      <c r="B566" s="1"/>
      <c r="D566" s="161"/>
      <c r="E566" s="859"/>
      <c r="H566" s="349"/>
      <c r="L566" s="2"/>
      <c r="N566" s="2"/>
    </row>
    <row r="567" ht="12.0" customHeight="1">
      <c r="B567" s="1"/>
      <c r="D567" s="161"/>
      <c r="E567" s="859"/>
      <c r="H567" s="349"/>
      <c r="L567" s="2"/>
      <c r="N567" s="2"/>
    </row>
    <row r="568" ht="12.0" customHeight="1">
      <c r="B568" s="1"/>
      <c r="D568" s="161"/>
      <c r="E568" s="859"/>
      <c r="H568" s="349"/>
      <c r="L568" s="2"/>
      <c r="N568" s="2"/>
    </row>
    <row r="569" ht="12.0" customHeight="1">
      <c r="B569" s="1"/>
      <c r="D569" s="161"/>
      <c r="E569" s="859"/>
      <c r="H569" s="349"/>
      <c r="L569" s="2"/>
      <c r="N569" s="2"/>
    </row>
    <row r="570" ht="12.0" customHeight="1">
      <c r="B570" s="1"/>
      <c r="D570" s="161"/>
      <c r="E570" s="859"/>
      <c r="H570" s="349"/>
      <c r="L570" s="2"/>
      <c r="N570" s="2"/>
    </row>
    <row r="571" ht="12.0" customHeight="1">
      <c r="B571" s="1"/>
      <c r="D571" s="161"/>
      <c r="E571" s="859"/>
      <c r="H571" s="349"/>
      <c r="L571" s="2"/>
      <c r="N571" s="2"/>
    </row>
    <row r="572" ht="12.0" customHeight="1">
      <c r="B572" s="1"/>
      <c r="D572" s="161"/>
      <c r="E572" s="859"/>
      <c r="H572" s="349"/>
      <c r="L572" s="2"/>
      <c r="N572" s="2"/>
    </row>
    <row r="573" ht="12.0" customHeight="1">
      <c r="B573" s="1"/>
      <c r="D573" s="161"/>
      <c r="E573" s="859"/>
      <c r="H573" s="349"/>
      <c r="L573" s="2"/>
      <c r="N573" s="2"/>
    </row>
    <row r="574" ht="12.0" customHeight="1">
      <c r="B574" s="1"/>
      <c r="D574" s="161"/>
      <c r="E574" s="859"/>
      <c r="H574" s="349"/>
      <c r="L574" s="2"/>
      <c r="N574" s="2"/>
    </row>
    <row r="575" ht="12.0" customHeight="1">
      <c r="B575" s="1"/>
      <c r="D575" s="161"/>
      <c r="E575" s="859"/>
      <c r="H575" s="349"/>
      <c r="L575" s="2"/>
      <c r="N575" s="2"/>
    </row>
    <row r="576" ht="12.0" customHeight="1">
      <c r="B576" s="1"/>
      <c r="D576" s="161"/>
      <c r="E576" s="859"/>
      <c r="H576" s="349"/>
      <c r="L576" s="2"/>
      <c r="N576" s="2"/>
    </row>
    <row r="577" ht="12.0" customHeight="1">
      <c r="B577" s="1"/>
      <c r="D577" s="161"/>
      <c r="E577" s="859"/>
      <c r="H577" s="349"/>
      <c r="L577" s="2"/>
      <c r="N577" s="2"/>
    </row>
    <row r="578" ht="12.0" customHeight="1">
      <c r="B578" s="1"/>
      <c r="D578" s="161"/>
      <c r="E578" s="859"/>
      <c r="H578" s="349"/>
      <c r="L578" s="2"/>
      <c r="N578" s="2"/>
    </row>
    <row r="579" ht="12.0" customHeight="1">
      <c r="B579" s="1"/>
      <c r="D579" s="161"/>
      <c r="E579" s="859"/>
      <c r="H579" s="349"/>
      <c r="L579" s="2"/>
      <c r="N579" s="2"/>
    </row>
    <row r="580" ht="12.0" customHeight="1">
      <c r="B580" s="1"/>
      <c r="D580" s="161"/>
      <c r="E580" s="859"/>
      <c r="H580" s="349"/>
      <c r="L580" s="2"/>
      <c r="N580" s="2"/>
    </row>
    <row r="581" ht="12.0" customHeight="1">
      <c r="B581" s="1"/>
      <c r="D581" s="161"/>
      <c r="E581" s="859"/>
      <c r="H581" s="349"/>
      <c r="L581" s="2"/>
      <c r="N581" s="2"/>
    </row>
    <row r="582" ht="12.0" customHeight="1">
      <c r="B582" s="1"/>
      <c r="D582" s="161"/>
      <c r="E582" s="859"/>
      <c r="H582" s="349"/>
      <c r="L582" s="2"/>
      <c r="N582" s="2"/>
    </row>
    <row r="583" ht="12.0" customHeight="1">
      <c r="B583" s="1"/>
      <c r="D583" s="161"/>
      <c r="E583" s="859"/>
      <c r="H583" s="349"/>
      <c r="L583" s="2"/>
      <c r="N583" s="2"/>
    </row>
    <row r="584" ht="12.0" customHeight="1">
      <c r="B584" s="1"/>
      <c r="D584" s="161"/>
      <c r="E584" s="859"/>
      <c r="H584" s="349"/>
      <c r="L584" s="2"/>
      <c r="N584" s="2"/>
    </row>
    <row r="585" ht="12.0" customHeight="1">
      <c r="B585" s="1"/>
      <c r="D585" s="161"/>
      <c r="E585" s="859"/>
      <c r="H585" s="349"/>
      <c r="L585" s="2"/>
      <c r="N585" s="2"/>
    </row>
    <row r="586" ht="12.0" customHeight="1">
      <c r="B586" s="1"/>
      <c r="D586" s="161"/>
      <c r="E586" s="859"/>
      <c r="H586" s="349"/>
      <c r="L586" s="2"/>
      <c r="N586" s="2"/>
    </row>
    <row r="587" ht="12.0" customHeight="1">
      <c r="B587" s="1"/>
      <c r="D587" s="161"/>
      <c r="E587" s="859"/>
      <c r="H587" s="349"/>
      <c r="L587" s="2"/>
      <c r="N587" s="2"/>
    </row>
    <row r="588" ht="12.0" customHeight="1">
      <c r="B588" s="1"/>
      <c r="D588" s="161"/>
      <c r="E588" s="859"/>
      <c r="H588" s="349"/>
      <c r="L588" s="2"/>
      <c r="N588" s="2"/>
    </row>
    <row r="589" ht="12.0" customHeight="1">
      <c r="B589" s="1"/>
      <c r="D589" s="161"/>
      <c r="E589" s="859"/>
      <c r="H589" s="349"/>
      <c r="L589" s="2"/>
      <c r="N589" s="2"/>
    </row>
    <row r="590" ht="12.0" customHeight="1">
      <c r="B590" s="1"/>
      <c r="D590" s="161"/>
      <c r="E590" s="859"/>
      <c r="H590" s="349"/>
      <c r="L590" s="2"/>
      <c r="N590" s="2"/>
    </row>
    <row r="591" ht="12.0" customHeight="1">
      <c r="B591" s="1"/>
      <c r="D591" s="161"/>
      <c r="E591" s="859"/>
      <c r="H591" s="349"/>
      <c r="L591" s="2"/>
      <c r="N591" s="2"/>
    </row>
    <row r="592" ht="12.0" customHeight="1">
      <c r="B592" s="1"/>
      <c r="D592" s="161"/>
      <c r="E592" s="859"/>
      <c r="H592" s="349"/>
      <c r="L592" s="2"/>
      <c r="N592" s="2"/>
    </row>
    <row r="593" ht="12.0" customHeight="1">
      <c r="B593" s="1"/>
      <c r="D593" s="161"/>
      <c r="E593" s="859"/>
      <c r="H593" s="349"/>
      <c r="L593" s="2"/>
      <c r="N593" s="2"/>
    </row>
    <row r="594" ht="12.0" customHeight="1">
      <c r="B594" s="1"/>
      <c r="D594" s="161"/>
      <c r="E594" s="859"/>
      <c r="H594" s="349"/>
      <c r="L594" s="2"/>
      <c r="N594" s="2"/>
    </row>
    <row r="595" ht="12.0" customHeight="1">
      <c r="B595" s="1"/>
      <c r="D595" s="161"/>
      <c r="E595" s="859"/>
      <c r="H595" s="349"/>
      <c r="L595" s="2"/>
      <c r="N595" s="2"/>
    </row>
    <row r="596" ht="12.0" customHeight="1">
      <c r="B596" s="1"/>
      <c r="D596" s="161"/>
      <c r="E596" s="859"/>
      <c r="H596" s="349"/>
      <c r="L596" s="2"/>
      <c r="N596" s="2"/>
    </row>
    <row r="597" ht="12.0" customHeight="1">
      <c r="B597" s="1"/>
      <c r="D597" s="161"/>
      <c r="E597" s="859"/>
      <c r="H597" s="349"/>
      <c r="L597" s="2"/>
      <c r="N597" s="2"/>
    </row>
    <row r="598" ht="12.0" customHeight="1">
      <c r="B598" s="1"/>
      <c r="D598" s="161"/>
      <c r="E598" s="859"/>
      <c r="H598" s="349"/>
      <c r="L598" s="2"/>
      <c r="N598" s="2"/>
    </row>
    <row r="599" ht="12.0" customHeight="1">
      <c r="B599" s="1"/>
      <c r="D599" s="161"/>
      <c r="E599" s="859"/>
      <c r="H599" s="349"/>
      <c r="L599" s="2"/>
      <c r="N599" s="2"/>
    </row>
    <row r="600" ht="12.0" customHeight="1">
      <c r="B600" s="1"/>
      <c r="D600" s="161"/>
      <c r="E600" s="859"/>
      <c r="H600" s="349"/>
      <c r="L600" s="2"/>
      <c r="N600" s="2"/>
    </row>
    <row r="601" ht="12.0" customHeight="1">
      <c r="B601" s="1"/>
      <c r="D601" s="161"/>
      <c r="E601" s="859"/>
      <c r="H601" s="349"/>
      <c r="L601" s="2"/>
      <c r="N601" s="2"/>
    </row>
    <row r="602" ht="12.0" customHeight="1">
      <c r="B602" s="1"/>
      <c r="D602" s="161"/>
      <c r="E602" s="859"/>
      <c r="H602" s="349"/>
      <c r="L602" s="2"/>
      <c r="N602" s="2"/>
    </row>
    <row r="603" ht="12.0" customHeight="1">
      <c r="B603" s="1"/>
      <c r="D603" s="161"/>
      <c r="E603" s="859"/>
      <c r="H603" s="349"/>
      <c r="L603" s="2"/>
      <c r="N603" s="2"/>
    </row>
    <row r="604" ht="12.0" customHeight="1">
      <c r="B604" s="1"/>
      <c r="D604" s="161"/>
      <c r="E604" s="859"/>
      <c r="H604" s="349"/>
      <c r="L604" s="2"/>
      <c r="N604" s="2"/>
    </row>
    <row r="605" ht="12.0" customHeight="1">
      <c r="B605" s="1"/>
      <c r="D605" s="161"/>
      <c r="E605" s="859"/>
      <c r="H605" s="349"/>
      <c r="L605" s="2"/>
      <c r="N605" s="2"/>
    </row>
    <row r="606" ht="12.0" customHeight="1">
      <c r="B606" s="1"/>
      <c r="D606" s="161"/>
      <c r="E606" s="859"/>
      <c r="H606" s="349"/>
      <c r="L606" s="2"/>
      <c r="N606" s="2"/>
    </row>
    <row r="607" ht="12.0" customHeight="1">
      <c r="B607" s="1"/>
      <c r="D607" s="161"/>
      <c r="E607" s="859"/>
      <c r="H607" s="349"/>
      <c r="L607" s="2"/>
      <c r="N607" s="2"/>
    </row>
    <row r="608" ht="12.0" customHeight="1">
      <c r="B608" s="1"/>
      <c r="D608" s="161"/>
      <c r="E608" s="859"/>
      <c r="H608" s="349"/>
      <c r="L608" s="2"/>
      <c r="N608" s="2"/>
    </row>
    <row r="609" ht="12.0" customHeight="1">
      <c r="B609" s="1"/>
      <c r="D609" s="161"/>
      <c r="E609" s="859"/>
      <c r="H609" s="349"/>
      <c r="L609" s="2"/>
      <c r="N609" s="2"/>
    </row>
    <row r="610" ht="12.0" customHeight="1">
      <c r="B610" s="1"/>
      <c r="D610" s="161"/>
      <c r="E610" s="859"/>
      <c r="H610" s="349"/>
      <c r="L610" s="2"/>
      <c r="N610" s="2"/>
    </row>
    <row r="611" ht="12.0" customHeight="1">
      <c r="B611" s="1"/>
      <c r="D611" s="161"/>
      <c r="E611" s="859"/>
      <c r="H611" s="349"/>
      <c r="L611" s="2"/>
      <c r="N611" s="2"/>
    </row>
    <row r="612" ht="12.0" customHeight="1">
      <c r="B612" s="1"/>
      <c r="D612" s="161"/>
      <c r="E612" s="859"/>
      <c r="H612" s="349"/>
      <c r="L612" s="2"/>
      <c r="N612" s="2"/>
    </row>
    <row r="613" ht="12.0" customHeight="1">
      <c r="B613" s="1"/>
      <c r="D613" s="161"/>
      <c r="E613" s="859"/>
      <c r="H613" s="349"/>
      <c r="L613" s="2"/>
      <c r="N613" s="2"/>
    </row>
    <row r="614" ht="12.0" customHeight="1">
      <c r="B614" s="1"/>
      <c r="D614" s="161"/>
      <c r="E614" s="859"/>
      <c r="H614" s="349"/>
      <c r="L614" s="2"/>
      <c r="N614" s="2"/>
    </row>
    <row r="615" ht="12.0" customHeight="1">
      <c r="B615" s="1"/>
      <c r="D615" s="161"/>
      <c r="E615" s="859"/>
      <c r="H615" s="349"/>
      <c r="L615" s="2"/>
      <c r="N615" s="2"/>
    </row>
    <row r="616" ht="12.0" customHeight="1">
      <c r="B616" s="1"/>
      <c r="D616" s="161"/>
      <c r="E616" s="859"/>
      <c r="H616" s="349"/>
      <c r="L616" s="2"/>
      <c r="N616" s="2"/>
    </row>
    <row r="617" ht="12.0" customHeight="1">
      <c r="B617" s="1"/>
      <c r="D617" s="161"/>
      <c r="E617" s="859"/>
      <c r="H617" s="349"/>
      <c r="L617" s="2"/>
      <c r="N617" s="2"/>
    </row>
    <row r="618" ht="12.0" customHeight="1">
      <c r="B618" s="1"/>
      <c r="D618" s="161"/>
      <c r="E618" s="859"/>
      <c r="H618" s="349"/>
      <c r="L618" s="2"/>
      <c r="N618" s="2"/>
    </row>
    <row r="619" ht="12.0" customHeight="1">
      <c r="B619" s="1"/>
      <c r="D619" s="161"/>
      <c r="E619" s="859"/>
      <c r="H619" s="349"/>
      <c r="L619" s="2"/>
      <c r="N619" s="2"/>
    </row>
    <row r="620" ht="12.0" customHeight="1">
      <c r="B620" s="1"/>
      <c r="D620" s="161"/>
      <c r="E620" s="859"/>
      <c r="H620" s="349"/>
      <c r="L620" s="2"/>
      <c r="N620" s="2"/>
    </row>
    <row r="621" ht="12.0" customHeight="1">
      <c r="B621" s="1"/>
      <c r="D621" s="161"/>
      <c r="E621" s="859"/>
      <c r="H621" s="349"/>
      <c r="L621" s="2"/>
      <c r="N621" s="2"/>
    </row>
    <row r="622" ht="12.0" customHeight="1">
      <c r="B622" s="1"/>
      <c r="D622" s="161"/>
      <c r="E622" s="859"/>
      <c r="H622" s="349"/>
      <c r="L622" s="2"/>
      <c r="N622" s="2"/>
    </row>
    <row r="623" ht="12.0" customHeight="1">
      <c r="B623" s="1"/>
      <c r="D623" s="161"/>
      <c r="E623" s="859"/>
      <c r="H623" s="349"/>
      <c r="L623" s="2"/>
      <c r="N623" s="2"/>
    </row>
    <row r="624" ht="12.0" customHeight="1">
      <c r="B624" s="1"/>
      <c r="D624" s="161"/>
      <c r="E624" s="859"/>
      <c r="H624" s="349"/>
      <c r="L624" s="2"/>
      <c r="N624" s="2"/>
    </row>
    <row r="625" ht="12.0" customHeight="1">
      <c r="B625" s="1"/>
      <c r="D625" s="161"/>
      <c r="E625" s="859"/>
      <c r="H625" s="349"/>
      <c r="L625" s="2"/>
      <c r="N625" s="2"/>
    </row>
    <row r="626" ht="12.0" customHeight="1">
      <c r="B626" s="1"/>
      <c r="D626" s="161"/>
      <c r="E626" s="859"/>
      <c r="H626" s="349"/>
      <c r="L626" s="2"/>
      <c r="N626" s="2"/>
    </row>
    <row r="627" ht="12.0" customHeight="1">
      <c r="B627" s="1"/>
      <c r="D627" s="161"/>
      <c r="E627" s="859"/>
      <c r="H627" s="349"/>
      <c r="L627" s="2"/>
      <c r="N627" s="2"/>
    </row>
    <row r="628" ht="12.0" customHeight="1">
      <c r="B628" s="1"/>
      <c r="D628" s="161"/>
      <c r="E628" s="859"/>
      <c r="H628" s="349"/>
      <c r="L628" s="2"/>
      <c r="N628" s="2"/>
    </row>
    <row r="629" ht="12.0" customHeight="1">
      <c r="B629" s="1"/>
      <c r="D629" s="161"/>
      <c r="E629" s="859"/>
      <c r="H629" s="349"/>
      <c r="L629" s="2"/>
      <c r="N629" s="2"/>
    </row>
    <row r="630" ht="12.0" customHeight="1">
      <c r="B630" s="1"/>
      <c r="D630" s="161"/>
      <c r="E630" s="859"/>
      <c r="H630" s="349"/>
      <c r="L630" s="2"/>
      <c r="N630" s="2"/>
    </row>
    <row r="631" ht="12.0" customHeight="1">
      <c r="B631" s="1"/>
      <c r="D631" s="161"/>
      <c r="E631" s="859"/>
      <c r="H631" s="349"/>
      <c r="L631" s="2"/>
      <c r="N631" s="2"/>
    </row>
    <row r="632" ht="12.0" customHeight="1">
      <c r="B632" s="1"/>
      <c r="D632" s="161"/>
      <c r="E632" s="859"/>
      <c r="H632" s="349"/>
      <c r="L632" s="2"/>
      <c r="N632" s="2"/>
    </row>
    <row r="633" ht="12.0" customHeight="1">
      <c r="B633" s="1"/>
      <c r="D633" s="161"/>
      <c r="E633" s="859"/>
      <c r="H633" s="349"/>
      <c r="L633" s="2"/>
      <c r="N633" s="2"/>
    </row>
    <row r="634" ht="12.0" customHeight="1">
      <c r="B634" s="1"/>
      <c r="D634" s="161"/>
      <c r="E634" s="859"/>
      <c r="H634" s="349"/>
      <c r="L634" s="2"/>
      <c r="N634" s="2"/>
    </row>
    <row r="635" ht="12.0" customHeight="1">
      <c r="B635" s="1"/>
      <c r="D635" s="161"/>
      <c r="E635" s="859"/>
      <c r="H635" s="349"/>
      <c r="L635" s="2"/>
      <c r="N635" s="2"/>
    </row>
    <row r="636" ht="12.0" customHeight="1">
      <c r="B636" s="1"/>
      <c r="D636" s="161"/>
      <c r="E636" s="859"/>
      <c r="H636" s="349"/>
      <c r="L636" s="2"/>
      <c r="N636" s="2"/>
    </row>
    <row r="637" ht="12.0" customHeight="1">
      <c r="B637" s="1"/>
      <c r="D637" s="161"/>
      <c r="E637" s="859"/>
      <c r="H637" s="349"/>
      <c r="L637" s="2"/>
      <c r="N637" s="2"/>
    </row>
    <row r="638" ht="12.0" customHeight="1">
      <c r="B638" s="1"/>
      <c r="D638" s="161"/>
      <c r="E638" s="859"/>
      <c r="H638" s="349"/>
      <c r="L638" s="2"/>
      <c r="N638" s="2"/>
    </row>
    <row r="639" ht="12.0" customHeight="1">
      <c r="B639" s="1"/>
      <c r="D639" s="161"/>
      <c r="E639" s="859"/>
      <c r="H639" s="349"/>
      <c r="L639" s="2"/>
      <c r="N639" s="2"/>
    </row>
    <row r="640" ht="12.0" customHeight="1">
      <c r="B640" s="1"/>
      <c r="D640" s="161"/>
      <c r="E640" s="859"/>
      <c r="H640" s="349"/>
      <c r="L640" s="2"/>
      <c r="N640" s="2"/>
    </row>
    <row r="641" ht="12.0" customHeight="1">
      <c r="B641" s="1"/>
      <c r="D641" s="161"/>
      <c r="E641" s="859"/>
      <c r="H641" s="349"/>
      <c r="L641" s="2"/>
      <c r="N641" s="2"/>
    </row>
    <row r="642" ht="12.0" customHeight="1">
      <c r="B642" s="1"/>
      <c r="D642" s="161"/>
      <c r="E642" s="859"/>
      <c r="H642" s="349"/>
      <c r="L642" s="2"/>
      <c r="N642" s="2"/>
    </row>
    <row r="643" ht="12.0" customHeight="1">
      <c r="B643" s="1"/>
      <c r="D643" s="161"/>
      <c r="E643" s="859"/>
      <c r="H643" s="349"/>
      <c r="L643" s="2"/>
      <c r="N643" s="2"/>
    </row>
    <row r="644" ht="12.0" customHeight="1">
      <c r="B644" s="1"/>
      <c r="D644" s="161"/>
      <c r="E644" s="859"/>
      <c r="H644" s="349"/>
      <c r="L644" s="2"/>
      <c r="N644" s="2"/>
    </row>
    <row r="645" ht="12.0" customHeight="1">
      <c r="B645" s="1"/>
      <c r="D645" s="161"/>
      <c r="E645" s="859"/>
      <c r="H645" s="349"/>
      <c r="L645" s="2"/>
      <c r="N645" s="2"/>
    </row>
    <row r="646" ht="12.0" customHeight="1">
      <c r="B646" s="1"/>
      <c r="D646" s="161"/>
      <c r="E646" s="859"/>
      <c r="H646" s="349"/>
      <c r="L646" s="2"/>
      <c r="N646" s="2"/>
    </row>
    <row r="647" ht="12.0" customHeight="1">
      <c r="B647" s="1"/>
      <c r="D647" s="161"/>
      <c r="E647" s="859"/>
      <c r="H647" s="349"/>
      <c r="L647" s="2"/>
      <c r="N647" s="2"/>
    </row>
    <row r="648" ht="12.0" customHeight="1">
      <c r="B648" s="1"/>
      <c r="D648" s="161"/>
      <c r="E648" s="859"/>
      <c r="H648" s="349"/>
      <c r="L648" s="2"/>
      <c r="N648" s="2"/>
    </row>
    <row r="649" ht="12.0" customHeight="1">
      <c r="B649" s="1"/>
      <c r="D649" s="161"/>
      <c r="E649" s="859"/>
      <c r="H649" s="349"/>
      <c r="L649" s="2"/>
      <c r="N649" s="2"/>
    </row>
    <row r="650" ht="12.0" customHeight="1">
      <c r="B650" s="1"/>
      <c r="D650" s="161"/>
      <c r="E650" s="859"/>
      <c r="H650" s="349"/>
      <c r="L650" s="2"/>
      <c r="N650" s="2"/>
    </row>
    <row r="651" ht="12.0" customHeight="1">
      <c r="B651" s="1"/>
      <c r="D651" s="161"/>
      <c r="E651" s="859"/>
      <c r="H651" s="349"/>
      <c r="L651" s="2"/>
      <c r="N651" s="2"/>
    </row>
    <row r="652" ht="12.0" customHeight="1">
      <c r="B652" s="1"/>
      <c r="D652" s="161"/>
      <c r="E652" s="859"/>
      <c r="H652" s="349"/>
      <c r="L652" s="2"/>
      <c r="N652" s="2"/>
    </row>
    <row r="653" ht="12.0" customHeight="1">
      <c r="B653" s="1"/>
      <c r="D653" s="161"/>
      <c r="E653" s="859"/>
      <c r="H653" s="349"/>
      <c r="L653" s="2"/>
      <c r="N653" s="2"/>
    </row>
    <row r="654" ht="12.0" customHeight="1">
      <c r="B654" s="1"/>
      <c r="D654" s="161"/>
      <c r="E654" s="859"/>
      <c r="H654" s="349"/>
      <c r="L654" s="2"/>
      <c r="N654" s="2"/>
    </row>
    <row r="655" ht="12.0" customHeight="1">
      <c r="B655" s="1"/>
      <c r="D655" s="161"/>
      <c r="E655" s="859"/>
      <c r="H655" s="349"/>
      <c r="L655" s="2"/>
      <c r="N655" s="2"/>
    </row>
    <row r="656" ht="12.0" customHeight="1">
      <c r="B656" s="1"/>
      <c r="D656" s="161"/>
      <c r="E656" s="859"/>
      <c r="H656" s="349"/>
      <c r="L656" s="2"/>
      <c r="N656" s="2"/>
    </row>
    <row r="657" ht="12.0" customHeight="1">
      <c r="B657" s="1"/>
      <c r="D657" s="161"/>
      <c r="E657" s="859"/>
      <c r="H657" s="349"/>
      <c r="L657" s="2"/>
      <c r="N657" s="2"/>
    </row>
    <row r="658" ht="12.0" customHeight="1">
      <c r="B658" s="1"/>
      <c r="D658" s="161"/>
      <c r="E658" s="859"/>
      <c r="H658" s="349"/>
      <c r="L658" s="2"/>
      <c r="N658" s="2"/>
    </row>
    <row r="659" ht="12.0" customHeight="1">
      <c r="B659" s="1"/>
      <c r="D659" s="161"/>
      <c r="E659" s="859"/>
      <c r="H659" s="349"/>
      <c r="L659" s="2"/>
      <c r="N659" s="2"/>
    </row>
    <row r="660" ht="12.0" customHeight="1">
      <c r="B660" s="1"/>
      <c r="D660" s="161"/>
      <c r="E660" s="859"/>
      <c r="H660" s="349"/>
      <c r="L660" s="2"/>
      <c r="N660" s="2"/>
    </row>
    <row r="661" ht="12.0" customHeight="1">
      <c r="B661" s="1"/>
      <c r="D661" s="161"/>
      <c r="E661" s="859"/>
      <c r="H661" s="349"/>
      <c r="L661" s="2"/>
      <c r="N661" s="2"/>
    </row>
    <row r="662" ht="12.0" customHeight="1">
      <c r="B662" s="1"/>
      <c r="D662" s="161"/>
      <c r="E662" s="859"/>
      <c r="H662" s="349"/>
      <c r="L662" s="2"/>
      <c r="N662" s="2"/>
    </row>
    <row r="663" ht="12.0" customHeight="1">
      <c r="B663" s="1"/>
      <c r="D663" s="161"/>
      <c r="E663" s="859"/>
      <c r="H663" s="349"/>
      <c r="L663" s="2"/>
      <c r="N663" s="2"/>
    </row>
    <row r="664" ht="12.0" customHeight="1">
      <c r="B664" s="1"/>
      <c r="D664" s="161"/>
      <c r="E664" s="859"/>
      <c r="H664" s="349"/>
      <c r="L664" s="2"/>
      <c r="N664" s="2"/>
    </row>
    <row r="665" ht="12.0" customHeight="1">
      <c r="B665" s="1"/>
      <c r="D665" s="161"/>
      <c r="E665" s="859"/>
      <c r="H665" s="349"/>
      <c r="L665" s="2"/>
      <c r="N665" s="2"/>
    </row>
    <row r="666" ht="12.0" customHeight="1">
      <c r="B666" s="1"/>
      <c r="D666" s="161"/>
      <c r="E666" s="859"/>
      <c r="H666" s="349"/>
      <c r="L666" s="2"/>
      <c r="N666" s="2"/>
    </row>
    <row r="667" ht="12.0" customHeight="1">
      <c r="B667" s="1"/>
      <c r="D667" s="161"/>
      <c r="E667" s="859"/>
      <c r="H667" s="349"/>
      <c r="L667" s="2"/>
      <c r="N667" s="2"/>
    </row>
    <row r="668" ht="12.0" customHeight="1">
      <c r="B668" s="1"/>
      <c r="D668" s="161"/>
      <c r="E668" s="859"/>
      <c r="H668" s="349"/>
      <c r="L668" s="2"/>
      <c r="N668" s="2"/>
    </row>
    <row r="669" ht="12.0" customHeight="1">
      <c r="B669" s="1"/>
      <c r="D669" s="161"/>
      <c r="E669" s="859"/>
      <c r="H669" s="349"/>
      <c r="L669" s="2"/>
      <c r="N669" s="2"/>
    </row>
    <row r="670" ht="12.0" customHeight="1">
      <c r="B670" s="1"/>
      <c r="D670" s="161"/>
      <c r="E670" s="859"/>
      <c r="H670" s="349"/>
      <c r="L670" s="2"/>
      <c r="N670" s="2"/>
    </row>
    <row r="671" ht="12.0" customHeight="1">
      <c r="B671" s="1"/>
      <c r="D671" s="161"/>
      <c r="E671" s="859"/>
      <c r="H671" s="349"/>
      <c r="L671" s="2"/>
      <c r="N671" s="2"/>
    </row>
    <row r="672" ht="12.0" customHeight="1">
      <c r="B672" s="1"/>
      <c r="D672" s="161"/>
      <c r="E672" s="859"/>
      <c r="H672" s="349"/>
      <c r="L672" s="2"/>
      <c r="N672" s="2"/>
    </row>
    <row r="673" ht="12.0" customHeight="1">
      <c r="B673" s="1"/>
      <c r="D673" s="161"/>
      <c r="E673" s="859"/>
      <c r="H673" s="349"/>
      <c r="L673" s="2"/>
      <c r="N673" s="2"/>
    </row>
    <row r="674" ht="12.0" customHeight="1">
      <c r="B674" s="1"/>
      <c r="D674" s="161"/>
      <c r="E674" s="859"/>
      <c r="H674" s="349"/>
      <c r="L674" s="2"/>
      <c r="N674" s="2"/>
    </row>
    <row r="675" ht="12.0" customHeight="1">
      <c r="B675" s="1"/>
      <c r="D675" s="161"/>
      <c r="E675" s="859"/>
      <c r="H675" s="349"/>
      <c r="L675" s="2"/>
      <c r="N675" s="2"/>
    </row>
    <row r="676" ht="12.0" customHeight="1">
      <c r="B676" s="1"/>
      <c r="D676" s="161"/>
      <c r="E676" s="859"/>
      <c r="H676" s="349"/>
      <c r="L676" s="2"/>
      <c r="N676" s="2"/>
    </row>
    <row r="677" ht="12.0" customHeight="1">
      <c r="B677" s="1"/>
      <c r="D677" s="161"/>
      <c r="E677" s="859"/>
      <c r="H677" s="349"/>
      <c r="L677" s="2"/>
      <c r="N677" s="2"/>
    </row>
    <row r="678" ht="12.0" customHeight="1">
      <c r="B678" s="1"/>
      <c r="D678" s="161"/>
      <c r="E678" s="859"/>
      <c r="H678" s="349"/>
      <c r="L678" s="2"/>
      <c r="N678" s="2"/>
    </row>
    <row r="679" ht="12.0" customHeight="1">
      <c r="B679" s="1"/>
      <c r="D679" s="161"/>
      <c r="E679" s="859"/>
      <c r="H679" s="349"/>
      <c r="L679" s="2"/>
      <c r="N679" s="2"/>
    </row>
    <row r="680" ht="12.0" customHeight="1">
      <c r="B680" s="1"/>
      <c r="D680" s="161"/>
      <c r="E680" s="859"/>
      <c r="H680" s="349"/>
      <c r="L680" s="2"/>
      <c r="N680" s="2"/>
    </row>
    <row r="681" ht="12.0" customHeight="1">
      <c r="B681" s="1"/>
      <c r="D681" s="161"/>
      <c r="E681" s="859"/>
      <c r="H681" s="349"/>
      <c r="L681" s="2"/>
      <c r="N681" s="2"/>
    </row>
    <row r="682" ht="12.0" customHeight="1">
      <c r="B682" s="1"/>
      <c r="D682" s="161"/>
      <c r="E682" s="859"/>
      <c r="H682" s="349"/>
      <c r="L682" s="2"/>
      <c r="N682" s="2"/>
    </row>
    <row r="683" ht="12.0" customHeight="1">
      <c r="B683" s="1"/>
      <c r="D683" s="161"/>
      <c r="E683" s="859"/>
      <c r="H683" s="349"/>
      <c r="L683" s="2"/>
      <c r="N683" s="2"/>
    </row>
    <row r="684" ht="12.0" customHeight="1">
      <c r="B684" s="1"/>
      <c r="D684" s="161"/>
      <c r="E684" s="859"/>
      <c r="H684" s="349"/>
      <c r="L684" s="2"/>
      <c r="N684" s="2"/>
    </row>
    <row r="685" ht="12.0" customHeight="1">
      <c r="B685" s="1"/>
      <c r="D685" s="161"/>
      <c r="E685" s="859"/>
      <c r="H685" s="349"/>
      <c r="L685" s="2"/>
      <c r="N685" s="2"/>
    </row>
    <row r="686" ht="12.0" customHeight="1">
      <c r="B686" s="1"/>
      <c r="D686" s="161"/>
      <c r="E686" s="859"/>
      <c r="H686" s="349"/>
      <c r="L686" s="2"/>
      <c r="N686" s="2"/>
    </row>
    <row r="687" ht="12.0" customHeight="1">
      <c r="B687" s="1"/>
      <c r="D687" s="161"/>
      <c r="E687" s="859"/>
      <c r="H687" s="349"/>
      <c r="L687" s="2"/>
      <c r="N687" s="2"/>
    </row>
    <row r="688" ht="12.0" customHeight="1">
      <c r="B688" s="1"/>
      <c r="D688" s="161"/>
      <c r="E688" s="859"/>
      <c r="H688" s="349"/>
      <c r="L688" s="2"/>
      <c r="N688" s="2"/>
    </row>
    <row r="689" ht="12.0" customHeight="1">
      <c r="B689" s="1"/>
      <c r="D689" s="161"/>
      <c r="E689" s="859"/>
      <c r="H689" s="349"/>
      <c r="L689" s="2"/>
      <c r="N689" s="2"/>
    </row>
    <row r="690" ht="12.0" customHeight="1">
      <c r="B690" s="1"/>
      <c r="D690" s="161"/>
      <c r="E690" s="859"/>
      <c r="H690" s="349"/>
      <c r="L690" s="2"/>
      <c r="N690" s="2"/>
    </row>
    <row r="691" ht="12.0" customHeight="1">
      <c r="B691" s="1"/>
      <c r="D691" s="161"/>
      <c r="E691" s="859"/>
      <c r="H691" s="349"/>
      <c r="L691" s="2"/>
      <c r="N691" s="2"/>
    </row>
    <row r="692" ht="12.0" customHeight="1">
      <c r="B692" s="1"/>
      <c r="D692" s="161"/>
      <c r="E692" s="859"/>
      <c r="H692" s="349"/>
      <c r="L692" s="2"/>
      <c r="N692" s="2"/>
    </row>
    <row r="693" ht="12.0" customHeight="1">
      <c r="B693" s="1"/>
      <c r="D693" s="161"/>
      <c r="E693" s="859"/>
      <c r="H693" s="349"/>
      <c r="L693" s="2"/>
      <c r="N693" s="2"/>
    </row>
    <row r="694" ht="12.0" customHeight="1">
      <c r="B694" s="1"/>
      <c r="D694" s="161"/>
      <c r="E694" s="859"/>
      <c r="H694" s="349"/>
      <c r="L694" s="2"/>
      <c r="N694" s="2"/>
    </row>
    <row r="695" ht="12.0" customHeight="1">
      <c r="B695" s="1"/>
      <c r="D695" s="161"/>
      <c r="E695" s="859"/>
      <c r="H695" s="349"/>
      <c r="L695" s="2"/>
      <c r="N695" s="2"/>
    </row>
    <row r="696" ht="12.0" customHeight="1">
      <c r="B696" s="1"/>
      <c r="D696" s="161"/>
      <c r="E696" s="859"/>
      <c r="H696" s="349"/>
      <c r="L696" s="2"/>
      <c r="N696" s="2"/>
    </row>
    <row r="697" ht="12.0" customHeight="1">
      <c r="B697" s="1"/>
      <c r="D697" s="161"/>
      <c r="E697" s="859"/>
      <c r="H697" s="349"/>
      <c r="L697" s="2"/>
      <c r="N697" s="2"/>
    </row>
    <row r="698" ht="12.0" customHeight="1">
      <c r="B698" s="1"/>
      <c r="D698" s="161"/>
      <c r="E698" s="859"/>
      <c r="H698" s="349"/>
      <c r="L698" s="2"/>
      <c r="N698" s="2"/>
    </row>
    <row r="699" ht="12.0" customHeight="1">
      <c r="B699" s="1"/>
      <c r="D699" s="161"/>
      <c r="E699" s="859"/>
      <c r="H699" s="349"/>
      <c r="L699" s="2"/>
      <c r="N699" s="2"/>
    </row>
    <row r="700" ht="12.0" customHeight="1">
      <c r="B700" s="1"/>
      <c r="D700" s="161"/>
      <c r="E700" s="859"/>
      <c r="H700" s="349"/>
      <c r="L700" s="2"/>
      <c r="N700" s="2"/>
    </row>
    <row r="701" ht="12.0" customHeight="1">
      <c r="B701" s="1"/>
      <c r="D701" s="161"/>
      <c r="E701" s="859"/>
      <c r="H701" s="349"/>
      <c r="L701" s="2"/>
      <c r="N701" s="2"/>
    </row>
    <row r="702" ht="12.0" customHeight="1">
      <c r="B702" s="1"/>
      <c r="D702" s="161"/>
      <c r="E702" s="859"/>
      <c r="H702" s="349"/>
      <c r="L702" s="2"/>
      <c r="N702" s="2"/>
    </row>
    <row r="703" ht="12.0" customHeight="1">
      <c r="B703" s="1"/>
      <c r="D703" s="161"/>
      <c r="E703" s="859"/>
      <c r="H703" s="349"/>
      <c r="L703" s="2"/>
      <c r="N703" s="2"/>
    </row>
    <row r="704" ht="12.0" customHeight="1">
      <c r="B704" s="1"/>
      <c r="D704" s="161"/>
      <c r="E704" s="859"/>
      <c r="H704" s="349"/>
      <c r="L704" s="2"/>
      <c r="N704" s="2"/>
    </row>
    <row r="705" ht="12.0" customHeight="1">
      <c r="B705" s="1"/>
      <c r="D705" s="161"/>
      <c r="E705" s="859"/>
      <c r="H705" s="349"/>
      <c r="L705" s="2"/>
      <c r="N705" s="2"/>
    </row>
    <row r="706" ht="12.0" customHeight="1">
      <c r="B706" s="1"/>
      <c r="D706" s="161"/>
      <c r="E706" s="859"/>
      <c r="H706" s="349"/>
      <c r="L706" s="2"/>
      <c r="N706" s="2"/>
    </row>
    <row r="707" ht="12.0" customHeight="1">
      <c r="B707" s="1"/>
      <c r="D707" s="161"/>
      <c r="E707" s="859"/>
      <c r="H707" s="349"/>
      <c r="L707" s="2"/>
      <c r="N707" s="2"/>
    </row>
    <row r="708" ht="12.0" customHeight="1">
      <c r="B708" s="1"/>
      <c r="D708" s="161"/>
      <c r="E708" s="859"/>
      <c r="H708" s="349"/>
      <c r="L708" s="2"/>
      <c r="N708" s="2"/>
    </row>
    <row r="709" ht="12.0" customHeight="1">
      <c r="B709" s="1"/>
      <c r="D709" s="161"/>
      <c r="E709" s="859"/>
      <c r="H709" s="349"/>
      <c r="L709" s="2"/>
      <c r="N709" s="2"/>
    </row>
    <row r="710" ht="12.0" customHeight="1">
      <c r="B710" s="1"/>
      <c r="D710" s="161"/>
      <c r="E710" s="859"/>
      <c r="H710" s="349"/>
      <c r="L710" s="2"/>
      <c r="N710" s="2"/>
    </row>
    <row r="711" ht="12.0" customHeight="1">
      <c r="B711" s="1"/>
      <c r="D711" s="161"/>
      <c r="E711" s="859"/>
      <c r="H711" s="349"/>
      <c r="L711" s="2"/>
      <c r="N711" s="2"/>
    </row>
    <row r="712" ht="12.0" customHeight="1">
      <c r="B712" s="1"/>
      <c r="D712" s="161"/>
      <c r="E712" s="859"/>
      <c r="H712" s="349"/>
      <c r="L712" s="2"/>
      <c r="N712" s="2"/>
    </row>
    <row r="713" ht="12.0" customHeight="1">
      <c r="B713" s="1"/>
      <c r="D713" s="161"/>
      <c r="E713" s="859"/>
      <c r="H713" s="349"/>
      <c r="L713" s="2"/>
      <c r="N713" s="2"/>
    </row>
    <row r="714" ht="12.0" customHeight="1">
      <c r="B714" s="1"/>
      <c r="D714" s="161"/>
      <c r="E714" s="859"/>
      <c r="H714" s="349"/>
      <c r="L714" s="2"/>
      <c r="N714" s="2"/>
    </row>
    <row r="715" ht="12.0" customHeight="1">
      <c r="B715" s="1"/>
      <c r="D715" s="161"/>
      <c r="E715" s="859"/>
      <c r="H715" s="349"/>
      <c r="L715" s="2"/>
      <c r="N715" s="2"/>
    </row>
    <row r="716" ht="12.0" customHeight="1">
      <c r="B716" s="1"/>
      <c r="D716" s="161"/>
      <c r="E716" s="859"/>
      <c r="H716" s="349"/>
      <c r="L716" s="2"/>
      <c r="N716" s="2"/>
    </row>
    <row r="717" ht="12.0" customHeight="1">
      <c r="B717" s="1"/>
      <c r="D717" s="161"/>
      <c r="E717" s="859"/>
      <c r="H717" s="349"/>
      <c r="L717" s="2"/>
      <c r="N717" s="2"/>
    </row>
    <row r="718" ht="12.0" customHeight="1">
      <c r="B718" s="1"/>
      <c r="D718" s="161"/>
      <c r="E718" s="859"/>
      <c r="H718" s="349"/>
      <c r="L718" s="2"/>
      <c r="N718" s="2"/>
    </row>
    <row r="719" ht="12.0" customHeight="1">
      <c r="B719" s="1"/>
      <c r="D719" s="161"/>
      <c r="E719" s="859"/>
      <c r="H719" s="349"/>
      <c r="L719" s="2"/>
      <c r="N719" s="2"/>
    </row>
    <row r="720" ht="12.0" customHeight="1">
      <c r="B720" s="1"/>
      <c r="D720" s="161"/>
      <c r="E720" s="859"/>
      <c r="H720" s="349"/>
      <c r="L720" s="2"/>
      <c r="N720" s="2"/>
    </row>
    <row r="721" ht="12.0" customHeight="1">
      <c r="B721" s="1"/>
      <c r="D721" s="161"/>
      <c r="E721" s="859"/>
      <c r="H721" s="349"/>
      <c r="L721" s="2"/>
      <c r="N721" s="2"/>
    </row>
    <row r="722" ht="12.0" customHeight="1">
      <c r="B722" s="1"/>
      <c r="D722" s="161"/>
      <c r="E722" s="859"/>
      <c r="H722" s="349"/>
      <c r="L722" s="2"/>
      <c r="N722" s="2"/>
    </row>
    <row r="723" ht="12.0" customHeight="1">
      <c r="B723" s="1"/>
      <c r="D723" s="161"/>
      <c r="E723" s="859"/>
      <c r="H723" s="349"/>
      <c r="L723" s="2"/>
      <c r="N723" s="2"/>
    </row>
    <row r="724" ht="12.0" customHeight="1">
      <c r="B724" s="1"/>
      <c r="D724" s="161"/>
      <c r="E724" s="859"/>
      <c r="H724" s="349"/>
      <c r="L724" s="2"/>
      <c r="N724" s="2"/>
    </row>
    <row r="725" ht="12.0" customHeight="1">
      <c r="B725" s="1"/>
      <c r="D725" s="161"/>
      <c r="E725" s="859"/>
      <c r="H725" s="349"/>
      <c r="L725" s="2"/>
      <c r="N725" s="2"/>
    </row>
    <row r="726" ht="12.0" customHeight="1">
      <c r="B726" s="1"/>
      <c r="D726" s="161"/>
      <c r="E726" s="859"/>
      <c r="H726" s="349"/>
      <c r="L726" s="2"/>
      <c r="N726" s="2"/>
    </row>
    <row r="727" ht="12.0" customHeight="1">
      <c r="B727" s="1"/>
      <c r="D727" s="161"/>
      <c r="E727" s="859"/>
      <c r="H727" s="349"/>
      <c r="L727" s="2"/>
      <c r="N727" s="2"/>
    </row>
    <row r="728" ht="12.0" customHeight="1">
      <c r="B728" s="1"/>
      <c r="D728" s="161"/>
      <c r="E728" s="859"/>
      <c r="H728" s="349"/>
      <c r="L728" s="2"/>
      <c r="N728" s="2"/>
    </row>
    <row r="729" ht="12.0" customHeight="1">
      <c r="B729" s="1"/>
      <c r="D729" s="161"/>
      <c r="E729" s="859"/>
      <c r="H729" s="349"/>
      <c r="L729" s="2"/>
      <c r="N729" s="2"/>
    </row>
    <row r="730" ht="12.0" customHeight="1">
      <c r="B730" s="1"/>
      <c r="D730" s="161"/>
      <c r="E730" s="859"/>
      <c r="H730" s="349"/>
      <c r="L730" s="2"/>
      <c r="N730" s="2"/>
    </row>
    <row r="731" ht="12.0" customHeight="1">
      <c r="B731" s="1"/>
      <c r="D731" s="161"/>
      <c r="E731" s="859"/>
      <c r="H731" s="349"/>
      <c r="L731" s="2"/>
      <c r="N731" s="2"/>
    </row>
    <row r="732" ht="12.0" customHeight="1">
      <c r="B732" s="1"/>
      <c r="D732" s="161"/>
      <c r="E732" s="859"/>
      <c r="H732" s="349"/>
      <c r="L732" s="2"/>
      <c r="N732" s="2"/>
    </row>
    <row r="733" ht="12.0" customHeight="1">
      <c r="B733" s="1"/>
      <c r="D733" s="161"/>
      <c r="E733" s="859"/>
      <c r="H733" s="349"/>
      <c r="L733" s="2"/>
      <c r="N733" s="2"/>
    </row>
    <row r="734" ht="12.0" customHeight="1">
      <c r="B734" s="1"/>
      <c r="D734" s="161"/>
      <c r="E734" s="859"/>
      <c r="H734" s="349"/>
      <c r="L734" s="2"/>
      <c r="N734" s="2"/>
    </row>
    <row r="735" ht="12.0" customHeight="1">
      <c r="B735" s="1"/>
      <c r="D735" s="161"/>
      <c r="E735" s="859"/>
      <c r="H735" s="349"/>
      <c r="L735" s="2"/>
      <c r="N735" s="2"/>
    </row>
    <row r="736" ht="12.0" customHeight="1">
      <c r="B736" s="1"/>
      <c r="D736" s="161"/>
      <c r="E736" s="859"/>
      <c r="H736" s="349"/>
      <c r="L736" s="2"/>
      <c r="N736" s="2"/>
    </row>
    <row r="737" ht="12.0" customHeight="1">
      <c r="B737" s="1"/>
      <c r="D737" s="161"/>
      <c r="E737" s="859"/>
      <c r="H737" s="349"/>
      <c r="L737" s="2"/>
      <c r="N737" s="2"/>
    </row>
    <row r="738" ht="12.0" customHeight="1">
      <c r="B738" s="1"/>
      <c r="D738" s="161"/>
      <c r="E738" s="859"/>
      <c r="H738" s="349"/>
      <c r="L738" s="2"/>
      <c r="N738" s="2"/>
    </row>
    <row r="739" ht="12.0" customHeight="1">
      <c r="B739" s="1"/>
      <c r="D739" s="161"/>
      <c r="E739" s="859"/>
      <c r="H739" s="349"/>
      <c r="L739" s="2"/>
      <c r="N739" s="2"/>
    </row>
    <row r="740" ht="12.0" customHeight="1">
      <c r="B740" s="1"/>
      <c r="D740" s="161"/>
      <c r="E740" s="859"/>
      <c r="H740" s="349"/>
      <c r="L740" s="2"/>
      <c r="N740" s="2"/>
    </row>
    <row r="741" ht="12.0" customHeight="1">
      <c r="B741" s="1"/>
      <c r="D741" s="161"/>
      <c r="E741" s="859"/>
      <c r="H741" s="349"/>
      <c r="L741" s="2"/>
      <c r="N741" s="2"/>
    </row>
    <row r="742" ht="12.0" customHeight="1">
      <c r="B742" s="1"/>
      <c r="D742" s="161"/>
      <c r="E742" s="859"/>
      <c r="H742" s="349"/>
      <c r="L742" s="2"/>
      <c r="N742" s="2"/>
    </row>
    <row r="743" ht="12.0" customHeight="1">
      <c r="B743" s="1"/>
      <c r="D743" s="161"/>
      <c r="E743" s="859"/>
      <c r="H743" s="349"/>
      <c r="L743" s="2"/>
      <c r="N743" s="2"/>
    </row>
    <row r="744" ht="12.0" customHeight="1">
      <c r="B744" s="1"/>
      <c r="D744" s="161"/>
      <c r="E744" s="859"/>
      <c r="H744" s="349"/>
      <c r="L744" s="2"/>
      <c r="N744" s="2"/>
    </row>
    <row r="745" ht="12.0" customHeight="1">
      <c r="B745" s="1"/>
      <c r="D745" s="161"/>
      <c r="E745" s="859"/>
      <c r="H745" s="349"/>
      <c r="L745" s="2"/>
      <c r="N745" s="2"/>
    </row>
    <row r="746" ht="12.0" customHeight="1">
      <c r="B746" s="1"/>
      <c r="D746" s="161"/>
      <c r="E746" s="859"/>
      <c r="H746" s="349"/>
      <c r="L746" s="2"/>
      <c r="N746" s="2"/>
    </row>
    <row r="747" ht="12.0" customHeight="1">
      <c r="B747" s="1"/>
      <c r="D747" s="161"/>
      <c r="E747" s="859"/>
      <c r="H747" s="349"/>
      <c r="L747" s="2"/>
      <c r="N747" s="2"/>
    </row>
    <row r="748" ht="12.0" customHeight="1">
      <c r="B748" s="1"/>
      <c r="D748" s="161"/>
      <c r="E748" s="859"/>
      <c r="H748" s="349"/>
      <c r="L748" s="2"/>
      <c r="N748" s="2"/>
    </row>
    <row r="749" ht="12.0" customHeight="1">
      <c r="B749" s="1"/>
      <c r="D749" s="161"/>
      <c r="E749" s="859"/>
      <c r="H749" s="349"/>
      <c r="L749" s="2"/>
      <c r="N749" s="2"/>
    </row>
    <row r="750" ht="12.0" customHeight="1">
      <c r="B750" s="1"/>
      <c r="D750" s="161"/>
      <c r="E750" s="859"/>
      <c r="H750" s="349"/>
      <c r="L750" s="2"/>
      <c r="N750" s="2"/>
    </row>
    <row r="751" ht="12.0" customHeight="1">
      <c r="B751" s="1"/>
      <c r="D751" s="161"/>
      <c r="E751" s="859"/>
      <c r="H751" s="349"/>
      <c r="L751" s="2"/>
      <c r="N751" s="2"/>
    </row>
    <row r="752" ht="12.0" customHeight="1">
      <c r="B752" s="1"/>
      <c r="D752" s="161"/>
      <c r="E752" s="859"/>
      <c r="H752" s="349"/>
      <c r="L752" s="2"/>
      <c r="N752" s="2"/>
    </row>
    <row r="753" ht="12.0" customHeight="1">
      <c r="B753" s="1"/>
      <c r="D753" s="161"/>
      <c r="E753" s="859"/>
      <c r="H753" s="349"/>
      <c r="L753" s="2"/>
      <c r="N753" s="2"/>
    </row>
    <row r="754" ht="12.0" customHeight="1">
      <c r="B754" s="1"/>
      <c r="D754" s="161"/>
      <c r="E754" s="859"/>
      <c r="H754" s="349"/>
      <c r="L754" s="2"/>
      <c r="N754" s="2"/>
    </row>
    <row r="755" ht="12.0" customHeight="1">
      <c r="B755" s="1"/>
      <c r="D755" s="161"/>
      <c r="E755" s="859"/>
      <c r="H755" s="349"/>
      <c r="L755" s="2"/>
      <c r="N755" s="2"/>
    </row>
    <row r="756" ht="12.0" customHeight="1">
      <c r="B756" s="1"/>
      <c r="D756" s="161"/>
      <c r="E756" s="859"/>
      <c r="H756" s="349"/>
      <c r="L756" s="2"/>
      <c r="N756" s="2"/>
    </row>
    <row r="757" ht="12.0" customHeight="1">
      <c r="B757" s="1"/>
      <c r="D757" s="161"/>
      <c r="E757" s="859"/>
      <c r="H757" s="349"/>
      <c r="L757" s="2"/>
      <c r="N757" s="2"/>
    </row>
    <row r="758" ht="12.0" customHeight="1">
      <c r="B758" s="1"/>
      <c r="D758" s="161"/>
      <c r="E758" s="859"/>
      <c r="H758" s="349"/>
      <c r="L758" s="2"/>
      <c r="N758" s="2"/>
    </row>
    <row r="759" ht="12.0" customHeight="1">
      <c r="B759" s="1"/>
      <c r="D759" s="161"/>
      <c r="E759" s="859"/>
      <c r="H759" s="349"/>
      <c r="L759" s="2"/>
      <c r="N759" s="2"/>
    </row>
    <row r="760" ht="12.0" customHeight="1">
      <c r="B760" s="1"/>
      <c r="D760" s="161"/>
      <c r="E760" s="859"/>
      <c r="H760" s="349"/>
      <c r="L760" s="2"/>
      <c r="N760" s="2"/>
    </row>
    <row r="761" ht="12.0" customHeight="1">
      <c r="B761" s="1"/>
      <c r="D761" s="161"/>
      <c r="E761" s="859"/>
      <c r="H761" s="349"/>
      <c r="L761" s="2"/>
      <c r="N761" s="2"/>
    </row>
    <row r="762" ht="12.0" customHeight="1">
      <c r="B762" s="1"/>
      <c r="D762" s="161"/>
      <c r="E762" s="859"/>
      <c r="H762" s="349"/>
      <c r="L762" s="2"/>
      <c r="N762" s="2"/>
    </row>
    <row r="763" ht="12.0" customHeight="1">
      <c r="B763" s="1"/>
      <c r="D763" s="161"/>
      <c r="E763" s="859"/>
      <c r="H763" s="349"/>
      <c r="L763" s="2"/>
      <c r="N763" s="2"/>
    </row>
    <row r="764" ht="12.0" customHeight="1">
      <c r="B764" s="1"/>
      <c r="D764" s="161"/>
      <c r="E764" s="859"/>
      <c r="H764" s="349"/>
      <c r="L764" s="2"/>
      <c r="N764" s="2"/>
    </row>
    <row r="765" ht="12.0" customHeight="1">
      <c r="B765" s="1"/>
      <c r="D765" s="161"/>
      <c r="E765" s="859"/>
      <c r="H765" s="349"/>
      <c r="L765" s="2"/>
      <c r="N765" s="2"/>
    </row>
    <row r="766" ht="12.0" customHeight="1">
      <c r="B766" s="1"/>
      <c r="D766" s="161"/>
      <c r="E766" s="859"/>
      <c r="H766" s="349"/>
      <c r="L766" s="2"/>
      <c r="N766" s="2"/>
    </row>
    <row r="767" ht="12.0" customHeight="1">
      <c r="B767" s="1"/>
      <c r="D767" s="161"/>
      <c r="E767" s="859"/>
      <c r="H767" s="349"/>
      <c r="L767" s="2"/>
      <c r="N767" s="2"/>
    </row>
    <row r="768" ht="12.0" customHeight="1">
      <c r="B768" s="1"/>
      <c r="D768" s="161"/>
      <c r="E768" s="859"/>
      <c r="H768" s="349"/>
      <c r="L768" s="2"/>
      <c r="N768" s="2"/>
    </row>
    <row r="769" ht="12.0" customHeight="1">
      <c r="B769" s="1"/>
      <c r="D769" s="161"/>
      <c r="E769" s="859"/>
      <c r="H769" s="349"/>
      <c r="L769" s="2"/>
      <c r="N769" s="2"/>
    </row>
    <row r="770" ht="12.0" customHeight="1">
      <c r="B770" s="1"/>
      <c r="D770" s="161"/>
      <c r="E770" s="859"/>
      <c r="H770" s="349"/>
      <c r="L770" s="2"/>
      <c r="N770" s="2"/>
    </row>
    <row r="771" ht="12.0" customHeight="1">
      <c r="B771" s="1"/>
      <c r="D771" s="161"/>
      <c r="E771" s="859"/>
      <c r="H771" s="349"/>
      <c r="L771" s="2"/>
      <c r="N771" s="2"/>
    </row>
    <row r="772" ht="12.0" customHeight="1">
      <c r="B772" s="1"/>
      <c r="D772" s="161"/>
      <c r="E772" s="859"/>
      <c r="H772" s="349"/>
      <c r="L772" s="2"/>
      <c r="N772" s="2"/>
    </row>
    <row r="773" ht="12.0" customHeight="1">
      <c r="B773" s="1"/>
      <c r="D773" s="161"/>
      <c r="E773" s="859"/>
      <c r="H773" s="349"/>
      <c r="L773" s="2"/>
      <c r="N773" s="2"/>
    </row>
    <row r="774" ht="12.0" customHeight="1">
      <c r="B774" s="1"/>
      <c r="D774" s="161"/>
      <c r="E774" s="859"/>
      <c r="H774" s="349"/>
      <c r="L774" s="2"/>
      <c r="N774" s="2"/>
    </row>
    <row r="775" ht="12.0" customHeight="1">
      <c r="B775" s="1"/>
      <c r="D775" s="161"/>
      <c r="E775" s="859"/>
      <c r="H775" s="349"/>
      <c r="L775" s="2"/>
      <c r="N775" s="2"/>
    </row>
    <row r="776" ht="12.0" customHeight="1">
      <c r="B776" s="1"/>
      <c r="D776" s="161"/>
      <c r="E776" s="859"/>
      <c r="H776" s="349"/>
      <c r="L776" s="2"/>
      <c r="N776" s="2"/>
    </row>
    <row r="777" ht="12.0" customHeight="1">
      <c r="B777" s="1"/>
      <c r="D777" s="161"/>
      <c r="E777" s="859"/>
      <c r="H777" s="349"/>
      <c r="L777" s="2"/>
      <c r="N777" s="2"/>
    </row>
    <row r="778" ht="12.0" customHeight="1">
      <c r="B778" s="1"/>
      <c r="D778" s="161"/>
      <c r="E778" s="859"/>
      <c r="H778" s="349"/>
      <c r="L778" s="2"/>
      <c r="N778" s="2"/>
    </row>
    <row r="779" ht="12.0" customHeight="1">
      <c r="B779" s="1"/>
      <c r="D779" s="161"/>
      <c r="E779" s="859"/>
      <c r="H779" s="349"/>
      <c r="L779" s="2"/>
      <c r="N779" s="2"/>
    </row>
    <row r="780" ht="12.0" customHeight="1">
      <c r="B780" s="1"/>
      <c r="D780" s="161"/>
      <c r="E780" s="859"/>
      <c r="H780" s="349"/>
      <c r="L780" s="2"/>
      <c r="N780" s="2"/>
    </row>
    <row r="781" ht="12.0" customHeight="1">
      <c r="B781" s="1"/>
      <c r="D781" s="161"/>
      <c r="E781" s="859"/>
      <c r="H781" s="349"/>
      <c r="L781" s="2"/>
      <c r="N781" s="2"/>
    </row>
    <row r="782" ht="12.0" customHeight="1">
      <c r="B782" s="1"/>
      <c r="D782" s="161"/>
      <c r="E782" s="859"/>
      <c r="H782" s="349"/>
      <c r="L782" s="2"/>
      <c r="N782" s="2"/>
    </row>
    <row r="783" ht="12.0" customHeight="1">
      <c r="B783" s="1"/>
      <c r="D783" s="161"/>
      <c r="E783" s="859"/>
      <c r="H783" s="349"/>
      <c r="L783" s="2"/>
      <c r="N783" s="2"/>
    </row>
    <row r="784" ht="12.0" customHeight="1">
      <c r="B784" s="1"/>
      <c r="D784" s="161"/>
      <c r="E784" s="859"/>
      <c r="H784" s="349"/>
      <c r="L784" s="2"/>
      <c r="N784" s="2"/>
    </row>
    <row r="785" ht="12.0" customHeight="1">
      <c r="B785" s="1"/>
      <c r="D785" s="161"/>
      <c r="E785" s="859"/>
      <c r="H785" s="349"/>
      <c r="L785" s="2"/>
      <c r="N785" s="2"/>
    </row>
    <row r="786" ht="12.0" customHeight="1">
      <c r="B786" s="1"/>
      <c r="D786" s="161"/>
      <c r="E786" s="859"/>
      <c r="H786" s="349"/>
      <c r="L786" s="2"/>
      <c r="N786" s="2"/>
    </row>
    <row r="787" ht="12.0" customHeight="1">
      <c r="B787" s="1"/>
      <c r="D787" s="161"/>
      <c r="E787" s="859"/>
      <c r="H787" s="349"/>
      <c r="L787" s="2"/>
      <c r="N787" s="2"/>
    </row>
    <row r="788" ht="12.0" customHeight="1">
      <c r="B788" s="1"/>
      <c r="D788" s="161"/>
      <c r="E788" s="859"/>
      <c r="H788" s="349"/>
      <c r="L788" s="2"/>
      <c r="N788" s="2"/>
    </row>
    <row r="789" ht="12.0" customHeight="1">
      <c r="B789" s="1"/>
      <c r="D789" s="161"/>
      <c r="E789" s="859"/>
      <c r="H789" s="349"/>
      <c r="L789" s="2"/>
      <c r="N789" s="2"/>
    </row>
    <row r="790" ht="12.0" customHeight="1">
      <c r="B790" s="1"/>
      <c r="D790" s="161"/>
      <c r="E790" s="859"/>
      <c r="H790" s="349"/>
      <c r="L790" s="2"/>
      <c r="N790" s="2"/>
    </row>
    <row r="791" ht="12.0" customHeight="1">
      <c r="B791" s="1"/>
      <c r="D791" s="161"/>
      <c r="E791" s="859"/>
      <c r="H791" s="349"/>
      <c r="L791" s="2"/>
      <c r="N791" s="2"/>
    </row>
    <row r="792" ht="12.0" customHeight="1">
      <c r="B792" s="1"/>
      <c r="D792" s="161"/>
      <c r="E792" s="859"/>
      <c r="H792" s="349"/>
      <c r="L792" s="2"/>
      <c r="N792" s="2"/>
    </row>
    <row r="793" ht="12.0" customHeight="1">
      <c r="B793" s="1"/>
      <c r="D793" s="161"/>
      <c r="E793" s="859"/>
      <c r="H793" s="349"/>
      <c r="L793" s="2"/>
      <c r="N793" s="2"/>
    </row>
    <row r="794" ht="12.0" customHeight="1">
      <c r="B794" s="1"/>
      <c r="D794" s="161"/>
      <c r="E794" s="859"/>
      <c r="H794" s="349"/>
      <c r="L794" s="2"/>
      <c r="N794" s="2"/>
    </row>
    <row r="795" ht="12.0" customHeight="1">
      <c r="B795" s="1"/>
      <c r="D795" s="161"/>
      <c r="E795" s="859"/>
      <c r="H795" s="349"/>
      <c r="L795" s="2"/>
      <c r="N795" s="2"/>
    </row>
    <row r="796" ht="12.0" customHeight="1">
      <c r="B796" s="1"/>
      <c r="D796" s="161"/>
      <c r="E796" s="859"/>
      <c r="H796" s="349"/>
      <c r="L796" s="2"/>
      <c r="N796" s="2"/>
    </row>
    <row r="797" ht="12.0" customHeight="1">
      <c r="B797" s="1"/>
      <c r="D797" s="161"/>
      <c r="E797" s="859"/>
      <c r="H797" s="349"/>
      <c r="L797" s="2"/>
      <c r="N797" s="2"/>
    </row>
    <row r="798" ht="12.0" customHeight="1">
      <c r="B798" s="1"/>
      <c r="D798" s="161"/>
      <c r="E798" s="859"/>
      <c r="H798" s="349"/>
      <c r="L798" s="2"/>
      <c r="N798" s="2"/>
    </row>
    <row r="799" ht="12.0" customHeight="1">
      <c r="B799" s="1"/>
      <c r="D799" s="161"/>
      <c r="E799" s="859"/>
      <c r="H799" s="349"/>
      <c r="L799" s="2"/>
      <c r="N799" s="2"/>
    </row>
    <row r="800" ht="12.0" customHeight="1">
      <c r="B800" s="1"/>
      <c r="D800" s="161"/>
      <c r="E800" s="859"/>
      <c r="H800" s="349"/>
      <c r="L800" s="2"/>
      <c r="N800" s="2"/>
    </row>
    <row r="801" ht="12.0" customHeight="1">
      <c r="B801" s="1"/>
      <c r="D801" s="161"/>
      <c r="E801" s="859"/>
      <c r="H801" s="349"/>
      <c r="L801" s="2"/>
      <c r="N801" s="2"/>
    </row>
    <row r="802" ht="12.0" customHeight="1">
      <c r="B802" s="1"/>
      <c r="D802" s="161"/>
      <c r="E802" s="859"/>
      <c r="H802" s="349"/>
      <c r="L802" s="2"/>
      <c r="N802" s="2"/>
    </row>
    <row r="803" ht="12.0" customHeight="1">
      <c r="B803" s="1"/>
      <c r="D803" s="161"/>
      <c r="E803" s="859"/>
      <c r="H803" s="349"/>
      <c r="L803" s="2"/>
      <c r="N803" s="2"/>
    </row>
    <row r="804" ht="12.0" customHeight="1">
      <c r="B804" s="1"/>
      <c r="D804" s="161"/>
      <c r="E804" s="859"/>
      <c r="H804" s="349"/>
      <c r="L804" s="2"/>
      <c r="N804" s="2"/>
    </row>
    <row r="805" ht="12.0" customHeight="1">
      <c r="B805" s="1"/>
      <c r="D805" s="161"/>
      <c r="E805" s="859"/>
      <c r="H805" s="349"/>
      <c r="L805" s="2"/>
      <c r="N805" s="2"/>
    </row>
    <row r="806" ht="12.0" customHeight="1">
      <c r="B806" s="1"/>
      <c r="D806" s="161"/>
      <c r="E806" s="859"/>
      <c r="H806" s="349"/>
      <c r="L806" s="2"/>
      <c r="N806" s="2"/>
    </row>
    <row r="807" ht="12.0" customHeight="1">
      <c r="B807" s="1"/>
      <c r="D807" s="161"/>
      <c r="E807" s="859"/>
      <c r="H807" s="349"/>
      <c r="L807" s="2"/>
      <c r="N807" s="2"/>
    </row>
    <row r="808" ht="12.0" customHeight="1">
      <c r="B808" s="1"/>
      <c r="D808" s="161"/>
      <c r="E808" s="859"/>
      <c r="H808" s="349"/>
      <c r="L808" s="2"/>
      <c r="N808" s="2"/>
    </row>
    <row r="809" ht="12.0" customHeight="1">
      <c r="B809" s="1"/>
      <c r="D809" s="161"/>
      <c r="E809" s="859"/>
      <c r="H809" s="349"/>
      <c r="L809" s="2"/>
      <c r="N809" s="2"/>
    </row>
    <row r="810" ht="12.0" customHeight="1">
      <c r="B810" s="1"/>
      <c r="D810" s="161"/>
      <c r="E810" s="859"/>
      <c r="H810" s="349"/>
      <c r="L810" s="2"/>
      <c r="N810" s="2"/>
    </row>
    <row r="811" ht="12.0" customHeight="1">
      <c r="B811" s="1"/>
      <c r="D811" s="161"/>
      <c r="E811" s="859"/>
      <c r="H811" s="349"/>
      <c r="L811" s="2"/>
      <c r="N811" s="2"/>
    </row>
    <row r="812" ht="12.0" customHeight="1">
      <c r="B812" s="1"/>
      <c r="D812" s="161"/>
      <c r="E812" s="859"/>
      <c r="H812" s="349"/>
      <c r="L812" s="2"/>
      <c r="N812" s="2"/>
    </row>
    <row r="813" ht="12.0" customHeight="1">
      <c r="B813" s="1"/>
      <c r="D813" s="161"/>
      <c r="E813" s="859"/>
      <c r="H813" s="349"/>
      <c r="L813" s="2"/>
      <c r="N813" s="2"/>
    </row>
    <row r="814" ht="12.0" customHeight="1">
      <c r="B814" s="1"/>
      <c r="D814" s="161"/>
      <c r="E814" s="859"/>
      <c r="H814" s="349"/>
      <c r="L814" s="2"/>
      <c r="N814" s="2"/>
    </row>
    <row r="815" ht="12.0" customHeight="1">
      <c r="B815" s="1"/>
      <c r="D815" s="161"/>
      <c r="E815" s="859"/>
      <c r="H815" s="349"/>
      <c r="L815" s="2"/>
      <c r="N815" s="2"/>
    </row>
    <row r="816" ht="12.0" customHeight="1">
      <c r="B816" s="1"/>
      <c r="D816" s="161"/>
      <c r="E816" s="859"/>
      <c r="H816" s="349"/>
      <c r="L816" s="2"/>
      <c r="N816" s="2"/>
    </row>
    <row r="817" ht="12.0" customHeight="1">
      <c r="B817" s="1"/>
      <c r="D817" s="161"/>
      <c r="E817" s="859"/>
      <c r="H817" s="349"/>
      <c r="L817" s="2"/>
      <c r="N817" s="2"/>
    </row>
    <row r="818" ht="12.0" customHeight="1">
      <c r="B818" s="1"/>
      <c r="D818" s="161"/>
      <c r="E818" s="859"/>
      <c r="H818" s="349"/>
      <c r="L818" s="2"/>
      <c r="N818" s="2"/>
    </row>
    <row r="819" ht="12.0" customHeight="1">
      <c r="B819" s="1"/>
      <c r="D819" s="161"/>
      <c r="E819" s="859"/>
      <c r="H819" s="349"/>
      <c r="L819" s="2"/>
      <c r="N819" s="2"/>
    </row>
    <row r="820" ht="12.0" customHeight="1">
      <c r="B820" s="1"/>
      <c r="D820" s="161"/>
      <c r="E820" s="859"/>
      <c r="H820" s="349"/>
      <c r="L820" s="2"/>
      <c r="N820" s="2"/>
    </row>
    <row r="821" ht="12.0" customHeight="1">
      <c r="B821" s="1"/>
      <c r="D821" s="161"/>
      <c r="E821" s="859"/>
      <c r="H821" s="349"/>
      <c r="L821" s="2"/>
      <c r="N821" s="2"/>
    </row>
    <row r="822" ht="12.0" customHeight="1">
      <c r="B822" s="1"/>
      <c r="D822" s="161"/>
      <c r="E822" s="859"/>
      <c r="H822" s="349"/>
      <c r="L822" s="2"/>
      <c r="N822" s="2"/>
    </row>
    <row r="823" ht="12.0" customHeight="1">
      <c r="B823" s="1"/>
      <c r="D823" s="161"/>
      <c r="E823" s="859"/>
      <c r="H823" s="349"/>
      <c r="L823" s="2"/>
      <c r="N823" s="2"/>
    </row>
    <row r="824" ht="12.0" customHeight="1">
      <c r="B824" s="1"/>
      <c r="D824" s="161"/>
      <c r="E824" s="859"/>
      <c r="H824" s="349"/>
      <c r="L824" s="2"/>
      <c r="N824" s="2"/>
    </row>
    <row r="825" ht="12.0" customHeight="1">
      <c r="B825" s="1"/>
      <c r="D825" s="161"/>
      <c r="E825" s="859"/>
      <c r="H825" s="349"/>
      <c r="L825" s="2"/>
      <c r="N825" s="2"/>
    </row>
    <row r="826" ht="12.0" customHeight="1">
      <c r="B826" s="1"/>
      <c r="D826" s="161"/>
      <c r="E826" s="859"/>
      <c r="H826" s="349"/>
      <c r="L826" s="2"/>
      <c r="N826" s="2"/>
    </row>
    <row r="827" ht="12.0" customHeight="1">
      <c r="B827" s="1"/>
      <c r="D827" s="161"/>
      <c r="E827" s="859"/>
      <c r="H827" s="349"/>
      <c r="L827" s="2"/>
      <c r="N827" s="2"/>
    </row>
    <row r="828" ht="12.0" customHeight="1">
      <c r="B828" s="1"/>
      <c r="D828" s="161"/>
      <c r="E828" s="859"/>
      <c r="H828" s="349"/>
      <c r="L828" s="2"/>
      <c r="N828" s="2"/>
    </row>
    <row r="829" ht="12.0" customHeight="1">
      <c r="B829" s="1"/>
      <c r="D829" s="161"/>
      <c r="E829" s="859"/>
      <c r="H829" s="349"/>
      <c r="L829" s="2"/>
      <c r="N829" s="2"/>
    </row>
    <row r="830" ht="12.0" customHeight="1">
      <c r="B830" s="1"/>
      <c r="D830" s="161"/>
      <c r="E830" s="859"/>
      <c r="H830" s="349"/>
      <c r="L830" s="2"/>
      <c r="N830" s="2"/>
    </row>
    <row r="831" ht="12.0" customHeight="1">
      <c r="B831" s="1"/>
      <c r="D831" s="161"/>
      <c r="E831" s="859"/>
      <c r="H831" s="349"/>
      <c r="L831" s="2"/>
      <c r="N831" s="2"/>
    </row>
    <row r="832" ht="12.0" customHeight="1">
      <c r="B832" s="1"/>
      <c r="D832" s="161"/>
      <c r="E832" s="859"/>
      <c r="H832" s="349"/>
      <c r="L832" s="2"/>
      <c r="N832" s="2"/>
    </row>
    <row r="833" ht="12.0" customHeight="1">
      <c r="B833" s="1"/>
      <c r="D833" s="161"/>
      <c r="E833" s="859"/>
      <c r="H833" s="349"/>
      <c r="L833" s="2"/>
      <c r="N833" s="2"/>
    </row>
    <row r="834" ht="12.0" customHeight="1">
      <c r="B834" s="1"/>
      <c r="D834" s="161"/>
      <c r="E834" s="859"/>
      <c r="H834" s="349"/>
      <c r="L834" s="2"/>
      <c r="N834" s="2"/>
    </row>
    <row r="835" ht="12.0" customHeight="1">
      <c r="B835" s="1"/>
      <c r="D835" s="161"/>
      <c r="E835" s="859"/>
      <c r="H835" s="349"/>
      <c r="L835" s="2"/>
      <c r="N835" s="2"/>
    </row>
    <row r="836" ht="12.0" customHeight="1">
      <c r="B836" s="1"/>
      <c r="D836" s="161"/>
      <c r="E836" s="859"/>
      <c r="H836" s="349"/>
      <c r="L836" s="2"/>
      <c r="N836" s="2"/>
    </row>
    <row r="837" ht="12.0" customHeight="1">
      <c r="B837" s="1"/>
      <c r="D837" s="161"/>
      <c r="E837" s="859"/>
      <c r="H837" s="349"/>
      <c r="L837" s="2"/>
      <c r="N837" s="2"/>
    </row>
    <row r="838" ht="12.0" customHeight="1">
      <c r="B838" s="1"/>
      <c r="D838" s="161"/>
      <c r="E838" s="859"/>
      <c r="H838" s="349"/>
      <c r="L838" s="2"/>
      <c r="N838" s="2"/>
    </row>
    <row r="839" ht="12.0" customHeight="1">
      <c r="B839" s="1"/>
      <c r="D839" s="161"/>
      <c r="E839" s="859"/>
      <c r="H839" s="349"/>
      <c r="L839" s="2"/>
      <c r="N839" s="2"/>
    </row>
    <row r="840" ht="12.0" customHeight="1">
      <c r="B840" s="1"/>
      <c r="D840" s="161"/>
      <c r="E840" s="859"/>
      <c r="H840" s="349"/>
      <c r="L840" s="2"/>
      <c r="N840" s="2"/>
    </row>
    <row r="841" ht="12.0" customHeight="1">
      <c r="B841" s="1"/>
      <c r="D841" s="161"/>
      <c r="E841" s="859"/>
      <c r="H841" s="349"/>
      <c r="L841" s="2"/>
      <c r="N841" s="2"/>
    </row>
    <row r="842" ht="12.0" customHeight="1">
      <c r="B842" s="1"/>
      <c r="D842" s="161"/>
      <c r="E842" s="859"/>
      <c r="H842" s="349"/>
      <c r="L842" s="2"/>
      <c r="N842" s="2"/>
    </row>
    <row r="843" ht="12.0" customHeight="1">
      <c r="B843" s="1"/>
      <c r="D843" s="161"/>
      <c r="E843" s="859"/>
      <c r="H843" s="349"/>
      <c r="L843" s="2"/>
      <c r="N843" s="2"/>
    </row>
    <row r="844" ht="12.0" customHeight="1">
      <c r="B844" s="1"/>
      <c r="D844" s="161"/>
      <c r="E844" s="859"/>
      <c r="H844" s="349"/>
      <c r="L844" s="2"/>
      <c r="N844" s="2"/>
    </row>
    <row r="845" ht="12.0" customHeight="1">
      <c r="B845" s="1"/>
      <c r="D845" s="161"/>
      <c r="E845" s="859"/>
      <c r="H845" s="349"/>
      <c r="L845" s="2"/>
      <c r="N845" s="2"/>
    </row>
    <row r="846" ht="12.0" customHeight="1">
      <c r="B846" s="1"/>
      <c r="D846" s="161"/>
      <c r="E846" s="859"/>
      <c r="H846" s="349"/>
      <c r="L846" s="2"/>
      <c r="N846" s="2"/>
    </row>
    <row r="847" ht="12.0" customHeight="1">
      <c r="B847" s="1"/>
      <c r="D847" s="161"/>
      <c r="E847" s="859"/>
      <c r="H847" s="349"/>
      <c r="L847" s="2"/>
      <c r="N847" s="2"/>
    </row>
    <row r="848" ht="12.0" customHeight="1">
      <c r="B848" s="1"/>
      <c r="D848" s="161"/>
      <c r="E848" s="859"/>
      <c r="H848" s="349"/>
      <c r="L848" s="2"/>
      <c r="N848" s="2"/>
    </row>
    <row r="849" ht="12.0" customHeight="1">
      <c r="B849" s="1"/>
      <c r="D849" s="161"/>
      <c r="E849" s="859"/>
      <c r="H849" s="349"/>
      <c r="L849" s="2"/>
      <c r="N849" s="2"/>
    </row>
    <row r="850" ht="12.0" customHeight="1">
      <c r="B850" s="1"/>
      <c r="D850" s="161"/>
      <c r="E850" s="859"/>
      <c r="H850" s="349"/>
      <c r="L850" s="2"/>
      <c r="N850" s="2"/>
    </row>
    <row r="851" ht="12.0" customHeight="1">
      <c r="B851" s="1"/>
      <c r="D851" s="161"/>
      <c r="E851" s="859"/>
      <c r="H851" s="349"/>
      <c r="L851" s="2"/>
      <c r="N851" s="2"/>
    </row>
    <row r="852" ht="12.0" customHeight="1">
      <c r="B852" s="1"/>
      <c r="D852" s="161"/>
      <c r="E852" s="859"/>
      <c r="H852" s="349"/>
      <c r="L852" s="2"/>
      <c r="N852" s="2"/>
    </row>
    <row r="853" ht="12.0" customHeight="1">
      <c r="B853" s="1"/>
      <c r="D853" s="161"/>
      <c r="E853" s="859"/>
      <c r="H853" s="349"/>
      <c r="L853" s="2"/>
      <c r="N853" s="2"/>
    </row>
    <row r="854" ht="12.0" customHeight="1">
      <c r="B854" s="1"/>
      <c r="D854" s="161"/>
      <c r="E854" s="859"/>
      <c r="H854" s="349"/>
      <c r="L854" s="2"/>
      <c r="N854" s="2"/>
    </row>
    <row r="855" ht="12.0" customHeight="1">
      <c r="B855" s="1"/>
      <c r="D855" s="161"/>
      <c r="E855" s="859"/>
      <c r="H855" s="349"/>
      <c r="L855" s="2"/>
      <c r="N855" s="2"/>
    </row>
    <row r="856" ht="12.0" customHeight="1">
      <c r="B856" s="1"/>
      <c r="D856" s="161"/>
      <c r="E856" s="859"/>
      <c r="H856" s="349"/>
      <c r="L856" s="2"/>
      <c r="N856" s="2"/>
    </row>
    <row r="857" ht="12.0" customHeight="1">
      <c r="B857" s="1"/>
      <c r="D857" s="161"/>
      <c r="E857" s="859"/>
      <c r="H857" s="349"/>
      <c r="L857" s="2"/>
      <c r="N857" s="2"/>
    </row>
    <row r="858" ht="12.0" customHeight="1">
      <c r="B858" s="1"/>
      <c r="D858" s="161"/>
      <c r="E858" s="859"/>
      <c r="H858" s="349"/>
      <c r="L858" s="2"/>
      <c r="N858" s="2"/>
    </row>
    <row r="859" ht="12.0" customHeight="1">
      <c r="B859" s="1"/>
      <c r="D859" s="161"/>
      <c r="E859" s="859"/>
      <c r="H859" s="349"/>
      <c r="L859" s="2"/>
      <c r="N859" s="2"/>
    </row>
    <row r="860" ht="12.0" customHeight="1">
      <c r="B860" s="1"/>
      <c r="D860" s="161"/>
      <c r="E860" s="859"/>
      <c r="H860" s="349"/>
      <c r="L860" s="2"/>
      <c r="N860" s="2"/>
    </row>
    <row r="861" ht="12.0" customHeight="1">
      <c r="B861" s="1"/>
      <c r="D861" s="161"/>
      <c r="E861" s="859"/>
      <c r="H861" s="349"/>
      <c r="L861" s="2"/>
      <c r="N861" s="2"/>
    </row>
    <row r="862" ht="12.0" customHeight="1">
      <c r="B862" s="1"/>
      <c r="D862" s="161"/>
      <c r="E862" s="859"/>
      <c r="H862" s="349"/>
      <c r="L862" s="2"/>
      <c r="N862" s="2"/>
    </row>
    <row r="863" ht="12.0" customHeight="1">
      <c r="B863" s="1"/>
      <c r="D863" s="161"/>
      <c r="E863" s="859"/>
      <c r="H863" s="349"/>
      <c r="L863" s="2"/>
      <c r="N863" s="2"/>
    </row>
    <row r="864" ht="12.0" customHeight="1">
      <c r="B864" s="1"/>
      <c r="D864" s="161"/>
      <c r="E864" s="859"/>
      <c r="H864" s="349"/>
      <c r="L864" s="2"/>
      <c r="N864" s="2"/>
    </row>
    <row r="865" ht="12.0" customHeight="1">
      <c r="B865" s="1"/>
      <c r="D865" s="161"/>
      <c r="E865" s="859"/>
      <c r="H865" s="349"/>
      <c r="L865" s="2"/>
      <c r="N865" s="2"/>
    </row>
    <row r="866" ht="12.0" customHeight="1">
      <c r="B866" s="1"/>
      <c r="D866" s="161"/>
      <c r="E866" s="859"/>
      <c r="H866" s="349"/>
      <c r="L866" s="2"/>
      <c r="N866" s="2"/>
    </row>
    <row r="867" ht="12.0" customHeight="1">
      <c r="B867" s="1"/>
      <c r="D867" s="161"/>
      <c r="E867" s="859"/>
      <c r="H867" s="349"/>
      <c r="L867" s="2"/>
      <c r="N867" s="2"/>
    </row>
    <row r="868" ht="12.0" customHeight="1">
      <c r="B868" s="1"/>
      <c r="D868" s="161"/>
      <c r="E868" s="859"/>
      <c r="H868" s="349"/>
      <c r="L868" s="2"/>
      <c r="N868" s="2"/>
    </row>
    <row r="869" ht="12.0" customHeight="1">
      <c r="B869" s="1"/>
      <c r="D869" s="161"/>
      <c r="E869" s="859"/>
      <c r="H869" s="349"/>
      <c r="L869" s="2"/>
      <c r="N869" s="2"/>
    </row>
    <row r="870" ht="12.0" customHeight="1">
      <c r="B870" s="1"/>
      <c r="D870" s="161"/>
      <c r="E870" s="859"/>
      <c r="H870" s="349"/>
      <c r="L870" s="2"/>
      <c r="N870" s="2"/>
    </row>
    <row r="871" ht="12.0" customHeight="1">
      <c r="B871" s="1"/>
      <c r="D871" s="161"/>
      <c r="E871" s="859"/>
      <c r="H871" s="349"/>
      <c r="L871" s="2"/>
      <c r="N871" s="2"/>
    </row>
    <row r="872" ht="12.0" customHeight="1">
      <c r="B872" s="1"/>
      <c r="D872" s="161"/>
      <c r="E872" s="859"/>
      <c r="H872" s="349"/>
      <c r="L872" s="2"/>
      <c r="N872" s="2"/>
    </row>
    <row r="873" ht="12.0" customHeight="1">
      <c r="B873" s="1"/>
      <c r="D873" s="161"/>
      <c r="E873" s="859"/>
      <c r="H873" s="349"/>
      <c r="L873" s="2"/>
      <c r="N873" s="2"/>
    </row>
    <row r="874" ht="12.0" customHeight="1">
      <c r="B874" s="1"/>
      <c r="D874" s="161"/>
      <c r="E874" s="859"/>
      <c r="H874" s="349"/>
      <c r="L874" s="2"/>
      <c r="N874" s="2"/>
    </row>
    <row r="875" ht="12.0" customHeight="1">
      <c r="B875" s="1"/>
      <c r="D875" s="161"/>
      <c r="E875" s="859"/>
      <c r="H875" s="349"/>
      <c r="L875" s="2"/>
      <c r="N875" s="2"/>
    </row>
    <row r="876" ht="12.0" customHeight="1">
      <c r="B876" s="1"/>
      <c r="D876" s="161"/>
      <c r="E876" s="859"/>
      <c r="H876" s="349"/>
      <c r="L876" s="2"/>
      <c r="N876" s="2"/>
    </row>
    <row r="877" ht="12.0" customHeight="1">
      <c r="B877" s="1"/>
      <c r="D877" s="161"/>
      <c r="E877" s="859"/>
      <c r="H877" s="349"/>
      <c r="L877" s="2"/>
      <c r="N877" s="2"/>
    </row>
    <row r="878" ht="12.0" customHeight="1">
      <c r="B878" s="1"/>
      <c r="D878" s="161"/>
      <c r="E878" s="859"/>
      <c r="H878" s="349"/>
      <c r="L878" s="2"/>
      <c r="N878" s="2"/>
    </row>
    <row r="879" ht="12.0" customHeight="1">
      <c r="B879" s="1"/>
      <c r="D879" s="161"/>
      <c r="E879" s="859"/>
      <c r="H879" s="349"/>
      <c r="L879" s="2"/>
      <c r="N879" s="2"/>
    </row>
    <row r="880" ht="12.0" customHeight="1">
      <c r="B880" s="1"/>
      <c r="D880" s="161"/>
      <c r="E880" s="859"/>
      <c r="H880" s="349"/>
      <c r="L880" s="2"/>
      <c r="N880" s="2"/>
    </row>
    <row r="881" ht="12.0" customHeight="1">
      <c r="B881" s="1"/>
      <c r="D881" s="161"/>
      <c r="E881" s="859"/>
      <c r="H881" s="349"/>
      <c r="L881" s="2"/>
      <c r="N881" s="2"/>
    </row>
    <row r="882" ht="12.0" customHeight="1">
      <c r="B882" s="1"/>
      <c r="D882" s="161"/>
      <c r="E882" s="859"/>
      <c r="H882" s="349"/>
      <c r="L882" s="2"/>
      <c r="N882" s="2"/>
    </row>
    <row r="883" ht="12.0" customHeight="1">
      <c r="B883" s="1"/>
      <c r="D883" s="161"/>
      <c r="E883" s="859"/>
      <c r="H883" s="349"/>
      <c r="L883" s="2"/>
      <c r="N883" s="2"/>
    </row>
    <row r="884" ht="12.0" customHeight="1">
      <c r="B884" s="1"/>
      <c r="D884" s="161"/>
      <c r="E884" s="859"/>
      <c r="H884" s="349"/>
      <c r="L884" s="2"/>
      <c r="N884" s="2"/>
    </row>
    <row r="885" ht="12.0" customHeight="1">
      <c r="B885" s="1"/>
      <c r="D885" s="161"/>
      <c r="E885" s="859"/>
      <c r="H885" s="349"/>
      <c r="L885" s="2"/>
      <c r="N885" s="2"/>
    </row>
    <row r="886" ht="12.0" customHeight="1">
      <c r="B886" s="1"/>
      <c r="D886" s="161"/>
      <c r="E886" s="859"/>
      <c r="H886" s="349"/>
      <c r="L886" s="2"/>
      <c r="N886" s="2"/>
    </row>
    <row r="887" ht="12.0" customHeight="1">
      <c r="B887" s="1"/>
      <c r="D887" s="161"/>
      <c r="E887" s="859"/>
      <c r="H887" s="349"/>
      <c r="L887" s="2"/>
      <c r="N887" s="2"/>
    </row>
    <row r="888" ht="12.0" customHeight="1">
      <c r="B888" s="1"/>
      <c r="D888" s="161"/>
      <c r="E888" s="859"/>
      <c r="H888" s="349"/>
      <c r="L888" s="2"/>
      <c r="N888" s="2"/>
    </row>
    <row r="889" ht="12.0" customHeight="1">
      <c r="B889" s="1"/>
      <c r="D889" s="161"/>
      <c r="E889" s="859"/>
      <c r="H889" s="349"/>
      <c r="L889" s="2"/>
      <c r="N889" s="2"/>
    </row>
    <row r="890" ht="12.0" customHeight="1">
      <c r="B890" s="1"/>
      <c r="D890" s="161"/>
      <c r="E890" s="859"/>
      <c r="H890" s="349"/>
      <c r="L890" s="2"/>
      <c r="N890" s="2"/>
    </row>
    <row r="891" ht="12.0" customHeight="1">
      <c r="B891" s="1"/>
      <c r="D891" s="161"/>
      <c r="E891" s="859"/>
      <c r="H891" s="349"/>
      <c r="L891" s="2"/>
      <c r="N891" s="2"/>
    </row>
    <row r="892" ht="12.0" customHeight="1">
      <c r="B892" s="1"/>
      <c r="D892" s="161"/>
      <c r="E892" s="859"/>
      <c r="H892" s="349"/>
      <c r="L892" s="2"/>
      <c r="N892" s="2"/>
    </row>
    <row r="893" ht="12.0" customHeight="1">
      <c r="B893" s="1"/>
      <c r="D893" s="161"/>
      <c r="E893" s="859"/>
      <c r="H893" s="349"/>
      <c r="L893" s="2"/>
      <c r="N893" s="2"/>
    </row>
    <row r="894" ht="12.0" customHeight="1">
      <c r="B894" s="1"/>
      <c r="D894" s="161"/>
      <c r="E894" s="859"/>
      <c r="H894" s="349"/>
      <c r="L894" s="2"/>
      <c r="N894" s="2"/>
    </row>
    <row r="895" ht="12.0" customHeight="1">
      <c r="B895" s="1"/>
      <c r="D895" s="161"/>
      <c r="E895" s="859"/>
      <c r="H895" s="349"/>
      <c r="L895" s="2"/>
      <c r="N895" s="2"/>
    </row>
    <row r="896" ht="12.0" customHeight="1">
      <c r="B896" s="1"/>
      <c r="D896" s="161"/>
      <c r="E896" s="859"/>
      <c r="H896" s="349"/>
      <c r="L896" s="2"/>
      <c r="N896" s="2"/>
    </row>
    <row r="897" ht="12.0" customHeight="1">
      <c r="B897" s="1"/>
      <c r="D897" s="161"/>
      <c r="E897" s="859"/>
      <c r="H897" s="349"/>
      <c r="L897" s="2"/>
      <c r="N897" s="2"/>
    </row>
    <row r="898" ht="12.0" customHeight="1">
      <c r="B898" s="1"/>
      <c r="D898" s="161"/>
      <c r="E898" s="859"/>
      <c r="H898" s="349"/>
      <c r="L898" s="2"/>
      <c r="N898" s="2"/>
    </row>
    <row r="899" ht="12.0" customHeight="1">
      <c r="B899" s="1"/>
      <c r="D899" s="161"/>
      <c r="E899" s="859"/>
      <c r="H899" s="349"/>
      <c r="L899" s="2"/>
      <c r="N899" s="2"/>
    </row>
    <row r="900" ht="12.0" customHeight="1">
      <c r="B900" s="1"/>
      <c r="D900" s="161"/>
      <c r="E900" s="859"/>
      <c r="H900" s="349"/>
      <c r="L900" s="2"/>
      <c r="N900" s="2"/>
    </row>
    <row r="901" ht="12.0" customHeight="1">
      <c r="B901" s="1"/>
      <c r="D901" s="161"/>
      <c r="E901" s="859"/>
      <c r="H901" s="349"/>
      <c r="L901" s="2"/>
      <c r="N901" s="2"/>
    </row>
    <row r="902" ht="12.0" customHeight="1">
      <c r="B902" s="1"/>
      <c r="D902" s="161"/>
      <c r="E902" s="859"/>
      <c r="H902" s="349"/>
      <c r="L902" s="2"/>
      <c r="N902" s="2"/>
    </row>
    <row r="903" ht="12.0" customHeight="1">
      <c r="B903" s="1"/>
      <c r="D903" s="161"/>
      <c r="E903" s="859"/>
      <c r="H903" s="349"/>
      <c r="L903" s="2"/>
      <c r="N903" s="2"/>
    </row>
    <row r="904" ht="12.0" customHeight="1">
      <c r="B904" s="1"/>
      <c r="D904" s="161"/>
      <c r="E904" s="859"/>
      <c r="H904" s="349"/>
      <c r="L904" s="2"/>
      <c r="N904" s="2"/>
    </row>
    <row r="905" ht="12.0" customHeight="1">
      <c r="B905" s="1"/>
      <c r="D905" s="161"/>
      <c r="E905" s="859"/>
      <c r="H905" s="349"/>
      <c r="L905" s="2"/>
      <c r="N905" s="2"/>
    </row>
    <row r="906" ht="12.0" customHeight="1">
      <c r="B906" s="1"/>
      <c r="D906" s="161"/>
      <c r="E906" s="859"/>
      <c r="H906" s="349"/>
      <c r="L906" s="2"/>
      <c r="N906" s="2"/>
    </row>
    <row r="907" ht="12.0" customHeight="1">
      <c r="B907" s="1"/>
      <c r="D907" s="161"/>
      <c r="E907" s="859"/>
      <c r="H907" s="349"/>
      <c r="L907" s="2"/>
      <c r="N907" s="2"/>
    </row>
    <row r="908" ht="12.0" customHeight="1">
      <c r="B908" s="1"/>
      <c r="D908" s="161"/>
      <c r="E908" s="859"/>
      <c r="H908" s="349"/>
      <c r="L908" s="2"/>
      <c r="N908" s="2"/>
    </row>
    <row r="909" ht="12.0" customHeight="1">
      <c r="B909" s="1"/>
      <c r="D909" s="161"/>
      <c r="E909" s="859"/>
      <c r="H909" s="349"/>
      <c r="L909" s="2"/>
      <c r="N909" s="2"/>
    </row>
    <row r="910" ht="12.0" customHeight="1">
      <c r="B910" s="1"/>
      <c r="D910" s="161"/>
      <c r="E910" s="859"/>
      <c r="H910" s="349"/>
      <c r="L910" s="2"/>
      <c r="N910" s="2"/>
    </row>
    <row r="911" ht="12.0" customHeight="1">
      <c r="B911" s="1"/>
      <c r="D911" s="161"/>
      <c r="E911" s="859"/>
      <c r="H911" s="349"/>
      <c r="L911" s="2"/>
      <c r="N911" s="2"/>
    </row>
    <row r="912" ht="12.0" customHeight="1">
      <c r="B912" s="1"/>
      <c r="D912" s="161"/>
      <c r="E912" s="859"/>
      <c r="H912" s="349"/>
      <c r="L912" s="2"/>
      <c r="N912" s="2"/>
    </row>
    <row r="913" ht="12.0" customHeight="1">
      <c r="B913" s="1"/>
      <c r="D913" s="161"/>
      <c r="E913" s="859"/>
      <c r="H913" s="349"/>
      <c r="L913" s="2"/>
      <c r="N913" s="2"/>
    </row>
    <row r="914" ht="12.0" customHeight="1">
      <c r="B914" s="1"/>
      <c r="D914" s="161"/>
      <c r="E914" s="859"/>
      <c r="H914" s="349"/>
      <c r="L914" s="2"/>
      <c r="N914" s="2"/>
    </row>
    <row r="915" ht="12.0" customHeight="1">
      <c r="B915" s="1"/>
      <c r="D915" s="161"/>
      <c r="E915" s="859"/>
      <c r="H915" s="349"/>
      <c r="L915" s="2"/>
      <c r="N915" s="2"/>
    </row>
    <row r="916" ht="12.0" customHeight="1">
      <c r="B916" s="1"/>
      <c r="D916" s="161"/>
      <c r="E916" s="859"/>
      <c r="H916" s="349"/>
      <c r="L916" s="2"/>
      <c r="N916" s="2"/>
    </row>
    <row r="917" ht="12.0" customHeight="1">
      <c r="B917" s="1"/>
      <c r="D917" s="161"/>
      <c r="E917" s="859"/>
      <c r="H917" s="349"/>
      <c r="L917" s="2"/>
      <c r="N917" s="2"/>
    </row>
    <row r="918" ht="12.0" customHeight="1">
      <c r="B918" s="1"/>
      <c r="D918" s="161"/>
      <c r="E918" s="859"/>
      <c r="H918" s="349"/>
      <c r="L918" s="2"/>
      <c r="N918" s="2"/>
    </row>
    <row r="919" ht="12.0" customHeight="1">
      <c r="B919" s="1"/>
      <c r="D919" s="161"/>
      <c r="E919" s="859"/>
      <c r="H919" s="349"/>
      <c r="L919" s="2"/>
      <c r="N919" s="2"/>
    </row>
    <row r="920" ht="12.0" customHeight="1">
      <c r="B920" s="1"/>
      <c r="D920" s="161"/>
      <c r="E920" s="859"/>
      <c r="H920" s="349"/>
      <c r="L920" s="2"/>
      <c r="N920" s="2"/>
    </row>
    <row r="921" ht="12.0" customHeight="1">
      <c r="B921" s="1"/>
      <c r="D921" s="161"/>
      <c r="E921" s="859"/>
      <c r="H921" s="349"/>
      <c r="L921" s="2"/>
      <c r="N921" s="2"/>
    </row>
    <row r="922" ht="12.0" customHeight="1">
      <c r="B922" s="1"/>
      <c r="D922" s="161"/>
      <c r="E922" s="859"/>
      <c r="H922" s="349"/>
      <c r="L922" s="2"/>
      <c r="N922" s="2"/>
    </row>
    <row r="923" ht="12.0" customHeight="1">
      <c r="B923" s="1"/>
      <c r="D923" s="161"/>
      <c r="E923" s="859"/>
      <c r="H923" s="349"/>
      <c r="L923" s="2"/>
      <c r="N923" s="2"/>
    </row>
    <row r="924" ht="12.0" customHeight="1">
      <c r="B924" s="1"/>
      <c r="D924" s="161"/>
      <c r="E924" s="859"/>
      <c r="H924" s="349"/>
      <c r="L924" s="2"/>
      <c r="N924" s="2"/>
    </row>
    <row r="925" ht="12.0" customHeight="1">
      <c r="B925" s="1"/>
      <c r="D925" s="161"/>
      <c r="E925" s="859"/>
      <c r="H925" s="349"/>
      <c r="L925" s="2"/>
      <c r="N925" s="2"/>
    </row>
    <row r="926" ht="12.0" customHeight="1">
      <c r="B926" s="1"/>
      <c r="D926" s="161"/>
      <c r="E926" s="859"/>
      <c r="H926" s="349"/>
      <c r="L926" s="2"/>
      <c r="N926" s="2"/>
    </row>
    <row r="927" ht="12.0" customHeight="1">
      <c r="B927" s="1"/>
      <c r="D927" s="161"/>
      <c r="E927" s="859"/>
      <c r="H927" s="349"/>
      <c r="L927" s="2"/>
      <c r="N927" s="2"/>
    </row>
    <row r="928" ht="12.0" customHeight="1">
      <c r="B928" s="1"/>
      <c r="D928" s="161"/>
      <c r="E928" s="859"/>
      <c r="H928" s="349"/>
      <c r="L928" s="2"/>
      <c r="N928" s="2"/>
    </row>
    <row r="929" ht="12.0" customHeight="1">
      <c r="B929" s="1"/>
      <c r="D929" s="161"/>
      <c r="E929" s="859"/>
      <c r="H929" s="349"/>
      <c r="L929" s="2"/>
      <c r="N929" s="2"/>
    </row>
    <row r="930" ht="12.0" customHeight="1">
      <c r="B930" s="1"/>
      <c r="D930" s="161"/>
      <c r="E930" s="859"/>
      <c r="H930" s="349"/>
      <c r="L930" s="2"/>
      <c r="N930" s="2"/>
    </row>
    <row r="931" ht="12.0" customHeight="1">
      <c r="B931" s="1"/>
      <c r="D931" s="161"/>
      <c r="E931" s="859"/>
      <c r="H931" s="349"/>
      <c r="L931" s="2"/>
      <c r="N931" s="2"/>
    </row>
    <row r="932" ht="12.0" customHeight="1">
      <c r="B932" s="1"/>
      <c r="D932" s="161"/>
      <c r="E932" s="859"/>
      <c r="H932" s="349"/>
      <c r="L932" s="2"/>
      <c r="N932" s="2"/>
    </row>
    <row r="933" ht="12.0" customHeight="1">
      <c r="B933" s="1"/>
      <c r="D933" s="161"/>
      <c r="E933" s="859"/>
      <c r="H933" s="349"/>
      <c r="L933" s="2"/>
      <c r="N933" s="2"/>
    </row>
    <row r="934" ht="12.0" customHeight="1">
      <c r="B934" s="1"/>
      <c r="D934" s="161"/>
      <c r="E934" s="859"/>
      <c r="H934" s="349"/>
      <c r="L934" s="2"/>
      <c r="N934" s="2"/>
    </row>
    <row r="935" ht="12.0" customHeight="1">
      <c r="B935" s="1"/>
      <c r="D935" s="161"/>
      <c r="E935" s="859"/>
      <c r="H935" s="349"/>
      <c r="L935" s="2"/>
      <c r="N935" s="2"/>
    </row>
    <row r="936" ht="12.0" customHeight="1">
      <c r="B936" s="1"/>
      <c r="D936" s="161"/>
      <c r="E936" s="859"/>
      <c r="H936" s="349"/>
      <c r="L936" s="2"/>
      <c r="N936" s="2"/>
    </row>
    <row r="937" ht="12.0" customHeight="1">
      <c r="B937" s="1"/>
      <c r="D937" s="161"/>
      <c r="E937" s="859"/>
      <c r="H937" s="349"/>
      <c r="L937" s="2"/>
      <c r="N937" s="2"/>
    </row>
    <row r="938" ht="12.0" customHeight="1">
      <c r="B938" s="1"/>
      <c r="D938" s="161"/>
      <c r="E938" s="859"/>
      <c r="H938" s="349"/>
      <c r="L938" s="2"/>
      <c r="N938" s="2"/>
    </row>
    <row r="939" ht="12.0" customHeight="1">
      <c r="B939" s="1"/>
      <c r="D939" s="161"/>
      <c r="E939" s="859"/>
      <c r="H939" s="349"/>
      <c r="L939" s="2"/>
      <c r="N939" s="2"/>
    </row>
    <row r="940" ht="12.0" customHeight="1">
      <c r="B940" s="1"/>
      <c r="D940" s="161"/>
      <c r="E940" s="859"/>
      <c r="H940" s="349"/>
      <c r="L940" s="2"/>
      <c r="N940" s="2"/>
    </row>
    <row r="941" ht="12.0" customHeight="1">
      <c r="B941" s="1"/>
      <c r="D941" s="161"/>
      <c r="E941" s="859"/>
      <c r="H941" s="349"/>
      <c r="L941" s="2"/>
      <c r="N941" s="2"/>
    </row>
    <row r="942" ht="12.0" customHeight="1">
      <c r="B942" s="1"/>
      <c r="D942" s="161"/>
      <c r="E942" s="859"/>
      <c r="H942" s="349"/>
      <c r="L942" s="2"/>
      <c r="N942" s="2"/>
    </row>
    <row r="943" ht="12.0" customHeight="1">
      <c r="B943" s="1"/>
      <c r="D943" s="161"/>
      <c r="E943" s="859"/>
      <c r="H943" s="349"/>
      <c r="L943" s="2"/>
      <c r="N943" s="2"/>
    </row>
    <row r="944" ht="12.0" customHeight="1">
      <c r="B944" s="1"/>
      <c r="D944" s="161"/>
      <c r="E944" s="859"/>
      <c r="H944" s="349"/>
      <c r="L944" s="2"/>
      <c r="N944" s="2"/>
    </row>
    <row r="945" ht="12.0" customHeight="1">
      <c r="B945" s="1"/>
      <c r="D945" s="161"/>
      <c r="E945" s="859"/>
      <c r="H945" s="349"/>
      <c r="L945" s="2"/>
      <c r="N945" s="2"/>
    </row>
    <row r="946" ht="12.0" customHeight="1">
      <c r="B946" s="1"/>
      <c r="D946" s="161"/>
      <c r="E946" s="859"/>
      <c r="H946" s="349"/>
      <c r="L946" s="2"/>
      <c r="N946" s="2"/>
    </row>
    <row r="947" ht="12.0" customHeight="1">
      <c r="B947" s="1"/>
      <c r="D947" s="161"/>
      <c r="E947" s="859"/>
      <c r="H947" s="349"/>
      <c r="L947" s="2"/>
      <c r="N947" s="2"/>
    </row>
    <row r="948" ht="12.0" customHeight="1">
      <c r="B948" s="1"/>
      <c r="D948" s="161"/>
      <c r="E948" s="859"/>
      <c r="H948" s="349"/>
      <c r="L948" s="2"/>
      <c r="N948" s="2"/>
    </row>
    <row r="949" ht="12.0" customHeight="1">
      <c r="B949" s="1"/>
      <c r="D949" s="161"/>
      <c r="E949" s="859"/>
      <c r="H949" s="349"/>
      <c r="L949" s="2"/>
      <c r="N949" s="2"/>
    </row>
    <row r="950" ht="12.0" customHeight="1">
      <c r="B950" s="1"/>
      <c r="D950" s="161"/>
      <c r="E950" s="859"/>
      <c r="H950" s="349"/>
      <c r="L950" s="2"/>
      <c r="N950" s="2"/>
    </row>
    <row r="951" ht="12.0" customHeight="1">
      <c r="B951" s="1"/>
      <c r="D951" s="161"/>
      <c r="E951" s="859"/>
      <c r="H951" s="349"/>
      <c r="L951" s="2"/>
      <c r="N951" s="2"/>
    </row>
    <row r="952" ht="12.0" customHeight="1">
      <c r="B952" s="1"/>
      <c r="D952" s="161"/>
      <c r="E952" s="859"/>
      <c r="H952" s="349"/>
      <c r="L952" s="2"/>
      <c r="N952" s="2"/>
    </row>
    <row r="953" ht="12.0" customHeight="1">
      <c r="B953" s="1"/>
      <c r="D953" s="161"/>
      <c r="E953" s="859"/>
      <c r="H953" s="349"/>
      <c r="L953" s="2"/>
      <c r="N953" s="2"/>
    </row>
    <row r="954" ht="12.0" customHeight="1">
      <c r="B954" s="1"/>
      <c r="D954" s="161"/>
      <c r="E954" s="859"/>
      <c r="H954" s="349"/>
      <c r="L954" s="2"/>
      <c r="N954" s="2"/>
    </row>
    <row r="955" ht="12.0" customHeight="1">
      <c r="B955" s="1"/>
      <c r="D955" s="161"/>
      <c r="E955" s="859"/>
      <c r="H955" s="349"/>
      <c r="L955" s="2"/>
      <c r="N955" s="2"/>
    </row>
    <row r="956" ht="12.0" customHeight="1">
      <c r="B956" s="1"/>
      <c r="D956" s="161"/>
      <c r="E956" s="859"/>
      <c r="H956" s="349"/>
      <c r="L956" s="2"/>
      <c r="N956" s="2"/>
    </row>
    <row r="957" ht="12.0" customHeight="1">
      <c r="B957" s="1"/>
      <c r="D957" s="161"/>
      <c r="E957" s="859"/>
      <c r="H957" s="349"/>
      <c r="L957" s="2"/>
      <c r="N957" s="2"/>
    </row>
    <row r="958" ht="12.0" customHeight="1">
      <c r="B958" s="1"/>
      <c r="D958" s="161"/>
      <c r="E958" s="859"/>
      <c r="H958" s="349"/>
      <c r="L958" s="2"/>
      <c r="N958" s="2"/>
    </row>
    <row r="959" ht="12.0" customHeight="1">
      <c r="B959" s="1"/>
      <c r="D959" s="161"/>
      <c r="E959" s="859"/>
      <c r="H959" s="349"/>
      <c r="L959" s="2"/>
      <c r="N959" s="2"/>
    </row>
    <row r="960" ht="12.0" customHeight="1">
      <c r="B960" s="1"/>
      <c r="D960" s="161"/>
      <c r="E960" s="859"/>
      <c r="H960" s="349"/>
      <c r="L960" s="2"/>
      <c r="N960" s="2"/>
    </row>
    <row r="961" ht="12.0" customHeight="1">
      <c r="B961" s="1"/>
      <c r="D961" s="161"/>
      <c r="E961" s="859"/>
      <c r="H961" s="349"/>
      <c r="L961" s="2"/>
      <c r="N961" s="2"/>
    </row>
    <row r="962" ht="12.0" customHeight="1">
      <c r="B962" s="1"/>
      <c r="D962" s="161"/>
      <c r="E962" s="859"/>
      <c r="H962" s="349"/>
      <c r="L962" s="2"/>
      <c r="N962" s="2"/>
    </row>
    <row r="963" ht="12.0" customHeight="1">
      <c r="B963" s="1"/>
      <c r="D963" s="161"/>
      <c r="E963" s="859"/>
      <c r="H963" s="349"/>
      <c r="L963" s="2"/>
      <c r="N963" s="2"/>
    </row>
    <row r="964" ht="12.0" customHeight="1">
      <c r="B964" s="1"/>
      <c r="D964" s="161"/>
      <c r="E964" s="859"/>
      <c r="H964" s="349"/>
      <c r="L964" s="2"/>
      <c r="N964" s="2"/>
    </row>
    <row r="965" ht="12.0" customHeight="1">
      <c r="B965" s="1"/>
      <c r="D965" s="161"/>
      <c r="E965" s="859"/>
      <c r="H965" s="349"/>
      <c r="L965" s="2"/>
      <c r="N965" s="2"/>
    </row>
    <row r="966" ht="12.0" customHeight="1">
      <c r="B966" s="1"/>
      <c r="D966" s="161"/>
      <c r="E966" s="859"/>
      <c r="H966" s="349"/>
      <c r="L966" s="2"/>
      <c r="N966" s="2"/>
    </row>
    <row r="967" ht="12.0" customHeight="1">
      <c r="B967" s="1"/>
      <c r="D967" s="161"/>
      <c r="E967" s="859"/>
      <c r="H967" s="349"/>
      <c r="L967" s="2"/>
      <c r="N967" s="2"/>
    </row>
    <row r="968" ht="12.0" customHeight="1">
      <c r="B968" s="1"/>
      <c r="D968" s="161"/>
      <c r="E968" s="859"/>
      <c r="H968" s="349"/>
      <c r="L968" s="2"/>
      <c r="N968" s="2"/>
    </row>
    <row r="969" ht="12.0" customHeight="1">
      <c r="B969" s="1"/>
      <c r="D969" s="161"/>
      <c r="E969" s="859"/>
      <c r="H969" s="349"/>
      <c r="L969" s="2"/>
      <c r="N969" s="2"/>
    </row>
    <row r="970" ht="12.0" customHeight="1">
      <c r="B970" s="1"/>
      <c r="D970" s="161"/>
      <c r="E970" s="859"/>
      <c r="H970" s="349"/>
      <c r="L970" s="2"/>
      <c r="N970" s="2"/>
    </row>
    <row r="971" ht="12.0" customHeight="1">
      <c r="B971" s="1"/>
      <c r="D971" s="161"/>
      <c r="E971" s="859"/>
      <c r="H971" s="349"/>
      <c r="L971" s="2"/>
      <c r="N971" s="2"/>
    </row>
    <row r="972" ht="12.0" customHeight="1">
      <c r="B972" s="1"/>
      <c r="D972" s="161"/>
      <c r="E972" s="859"/>
      <c r="H972" s="349"/>
      <c r="L972" s="2"/>
      <c r="N972" s="2"/>
    </row>
    <row r="973" ht="12.0" customHeight="1">
      <c r="B973" s="1"/>
      <c r="D973" s="161"/>
      <c r="E973" s="859"/>
      <c r="H973" s="349"/>
      <c r="L973" s="2"/>
      <c r="N973" s="2"/>
    </row>
    <row r="974" ht="12.0" customHeight="1">
      <c r="B974" s="1"/>
      <c r="D974" s="161"/>
      <c r="E974" s="859"/>
      <c r="H974" s="349"/>
      <c r="L974" s="2"/>
      <c r="N974" s="2"/>
    </row>
    <row r="975" ht="12.0" customHeight="1">
      <c r="B975" s="1"/>
      <c r="D975" s="161"/>
      <c r="E975" s="859"/>
      <c r="H975" s="349"/>
      <c r="L975" s="2"/>
      <c r="N975" s="2"/>
    </row>
    <row r="976" ht="12.0" customHeight="1">
      <c r="B976" s="1"/>
      <c r="D976" s="161"/>
      <c r="E976" s="859"/>
      <c r="H976" s="349"/>
      <c r="L976" s="2"/>
      <c r="N976" s="2"/>
    </row>
    <row r="977" ht="12.0" customHeight="1">
      <c r="B977" s="1"/>
      <c r="D977" s="161"/>
      <c r="E977" s="859"/>
      <c r="H977" s="349"/>
      <c r="L977" s="2"/>
      <c r="N977" s="2"/>
    </row>
    <row r="978" ht="12.0" customHeight="1">
      <c r="B978" s="1"/>
      <c r="D978" s="161"/>
      <c r="E978" s="859"/>
      <c r="H978" s="349"/>
      <c r="L978" s="2"/>
      <c r="N978" s="2"/>
    </row>
    <row r="979" ht="12.0" customHeight="1">
      <c r="B979" s="1"/>
      <c r="D979" s="161"/>
      <c r="E979" s="859"/>
      <c r="H979" s="349"/>
      <c r="L979" s="2"/>
      <c r="N979" s="2"/>
    </row>
    <row r="980" ht="12.0" customHeight="1">
      <c r="B980" s="1"/>
      <c r="D980" s="161"/>
      <c r="E980" s="859"/>
      <c r="H980" s="349"/>
      <c r="L980" s="2"/>
      <c r="N980" s="2"/>
    </row>
    <row r="981" ht="12.0" customHeight="1">
      <c r="B981" s="1"/>
      <c r="D981" s="161"/>
      <c r="E981" s="859"/>
      <c r="H981" s="349"/>
      <c r="L981" s="2"/>
      <c r="N981" s="2"/>
    </row>
    <row r="982" ht="12.0" customHeight="1">
      <c r="B982" s="1"/>
      <c r="D982" s="161"/>
      <c r="E982" s="859"/>
      <c r="H982" s="349"/>
      <c r="L982" s="2"/>
      <c r="N982" s="2"/>
    </row>
    <row r="983" ht="12.0" customHeight="1">
      <c r="B983" s="1"/>
      <c r="D983" s="161"/>
      <c r="E983" s="859"/>
      <c r="H983" s="349"/>
      <c r="L983" s="2"/>
      <c r="N983" s="2"/>
    </row>
    <row r="984" ht="12.0" customHeight="1">
      <c r="B984" s="1"/>
      <c r="D984" s="161"/>
      <c r="E984" s="859"/>
      <c r="H984" s="349"/>
      <c r="L984" s="2"/>
      <c r="N984" s="2"/>
    </row>
    <row r="985" ht="12.0" customHeight="1">
      <c r="B985" s="1"/>
      <c r="D985" s="161"/>
      <c r="E985" s="859"/>
      <c r="H985" s="349"/>
      <c r="L985" s="2"/>
      <c r="N985" s="2"/>
    </row>
    <row r="986" ht="12.0" customHeight="1">
      <c r="B986" s="1"/>
      <c r="D986" s="161"/>
      <c r="E986" s="859"/>
      <c r="H986" s="349"/>
      <c r="L986" s="2"/>
      <c r="N986" s="2"/>
    </row>
    <row r="987" ht="12.0" customHeight="1">
      <c r="B987" s="1"/>
      <c r="D987" s="161"/>
      <c r="E987" s="859"/>
      <c r="H987" s="349"/>
      <c r="L987" s="2"/>
      <c r="N987" s="2"/>
    </row>
    <row r="988" ht="12.0" customHeight="1">
      <c r="B988" s="1"/>
      <c r="D988" s="161"/>
      <c r="E988" s="859"/>
      <c r="H988" s="349"/>
      <c r="L988" s="2"/>
      <c r="N988" s="2"/>
    </row>
    <row r="989" ht="12.0" customHeight="1">
      <c r="B989" s="1"/>
      <c r="D989" s="161"/>
      <c r="E989" s="859"/>
      <c r="H989" s="349"/>
      <c r="L989" s="2"/>
      <c r="N989" s="2"/>
    </row>
    <row r="990" ht="12.0" customHeight="1">
      <c r="B990" s="1"/>
      <c r="D990" s="161"/>
      <c r="E990" s="859"/>
      <c r="H990" s="349"/>
      <c r="L990" s="2"/>
      <c r="N990" s="2"/>
    </row>
    <row r="991" ht="12.0" customHeight="1">
      <c r="B991" s="1"/>
      <c r="D991" s="161"/>
      <c r="E991" s="859"/>
      <c r="H991" s="349"/>
      <c r="L991" s="2"/>
      <c r="N991" s="2"/>
    </row>
    <row r="992" ht="12.0" customHeight="1">
      <c r="B992" s="1"/>
      <c r="D992" s="161"/>
      <c r="E992" s="859"/>
      <c r="H992" s="349"/>
      <c r="L992" s="2"/>
      <c r="N992" s="2"/>
    </row>
    <row r="993" ht="12.0" customHeight="1">
      <c r="B993" s="1"/>
      <c r="D993" s="161"/>
      <c r="E993" s="859"/>
      <c r="H993" s="349"/>
      <c r="L993" s="2"/>
      <c r="N993" s="2"/>
    </row>
    <row r="994" ht="12.0" customHeight="1">
      <c r="B994" s="1"/>
      <c r="D994" s="161"/>
      <c r="E994" s="859"/>
      <c r="H994" s="349"/>
      <c r="L994" s="2"/>
      <c r="N994" s="2"/>
    </row>
    <row r="995" ht="12.0" customHeight="1">
      <c r="B995" s="1"/>
      <c r="D995" s="161"/>
      <c r="E995" s="859"/>
      <c r="H995" s="349"/>
      <c r="L995" s="2"/>
      <c r="N995" s="2"/>
    </row>
  </sheetData>
  <mergeCells count="4">
    <mergeCell ref="K8:L8"/>
    <mergeCell ref="M8:N8"/>
    <mergeCell ref="B38:B40"/>
    <mergeCell ref="B41:B43"/>
  </mergeCells>
  <dataValidations>
    <dataValidation type="list" allowBlank="1" showErrorMessage="1" sqref="K21">
      <formula1>"STOCK BRICKS,BLOCKS,FACE BRICKS,NO BRICKWORK DONE"</formula1>
    </dataValidation>
    <dataValidation type="list" allowBlank="1" showErrorMessage="1" sqref="K26">
      <formula1>"CONCRETE ROOF TILES,IBR,CORRUGATED ROOFING SHEETS,NO ROOFING DONE"</formula1>
    </dataValidation>
    <dataValidation type="list" allowBlank="1" showErrorMessage="1" sqref="K16 K18 K35 K38 S38 K41 S41 K45 K47 K64 K67 K71:K72 K75 K78 K81 K93">
      <formula1>"YES,NO"</formula1>
    </dataValidation>
    <dataValidation type="list" allowBlank="1" showErrorMessage="1" sqref="M17:M18 M21 M26 M31 M35 M38 M45 M50 M56 M60 M64 M67 M71 M75 M78 M81 M93 C114">
      <formula1>"DELAPIDATED,POOR,FAIR,GOOD,VERY GOOD,EXCELLENT,NOT APPLICABLE"</formula1>
    </dataValidation>
    <dataValidation type="list" allowBlank="1" showErrorMessage="1" sqref="K60:K61">
      <formula1>"STEEL WINDOW FRAMES,ALUMINIUM WINDOW FRAMES,NO WINDOWS FITTED"</formula1>
    </dataValidation>
    <dataValidation type="list" allowBlank="1" showErrorMessage="1" sqref="M43 M54 M61">
      <formula1>"Delapidated,Poor,Fair,Good,Very Good,Excellent,Not Applicable"</formula1>
    </dataValidation>
    <dataValidation type="list" allowBlank="1" showErrorMessage="1" sqref="K15">
      <formula1>"2010-2013,2014-2021,2021-2023"</formula1>
    </dataValidation>
    <dataValidation type="list" allowBlank="1" showErrorMessage="1" sqref="K50">
      <formula1>"VINYL FLOORING,TILING FLOORING,TIMBER FLOORING,NO FLOORING"</formula1>
    </dataValidation>
    <dataValidation type="list" allowBlank="1" showErrorMessage="1" sqref="K31 K56">
      <formula1>"TIMBER ROOF TRUSSES,STRUCTURAL STEEL TRUSSES,NO ROOF TRUSSES"</formula1>
    </dataValidation>
  </dataValidations>
  <printOptions/>
  <pageMargins bottom="0.75" footer="0.0" header="0.0" left="0.7" right="0.7" top="0.75"/>
  <pageSetup paperSize="9" orientation="portrait"/>
  <headerFooter>
    <oddFooter>&amp;C....Making Buildings Work Tel: 310 1353                         Cell: 74712201                    Email: temocs@gmail.com</oddFooter>
  </headerFooter>
  <rowBreaks count="1" manualBreakCount="1">
    <brk id="112" man="1"/>
  </row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10.88"/>
    <col customWidth="1" min="3" max="3" width="36.5"/>
    <col customWidth="1" min="4" max="4" width="38.38"/>
    <col customWidth="1" min="5" max="5" width="17.63"/>
    <col customWidth="1" min="6" max="8" width="21.13"/>
    <col customWidth="1" min="9" max="9" width="19.0"/>
    <col customWidth="1" min="10" max="10" width="26.5"/>
    <col customWidth="1" min="11" max="11" width="23.0"/>
    <col customWidth="1" min="12" max="12" width="22.13"/>
    <col customWidth="1" min="13" max="13" width="17.13"/>
    <col customWidth="1" min="14" max="26" width="9.0"/>
  </cols>
  <sheetData>
    <row r="1" ht="12.0" customHeight="1">
      <c r="K1" s="2"/>
      <c r="M1" s="2"/>
    </row>
    <row r="2" ht="12.0" customHeight="1">
      <c r="B2" s="4" t="s">
        <v>193</v>
      </c>
      <c r="C2" s="439"/>
      <c r="D2" s="439"/>
      <c r="E2" s="439"/>
      <c r="F2" s="440"/>
      <c r="G2" s="440"/>
      <c r="H2" s="440"/>
      <c r="I2" s="440"/>
      <c r="J2" s="440"/>
      <c r="K2" s="789"/>
      <c r="M2" s="2"/>
    </row>
    <row r="3" ht="39.75" customHeight="1">
      <c r="B3" s="442"/>
      <c r="C3" s="439"/>
      <c r="D3" s="439"/>
      <c r="E3" s="439"/>
      <c r="F3" s="440"/>
      <c r="G3" s="440"/>
      <c r="H3" s="440"/>
      <c r="I3" s="440"/>
      <c r="J3" s="440"/>
      <c r="K3" s="789"/>
      <c r="M3" s="2"/>
    </row>
    <row r="4" ht="39.75" customHeight="1">
      <c r="B4" s="442"/>
      <c r="C4" s="439"/>
      <c r="D4" s="439"/>
      <c r="E4" s="439"/>
      <c r="F4" s="440"/>
      <c r="G4" s="440"/>
      <c r="H4" s="440"/>
      <c r="I4" s="440"/>
      <c r="J4" s="440"/>
      <c r="K4" s="789"/>
      <c r="M4" s="2"/>
    </row>
    <row r="5" ht="39.75" customHeight="1">
      <c r="B5" s="442"/>
      <c r="C5" s="439"/>
      <c r="D5" s="439"/>
      <c r="E5" s="439"/>
      <c r="F5" s="440"/>
      <c r="G5" s="440"/>
      <c r="H5" s="440"/>
      <c r="I5" s="440"/>
      <c r="J5" s="440"/>
      <c r="K5" s="789"/>
      <c r="M5" s="2"/>
    </row>
    <row r="6" ht="39.75" customHeight="1">
      <c r="B6" s="442"/>
      <c r="C6" s="439"/>
      <c r="D6" s="439"/>
      <c r="E6" s="439"/>
      <c r="F6" s="440"/>
      <c r="G6" s="440"/>
      <c r="H6" s="440"/>
      <c r="I6" s="440"/>
      <c r="J6" s="440"/>
      <c r="K6" s="789"/>
      <c r="M6" s="2"/>
    </row>
    <row r="7" ht="12.0" customHeight="1">
      <c r="J7" s="6" t="s">
        <v>2</v>
      </c>
      <c r="K7" s="7"/>
      <c r="L7" s="8" t="s">
        <v>3</v>
      </c>
      <c r="M7" s="7"/>
    </row>
    <row r="8" ht="30.0" hidden="1" customHeight="1">
      <c r="B8" s="632"/>
      <c r="C8" s="632"/>
      <c r="D8" s="632"/>
      <c r="E8" s="632"/>
      <c r="F8" s="757" t="s">
        <v>79</v>
      </c>
      <c r="G8" s="274"/>
      <c r="H8" s="7"/>
      <c r="I8" s="758" t="s">
        <v>118</v>
      </c>
      <c r="J8" s="758"/>
      <c r="K8" s="759"/>
      <c r="M8" s="2"/>
    </row>
    <row r="9" ht="60.0" customHeight="1">
      <c r="B9" s="890" t="s">
        <v>6</v>
      </c>
      <c r="C9" s="167" t="s">
        <v>7</v>
      </c>
      <c r="D9" s="793"/>
      <c r="E9" s="361" t="s">
        <v>8</v>
      </c>
      <c r="F9" s="362" t="s">
        <v>9</v>
      </c>
      <c r="G9" s="362" t="s">
        <v>10</v>
      </c>
      <c r="H9" s="362" t="s">
        <v>11</v>
      </c>
      <c r="I9" s="363" t="s">
        <v>12</v>
      </c>
      <c r="J9" s="26" t="s">
        <v>13</v>
      </c>
      <c r="K9" s="24" t="s">
        <v>14</v>
      </c>
      <c r="L9" s="31" t="s">
        <v>18</v>
      </c>
      <c r="M9" s="24" t="s">
        <v>14</v>
      </c>
    </row>
    <row r="10" ht="30.0" hidden="1" customHeight="1">
      <c r="B10" s="255"/>
      <c r="C10" s="174"/>
      <c r="D10" s="174"/>
      <c r="E10" s="37"/>
      <c r="F10" s="541">
        <v>3.0</v>
      </c>
      <c r="G10" s="541">
        <v>2.0</v>
      </c>
      <c r="H10" s="541">
        <v>1.0</v>
      </c>
      <c r="I10" s="277"/>
      <c r="J10" s="278"/>
      <c r="K10" s="740"/>
      <c r="L10" s="17"/>
      <c r="M10" s="679"/>
    </row>
    <row r="11" ht="30.0" customHeight="1">
      <c r="B11" s="255"/>
      <c r="C11" s="184" t="s">
        <v>19</v>
      </c>
      <c r="D11" s="383"/>
      <c r="E11" s="48"/>
      <c r="F11" s="186"/>
      <c r="G11" s="186"/>
      <c r="H11" s="186"/>
      <c r="I11" s="283"/>
      <c r="J11" s="188">
        <v>500.0</v>
      </c>
      <c r="K11" s="189"/>
      <c r="L11" s="193"/>
      <c r="M11" s="197"/>
    </row>
    <row r="12" ht="30.0" customHeight="1">
      <c r="B12" s="255"/>
      <c r="C12" s="194" t="s">
        <v>20</v>
      </c>
      <c r="D12" s="185" t="s">
        <v>81</v>
      </c>
      <c r="E12" s="54"/>
      <c r="F12" s="186"/>
      <c r="G12" s="186"/>
      <c r="H12" s="186"/>
      <c r="I12" s="56"/>
      <c r="J12" s="703" t="s">
        <v>9</v>
      </c>
      <c r="K12" s="197"/>
      <c r="L12" s="193"/>
      <c r="M12" s="197"/>
    </row>
    <row r="13" ht="30.0" hidden="1" customHeight="1">
      <c r="B13" s="255"/>
      <c r="C13" s="198" t="s">
        <v>20</v>
      </c>
      <c r="D13" s="185" t="s">
        <v>11</v>
      </c>
      <c r="E13" s="54"/>
      <c r="F13" s="186"/>
      <c r="G13" s="186"/>
      <c r="H13" s="186"/>
      <c r="I13" s="56"/>
      <c r="J13" s="56"/>
      <c r="K13" s="285"/>
      <c r="L13" s="17"/>
      <c r="M13" s="798"/>
    </row>
    <row r="14" ht="30.0" hidden="1" customHeight="1">
      <c r="B14" s="255"/>
      <c r="C14" s="198"/>
      <c r="D14" s="185" t="s">
        <v>10</v>
      </c>
      <c r="E14" s="54"/>
      <c r="F14" s="186"/>
      <c r="G14" s="186"/>
      <c r="H14" s="186"/>
      <c r="I14" s="56"/>
      <c r="J14" s="56"/>
      <c r="K14" s="58"/>
      <c r="L14" s="17"/>
      <c r="M14" s="799"/>
    </row>
    <row r="15" ht="30.0" hidden="1" customHeight="1">
      <c r="B15" s="255"/>
      <c r="C15" s="198"/>
      <c r="D15" s="185" t="s">
        <v>9</v>
      </c>
      <c r="E15" s="17"/>
      <c r="F15" s="186"/>
      <c r="G15" s="186"/>
      <c r="H15" s="186"/>
      <c r="I15" s="56"/>
      <c r="J15" s="56"/>
      <c r="K15" s="58"/>
      <c r="L15" s="17"/>
      <c r="M15" s="799"/>
    </row>
    <row r="16" ht="30.0" hidden="1" customHeight="1">
      <c r="B16" s="255"/>
      <c r="C16" s="198"/>
      <c r="D16" s="185" t="s">
        <v>21</v>
      </c>
      <c r="E16" s="63">
        <v>1.24</v>
      </c>
      <c r="F16" s="186"/>
      <c r="G16" s="455">
        <v>1.25</v>
      </c>
      <c r="H16" s="455">
        <v>1.32</v>
      </c>
      <c r="I16" s="56"/>
      <c r="J16" s="56"/>
      <c r="K16" s="58"/>
      <c r="L16" s="17"/>
      <c r="M16" s="800"/>
    </row>
    <row r="17" ht="35.25" customHeight="1">
      <c r="B17" s="456">
        <v>1.0</v>
      </c>
      <c r="C17" s="457" t="s">
        <v>22</v>
      </c>
      <c r="D17" s="458"/>
      <c r="E17" s="458"/>
      <c r="F17" s="459">
        <f>681.987179487179*E16</f>
        <v>845.6641026</v>
      </c>
      <c r="G17" s="459">
        <f>F17/$G$16</f>
        <v>676.5312821</v>
      </c>
      <c r="H17" s="459">
        <f>F17/$H$16</f>
        <v>640.6546232</v>
      </c>
      <c r="I17" s="460"/>
      <c r="J17" s="891"/>
      <c r="K17" s="462">
        <f>IF(J12="2010-2013",J11*H17,IF(J12="2014-2021",J11*G17,IF(J12="2021-2023",J11*F17,-2)))</f>
        <v>422832.0513</v>
      </c>
      <c r="L17" s="207" t="s">
        <v>87</v>
      </c>
      <c r="M17" s="801">
        <f t="shared" ref="M17:M18" si="1">IF(L17="Delapidated",K17*0.6,IF(L17="Poor",K17*0.7,IF(L17="Fair",K17*0.8,IF(L17="Good",K17*0.85,IF(L17="Very Good",K17*0.9,IF(L17="Excellent",K17*1,IF(L17="Not Applicable",K17*1,0)))))))</f>
        <v>253699.2308</v>
      </c>
    </row>
    <row r="18" ht="30.0" customHeight="1">
      <c r="B18" s="456">
        <f>B17+1</f>
        <v>2</v>
      </c>
      <c r="C18" s="465" t="s">
        <v>24</v>
      </c>
      <c r="D18" s="466"/>
      <c r="E18" s="466"/>
      <c r="F18" s="467"/>
      <c r="G18" s="459"/>
      <c r="H18" s="459"/>
      <c r="I18" s="460"/>
      <c r="J18" s="309" t="s">
        <v>25</v>
      </c>
      <c r="K18" s="462">
        <f>IF(J18="YES",IF(J12="2010-2013",H19*$J$11,IF(J12="2014-2021",G19*$J$11,IF(J12="2021-2023",F19*$J$11,0))),0)</f>
        <v>548183.3333</v>
      </c>
      <c r="L18" s="207" t="s">
        <v>138</v>
      </c>
      <c r="M18" s="801">
        <f t="shared" si="1"/>
        <v>465955.8333</v>
      </c>
    </row>
    <row r="19" ht="30.0" hidden="1" customHeight="1">
      <c r="B19" s="456"/>
      <c r="C19" s="468" t="s">
        <v>25</v>
      </c>
      <c r="D19" s="469"/>
      <c r="E19" s="469"/>
      <c r="F19" s="459">
        <f>884.166666666667*E16</f>
        <v>1096.366667</v>
      </c>
      <c r="G19" s="459">
        <f t="shared" ref="G19:G20" si="2">F19/$G$16</f>
        <v>877.0933333</v>
      </c>
      <c r="H19" s="459">
        <f t="shared" ref="H19:H20" si="3">F19/$H$16</f>
        <v>830.5808081</v>
      </c>
      <c r="I19" s="470">
        <v>1.0</v>
      </c>
      <c r="J19" s="68"/>
      <c r="K19" s="462"/>
      <c r="L19" s="34"/>
      <c r="M19" s="802"/>
    </row>
    <row r="20" ht="30.0" hidden="1" customHeight="1">
      <c r="B20" s="456"/>
      <c r="C20" s="468" t="s">
        <v>26</v>
      </c>
      <c r="D20" s="469"/>
      <c r="E20" s="469"/>
      <c r="F20" s="459">
        <v>0.0</v>
      </c>
      <c r="G20" s="459">
        <f t="shared" si="2"/>
        <v>0</v>
      </c>
      <c r="H20" s="459">
        <f t="shared" si="3"/>
        <v>0</v>
      </c>
      <c r="I20" s="470">
        <v>2.0</v>
      </c>
      <c r="J20" s="68"/>
      <c r="K20" s="462"/>
      <c r="L20" s="34"/>
      <c r="M20" s="802"/>
    </row>
    <row r="21" ht="30.0" customHeight="1">
      <c r="B21" s="456">
        <v>3.0</v>
      </c>
      <c r="C21" s="465" t="s">
        <v>27</v>
      </c>
      <c r="D21" s="466"/>
      <c r="E21" s="466"/>
      <c r="F21" s="459"/>
      <c r="G21" s="459"/>
      <c r="H21" s="459"/>
      <c r="I21" s="460"/>
      <c r="J21" s="72" t="s">
        <v>28</v>
      </c>
      <c r="K21" s="462">
        <f>IF(J21="STOCK BRICKS",IF(J12="2010-2013",H22*$J$11,IF(J12="2014-2021",G22*$J$11,IF(J12="2021-2023",F22*$J$11,0))),IF(J21="BLOCKS",IF(J12="2010-2013",H23*$J$11,IF(J12="2014-2021",G23*$J$11,IF(J12="2021-2023",F23*$J$11,0))),IF(J21="FACE BRICKS",IF(J12="2010-2013",H24*$J$11,IF(J12="2014-2021",G24*$J$11,IF(J12="2021-2023",F24*$J$11,0))),0)))</f>
        <v>239216.6667</v>
      </c>
      <c r="L21" s="207" t="s">
        <v>139</v>
      </c>
      <c r="M21" s="801">
        <f>IF(L21="Delapidated",K21*0.6,IF(L21="Poor",K21*0.7,IF(L21="Fair",K21*0.8,IF(L21="Good",K21*0.85,IF(L21="Very Good",K21*0.9,IF(L21="Excellent",K21*1,IF(L21="Not Applicable",K21*1,0)))))))</f>
        <v>167451.6667</v>
      </c>
    </row>
    <row r="22" ht="30.0" hidden="1" customHeight="1">
      <c r="B22" s="456"/>
      <c r="C22" s="468" t="s">
        <v>28</v>
      </c>
      <c r="D22" s="469"/>
      <c r="E22" s="469"/>
      <c r="F22" s="459">
        <f>385.833333333333*E16</f>
        <v>478.4333333</v>
      </c>
      <c r="G22" s="459">
        <f t="shared" ref="G22:G25" si="4">F22/$G$16</f>
        <v>382.7466667</v>
      </c>
      <c r="H22" s="459">
        <f t="shared" ref="H22:H25" si="5">F22/$H$16</f>
        <v>362.4494949</v>
      </c>
      <c r="I22" s="470">
        <v>1.0</v>
      </c>
      <c r="J22" s="68"/>
      <c r="K22" s="462"/>
      <c r="L22" s="34"/>
      <c r="M22" s="801"/>
    </row>
    <row r="23" ht="30.0" hidden="1" customHeight="1">
      <c r="B23" s="456"/>
      <c r="C23" s="468" t="s">
        <v>29</v>
      </c>
      <c r="D23" s="469"/>
      <c r="E23" s="469"/>
      <c r="F23" s="459">
        <f>F22*0.8</f>
        <v>382.7466667</v>
      </c>
      <c r="G23" s="459">
        <f t="shared" si="4"/>
        <v>306.1973333</v>
      </c>
      <c r="H23" s="459">
        <f t="shared" si="5"/>
        <v>289.959596</v>
      </c>
      <c r="I23" s="470">
        <v>2.0</v>
      </c>
      <c r="J23" s="68"/>
      <c r="K23" s="462"/>
      <c r="L23" s="34"/>
      <c r="M23" s="801"/>
    </row>
    <row r="24" ht="30.0" hidden="1" customHeight="1">
      <c r="B24" s="456"/>
      <c r="C24" s="468" t="s">
        <v>30</v>
      </c>
      <c r="D24" s="469"/>
      <c r="E24" s="469"/>
      <c r="F24" s="459">
        <f>F22*1.3</f>
        <v>621.9633333</v>
      </c>
      <c r="G24" s="459">
        <f t="shared" si="4"/>
        <v>497.5706667</v>
      </c>
      <c r="H24" s="459">
        <f t="shared" si="5"/>
        <v>471.1843434</v>
      </c>
      <c r="I24" s="470">
        <v>3.0</v>
      </c>
      <c r="J24" s="68"/>
      <c r="K24" s="462"/>
      <c r="L24" s="34"/>
      <c r="M24" s="801"/>
    </row>
    <row r="25" ht="30.0" hidden="1" customHeight="1">
      <c r="B25" s="456"/>
      <c r="C25" s="468" t="s">
        <v>31</v>
      </c>
      <c r="D25" s="469"/>
      <c r="E25" s="469"/>
      <c r="F25" s="459">
        <v>0.0</v>
      </c>
      <c r="G25" s="459">
        <f t="shared" si="4"/>
        <v>0</v>
      </c>
      <c r="H25" s="459">
        <f t="shared" si="5"/>
        <v>0</v>
      </c>
      <c r="I25" s="470">
        <v>4.0</v>
      </c>
      <c r="J25" s="68"/>
      <c r="K25" s="462"/>
      <c r="L25" s="34"/>
      <c r="M25" s="802"/>
    </row>
    <row r="26" ht="30.0" customHeight="1">
      <c r="B26" s="456">
        <v>4.0</v>
      </c>
      <c r="C26" s="465" t="s">
        <v>127</v>
      </c>
      <c r="D26" s="466"/>
      <c r="E26" s="466"/>
      <c r="F26" s="459"/>
      <c r="G26" s="459"/>
      <c r="H26" s="459"/>
      <c r="I26" s="460"/>
      <c r="J26" s="72" t="s">
        <v>33</v>
      </c>
      <c r="K26" s="462">
        <f>IF(J26="CONCRETE ROOF TILES",IF(J12="2010-2013",H27*$J$11,IF(J12="2014-2021",G27*$J$11,IF(J12="2021-2023",F27*$J$11,0))),IF(J26="IBR",IF(J12="2010-2013",H28*$J$11,IF(J12="2014-2021",G28*$J$11,IF(J12="2021-2023",F28*$J$11,0))),IF(J26="CORRUGATED ROOFING SHEETS",IF(J12="2010-2013",H29*$J$11,IF(J12="2014-2021",G29*$J$11,IF(J12="2021-2023",F29*$J$11,0))),0)))</f>
        <v>80600</v>
      </c>
      <c r="L26" s="207" t="s">
        <v>194</v>
      </c>
      <c r="M26" s="801">
        <f>IF(L26="Delapidated",K26*0.6,IF(L26="Poor",K26*0.7,IF(L26="Fair",K26*0.8,IF(L26="Good",K26*0.85,IF(L26="Very Good",K26*0.9,IF(L26="Excellent",K26*1,IF(L26="Not Applicable",K26*1,0)))))))</f>
        <v>64480</v>
      </c>
    </row>
    <row r="27" ht="30.0" hidden="1" customHeight="1">
      <c r="B27" s="456"/>
      <c r="C27" s="468" t="s">
        <v>33</v>
      </c>
      <c r="D27" s="469"/>
      <c r="E27" s="469"/>
      <c r="F27" s="67">
        <f>130*E16</f>
        <v>161.2</v>
      </c>
      <c r="G27" s="459">
        <f t="shared" ref="G27:G30" si="6">F27/$G$16</f>
        <v>128.96</v>
      </c>
      <c r="H27" s="459">
        <f t="shared" ref="H27:H30" si="7">F27/$H$16</f>
        <v>122.1212121</v>
      </c>
      <c r="I27" s="470">
        <v>1.0</v>
      </c>
      <c r="J27" s="68"/>
      <c r="K27" s="462"/>
      <c r="L27" s="34"/>
      <c r="M27" s="801"/>
    </row>
    <row r="28" ht="30.0" hidden="1" customHeight="1">
      <c r="B28" s="456"/>
      <c r="C28" s="468" t="s">
        <v>34</v>
      </c>
      <c r="D28" s="469"/>
      <c r="E28" s="469"/>
      <c r="F28" s="67">
        <f>F27*1.6</f>
        <v>257.92</v>
      </c>
      <c r="G28" s="459">
        <f t="shared" si="6"/>
        <v>206.336</v>
      </c>
      <c r="H28" s="459">
        <f t="shared" si="7"/>
        <v>195.3939394</v>
      </c>
      <c r="I28" s="470">
        <v>2.0</v>
      </c>
      <c r="J28" s="68"/>
      <c r="K28" s="462"/>
      <c r="L28" s="34"/>
      <c r="M28" s="801"/>
    </row>
    <row r="29" ht="30.0" hidden="1" customHeight="1">
      <c r="B29" s="456"/>
      <c r="C29" s="468" t="s">
        <v>35</v>
      </c>
      <c r="D29" s="469"/>
      <c r="E29" s="469"/>
      <c r="F29" s="67">
        <f>F27*0.6</f>
        <v>96.72</v>
      </c>
      <c r="G29" s="459">
        <f t="shared" si="6"/>
        <v>77.376</v>
      </c>
      <c r="H29" s="459">
        <f t="shared" si="7"/>
        <v>73.27272727</v>
      </c>
      <c r="I29" s="470">
        <v>3.0</v>
      </c>
      <c r="J29" s="68"/>
      <c r="K29" s="462"/>
      <c r="L29" s="34"/>
      <c r="M29" s="801"/>
    </row>
    <row r="30" ht="30.0" hidden="1" customHeight="1">
      <c r="B30" s="456"/>
      <c r="C30" s="468" t="s">
        <v>36</v>
      </c>
      <c r="D30" s="469"/>
      <c r="E30" s="469"/>
      <c r="F30" s="67">
        <v>0.0</v>
      </c>
      <c r="G30" s="459">
        <f t="shared" si="6"/>
        <v>0</v>
      </c>
      <c r="H30" s="459">
        <f t="shared" si="7"/>
        <v>0</v>
      </c>
      <c r="I30" s="470">
        <v>4.0</v>
      </c>
      <c r="J30" s="68"/>
      <c r="K30" s="462"/>
      <c r="L30" s="34"/>
      <c r="M30" s="802"/>
    </row>
    <row r="31" ht="30.0" customHeight="1">
      <c r="B31" s="456">
        <v>5.0</v>
      </c>
      <c r="C31" s="92" t="s">
        <v>158</v>
      </c>
      <c r="D31" s="469"/>
      <c r="E31" s="469"/>
      <c r="F31" s="67"/>
      <c r="G31" s="459"/>
      <c r="H31" s="459"/>
      <c r="I31" s="470"/>
      <c r="J31" s="72" t="s">
        <v>38</v>
      </c>
      <c r="K31" s="70">
        <f>IF(J31="TIMBER ROOF TRUSSES",IF(J12="2010-2013",H32*$J$11,IF(J12="2014-2021",G32*$J$11,IF(J12="2021-2023",F32*$J$11,0))),IF(J31="STRUCTURAL STEEL TRUSSES",IF(J12="2010-2013",H33*$J$11,IF(J12="2014-2021",G33*$J$11,IF(J12="2021-2023",F33*$J$11,0))),0))</f>
        <v>279000</v>
      </c>
      <c r="L31" s="72" t="s">
        <v>139</v>
      </c>
      <c r="M31" s="211">
        <f>IF(L31="Delapidated",K31*0.6,IF(L31="Poor",K31*0.7,IF(L31="Fair",K31*0.8,IF(L31="Good",K31*0.85,IF(L31="Very Good",K31*0.9,IF(L31="Excellent",K31*1,IF(L31="Not Applicable",K31*1,0)))))))</f>
        <v>195300</v>
      </c>
    </row>
    <row r="32" ht="30.0" customHeight="1">
      <c r="B32" s="456"/>
      <c r="C32" s="79" t="s">
        <v>38</v>
      </c>
      <c r="D32" s="469"/>
      <c r="E32" s="469"/>
      <c r="F32" s="67">
        <f>450*E16</f>
        <v>558</v>
      </c>
      <c r="G32" s="867">
        <f t="shared" ref="G32:G33" si="8">F32/$G$16</f>
        <v>446.4</v>
      </c>
      <c r="H32" s="867">
        <f t="shared" ref="H32:H33" si="9">F32/$H$16</f>
        <v>422.7272727</v>
      </c>
      <c r="I32" s="470"/>
      <c r="J32" s="68"/>
      <c r="K32" s="462"/>
      <c r="L32" s="34"/>
      <c r="M32" s="802"/>
    </row>
    <row r="33" ht="30.0" customHeight="1">
      <c r="B33" s="456"/>
      <c r="C33" s="79" t="s">
        <v>137</v>
      </c>
      <c r="D33" s="469"/>
      <c r="E33" s="469"/>
      <c r="F33" s="67">
        <f>1100*E16</f>
        <v>1364</v>
      </c>
      <c r="G33" s="867">
        <f t="shared" si="8"/>
        <v>1091.2</v>
      </c>
      <c r="H33" s="867">
        <f t="shared" si="9"/>
        <v>1033.333333</v>
      </c>
      <c r="I33" s="470"/>
      <c r="J33" s="68"/>
      <c r="K33" s="462"/>
      <c r="L33" s="34"/>
      <c r="M33" s="802"/>
    </row>
    <row r="34" ht="30.0" customHeight="1">
      <c r="B34" s="456"/>
      <c r="C34" s="79" t="s">
        <v>41</v>
      </c>
      <c r="D34" s="469"/>
      <c r="E34" s="469"/>
      <c r="F34" s="67">
        <v>0.0</v>
      </c>
      <c r="G34" s="867">
        <f>F34/$G$17</f>
        <v>0</v>
      </c>
      <c r="H34" s="867">
        <f>F34/$H$17</f>
        <v>0</v>
      </c>
      <c r="I34" s="470"/>
      <c r="J34" s="68"/>
      <c r="K34" s="462"/>
      <c r="L34" s="34"/>
      <c r="M34" s="802"/>
    </row>
    <row r="35" ht="30.0" customHeight="1">
      <c r="B35" s="456">
        <v>5.0</v>
      </c>
      <c r="C35" s="465" t="s">
        <v>119</v>
      </c>
      <c r="D35" s="466"/>
      <c r="E35" s="466"/>
      <c r="F35" s="459"/>
      <c r="G35" s="459"/>
      <c r="H35" s="459"/>
      <c r="I35" s="460"/>
      <c r="J35" s="72" t="s">
        <v>25</v>
      </c>
      <c r="K35" s="462">
        <f>IF(J35="YES",IF(J12="2010-2013",H36*$J$11,IF(J12="2014-2021",G36*$J$11,IF(J12="2021-2023",F36*$J$11,0))),0)</f>
        <v>2516.929487</v>
      </c>
      <c r="L35" s="207" t="s">
        <v>87</v>
      </c>
      <c r="M35" s="801">
        <f>IF(L35="Delapidated",K35*0.6,IF(L35="Poor",K35*0.7,IF(L35="Fair",K35*0.8,IF(L35="Good",K35*0.85,IF(L35="Very Good",K35*0.9,IF(L35="Excellent",K35*1,IF(L35="Not Applicable",K35*1,0)))))))</f>
        <v>1510.157692</v>
      </c>
    </row>
    <row r="36" ht="30.0" customHeight="1">
      <c r="B36" s="456"/>
      <c r="C36" s="468" t="s">
        <v>25</v>
      </c>
      <c r="D36" s="469"/>
      <c r="E36" s="469"/>
      <c r="F36" s="459">
        <f>58.3974358974359*8.62%</f>
        <v>5.033858974</v>
      </c>
      <c r="G36" s="459">
        <f t="shared" ref="G36:G37" si="10">F36/$G$16</f>
        <v>4.027087179</v>
      </c>
      <c r="H36" s="459">
        <f t="shared" ref="H36:H37" si="11">F36/$H$16</f>
        <v>3.813529526</v>
      </c>
      <c r="I36" s="470">
        <v>1.0</v>
      </c>
      <c r="J36" s="68"/>
      <c r="K36" s="462"/>
      <c r="L36" s="34"/>
      <c r="M36" s="801"/>
    </row>
    <row r="37" ht="30.0" customHeight="1">
      <c r="B37" s="456"/>
      <c r="C37" s="468" t="s">
        <v>26</v>
      </c>
      <c r="D37" s="469"/>
      <c r="E37" s="469"/>
      <c r="F37" s="459">
        <v>0.0</v>
      </c>
      <c r="G37" s="459">
        <f t="shared" si="10"/>
        <v>0</v>
      </c>
      <c r="H37" s="459">
        <f t="shared" si="11"/>
        <v>0</v>
      </c>
      <c r="I37" s="470">
        <v>2.0</v>
      </c>
      <c r="J37" s="68"/>
      <c r="K37" s="462"/>
      <c r="L37" s="34"/>
      <c r="M37" s="802"/>
    </row>
    <row r="38" ht="30.0" customHeight="1">
      <c r="B38" s="456">
        <v>6.0</v>
      </c>
      <c r="C38" s="465" t="s">
        <v>45</v>
      </c>
      <c r="D38" s="466"/>
      <c r="E38" s="466"/>
      <c r="F38" s="459"/>
      <c r="G38" s="459"/>
      <c r="H38" s="459"/>
      <c r="I38" s="460"/>
      <c r="J38" s="72" t="s">
        <v>25</v>
      </c>
      <c r="K38" s="462">
        <f>IF(J38="YES",IF(J12="2010-2013",H39*$J$11,IF(J12="2014-2021",G39*$J$11,IF(J12="2021-2023",F39*$J$11,0))),0)</f>
        <v>26843.43256</v>
      </c>
      <c r="L38" s="207" t="s">
        <v>23</v>
      </c>
      <c r="M38" s="801">
        <f>IF(L38="Delapidated",K38*0.6,IF(L38="Poor",K38*0.7,IF(L38="Fair",K38*0.8,IF(L38="Good",K38*0.85,IF(L38="Very Good",K38*0.9,IF(L38="Excellent",K38*1,IF(L38="Not Applicable",K38*1,0)))))))</f>
        <v>26843.43256</v>
      </c>
    </row>
    <row r="39" ht="30.0" customHeight="1">
      <c r="B39" s="456"/>
      <c r="C39" s="468" t="s">
        <v>25</v>
      </c>
      <c r="D39" s="469"/>
      <c r="E39" s="469"/>
      <c r="F39" s="459">
        <f>58.3974358974359*74.14%*E16</f>
        <v>53.68686513</v>
      </c>
      <c r="G39" s="459">
        <f t="shared" ref="G39:G40" si="12">F39/$G$16</f>
        <v>42.9494921</v>
      </c>
      <c r="H39" s="459">
        <f t="shared" ref="H39:H40" si="13">F39/$H$16</f>
        <v>40.67186752</v>
      </c>
      <c r="I39" s="470">
        <v>1.0</v>
      </c>
      <c r="J39" s="68"/>
      <c r="K39" s="462"/>
      <c r="L39" s="34"/>
      <c r="M39" s="802"/>
    </row>
    <row r="40" ht="30.0" customHeight="1">
      <c r="B40" s="456"/>
      <c r="C40" s="468" t="s">
        <v>26</v>
      </c>
      <c r="D40" s="469"/>
      <c r="E40" s="469"/>
      <c r="F40" s="459">
        <v>0.0</v>
      </c>
      <c r="G40" s="459">
        <f t="shared" si="12"/>
        <v>0</v>
      </c>
      <c r="H40" s="459">
        <f t="shared" si="13"/>
        <v>0</v>
      </c>
      <c r="I40" s="470">
        <v>2.0</v>
      </c>
      <c r="J40" s="68"/>
      <c r="K40" s="462"/>
      <c r="L40" s="34"/>
      <c r="M40" s="802"/>
    </row>
    <row r="41" ht="30.0" customHeight="1">
      <c r="B41" s="456">
        <v>7.0</v>
      </c>
      <c r="C41" s="465" t="s">
        <v>195</v>
      </c>
      <c r="D41" s="466"/>
      <c r="E41" s="466"/>
      <c r="F41" s="459"/>
      <c r="G41" s="459"/>
      <c r="H41" s="459"/>
      <c r="I41" s="460"/>
      <c r="J41" s="72" t="s">
        <v>26</v>
      </c>
      <c r="K41" s="462">
        <f>IF(J41="YES",IF(J12="2010-2013",H42*$J$11,IF(J12="2014-2021",G42*$J$11,IF(J12="2021-2023",F42*$J$11,0))),0)</f>
        <v>0</v>
      </c>
      <c r="L41" s="207" t="s">
        <v>23</v>
      </c>
      <c r="M41" s="801">
        <f>IF(L41="Delapidated",H41*0.6,IF(L41="Poor",H41*0.7,IF(L41="Fair",H41*0.8,IF(L41="Good",H41*0.85,IF(L41="Very Good",H41*0.9,IF(L41="Excellent",H41*1,IF(L41="Not Applicable",H41*1,0)))))))</f>
        <v>0</v>
      </c>
    </row>
    <row r="42" ht="30.0" customHeight="1">
      <c r="B42" s="456"/>
      <c r="C42" s="468" t="s">
        <v>25</v>
      </c>
      <c r="D42" s="469"/>
      <c r="E42" s="469"/>
      <c r="F42" s="467">
        <f>58.3974358974359*17.24%*E16</f>
        <v>12.48397026</v>
      </c>
      <c r="G42" s="459">
        <f t="shared" ref="G42:G43" si="14">F42/$G$16</f>
        <v>9.987176205</v>
      </c>
      <c r="H42" s="459">
        <f t="shared" ref="H42:H43" si="15">F42/$H$16</f>
        <v>9.457553225</v>
      </c>
      <c r="I42" s="470">
        <v>1.0</v>
      </c>
      <c r="J42" s="68"/>
      <c r="K42" s="462"/>
      <c r="L42" s="34"/>
      <c r="M42" s="801"/>
    </row>
    <row r="43" ht="30.0" customHeight="1">
      <c r="B43" s="456"/>
      <c r="C43" s="468" t="s">
        <v>26</v>
      </c>
      <c r="D43" s="469"/>
      <c r="E43" s="469"/>
      <c r="F43" s="459">
        <v>0.0</v>
      </c>
      <c r="G43" s="459">
        <f t="shared" si="14"/>
        <v>0</v>
      </c>
      <c r="H43" s="459">
        <f t="shared" si="15"/>
        <v>0</v>
      </c>
      <c r="I43" s="470">
        <v>2.0</v>
      </c>
      <c r="J43" s="68"/>
      <c r="K43" s="462"/>
      <c r="L43" s="34"/>
      <c r="M43" s="802"/>
    </row>
    <row r="44" ht="30.0" customHeight="1">
      <c r="B44" s="456">
        <v>7.0</v>
      </c>
      <c r="C44" s="465" t="s">
        <v>50</v>
      </c>
      <c r="D44" s="466"/>
      <c r="E44" s="466"/>
      <c r="F44" s="459"/>
      <c r="G44" s="459"/>
      <c r="H44" s="459"/>
      <c r="I44" s="460"/>
      <c r="J44" s="72" t="s">
        <v>25</v>
      </c>
      <c r="K44" s="462">
        <f>IF(J44="YES",IF(J12="2010-2013",H45*$J$11,IF(J12="2014-2021",G45*$J$11,IF(J12="2021-2023",F45*$J$11,0))),0)</f>
        <v>162630.7692</v>
      </c>
      <c r="L44" s="207" t="s">
        <v>23</v>
      </c>
      <c r="M44" s="801">
        <f>IF(L44="Delapidated",K44*0.6,IF(L44="Poor",K44*0.7,IF(L44="Fair",K44*0.8,IF(L44="Good",K44*0.85,IF(L44="Very Good",K44*0.9,IF(L44="Excellent",K44*1,IF(L44="Not Applicable",K44*1,0)))))))</f>
        <v>162630.7692</v>
      </c>
    </row>
    <row r="45" ht="30.0" hidden="1" customHeight="1">
      <c r="B45" s="456"/>
      <c r="C45" s="468" t="s">
        <v>25</v>
      </c>
      <c r="D45" s="469"/>
      <c r="E45" s="469"/>
      <c r="F45" s="459">
        <f>262.307692307692*E16</f>
        <v>325.2615385</v>
      </c>
      <c r="G45" s="459">
        <f t="shared" ref="G45:G46" si="16">F45/$G$16</f>
        <v>260.2092308</v>
      </c>
      <c r="H45" s="459">
        <f t="shared" ref="H45:H46" si="17">F45/$H$16</f>
        <v>246.4102564</v>
      </c>
      <c r="I45" s="470">
        <v>1.0</v>
      </c>
      <c r="J45" s="68"/>
      <c r="K45" s="462"/>
      <c r="L45" s="34"/>
      <c r="M45" s="801"/>
    </row>
    <row r="46" ht="30.0" hidden="1" customHeight="1">
      <c r="B46" s="456"/>
      <c r="C46" s="468" t="s">
        <v>26</v>
      </c>
      <c r="D46" s="469"/>
      <c r="E46" s="469"/>
      <c r="F46" s="459"/>
      <c r="G46" s="459">
        <f t="shared" si="16"/>
        <v>0</v>
      </c>
      <c r="H46" s="459">
        <f t="shared" si="17"/>
        <v>0</v>
      </c>
      <c r="I46" s="470">
        <v>2.0</v>
      </c>
      <c r="J46" s="68"/>
      <c r="K46" s="462"/>
      <c r="L46" s="34"/>
      <c r="M46" s="802"/>
    </row>
    <row r="47" ht="30.0" customHeight="1">
      <c r="B47" s="44">
        <v>8.0</v>
      </c>
      <c r="C47" s="92" t="s">
        <v>51</v>
      </c>
      <c r="D47" s="469"/>
      <c r="E47" s="469"/>
      <c r="F47" s="459"/>
      <c r="G47" s="459"/>
      <c r="H47" s="459"/>
      <c r="I47" s="470"/>
      <c r="J47" s="72" t="s">
        <v>52</v>
      </c>
      <c r="K47" s="462">
        <f>IF(J47="VINYL FLOORING",IF(J12="2010-2013",H48*$J$11,IF(J12="2014-2021",G48*$J$11,IF(J12="2021-2023",F48*$J$11,0))),IF(J47="TILING FLOORING",IF(J12="2010-2013",H49*$J$11,IF(J12="2014-2021",G49*$J$11,IF(J12="2021-2023",F49*$J$11,0))),IF(J47="TIMBER FLOORING",IF(J12="2010-2013",H50*$J$11,IF(J12="2014-2021",G50*$J$11,IF(J12="2021-2023",F50*$J$11,0))),IF(J47="CARPETS FLOORING",IF(J12="2010-2013",H51*$J$11,IF(J12="2014-2021",G51*$J$11,IF(J12="2021-2023",F51*$J$11,0))),0))))</f>
        <v>162567.1795</v>
      </c>
      <c r="L47" s="207" t="s">
        <v>23</v>
      </c>
      <c r="M47" s="801">
        <f>IF(L47="Delapidated",K47*0.6,IF(L47="Poor",K47*0.7,IF(L47="Fair",K47*0.8,IF(L47="Good",K47*0.85,IF(L47="Very Good",K47*0.9,IF(L47="Excellent",K47*1,IF(L47="Not Applicable",K47*1,0)))))))</f>
        <v>162567.1795</v>
      </c>
    </row>
    <row r="48" ht="30.0" customHeight="1">
      <c r="B48" s="44"/>
      <c r="C48" s="79" t="s">
        <v>53</v>
      </c>
      <c r="D48" s="469"/>
      <c r="E48" s="469"/>
      <c r="F48" s="459">
        <f>F49*0.7</f>
        <v>227.5940513</v>
      </c>
      <c r="G48" s="459">
        <f t="shared" ref="G48:G52" si="18">F48/$G$16</f>
        <v>182.075241</v>
      </c>
      <c r="H48" s="459">
        <f t="shared" ref="H48:H52" si="19">F48/$H$16</f>
        <v>172.4197358</v>
      </c>
      <c r="I48" s="470">
        <v>1.0</v>
      </c>
      <c r="J48" s="68"/>
      <c r="K48" s="462"/>
      <c r="L48" s="34"/>
      <c r="M48" s="801"/>
    </row>
    <row r="49" ht="30.0" customHeight="1">
      <c r="B49" s="44"/>
      <c r="C49" s="79" t="s">
        <v>52</v>
      </c>
      <c r="D49" s="469"/>
      <c r="E49" s="469"/>
      <c r="F49" s="459">
        <f>327.75641025641*0.8*E16</f>
        <v>325.134359</v>
      </c>
      <c r="G49" s="459">
        <f t="shared" si="18"/>
        <v>260.1074872</v>
      </c>
      <c r="H49" s="459">
        <f t="shared" si="19"/>
        <v>246.3139083</v>
      </c>
      <c r="I49" s="470">
        <v>2.0</v>
      </c>
      <c r="J49" s="68"/>
      <c r="K49" s="462"/>
      <c r="L49" s="34"/>
      <c r="M49" s="801"/>
    </row>
    <row r="50" ht="30.0" customHeight="1">
      <c r="B50" s="44"/>
      <c r="C50" s="79" t="s">
        <v>54</v>
      </c>
      <c r="D50" s="469"/>
      <c r="E50" s="469"/>
      <c r="F50" s="459">
        <f>F49*1.2</f>
        <v>390.1612308</v>
      </c>
      <c r="G50" s="459">
        <f t="shared" si="18"/>
        <v>312.1289846</v>
      </c>
      <c r="H50" s="459">
        <f t="shared" si="19"/>
        <v>295.57669</v>
      </c>
      <c r="I50" s="470">
        <v>3.0</v>
      </c>
      <c r="J50" s="68"/>
      <c r="K50" s="462"/>
      <c r="L50" s="34"/>
      <c r="M50" s="801"/>
    </row>
    <row r="51" ht="30.0" customHeight="1">
      <c r="B51" s="44"/>
      <c r="C51" s="79" t="s">
        <v>55</v>
      </c>
      <c r="D51" s="469"/>
      <c r="E51" s="469"/>
      <c r="F51" s="459">
        <f>F49*1.3</f>
        <v>422.6746667</v>
      </c>
      <c r="G51" s="459">
        <f t="shared" si="18"/>
        <v>338.1397333</v>
      </c>
      <c r="H51" s="459">
        <f t="shared" si="19"/>
        <v>320.2080808</v>
      </c>
      <c r="I51" s="470">
        <v>4.0</v>
      </c>
      <c r="J51" s="68"/>
      <c r="K51" s="462"/>
      <c r="L51" s="34"/>
      <c r="M51" s="801"/>
    </row>
    <row r="52" ht="30.0" customHeight="1">
      <c r="B52" s="44"/>
      <c r="C52" s="79" t="s">
        <v>56</v>
      </c>
      <c r="D52" s="469"/>
      <c r="E52" s="469"/>
      <c r="F52" s="459">
        <v>0.0</v>
      </c>
      <c r="G52" s="459">
        <f t="shared" si="18"/>
        <v>0</v>
      </c>
      <c r="H52" s="459">
        <f t="shared" si="19"/>
        <v>0</v>
      </c>
      <c r="I52" s="470">
        <v>5.0</v>
      </c>
      <c r="J52" s="68"/>
      <c r="K52" s="462"/>
      <c r="L52" s="34"/>
      <c r="M52" s="802"/>
    </row>
    <row r="53" ht="30.0" customHeight="1">
      <c r="B53" s="61">
        <v>10.0</v>
      </c>
      <c r="C53" s="92" t="s">
        <v>196</v>
      </c>
      <c r="D53" s="92"/>
      <c r="E53" s="92"/>
      <c r="F53" s="303"/>
      <c r="G53" s="303"/>
      <c r="H53" s="303"/>
      <c r="I53" s="77"/>
      <c r="J53" s="72" t="s">
        <v>26</v>
      </c>
      <c r="K53" s="70">
        <f>IF(J53="YES",IF(J12="2010-2013",H54*$J$11,IF(J12="2014-2021",G54*$J$11,IF(J12="2021-2023",F54*$J$11,0))),0)</f>
        <v>0</v>
      </c>
      <c r="L53" s="207" t="s">
        <v>23</v>
      </c>
      <c r="M53" s="801">
        <f>IF(L53="Delapidated",K53*0.6,IF(L53="Poor",K53*0.7,IF(L53="Fair",K53*0.8,IF(L53="Good",K53*0.85,IF(L53="Very Good",K53*0.9,IF(L53="Excellent",K53*1,IF(L53="Not Applicable",K53*1,0)))))))</f>
        <v>0</v>
      </c>
    </row>
    <row r="54" ht="30.0" customHeight="1">
      <c r="B54" s="61"/>
      <c r="C54" s="79" t="s">
        <v>38</v>
      </c>
      <c r="D54" s="220"/>
      <c r="E54" s="220"/>
      <c r="F54" s="67">
        <f>750*E16</f>
        <v>930</v>
      </c>
      <c r="G54" s="303">
        <f t="shared" ref="G54:G55" si="20">F54/$G$16</f>
        <v>744</v>
      </c>
      <c r="H54" s="303">
        <f t="shared" ref="H54:H55" si="21">F54/$H$16</f>
        <v>704.5454545</v>
      </c>
      <c r="I54" s="77"/>
      <c r="J54" s="68"/>
      <c r="K54" s="70"/>
      <c r="L54" s="34"/>
      <c r="M54" s="801"/>
    </row>
    <row r="55" ht="30.0" customHeight="1">
      <c r="B55" s="61"/>
      <c r="C55" s="79" t="s">
        <v>137</v>
      </c>
      <c r="D55" s="220"/>
      <c r="E55" s="220"/>
      <c r="F55" s="67">
        <f>350*E16</f>
        <v>434</v>
      </c>
      <c r="G55" s="303">
        <f t="shared" si="20"/>
        <v>347.2</v>
      </c>
      <c r="H55" s="303">
        <f t="shared" si="21"/>
        <v>328.7878788</v>
      </c>
      <c r="I55" s="77"/>
      <c r="J55" s="68"/>
      <c r="K55" s="70"/>
      <c r="L55" s="34"/>
      <c r="M55" s="801"/>
    </row>
    <row r="56" ht="30.0" customHeight="1">
      <c r="B56" s="456">
        <v>9.0</v>
      </c>
      <c r="C56" s="465" t="s">
        <v>57</v>
      </c>
      <c r="D56" s="466"/>
      <c r="E56" s="466"/>
      <c r="F56" s="459"/>
      <c r="G56" s="459"/>
      <c r="H56" s="459"/>
      <c r="I56" s="460"/>
      <c r="J56" s="72" t="s">
        <v>58</v>
      </c>
      <c r="K56" s="462">
        <f>IF(J56="STEEL WINDOW FRAMES",IF(J12="2010-2013",H57*$J$11,IF(J12="2014-2021",G57*$J$11,IF(J12="2021-2023",F57*$J$11,0))),IF(J56="ALUMINIUM WINDOW FRAMES",IF(J12="2010-2013",H58*$J$11,IF(J12="2014-2021",G58*$J$11,IF(J12="2021-2023",F58*$J$11,0))),0))</f>
        <v>179323.0769</v>
      </c>
      <c r="L56" s="207" t="s">
        <v>23</v>
      </c>
      <c r="M56" s="801">
        <f>IF(L56="Delapidated",K56*0.6,IF(L56="Poor",K56*0.7,IF(L56="Fair",K56*0.8,IF(L56="Good",K56*0.85,IF(L56="Very Good",K56*0.9,IF(L56="Excellent",K56*1,IF(L56="Not Applicable",K56*1,0)))))))</f>
        <v>179323.0769</v>
      </c>
    </row>
    <row r="57" ht="30.0" customHeight="1">
      <c r="B57" s="456"/>
      <c r="C57" s="468" t="s">
        <v>59</v>
      </c>
      <c r="D57" s="469"/>
      <c r="E57" s="469"/>
      <c r="F57" s="459">
        <f>F58*0.3</f>
        <v>107.5938462</v>
      </c>
      <c r="G57" s="459">
        <f t="shared" ref="G57:G59" si="22">F57/$G$16</f>
        <v>86.07507692</v>
      </c>
      <c r="H57" s="459">
        <f t="shared" ref="H57:H59" si="23">F57/$H$16</f>
        <v>81.51048951</v>
      </c>
      <c r="I57" s="470">
        <v>1.0</v>
      </c>
      <c r="J57" s="68"/>
      <c r="K57" s="462"/>
      <c r="L57" s="34"/>
      <c r="M57" s="801"/>
    </row>
    <row r="58" ht="30.0" customHeight="1">
      <c r="B58" s="456"/>
      <c r="C58" s="468" t="s">
        <v>58</v>
      </c>
      <c r="D58" s="469"/>
      <c r="E58" s="469"/>
      <c r="F58" s="459">
        <f>289.230769230769*E16</f>
        <v>358.6461538</v>
      </c>
      <c r="G58" s="459">
        <f t="shared" si="22"/>
        <v>286.9169231</v>
      </c>
      <c r="H58" s="459">
        <f t="shared" si="23"/>
        <v>271.7016317</v>
      </c>
      <c r="I58" s="470">
        <v>2.0</v>
      </c>
      <c r="J58" s="68"/>
      <c r="K58" s="462"/>
      <c r="L58" s="34"/>
      <c r="M58" s="801"/>
    </row>
    <row r="59" ht="30.0" customHeight="1">
      <c r="B59" s="456"/>
      <c r="C59" s="468" t="s">
        <v>60</v>
      </c>
      <c r="D59" s="469"/>
      <c r="E59" s="469"/>
      <c r="F59" s="459">
        <v>0.0</v>
      </c>
      <c r="G59" s="459">
        <f t="shared" si="22"/>
        <v>0</v>
      </c>
      <c r="H59" s="459">
        <f t="shared" si="23"/>
        <v>0</v>
      </c>
      <c r="I59" s="470">
        <v>3.0</v>
      </c>
      <c r="J59" s="68"/>
      <c r="K59" s="462"/>
      <c r="L59" s="34"/>
      <c r="M59" s="802"/>
    </row>
    <row r="60" ht="30.0" customHeight="1">
      <c r="B60" s="456">
        <v>10.0</v>
      </c>
      <c r="C60" s="465" t="s">
        <v>61</v>
      </c>
      <c r="D60" s="466"/>
      <c r="E60" s="466"/>
      <c r="F60" s="459"/>
      <c r="G60" s="459"/>
      <c r="H60" s="459"/>
      <c r="I60" s="460"/>
      <c r="J60" s="72" t="s">
        <v>25</v>
      </c>
      <c r="K60" s="462">
        <f>IF(J60="YES",IF(J12="2010-2013",H61*$J$11,IF(J12="2014-2021",G61*$J$11,IF(J12="2021-2023",F61*$J$11,0))),0)</f>
        <v>111162.8205</v>
      </c>
      <c r="L60" s="207" t="s">
        <v>23</v>
      </c>
      <c r="M60" s="801">
        <f>IF(L60="Delapidated",K60*0.6,IF(L60="Poor",K60*0.7,IF(L60="Fair",K60*0.8,IF(L60="Good",K60*0.85,IF(L60="Very Good",K60*0.9,IF(L60="Excellent",K60*1,IF(L60="Not Applicable",K60*1,0)))))))</f>
        <v>111162.8205</v>
      </c>
    </row>
    <row r="61" ht="30.0" hidden="1" customHeight="1">
      <c r="B61" s="456"/>
      <c r="C61" s="468" t="s">
        <v>25</v>
      </c>
      <c r="D61" s="469"/>
      <c r="E61" s="469"/>
      <c r="F61" s="459">
        <f>179.294871794872*E16</f>
        <v>222.325641</v>
      </c>
      <c r="G61" s="459">
        <f t="shared" ref="G61:G62" si="24">F61/$G$16</f>
        <v>177.8605128</v>
      </c>
      <c r="H61" s="459">
        <f t="shared" ref="H61:H62" si="25">F61/$H$16</f>
        <v>168.4285159</v>
      </c>
      <c r="I61" s="470">
        <v>1.0</v>
      </c>
      <c r="J61" s="68"/>
      <c r="K61" s="462"/>
      <c r="L61" s="34"/>
      <c r="M61" s="801"/>
    </row>
    <row r="62" ht="30.0" hidden="1" customHeight="1">
      <c r="B62" s="456"/>
      <c r="C62" s="468" t="s">
        <v>26</v>
      </c>
      <c r="D62" s="469"/>
      <c r="E62" s="469"/>
      <c r="F62" s="459">
        <v>0.0</v>
      </c>
      <c r="G62" s="459">
        <f t="shared" si="24"/>
        <v>0</v>
      </c>
      <c r="H62" s="459">
        <f t="shared" si="25"/>
        <v>0</v>
      </c>
      <c r="I62" s="470">
        <v>2.0</v>
      </c>
      <c r="J62" s="68"/>
      <c r="K62" s="462"/>
      <c r="L62" s="34"/>
      <c r="M62" s="802"/>
    </row>
    <row r="63" ht="30.0" customHeight="1">
      <c r="B63" s="456">
        <v>11.0</v>
      </c>
      <c r="C63" s="208" t="s">
        <v>62</v>
      </c>
      <c r="D63" s="466"/>
      <c r="E63" s="466"/>
      <c r="F63" s="459"/>
      <c r="G63" s="459"/>
      <c r="H63" s="459"/>
      <c r="I63" s="460"/>
      <c r="J63" s="72" t="s">
        <v>25</v>
      </c>
      <c r="K63" s="462">
        <f>IF(J63="YES",IF(J12="2010-2013",H64*$J$11,IF(J12="2014-2021",G64*$J$11,IF(J12="2021-2023",F64*$J$11,0))),0)</f>
        <v>203208.9744</v>
      </c>
      <c r="L63" s="207" t="s">
        <v>23</v>
      </c>
      <c r="M63" s="801">
        <f>IF(L63="Delapidated",K63*0.6,IF(L63="Poor",K63*0.7,IF(L63="Fair",K63*0.8,IF(L63="Good",K63*0.85,IF(L63="Very Good",K63*0.9,IF(L63="Excellent",K63*1,IF(L63="Not Applicable",K63*1,0)))))))</f>
        <v>203208.9744</v>
      </c>
    </row>
    <row r="64" ht="30.0" hidden="1" customHeight="1">
      <c r="B64" s="456"/>
      <c r="C64" s="468" t="s">
        <v>25</v>
      </c>
      <c r="D64" s="469"/>
      <c r="E64" s="469"/>
      <c r="F64" s="459">
        <f>327.75641025641*E16</f>
        <v>406.4179487</v>
      </c>
      <c r="G64" s="459">
        <f t="shared" ref="G64:G65" si="26">F64/$G$16</f>
        <v>325.134359</v>
      </c>
      <c r="H64" s="459">
        <f t="shared" ref="H64:H65" si="27">F64/$H$16</f>
        <v>307.8923854</v>
      </c>
      <c r="I64" s="470">
        <v>1.0</v>
      </c>
      <c r="J64" s="68"/>
      <c r="K64" s="462"/>
      <c r="L64" s="34"/>
      <c r="M64" s="801"/>
    </row>
    <row r="65" ht="30.0" hidden="1" customHeight="1">
      <c r="B65" s="456"/>
      <c r="C65" s="468" t="s">
        <v>26</v>
      </c>
      <c r="D65" s="469"/>
      <c r="E65" s="469"/>
      <c r="F65" s="459">
        <v>0.0</v>
      </c>
      <c r="G65" s="459">
        <f t="shared" si="26"/>
        <v>0</v>
      </c>
      <c r="H65" s="459">
        <f t="shared" si="27"/>
        <v>0</v>
      </c>
      <c r="I65" s="470">
        <v>2.0</v>
      </c>
      <c r="J65" s="68"/>
      <c r="K65" s="462"/>
      <c r="L65" s="34"/>
      <c r="M65" s="802"/>
    </row>
    <row r="66" ht="30.0" customHeight="1">
      <c r="A66" s="34"/>
      <c r="B66" s="44"/>
      <c r="C66" s="214" t="s">
        <v>167</v>
      </c>
      <c r="D66" s="66"/>
      <c r="E66" s="66"/>
      <c r="F66" s="67"/>
      <c r="G66" s="67"/>
      <c r="H66" s="67"/>
      <c r="I66" s="460"/>
      <c r="J66" s="227">
        <v>10.0</v>
      </c>
      <c r="K66" s="34"/>
      <c r="L66" s="199"/>
      <c r="M66" s="199"/>
      <c r="N66" s="45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B67" s="456">
        <v>12.0</v>
      </c>
      <c r="C67" s="465" t="s">
        <v>93</v>
      </c>
      <c r="D67" s="466"/>
      <c r="E67" s="466"/>
      <c r="F67" s="459"/>
      <c r="G67" s="459"/>
      <c r="H67" s="459"/>
      <c r="I67" s="460"/>
      <c r="J67" s="72" t="s">
        <v>25</v>
      </c>
      <c r="K67" s="462">
        <f>IF(J67="YES",IF(J12="2010-2013",H68*$J$66,IF(J12="2014-2021",G68*$J$66,IF(J12="2021-2023",F68*$J$66,0))),0)</f>
        <v>150000</v>
      </c>
      <c r="L67" s="207" t="s">
        <v>23</v>
      </c>
      <c r="M67" s="801">
        <f>IF(L67="Delapidated",K67*0.6,IF(L67="Poor",K67*0.7,IF(L67="Fair",K67*0.8,IF(L67="Good",K67*0.85,IF(L67="Very Good",K67*0.9,IF(L67="Excellent",K67*1,IF(L67="Not Applicable",K67*1,0)))))))</f>
        <v>150000</v>
      </c>
    </row>
    <row r="68" ht="30.0" hidden="1" customHeight="1">
      <c r="B68" s="456"/>
      <c r="C68" s="468" t="s">
        <v>25</v>
      </c>
      <c r="D68" s="469"/>
      <c r="E68" s="469"/>
      <c r="F68" s="459">
        <v>15000.0</v>
      </c>
      <c r="G68" s="459">
        <f t="shared" ref="G68:G69" si="28">F68/$G$16</f>
        <v>12000</v>
      </c>
      <c r="H68" s="459">
        <f t="shared" ref="H68:H69" si="29">F68/$H$16</f>
        <v>11363.63636</v>
      </c>
      <c r="I68" s="470">
        <v>1.0</v>
      </c>
      <c r="J68" s="68"/>
      <c r="K68" s="462"/>
      <c r="L68" s="34"/>
      <c r="M68" s="801"/>
    </row>
    <row r="69" ht="30.0" hidden="1" customHeight="1">
      <c r="B69" s="456"/>
      <c r="C69" s="468" t="s">
        <v>26</v>
      </c>
      <c r="D69" s="469"/>
      <c r="E69" s="469"/>
      <c r="F69" s="459">
        <v>0.0</v>
      </c>
      <c r="G69" s="459">
        <f t="shared" si="28"/>
        <v>0</v>
      </c>
      <c r="H69" s="459">
        <f t="shared" si="29"/>
        <v>0</v>
      </c>
      <c r="I69" s="470">
        <v>2.0</v>
      </c>
      <c r="J69" s="68"/>
      <c r="K69" s="473"/>
      <c r="L69" s="34"/>
      <c r="M69" s="802"/>
    </row>
    <row r="70" ht="30.0" customHeight="1">
      <c r="B70" s="456">
        <v>13.0</v>
      </c>
      <c r="C70" s="465" t="s">
        <v>65</v>
      </c>
      <c r="D70" s="466"/>
      <c r="E70" s="466"/>
      <c r="F70" s="467"/>
      <c r="G70" s="459"/>
      <c r="H70" s="459"/>
      <c r="I70" s="460"/>
      <c r="J70" s="72" t="s">
        <v>25</v>
      </c>
      <c r="K70" s="462">
        <f>IF(J70="YES",IF(J12="2010-2013",H71*$J$11,IF(J12="2014-2021",G71*$J$11,IF(J12="2021-2023",F71*$J$11,0))),0)</f>
        <v>44230.76923</v>
      </c>
      <c r="L70" s="207" t="s">
        <v>23</v>
      </c>
      <c r="M70" s="801">
        <f>IF(L70="Delapidated",K70*0.6,IF(L70="Poor",K70*0.7,IF(L70="Fair",K70*0.8,IF(L70="Good",K70*0.85,IF(L70="Very Good",K70*0.9,IF(L70="Excellent",K70*1,IF(L70="Not Applicable",K70*1,0)))))))</f>
        <v>44230.76923</v>
      </c>
    </row>
    <row r="71" ht="30.0" hidden="1" customHeight="1">
      <c r="B71" s="456"/>
      <c r="C71" s="468" t="s">
        <v>25</v>
      </c>
      <c r="D71" s="469"/>
      <c r="E71" s="469"/>
      <c r="F71" s="459">
        <v>88.4615384615385</v>
      </c>
      <c r="G71" s="459">
        <f t="shared" ref="G71:G72" si="30">F71/$G$16</f>
        <v>70.76923077</v>
      </c>
      <c r="H71" s="459">
        <f t="shared" ref="H71:H72" si="31">F71/$H$16</f>
        <v>67.01631702</v>
      </c>
      <c r="I71" s="470">
        <v>1.0</v>
      </c>
      <c r="J71" s="68"/>
      <c r="K71" s="462"/>
      <c r="L71" s="34"/>
      <c r="M71" s="801"/>
    </row>
    <row r="72" ht="30.0" hidden="1" customHeight="1">
      <c r="B72" s="456"/>
      <c r="C72" s="468" t="s">
        <v>26</v>
      </c>
      <c r="D72" s="469"/>
      <c r="E72" s="469"/>
      <c r="F72" s="459">
        <v>0.0</v>
      </c>
      <c r="G72" s="459">
        <f t="shared" si="30"/>
        <v>0</v>
      </c>
      <c r="H72" s="459">
        <f t="shared" si="31"/>
        <v>0</v>
      </c>
      <c r="I72" s="470">
        <v>2.0</v>
      </c>
      <c r="J72" s="68"/>
      <c r="K72" s="462"/>
      <c r="L72" s="34"/>
      <c r="M72" s="802"/>
    </row>
    <row r="73" ht="30.0" customHeight="1">
      <c r="B73" s="456">
        <v>14.0</v>
      </c>
      <c r="C73" s="465" t="s">
        <v>94</v>
      </c>
      <c r="D73" s="466"/>
      <c r="E73" s="466"/>
      <c r="F73" s="459"/>
      <c r="G73" s="459"/>
      <c r="H73" s="459"/>
      <c r="I73" s="460"/>
      <c r="J73" s="72" t="s">
        <v>25</v>
      </c>
      <c r="K73" s="462">
        <f>IF(J73="YES",IF(J12="2010-2013",H74*$J$11,IF(J12="2014-2021",G74*$J$11,IF(J12="2021-2023",F74*$J$11,0))),0)</f>
        <v>317307.6923</v>
      </c>
      <c r="L73" s="207" t="s">
        <v>23</v>
      </c>
      <c r="M73" s="801">
        <f>IF(L73="Delapidated",K73*0.6,IF(L73="Poor",K73*0.7,IF(L73="Fair",K73*0.8,IF(L73="Good",K73*0.85,IF(L73="Very Good",K73*0.9,IF(L73="Excellent",K73*1,IF(L73="Not Applicable",K73*1,0)))))))</f>
        <v>317307.6923</v>
      </c>
    </row>
    <row r="74" ht="30.0" hidden="1" customHeight="1">
      <c r="B74" s="456">
        <v>14.0</v>
      </c>
      <c r="C74" s="468" t="s">
        <v>25</v>
      </c>
      <c r="D74" s="469"/>
      <c r="E74" s="469"/>
      <c r="F74" s="459">
        <v>634.615384615385</v>
      </c>
      <c r="G74" s="459">
        <f t="shared" ref="G74:G75" si="32">F74/$G$16</f>
        <v>507.6923077</v>
      </c>
      <c r="H74" s="459">
        <f t="shared" ref="H74:H75" si="33">F74/$H$16</f>
        <v>480.7692308</v>
      </c>
      <c r="I74" s="470">
        <v>1.0</v>
      </c>
      <c r="J74" s="307"/>
      <c r="K74" s="462"/>
      <c r="L74" s="34"/>
      <c r="M74" s="801"/>
    </row>
    <row r="75" ht="30.0" hidden="1" customHeight="1">
      <c r="B75" s="456">
        <v>14.0</v>
      </c>
      <c r="C75" s="468" t="s">
        <v>26</v>
      </c>
      <c r="D75" s="469"/>
      <c r="E75" s="469"/>
      <c r="F75" s="459">
        <v>0.0</v>
      </c>
      <c r="G75" s="459">
        <f t="shared" si="32"/>
        <v>0</v>
      </c>
      <c r="H75" s="459">
        <f t="shared" si="33"/>
        <v>0</v>
      </c>
      <c r="I75" s="470">
        <v>2.0</v>
      </c>
      <c r="J75" s="307"/>
      <c r="K75" s="462"/>
      <c r="L75" s="34"/>
      <c r="M75" s="802"/>
    </row>
    <row r="76" ht="30.0" customHeight="1">
      <c r="B76" s="456">
        <v>15.0</v>
      </c>
      <c r="C76" s="465" t="s">
        <v>68</v>
      </c>
      <c r="D76" s="466"/>
      <c r="E76" s="466"/>
      <c r="F76" s="459"/>
      <c r="G76" s="459"/>
      <c r="H76" s="459"/>
      <c r="I76" s="460"/>
      <c r="J76" s="72" t="s">
        <v>25</v>
      </c>
      <c r="K76" s="462">
        <f>IF(J76="YES",IF(J12="2010-2013",H77*$J$11,IF(J12="2014-2021",G77*$J$11,IF(J12="2021-2023",F77*$J$11,0))),0)</f>
        <v>60000</v>
      </c>
      <c r="L76" s="207" t="s">
        <v>23</v>
      </c>
      <c r="M76" s="801">
        <f>IF(L76="Delapidated",K76*0.6,IF(L76="Poor",K76*0.7,IF(L76="Fair",K76*0.8,IF(L76="Good",K76*0.85,IF(L76="Very Good",K76*0.9,IF(L76="Excellent",K76*1,IF(L76="Not Applicable",K76*1,0)))))))</f>
        <v>60000</v>
      </c>
    </row>
    <row r="77" ht="30.0" hidden="1" customHeight="1">
      <c r="B77" s="456"/>
      <c r="C77" s="468" t="s">
        <v>25</v>
      </c>
      <c r="D77" s="469"/>
      <c r="E77" s="469"/>
      <c r="F77" s="467">
        <v>120.0</v>
      </c>
      <c r="G77" s="459">
        <f t="shared" ref="G77:G82" si="34">F77/$G$16</f>
        <v>96</v>
      </c>
      <c r="H77" s="459">
        <f t="shared" ref="H77:H82" si="35">F77/$H$16</f>
        <v>90.90909091</v>
      </c>
      <c r="I77" s="470">
        <v>1.0</v>
      </c>
      <c r="J77" s="322"/>
      <c r="K77" s="462"/>
      <c r="L77" s="17"/>
      <c r="M77" s="799"/>
    </row>
    <row r="78" ht="30.0" hidden="1" customHeight="1">
      <c r="B78" s="456"/>
      <c r="C78" s="468" t="s">
        <v>26</v>
      </c>
      <c r="D78" s="469"/>
      <c r="E78" s="469"/>
      <c r="F78" s="475">
        <v>0.0</v>
      </c>
      <c r="G78" s="459">
        <f t="shared" si="34"/>
        <v>0</v>
      </c>
      <c r="H78" s="459">
        <f t="shared" si="35"/>
        <v>0</v>
      </c>
      <c r="I78" s="470">
        <v>2.0</v>
      </c>
      <c r="J78" s="322"/>
      <c r="K78" s="608"/>
      <c r="L78" s="250"/>
      <c r="M78" s="804"/>
    </row>
    <row r="79" ht="30.0" customHeight="1">
      <c r="A79" s="386"/>
      <c r="B79" s="193"/>
      <c r="C79" s="220"/>
      <c r="D79" s="469"/>
      <c r="E79" s="469"/>
      <c r="F79" s="478"/>
      <c r="G79" s="459">
        <f t="shared" si="34"/>
        <v>0</v>
      </c>
      <c r="H79" s="459">
        <f t="shared" si="35"/>
        <v>0</v>
      </c>
      <c r="I79" s="479"/>
      <c r="J79" s="480"/>
      <c r="K79" s="481"/>
      <c r="L79" s="193"/>
      <c r="M79" s="610"/>
      <c r="N79" s="386"/>
      <c r="O79" s="386"/>
      <c r="P79" s="386"/>
      <c r="Q79" s="386"/>
      <c r="R79" s="386"/>
      <c r="S79" s="386"/>
      <c r="T79" s="386"/>
      <c r="U79" s="386"/>
      <c r="V79" s="386"/>
      <c r="W79" s="386"/>
      <c r="X79" s="386"/>
      <c r="Y79" s="386"/>
      <c r="Z79" s="386"/>
    </row>
    <row r="80" ht="30.0" customHeight="1">
      <c r="B80" s="44"/>
      <c r="C80" s="214" t="s">
        <v>69</v>
      </c>
      <c r="D80" s="469"/>
      <c r="E80" s="469"/>
      <c r="F80" s="484"/>
      <c r="G80" s="459">
        <f t="shared" si="34"/>
        <v>0</v>
      </c>
      <c r="H80" s="459">
        <f t="shared" si="35"/>
        <v>0</v>
      </c>
      <c r="I80" s="485"/>
      <c r="J80" s="227">
        <v>22.0</v>
      </c>
      <c r="K80" s="486"/>
      <c r="L80" s="193"/>
      <c r="M80" s="610"/>
    </row>
    <row r="81" ht="30.0" customHeight="1">
      <c r="B81" s="44">
        <v>16.0</v>
      </c>
      <c r="C81" s="92" t="s">
        <v>156</v>
      </c>
      <c r="D81" s="469"/>
      <c r="E81" s="469"/>
      <c r="F81" s="484"/>
      <c r="G81" s="459">
        <f t="shared" si="34"/>
        <v>0</v>
      </c>
      <c r="H81" s="459">
        <f t="shared" si="35"/>
        <v>0</v>
      </c>
      <c r="I81" s="470"/>
      <c r="J81" s="229" t="s">
        <v>25</v>
      </c>
      <c r="K81" s="476">
        <f>IF(J81="YES",IF(J12="2010-2013",H82*J80,IF(J12="2014-2021",G82*J80,IF(J12="2021-2023",F82*J80,0))),0)</f>
        <v>79112</v>
      </c>
      <c r="L81" s="207" t="s">
        <v>23</v>
      </c>
      <c r="M81" s="801">
        <f>IF(L81="Delapidated",K81*0.6,IF(L81="Poor",K81*0.7,IF(L81="Fair",K81*0.8,IF(L81="Good",K81*0.85,IF(L81="Very Good",K81*0.9,IF(L81="Excellent",K81*1,IF(L81="Not Applicable",K81*1,0)))))))</f>
        <v>79112</v>
      </c>
    </row>
    <row r="82" ht="30.0" hidden="1" customHeight="1">
      <c r="B82" s="44"/>
      <c r="C82" s="79" t="s">
        <v>25</v>
      </c>
      <c r="D82" s="469"/>
      <c r="E82" s="469"/>
      <c r="F82" s="484">
        <f>2900*E16</f>
        <v>3596</v>
      </c>
      <c r="G82" s="459">
        <f t="shared" si="34"/>
        <v>2876.8</v>
      </c>
      <c r="H82" s="459">
        <f t="shared" si="35"/>
        <v>2724.242424</v>
      </c>
      <c r="I82" s="470">
        <v>1.0</v>
      </c>
      <c r="J82" s="97"/>
      <c r="K82" s="476"/>
      <c r="L82" s="17"/>
      <c r="M82" s="799"/>
    </row>
    <row r="83" ht="30.0" hidden="1" customHeight="1">
      <c r="B83" s="44"/>
      <c r="C83" s="79" t="s">
        <v>26</v>
      </c>
      <c r="D83" s="469"/>
      <c r="E83" s="469"/>
      <c r="F83" s="484"/>
      <c r="G83" s="459"/>
      <c r="H83" s="484"/>
      <c r="I83" s="470">
        <v>2.0</v>
      </c>
      <c r="J83" s="562"/>
      <c r="K83" s="476"/>
      <c r="L83" s="17"/>
      <c r="M83" s="800"/>
    </row>
    <row r="84" ht="30.0" hidden="1" customHeight="1">
      <c r="B84" s="494"/>
      <c r="C84" s="495" t="s">
        <v>71</v>
      </c>
      <c r="D84" s="495"/>
      <c r="E84" s="495"/>
      <c r="F84" s="493"/>
      <c r="G84" s="493"/>
      <c r="H84" s="493"/>
      <c r="I84" s="496"/>
      <c r="J84" s="338"/>
      <c r="K84" s="892"/>
      <c r="L84" s="871"/>
      <c r="M84" s="331"/>
    </row>
    <row r="85" ht="30.0" hidden="1" customHeight="1">
      <c r="B85" s="494"/>
      <c r="C85" s="499" t="s">
        <v>72</v>
      </c>
      <c r="D85" s="499"/>
      <c r="E85" s="499"/>
      <c r="F85" s="500"/>
      <c r="G85" s="500"/>
      <c r="H85" s="500"/>
      <c r="I85" s="501"/>
      <c r="J85" s="78"/>
      <c r="K85" s="893"/>
      <c r="L85" s="17"/>
      <c r="M85" s="894"/>
    </row>
    <row r="86" ht="30.0" hidden="1" customHeight="1">
      <c r="B86" s="494"/>
      <c r="C86" s="504"/>
      <c r="D86" s="504"/>
      <c r="E86" s="504"/>
      <c r="F86" s="505"/>
      <c r="G86" s="505"/>
      <c r="H86" s="505"/>
      <c r="I86" s="506"/>
      <c r="J86" s="895"/>
      <c r="K86" s="896"/>
      <c r="L86" s="17"/>
      <c r="M86" s="897"/>
    </row>
    <row r="87" ht="30.0" hidden="1" customHeight="1">
      <c r="B87" s="494"/>
      <c r="C87" s="495" t="s">
        <v>71</v>
      </c>
      <c r="D87" s="495"/>
      <c r="E87" s="495"/>
      <c r="F87" s="493"/>
      <c r="G87" s="493"/>
      <c r="H87" s="493"/>
      <c r="I87" s="509"/>
      <c r="J87" s="72" t="s">
        <v>25</v>
      </c>
      <c r="K87" s="892">
        <f>IF(J87="YES",IF(J12="2010-2013",H88*J86,IF(J18="2014-2021",G88*J86,IF(J18="2021-2023",F88*J86,0))),0)</f>
        <v>0</v>
      </c>
      <c r="L87" s="17"/>
      <c r="M87" s="894"/>
    </row>
    <row r="88" ht="30.0" hidden="1" customHeight="1">
      <c r="B88" s="510"/>
      <c r="C88" s="511" t="s">
        <v>73</v>
      </c>
      <c r="D88" s="511"/>
      <c r="E88" s="511"/>
      <c r="F88" s="515"/>
      <c r="G88" s="515"/>
      <c r="H88" s="515"/>
      <c r="I88" s="898"/>
      <c r="J88" s="515"/>
      <c r="K88" s="579"/>
      <c r="L88" s="17"/>
      <c r="M88" s="897"/>
    </row>
    <row r="89" ht="30.0" customHeight="1">
      <c r="A89" s="386"/>
      <c r="B89" s="518"/>
      <c r="C89" s="519"/>
      <c r="D89" s="519"/>
      <c r="E89" s="519"/>
      <c r="F89" s="522"/>
      <c r="G89" s="522"/>
      <c r="H89" s="522"/>
      <c r="I89" s="522"/>
      <c r="J89" s="522"/>
      <c r="K89" s="899"/>
      <c r="L89" s="250"/>
      <c r="M89" s="738"/>
      <c r="N89" s="386"/>
      <c r="O89" s="386"/>
      <c r="P89" s="386"/>
      <c r="Q89" s="386"/>
      <c r="R89" s="386"/>
      <c r="S89" s="386"/>
      <c r="T89" s="386"/>
      <c r="U89" s="386"/>
      <c r="V89" s="386"/>
      <c r="W89" s="386"/>
      <c r="X89" s="386"/>
      <c r="Y89" s="386"/>
      <c r="Z89" s="386"/>
    </row>
    <row r="90" ht="30.0" customHeight="1">
      <c r="B90" s="524"/>
      <c r="C90" s="17"/>
      <c r="D90" s="900"/>
      <c r="E90" s="900"/>
      <c r="F90" s="901"/>
      <c r="G90" s="901"/>
      <c r="H90" s="901"/>
      <c r="I90" s="522"/>
      <c r="J90" s="902" t="s">
        <v>143</v>
      </c>
      <c r="K90" s="527">
        <f>SUM(K17:K81)</f>
        <v>3068735.695</v>
      </c>
      <c r="L90" s="17"/>
      <c r="M90" s="266">
        <f>SUM(M17:M81)</f>
        <v>2644783.603</v>
      </c>
    </row>
    <row r="91" ht="30.0" customHeight="1">
      <c r="A91" s="386"/>
      <c r="B91" s="518"/>
      <c r="C91" s="519"/>
      <c r="D91" s="519"/>
      <c r="E91" s="519"/>
      <c r="F91" s="522"/>
      <c r="G91" s="522"/>
      <c r="H91" s="522"/>
      <c r="I91" s="522"/>
      <c r="J91" s="522"/>
      <c r="K91" s="903"/>
      <c r="L91" s="17"/>
      <c r="M91" s="261"/>
      <c r="N91" s="386"/>
      <c r="O91" s="386"/>
      <c r="P91" s="386"/>
      <c r="Q91" s="386"/>
      <c r="R91" s="386"/>
      <c r="S91" s="386"/>
      <c r="T91" s="386"/>
      <c r="U91" s="386"/>
      <c r="V91" s="386"/>
      <c r="W91" s="386"/>
      <c r="X91" s="386"/>
      <c r="Y91" s="386"/>
      <c r="Z91" s="386"/>
    </row>
    <row r="92" ht="30.0" customHeight="1">
      <c r="B92" s="529"/>
      <c r="C92" s="529"/>
      <c r="D92" s="529"/>
      <c r="E92" s="529"/>
      <c r="F92" s="904"/>
      <c r="G92" s="904"/>
      <c r="H92" s="904"/>
      <c r="I92" s="904"/>
      <c r="J92" s="138" t="s">
        <v>131</v>
      </c>
      <c r="K92" s="527">
        <f>K90/J11</f>
        <v>6137.471391</v>
      </c>
      <c r="L92" s="17"/>
      <c r="M92" s="266">
        <f>M90/J11</f>
        <v>5289.567206</v>
      </c>
    </row>
    <row r="93" ht="12.0" customHeight="1">
      <c r="K93" s="2"/>
      <c r="M93" s="2"/>
    </row>
    <row r="94" ht="12.0" customHeight="1">
      <c r="K94" s="2"/>
      <c r="M94" s="2"/>
    </row>
    <row r="95" ht="12.0" customHeight="1">
      <c r="K95" s="2"/>
      <c r="M95" s="2"/>
    </row>
    <row r="96" ht="12.0" customHeight="1">
      <c r="K96" s="2"/>
      <c r="M96" s="2"/>
    </row>
    <row r="97" ht="12.0" customHeight="1">
      <c r="K97" s="2"/>
      <c r="M97" s="2"/>
    </row>
    <row r="98" ht="12.0" customHeight="1">
      <c r="K98" s="2"/>
      <c r="M98" s="2"/>
    </row>
    <row r="99" ht="12.0" customHeight="1">
      <c r="K99" s="2"/>
      <c r="M99" s="2"/>
    </row>
    <row r="100" ht="12.0" customHeight="1">
      <c r="K100" s="2"/>
      <c r="M100" s="2"/>
    </row>
    <row r="101" ht="12.0" customHeight="1">
      <c r="K101" s="2"/>
      <c r="M101" s="2"/>
    </row>
    <row r="102" ht="12.0" customHeight="1">
      <c r="K102" s="2"/>
      <c r="M102" s="2"/>
    </row>
    <row r="103" ht="12.0" customHeight="1">
      <c r="K103" s="2"/>
      <c r="M103" s="2"/>
    </row>
    <row r="104" ht="12.0" customHeight="1">
      <c r="K104" s="2"/>
      <c r="M104" s="2"/>
    </row>
    <row r="105" ht="12.0" customHeight="1">
      <c r="K105" s="2"/>
      <c r="M105" s="2"/>
    </row>
    <row r="106" ht="12.0" customHeight="1">
      <c r="K106" s="2"/>
      <c r="M106" s="2"/>
    </row>
    <row r="107" ht="12.0" customHeight="1">
      <c r="K107" s="2"/>
      <c r="M107" s="2"/>
    </row>
    <row r="108" ht="12.0" customHeight="1">
      <c r="K108" s="2"/>
      <c r="M108" s="2"/>
    </row>
    <row r="109" ht="12.0" customHeight="1">
      <c r="K109" s="2"/>
      <c r="M109" s="2"/>
    </row>
    <row r="110" ht="12.0" customHeight="1">
      <c r="K110" s="2"/>
      <c r="M110" s="2"/>
    </row>
    <row r="111" ht="12.0" customHeight="1">
      <c r="K111" s="2"/>
      <c r="M111" s="2"/>
    </row>
    <row r="112" ht="12.0" customHeight="1">
      <c r="K112" s="2"/>
      <c r="M112" s="2"/>
    </row>
    <row r="113" ht="12.0" customHeight="1">
      <c r="K113" s="2"/>
      <c r="M113" s="2"/>
    </row>
    <row r="114" ht="12.0" customHeight="1">
      <c r="K114" s="2"/>
      <c r="M114" s="2"/>
    </row>
    <row r="115" ht="12.0" customHeight="1">
      <c r="K115" s="2"/>
      <c r="M115" s="2"/>
    </row>
    <row r="116" ht="12.0" customHeight="1">
      <c r="K116" s="2"/>
      <c r="M116" s="2"/>
    </row>
    <row r="117" ht="12.0" customHeight="1">
      <c r="K117" s="2"/>
      <c r="M117" s="2"/>
    </row>
    <row r="118" ht="12.0" customHeight="1">
      <c r="K118" s="2"/>
      <c r="M118" s="2"/>
    </row>
    <row r="119" ht="12.0" customHeight="1">
      <c r="K119" s="2"/>
      <c r="M119" s="2"/>
    </row>
    <row r="120" ht="12.0" customHeight="1">
      <c r="K120" s="2"/>
      <c r="M120" s="2"/>
    </row>
    <row r="121" ht="12.0" customHeight="1">
      <c r="K121" s="2"/>
      <c r="M121" s="2"/>
    </row>
    <row r="122" ht="12.0" customHeight="1">
      <c r="K122" s="2"/>
      <c r="M122" s="2"/>
    </row>
    <row r="123" ht="12.0" customHeight="1">
      <c r="K123" s="2"/>
      <c r="M123" s="2"/>
    </row>
    <row r="124" ht="12.0" customHeight="1">
      <c r="K124" s="2"/>
      <c r="M124" s="2"/>
    </row>
    <row r="125" ht="12.0" customHeight="1">
      <c r="K125" s="2"/>
      <c r="M125" s="2"/>
    </row>
    <row r="126" ht="12.0" customHeight="1">
      <c r="K126" s="2"/>
      <c r="M126" s="2"/>
    </row>
    <row r="127" ht="12.0" customHeight="1">
      <c r="K127" s="2"/>
      <c r="M127" s="2"/>
    </row>
    <row r="128" ht="12.0" customHeight="1">
      <c r="K128" s="2"/>
      <c r="M128" s="2"/>
    </row>
    <row r="129" ht="12.0" customHeight="1">
      <c r="K129" s="2"/>
      <c r="M129" s="2"/>
    </row>
    <row r="130" ht="12.0" customHeight="1">
      <c r="K130" s="2"/>
      <c r="M130" s="2"/>
    </row>
    <row r="131" ht="12.0" customHeight="1">
      <c r="K131" s="2"/>
      <c r="M131" s="2"/>
    </row>
    <row r="132" ht="12.0" customHeight="1">
      <c r="K132" s="2"/>
      <c r="M132" s="2"/>
    </row>
    <row r="133" ht="12.0" customHeight="1">
      <c r="K133" s="2"/>
      <c r="M133" s="2"/>
    </row>
    <row r="134" ht="12.0" customHeight="1">
      <c r="K134" s="2"/>
      <c r="M134" s="2"/>
    </row>
    <row r="135" ht="12.0" customHeight="1">
      <c r="K135" s="2"/>
      <c r="M135" s="2"/>
    </row>
    <row r="136" ht="12.0" customHeight="1">
      <c r="K136" s="2"/>
      <c r="M136" s="2"/>
    </row>
    <row r="137" ht="12.0" customHeight="1">
      <c r="K137" s="2"/>
      <c r="M137" s="2"/>
    </row>
    <row r="138" ht="12.0" customHeight="1">
      <c r="K138" s="2"/>
      <c r="M138" s="2"/>
    </row>
    <row r="139" ht="12.0" customHeight="1">
      <c r="K139" s="2"/>
      <c r="M139" s="2"/>
    </row>
    <row r="140" ht="12.0" customHeight="1">
      <c r="K140" s="2"/>
      <c r="M140" s="2"/>
    </row>
    <row r="141" ht="12.0" customHeight="1">
      <c r="K141" s="2"/>
      <c r="M141" s="2"/>
    </row>
    <row r="142" ht="12.0" customHeight="1">
      <c r="K142" s="2"/>
      <c r="M142" s="2"/>
    </row>
    <row r="143" ht="12.0" customHeight="1">
      <c r="K143" s="2"/>
      <c r="M143" s="2"/>
    </row>
    <row r="144" ht="12.0" customHeight="1">
      <c r="K144" s="2"/>
      <c r="M144" s="2"/>
    </row>
    <row r="145" ht="12.0" customHeight="1">
      <c r="K145" s="2"/>
      <c r="M145" s="2"/>
    </row>
    <row r="146" ht="12.0" customHeight="1">
      <c r="K146" s="2"/>
      <c r="M146" s="2"/>
    </row>
    <row r="147" ht="12.0" customHeight="1">
      <c r="K147" s="2"/>
      <c r="M147" s="2"/>
    </row>
    <row r="148" ht="12.0" customHeight="1">
      <c r="K148" s="2"/>
      <c r="M148" s="2"/>
    </row>
    <row r="149" ht="12.0" customHeight="1">
      <c r="K149" s="2"/>
      <c r="M149" s="2"/>
    </row>
    <row r="150" ht="12.0" customHeight="1">
      <c r="K150" s="2"/>
      <c r="M150" s="2"/>
    </row>
    <row r="151" ht="12.0" customHeight="1">
      <c r="K151" s="2"/>
      <c r="M151" s="2"/>
    </row>
    <row r="152" ht="12.0" customHeight="1">
      <c r="K152" s="2"/>
      <c r="M152" s="2"/>
    </row>
    <row r="153" ht="12.0" customHeight="1">
      <c r="K153" s="2"/>
      <c r="M153" s="2"/>
    </row>
    <row r="154" ht="12.0" customHeight="1">
      <c r="K154" s="2"/>
      <c r="M154" s="2"/>
    </row>
    <row r="155" ht="12.0" customHeight="1">
      <c r="K155" s="2"/>
      <c r="M155" s="2"/>
    </row>
    <row r="156" ht="12.0" customHeight="1">
      <c r="K156" s="2"/>
      <c r="M156" s="2"/>
    </row>
    <row r="157" ht="12.0" customHeight="1">
      <c r="K157" s="2"/>
      <c r="M157" s="2"/>
    </row>
    <row r="158" ht="12.0" customHeight="1">
      <c r="K158" s="2"/>
      <c r="M158" s="2"/>
    </row>
    <row r="159" ht="12.0" customHeight="1">
      <c r="K159" s="2"/>
      <c r="M159" s="2"/>
    </row>
    <row r="160" ht="12.0" customHeight="1">
      <c r="K160" s="2"/>
      <c r="M160" s="2"/>
    </row>
    <row r="161" ht="12.0" customHeight="1">
      <c r="K161" s="2"/>
      <c r="M161" s="2"/>
    </row>
    <row r="162" ht="12.0" customHeight="1">
      <c r="K162" s="2"/>
      <c r="M162" s="2"/>
    </row>
    <row r="163" ht="12.0" customHeight="1">
      <c r="K163" s="2"/>
      <c r="M163" s="2"/>
    </row>
    <row r="164" ht="12.0" customHeight="1">
      <c r="K164" s="2"/>
      <c r="M164" s="2"/>
    </row>
    <row r="165" ht="12.0" customHeight="1">
      <c r="K165" s="2"/>
      <c r="M165" s="2"/>
    </row>
    <row r="166" ht="12.0" customHeight="1">
      <c r="K166" s="2"/>
      <c r="M166" s="2"/>
    </row>
    <row r="167" ht="12.0" customHeight="1">
      <c r="K167" s="2"/>
      <c r="M167" s="2"/>
    </row>
    <row r="168" ht="12.0" customHeight="1">
      <c r="K168" s="2"/>
      <c r="M168" s="2"/>
    </row>
    <row r="169" ht="12.0" customHeight="1">
      <c r="K169" s="2"/>
      <c r="M169" s="2"/>
    </row>
    <row r="170" ht="12.0" customHeight="1">
      <c r="K170" s="2"/>
      <c r="M170" s="2"/>
    </row>
    <row r="171" ht="12.0" customHeight="1">
      <c r="K171" s="2"/>
      <c r="M171" s="2"/>
    </row>
    <row r="172" ht="12.0" customHeight="1">
      <c r="K172" s="2"/>
      <c r="M172" s="2"/>
    </row>
    <row r="173" ht="12.0" customHeight="1">
      <c r="K173" s="2"/>
      <c r="M173" s="2"/>
    </row>
    <row r="174" ht="12.0" customHeight="1">
      <c r="K174" s="2"/>
      <c r="M174" s="2"/>
    </row>
    <row r="175" ht="12.0" customHeight="1">
      <c r="K175" s="2"/>
      <c r="M175" s="2"/>
    </row>
    <row r="176" ht="12.0" customHeight="1">
      <c r="K176" s="2"/>
      <c r="M176" s="2"/>
    </row>
    <row r="177" ht="12.0" customHeight="1">
      <c r="K177" s="2"/>
      <c r="M177" s="2"/>
    </row>
    <row r="178" ht="12.0" customHeight="1">
      <c r="K178" s="2"/>
      <c r="M178" s="2"/>
    </row>
    <row r="179" ht="12.0" customHeight="1">
      <c r="K179" s="2"/>
      <c r="M179" s="2"/>
    </row>
    <row r="180" ht="12.0" customHeight="1">
      <c r="K180" s="2"/>
      <c r="M180" s="2"/>
    </row>
    <row r="181" ht="12.0" customHeight="1">
      <c r="K181" s="2"/>
      <c r="M181" s="2"/>
    </row>
    <row r="182" ht="12.0" customHeight="1">
      <c r="K182" s="2"/>
      <c r="M182" s="2"/>
    </row>
    <row r="183" ht="12.0" customHeight="1">
      <c r="K183" s="2"/>
      <c r="M183" s="2"/>
    </row>
    <row r="184" ht="12.0" customHeight="1">
      <c r="K184" s="2"/>
      <c r="M184" s="2"/>
    </row>
    <row r="185" ht="12.0" customHeight="1">
      <c r="K185" s="2"/>
      <c r="M185" s="2"/>
    </row>
    <row r="186" ht="12.0" customHeight="1">
      <c r="K186" s="2"/>
      <c r="M186" s="2"/>
    </row>
    <row r="187" ht="12.0" customHeight="1">
      <c r="K187" s="2"/>
      <c r="M187" s="2"/>
    </row>
    <row r="188" ht="12.0" customHeight="1">
      <c r="K188" s="2"/>
      <c r="M188" s="2"/>
    </row>
    <row r="189" ht="12.0" customHeight="1">
      <c r="K189" s="2"/>
      <c r="M189" s="2"/>
    </row>
    <row r="190" ht="12.0" customHeight="1">
      <c r="K190" s="2"/>
      <c r="M190" s="2"/>
    </row>
    <row r="191" ht="12.0" customHeight="1">
      <c r="K191" s="2"/>
      <c r="M191" s="2"/>
    </row>
    <row r="192" ht="12.0" customHeight="1">
      <c r="K192" s="2"/>
      <c r="M192" s="2"/>
    </row>
    <row r="193" ht="12.0" customHeight="1">
      <c r="K193" s="2"/>
      <c r="M193" s="2"/>
    </row>
    <row r="194" ht="12.0" customHeight="1">
      <c r="K194" s="2"/>
      <c r="M194" s="2"/>
    </row>
    <row r="195" ht="12.0" customHeight="1">
      <c r="K195" s="2"/>
      <c r="M195" s="2"/>
    </row>
    <row r="196" ht="12.0" customHeight="1">
      <c r="K196" s="2"/>
      <c r="M196" s="2"/>
    </row>
    <row r="197" ht="12.0" customHeight="1">
      <c r="K197" s="2"/>
      <c r="M197" s="2"/>
    </row>
    <row r="198" ht="12.0" customHeight="1">
      <c r="K198" s="2"/>
      <c r="M198" s="2"/>
    </row>
    <row r="199" ht="12.0" customHeight="1">
      <c r="K199" s="2"/>
      <c r="M199" s="2"/>
    </row>
    <row r="200" ht="12.0" customHeight="1">
      <c r="K200" s="2"/>
      <c r="M200" s="2"/>
    </row>
    <row r="201" ht="12.0" customHeight="1">
      <c r="K201" s="2"/>
      <c r="M201" s="2"/>
    </row>
    <row r="202" ht="12.0" customHeight="1">
      <c r="K202" s="2"/>
      <c r="M202" s="2"/>
    </row>
    <row r="203" ht="12.0" customHeight="1">
      <c r="K203" s="2"/>
      <c r="M203" s="2"/>
    </row>
    <row r="204" ht="12.0" customHeight="1">
      <c r="K204" s="2"/>
      <c r="M204" s="2"/>
    </row>
    <row r="205" ht="12.0" customHeight="1">
      <c r="K205" s="2"/>
      <c r="M205" s="2"/>
    </row>
    <row r="206" ht="12.0" customHeight="1">
      <c r="K206" s="2"/>
      <c r="M206" s="2"/>
    </row>
    <row r="207" ht="12.0" customHeight="1">
      <c r="K207" s="2"/>
      <c r="M207" s="2"/>
    </row>
    <row r="208" ht="12.0" customHeight="1">
      <c r="K208" s="2"/>
      <c r="M208" s="2"/>
    </row>
    <row r="209" ht="12.0" customHeight="1">
      <c r="K209" s="2"/>
      <c r="M209" s="2"/>
    </row>
    <row r="210" ht="12.0" customHeight="1">
      <c r="K210" s="2"/>
      <c r="M210" s="2"/>
    </row>
    <row r="211" ht="12.0" customHeight="1">
      <c r="K211" s="2"/>
      <c r="M211" s="2"/>
    </row>
    <row r="212" ht="12.0" customHeight="1">
      <c r="K212" s="2"/>
      <c r="M212" s="2"/>
    </row>
    <row r="213" ht="12.0" customHeight="1">
      <c r="K213" s="2"/>
      <c r="M213" s="2"/>
    </row>
    <row r="214" ht="12.0" customHeight="1">
      <c r="K214" s="2"/>
      <c r="M214" s="2"/>
    </row>
    <row r="215" ht="12.0" customHeight="1">
      <c r="K215" s="2"/>
      <c r="M215" s="2"/>
    </row>
    <row r="216" ht="12.0" customHeight="1">
      <c r="K216" s="2"/>
      <c r="M216" s="2"/>
    </row>
    <row r="217" ht="12.0" customHeight="1">
      <c r="K217" s="2"/>
      <c r="M217" s="2"/>
    </row>
    <row r="218" ht="12.0" customHeight="1">
      <c r="K218" s="2"/>
      <c r="M218" s="2"/>
    </row>
    <row r="219" ht="12.0" customHeight="1">
      <c r="K219" s="2"/>
      <c r="M219" s="2"/>
    </row>
    <row r="220" ht="12.0" customHeight="1">
      <c r="K220" s="2"/>
      <c r="M220" s="2"/>
    </row>
    <row r="221" ht="12.0" customHeight="1">
      <c r="K221" s="2"/>
      <c r="M221" s="2"/>
    </row>
    <row r="222" ht="12.0" customHeight="1">
      <c r="K222" s="2"/>
      <c r="M222" s="2"/>
    </row>
    <row r="223" ht="12.0" customHeight="1">
      <c r="K223" s="2"/>
      <c r="M223" s="2"/>
    </row>
    <row r="224" ht="12.0" customHeight="1">
      <c r="K224" s="2"/>
      <c r="M224" s="2"/>
    </row>
    <row r="225" ht="12.0" customHeight="1">
      <c r="K225" s="2"/>
      <c r="M225" s="2"/>
    </row>
    <row r="226" ht="12.0" customHeight="1">
      <c r="K226" s="2"/>
      <c r="M226" s="2"/>
    </row>
    <row r="227" ht="12.0" customHeight="1">
      <c r="K227" s="2"/>
      <c r="M227" s="2"/>
    </row>
    <row r="228" ht="12.0" customHeight="1">
      <c r="K228" s="2"/>
      <c r="M228" s="2"/>
    </row>
    <row r="229" ht="12.0" customHeight="1">
      <c r="K229" s="2"/>
      <c r="M229" s="2"/>
    </row>
    <row r="230" ht="12.0" customHeight="1">
      <c r="K230" s="2"/>
      <c r="M230" s="2"/>
    </row>
    <row r="231" ht="12.0" customHeight="1">
      <c r="K231" s="2"/>
      <c r="M231" s="2"/>
    </row>
    <row r="232" ht="12.0" customHeight="1">
      <c r="K232" s="2"/>
      <c r="M232" s="2"/>
    </row>
    <row r="233" ht="12.0" customHeight="1">
      <c r="K233" s="2"/>
      <c r="M233" s="2"/>
    </row>
    <row r="234" ht="12.0" customHeight="1">
      <c r="K234" s="2"/>
      <c r="M234" s="2"/>
    </row>
    <row r="235" ht="12.0" customHeight="1">
      <c r="K235" s="2"/>
      <c r="M235" s="2"/>
    </row>
    <row r="236" ht="12.0" customHeight="1">
      <c r="K236" s="2"/>
      <c r="M236" s="2"/>
    </row>
    <row r="237" ht="12.0" customHeight="1">
      <c r="K237" s="2"/>
      <c r="M237" s="2"/>
    </row>
    <row r="238" ht="12.0" customHeight="1">
      <c r="K238" s="2"/>
      <c r="M238" s="2"/>
    </row>
    <row r="239" ht="12.0" customHeight="1">
      <c r="K239" s="2"/>
      <c r="M239" s="2"/>
    </row>
    <row r="240" ht="12.0" customHeight="1">
      <c r="K240" s="2"/>
      <c r="M240" s="2"/>
    </row>
    <row r="241" ht="12.0" customHeight="1">
      <c r="K241" s="2"/>
      <c r="M241" s="2"/>
    </row>
    <row r="242" ht="12.0" customHeight="1">
      <c r="K242" s="2"/>
      <c r="M242" s="2"/>
    </row>
    <row r="243" ht="12.0" customHeight="1">
      <c r="K243" s="2"/>
      <c r="M243" s="2"/>
    </row>
    <row r="244" ht="12.0" customHeight="1">
      <c r="K244" s="2"/>
      <c r="M244" s="2"/>
    </row>
    <row r="245" ht="12.0" customHeight="1">
      <c r="K245" s="2"/>
      <c r="M245" s="2"/>
    </row>
    <row r="246" ht="12.0" customHeight="1">
      <c r="K246" s="2"/>
      <c r="M246" s="2"/>
    </row>
    <row r="247" ht="12.0" customHeight="1">
      <c r="K247" s="2"/>
      <c r="M247" s="2"/>
    </row>
    <row r="248" ht="12.0" customHeight="1">
      <c r="K248" s="2"/>
      <c r="M248" s="2"/>
    </row>
    <row r="249" ht="12.0" customHeight="1">
      <c r="K249" s="2"/>
      <c r="M249" s="2"/>
    </row>
    <row r="250" ht="12.0" customHeight="1">
      <c r="K250" s="2"/>
      <c r="M250" s="2"/>
    </row>
    <row r="251" ht="12.0" customHeight="1">
      <c r="K251" s="2"/>
      <c r="M251" s="2"/>
    </row>
    <row r="252" ht="12.0" customHeight="1">
      <c r="K252" s="2"/>
      <c r="M252" s="2"/>
    </row>
    <row r="253" ht="12.0" customHeight="1">
      <c r="K253" s="2"/>
      <c r="M253" s="2"/>
    </row>
    <row r="254" ht="12.0" customHeight="1">
      <c r="K254" s="2"/>
      <c r="M254" s="2"/>
    </row>
    <row r="255" ht="12.0" customHeight="1">
      <c r="K255" s="2"/>
      <c r="M255" s="2"/>
    </row>
    <row r="256" ht="12.0" customHeight="1">
      <c r="K256" s="2"/>
      <c r="M256" s="2"/>
    </row>
    <row r="257" ht="12.0" customHeight="1">
      <c r="K257" s="2"/>
      <c r="M257" s="2"/>
    </row>
    <row r="258" ht="12.0" customHeight="1">
      <c r="K258" s="2"/>
      <c r="M258" s="2"/>
    </row>
    <row r="259" ht="12.0" customHeight="1">
      <c r="K259" s="2"/>
      <c r="M259" s="2"/>
    </row>
    <row r="260" ht="12.0" customHeight="1">
      <c r="K260" s="2"/>
      <c r="M260" s="2"/>
    </row>
    <row r="261" ht="12.0" customHeight="1">
      <c r="K261" s="2"/>
      <c r="M261" s="2"/>
    </row>
    <row r="262" ht="12.0" customHeight="1">
      <c r="K262" s="2"/>
      <c r="M262" s="2"/>
    </row>
    <row r="263" ht="12.0" customHeight="1">
      <c r="K263" s="2"/>
      <c r="M263" s="2"/>
    </row>
    <row r="264" ht="12.0" customHeight="1">
      <c r="K264" s="2"/>
      <c r="M264" s="2"/>
    </row>
    <row r="265" ht="12.0" customHeight="1">
      <c r="K265" s="2"/>
      <c r="M265" s="2"/>
    </row>
    <row r="266" ht="12.0" customHeight="1">
      <c r="K266" s="2"/>
      <c r="M266" s="2"/>
    </row>
    <row r="267" ht="12.0" customHeight="1">
      <c r="K267" s="2"/>
      <c r="M267" s="2"/>
    </row>
    <row r="268" ht="12.0" customHeight="1">
      <c r="K268" s="2"/>
      <c r="M268" s="2"/>
    </row>
    <row r="269" ht="12.0" customHeight="1">
      <c r="K269" s="2"/>
      <c r="M269" s="2"/>
    </row>
    <row r="270" ht="12.0" customHeight="1">
      <c r="K270" s="2"/>
      <c r="M270" s="2"/>
    </row>
    <row r="271" ht="12.0" customHeight="1">
      <c r="K271" s="2"/>
      <c r="M271" s="2"/>
    </row>
    <row r="272" ht="12.0" customHeight="1">
      <c r="K272" s="2"/>
      <c r="M272" s="2"/>
    </row>
    <row r="273" ht="12.0" customHeight="1">
      <c r="K273" s="2"/>
      <c r="M273" s="2"/>
    </row>
    <row r="274" ht="12.0" customHeight="1">
      <c r="K274" s="2"/>
      <c r="M274" s="2"/>
    </row>
    <row r="275" ht="12.0" customHeight="1">
      <c r="K275" s="2"/>
      <c r="M275" s="2"/>
    </row>
    <row r="276" ht="12.0" customHeight="1">
      <c r="K276" s="2"/>
      <c r="M276" s="2"/>
    </row>
    <row r="277" ht="12.0" customHeight="1">
      <c r="K277" s="2"/>
      <c r="M277" s="2"/>
    </row>
    <row r="278" ht="12.0" customHeight="1">
      <c r="K278" s="2"/>
      <c r="M278" s="2"/>
    </row>
    <row r="279" ht="12.0" customHeight="1">
      <c r="K279" s="2"/>
      <c r="M279" s="2"/>
    </row>
    <row r="280" ht="12.0" customHeight="1">
      <c r="K280" s="2"/>
      <c r="M280" s="2"/>
    </row>
    <row r="281" ht="12.0" customHeight="1">
      <c r="K281" s="2"/>
      <c r="M281" s="2"/>
    </row>
    <row r="282" ht="12.0" customHeight="1">
      <c r="K282" s="2"/>
      <c r="M282" s="2"/>
    </row>
    <row r="283" ht="12.0" customHeight="1">
      <c r="K283" s="2"/>
      <c r="M283" s="2"/>
    </row>
    <row r="284" ht="12.0" customHeight="1">
      <c r="K284" s="2"/>
      <c r="M284" s="2"/>
    </row>
    <row r="285" ht="12.0" customHeight="1">
      <c r="K285" s="2"/>
      <c r="M285" s="2"/>
    </row>
    <row r="286" ht="12.0" customHeight="1">
      <c r="K286" s="2"/>
      <c r="M286" s="2"/>
    </row>
    <row r="287" ht="12.0" customHeight="1">
      <c r="K287" s="2"/>
      <c r="M287" s="2"/>
    </row>
    <row r="288" ht="12.0" customHeight="1">
      <c r="K288" s="2"/>
      <c r="M288" s="2"/>
    </row>
    <row r="289" ht="12.0" customHeight="1">
      <c r="K289" s="2"/>
      <c r="M289" s="2"/>
    </row>
    <row r="290" ht="12.0" customHeight="1">
      <c r="K290" s="2"/>
      <c r="M290" s="2"/>
    </row>
    <row r="291" ht="12.0" customHeight="1">
      <c r="K291" s="2"/>
      <c r="M291" s="2"/>
    </row>
    <row r="292" ht="12.0" customHeight="1">
      <c r="K292" s="2"/>
      <c r="M292" s="2"/>
    </row>
    <row r="293" ht="12.0" customHeight="1">
      <c r="K293" s="2"/>
      <c r="M293" s="2"/>
    </row>
    <row r="294" ht="12.0" customHeight="1">
      <c r="K294" s="2"/>
      <c r="M294" s="2"/>
    </row>
    <row r="295" ht="12.0" customHeight="1">
      <c r="K295" s="2"/>
      <c r="M295" s="2"/>
    </row>
    <row r="296" ht="12.0" customHeight="1">
      <c r="K296" s="2"/>
      <c r="M296" s="2"/>
    </row>
    <row r="297" ht="12.0" customHeight="1">
      <c r="K297" s="2"/>
      <c r="M297" s="2"/>
    </row>
    <row r="298" ht="12.0" customHeight="1">
      <c r="K298" s="2"/>
      <c r="M298" s="2"/>
    </row>
    <row r="299" ht="12.0" customHeight="1">
      <c r="K299" s="2"/>
      <c r="M299" s="2"/>
    </row>
    <row r="300" ht="12.0" customHeight="1">
      <c r="K300" s="2"/>
      <c r="M300" s="2"/>
    </row>
    <row r="301" ht="12.0" customHeight="1">
      <c r="K301" s="2"/>
      <c r="M301" s="2"/>
    </row>
    <row r="302" ht="12.0" customHeight="1">
      <c r="K302" s="2"/>
      <c r="M302" s="2"/>
    </row>
    <row r="303" ht="12.0" customHeight="1">
      <c r="K303" s="2"/>
      <c r="M303" s="2"/>
    </row>
    <row r="304" ht="12.0" customHeight="1">
      <c r="K304" s="2"/>
      <c r="M304" s="2"/>
    </row>
    <row r="305" ht="12.0" customHeight="1">
      <c r="K305" s="2"/>
      <c r="M305" s="2"/>
    </row>
    <row r="306" ht="12.0" customHeight="1">
      <c r="K306" s="2"/>
      <c r="M306" s="2"/>
    </row>
    <row r="307" ht="12.0" customHeight="1">
      <c r="K307" s="2"/>
      <c r="M307" s="2"/>
    </row>
    <row r="308" ht="12.0" customHeight="1">
      <c r="K308" s="2"/>
      <c r="M308" s="2"/>
    </row>
    <row r="309" ht="12.0" customHeight="1">
      <c r="K309" s="2"/>
      <c r="M309" s="2"/>
    </row>
    <row r="310" ht="12.0" customHeight="1">
      <c r="K310" s="2"/>
      <c r="M310" s="2"/>
    </row>
    <row r="311" ht="12.0" customHeight="1">
      <c r="K311" s="2"/>
      <c r="M311" s="2"/>
    </row>
    <row r="312" ht="12.0" customHeight="1">
      <c r="K312" s="2"/>
      <c r="M312" s="2"/>
    </row>
    <row r="313" ht="12.0" customHeight="1">
      <c r="K313" s="2"/>
      <c r="M313" s="2"/>
    </row>
    <row r="314" ht="12.0" customHeight="1">
      <c r="K314" s="2"/>
      <c r="M314" s="2"/>
    </row>
    <row r="315" ht="12.0" customHeight="1">
      <c r="K315" s="2"/>
      <c r="M315" s="2"/>
    </row>
    <row r="316" ht="12.0" customHeight="1">
      <c r="K316" s="2"/>
      <c r="M316" s="2"/>
    </row>
    <row r="317" ht="12.0" customHeight="1">
      <c r="K317" s="2"/>
      <c r="M317" s="2"/>
    </row>
    <row r="318" ht="12.0" customHeight="1">
      <c r="K318" s="2"/>
      <c r="M318" s="2"/>
    </row>
    <row r="319" ht="12.0" customHeight="1">
      <c r="K319" s="2"/>
      <c r="M319" s="2"/>
    </row>
    <row r="320" ht="12.0" customHeight="1">
      <c r="K320" s="2"/>
      <c r="M320" s="2"/>
    </row>
    <row r="321" ht="12.0" customHeight="1">
      <c r="K321" s="2"/>
      <c r="M321" s="2"/>
    </row>
    <row r="322" ht="12.0" customHeight="1">
      <c r="K322" s="2"/>
      <c r="M322" s="2"/>
    </row>
    <row r="323" ht="12.0" customHeight="1">
      <c r="K323" s="2"/>
      <c r="M323" s="2"/>
    </row>
    <row r="324" ht="12.0" customHeight="1">
      <c r="K324" s="2"/>
      <c r="M324" s="2"/>
    </row>
    <row r="325" ht="12.0" customHeight="1">
      <c r="K325" s="2"/>
      <c r="M325" s="2"/>
    </row>
    <row r="326" ht="12.0" customHeight="1">
      <c r="K326" s="2"/>
      <c r="M326" s="2"/>
    </row>
    <row r="327" ht="12.0" customHeight="1">
      <c r="K327" s="2"/>
      <c r="M327" s="2"/>
    </row>
    <row r="328" ht="12.0" customHeight="1">
      <c r="K328" s="2"/>
      <c r="M328" s="2"/>
    </row>
    <row r="329" ht="12.0" customHeight="1">
      <c r="K329" s="2"/>
      <c r="M329" s="2"/>
    </row>
    <row r="330" ht="12.0" customHeight="1">
      <c r="K330" s="2"/>
      <c r="M330" s="2"/>
    </row>
    <row r="331" ht="12.0" customHeight="1">
      <c r="K331" s="2"/>
      <c r="M331" s="2"/>
    </row>
    <row r="332" ht="12.0" customHeight="1">
      <c r="K332" s="2"/>
      <c r="M332" s="2"/>
    </row>
    <row r="333" ht="12.0" customHeight="1">
      <c r="K333" s="2"/>
      <c r="M333" s="2"/>
    </row>
    <row r="334" ht="12.0" customHeight="1">
      <c r="K334" s="2"/>
      <c r="M334" s="2"/>
    </row>
    <row r="335" ht="12.0" customHeight="1">
      <c r="K335" s="2"/>
      <c r="M335" s="2"/>
    </row>
    <row r="336" ht="12.0" customHeight="1">
      <c r="K336" s="2"/>
      <c r="M336" s="2"/>
    </row>
    <row r="337" ht="12.0" customHeight="1">
      <c r="K337" s="2"/>
      <c r="M337" s="2"/>
    </row>
    <row r="338" ht="12.0" customHeight="1">
      <c r="K338" s="2"/>
      <c r="M338" s="2"/>
    </row>
    <row r="339" ht="12.0" customHeight="1">
      <c r="K339" s="2"/>
      <c r="M339" s="2"/>
    </row>
    <row r="340" ht="12.0" customHeight="1">
      <c r="K340" s="2"/>
      <c r="M340" s="2"/>
    </row>
    <row r="341" ht="12.0" customHeight="1">
      <c r="K341" s="2"/>
      <c r="M341" s="2"/>
    </row>
    <row r="342" ht="12.0" customHeight="1">
      <c r="K342" s="2"/>
      <c r="M342" s="2"/>
    </row>
    <row r="343" ht="12.0" customHeight="1">
      <c r="K343" s="2"/>
      <c r="M343" s="2"/>
    </row>
    <row r="344" ht="12.0" customHeight="1">
      <c r="K344" s="2"/>
      <c r="M344" s="2"/>
    </row>
    <row r="345" ht="12.0" customHeight="1">
      <c r="K345" s="2"/>
      <c r="M345" s="2"/>
    </row>
    <row r="346" ht="12.0" customHeight="1">
      <c r="K346" s="2"/>
      <c r="M346" s="2"/>
    </row>
    <row r="347" ht="12.0" customHeight="1">
      <c r="K347" s="2"/>
      <c r="M347" s="2"/>
    </row>
    <row r="348" ht="12.0" customHeight="1">
      <c r="K348" s="2"/>
      <c r="M348" s="2"/>
    </row>
    <row r="349" ht="12.0" customHeight="1">
      <c r="K349" s="2"/>
      <c r="M349" s="2"/>
    </row>
    <row r="350" ht="12.0" customHeight="1">
      <c r="K350" s="2"/>
      <c r="M350" s="2"/>
    </row>
    <row r="351" ht="12.0" customHeight="1">
      <c r="K351" s="2"/>
      <c r="M351" s="2"/>
    </row>
    <row r="352" ht="12.0" customHeight="1">
      <c r="K352" s="2"/>
      <c r="M352" s="2"/>
    </row>
    <row r="353" ht="12.0" customHeight="1">
      <c r="K353" s="2"/>
      <c r="M353" s="2"/>
    </row>
    <row r="354" ht="12.0" customHeight="1">
      <c r="K354" s="2"/>
      <c r="M354" s="2"/>
    </row>
    <row r="355" ht="12.0" customHeight="1">
      <c r="K355" s="2"/>
      <c r="M355" s="2"/>
    </row>
    <row r="356" ht="12.0" customHeight="1">
      <c r="K356" s="2"/>
      <c r="M356" s="2"/>
    </row>
    <row r="357" ht="12.0" customHeight="1">
      <c r="K357" s="2"/>
      <c r="M357" s="2"/>
    </row>
    <row r="358" ht="12.0" customHeight="1">
      <c r="K358" s="2"/>
      <c r="M358" s="2"/>
    </row>
    <row r="359" ht="12.0" customHeight="1">
      <c r="K359" s="2"/>
      <c r="M359" s="2"/>
    </row>
    <row r="360" ht="12.0" customHeight="1">
      <c r="K360" s="2"/>
      <c r="M360" s="2"/>
    </row>
    <row r="361" ht="12.0" customHeight="1">
      <c r="K361" s="2"/>
      <c r="M361" s="2"/>
    </row>
    <row r="362" ht="12.0" customHeight="1">
      <c r="K362" s="2"/>
      <c r="M362" s="2"/>
    </row>
    <row r="363" ht="12.0" customHeight="1">
      <c r="K363" s="2"/>
      <c r="M363" s="2"/>
    </row>
    <row r="364" ht="12.0" customHeight="1">
      <c r="K364" s="2"/>
      <c r="M364" s="2"/>
    </row>
    <row r="365" ht="12.0" customHeight="1">
      <c r="K365" s="2"/>
      <c r="M365" s="2"/>
    </row>
    <row r="366" ht="12.0" customHeight="1">
      <c r="K366" s="2"/>
      <c r="M366" s="2"/>
    </row>
    <row r="367" ht="12.0" customHeight="1">
      <c r="K367" s="2"/>
      <c r="M367" s="2"/>
    </row>
    <row r="368" ht="12.0" customHeight="1">
      <c r="K368" s="2"/>
      <c r="M368" s="2"/>
    </row>
    <row r="369" ht="12.0" customHeight="1">
      <c r="K369" s="2"/>
      <c r="M369" s="2"/>
    </row>
    <row r="370" ht="12.0" customHeight="1">
      <c r="K370" s="2"/>
      <c r="M370" s="2"/>
    </row>
    <row r="371" ht="12.0" customHeight="1">
      <c r="K371" s="2"/>
      <c r="M371" s="2"/>
    </row>
    <row r="372" ht="12.0" customHeight="1">
      <c r="K372" s="2"/>
      <c r="M372" s="2"/>
    </row>
    <row r="373" ht="12.0" customHeight="1">
      <c r="K373" s="2"/>
      <c r="M373" s="2"/>
    </row>
    <row r="374" ht="12.0" customHeight="1">
      <c r="K374" s="2"/>
      <c r="M374" s="2"/>
    </row>
    <row r="375" ht="12.0" customHeight="1">
      <c r="K375" s="2"/>
      <c r="M375" s="2"/>
    </row>
    <row r="376" ht="12.0" customHeight="1">
      <c r="K376" s="2"/>
      <c r="M376" s="2"/>
    </row>
    <row r="377" ht="12.0" customHeight="1">
      <c r="K377" s="2"/>
      <c r="M377" s="2"/>
    </row>
    <row r="378" ht="12.0" customHeight="1">
      <c r="K378" s="2"/>
      <c r="M378" s="2"/>
    </row>
    <row r="379" ht="12.0" customHeight="1">
      <c r="K379" s="2"/>
      <c r="M379" s="2"/>
    </row>
    <row r="380" ht="12.0" customHeight="1">
      <c r="K380" s="2"/>
      <c r="M380" s="2"/>
    </row>
    <row r="381" ht="12.0" customHeight="1">
      <c r="K381" s="2"/>
      <c r="M381" s="2"/>
    </row>
    <row r="382" ht="12.0" customHeight="1">
      <c r="K382" s="2"/>
      <c r="M382" s="2"/>
    </row>
    <row r="383" ht="12.0" customHeight="1">
      <c r="K383" s="2"/>
      <c r="M383" s="2"/>
    </row>
    <row r="384" ht="12.0" customHeight="1">
      <c r="K384" s="2"/>
      <c r="M384" s="2"/>
    </row>
    <row r="385" ht="12.0" customHeight="1">
      <c r="K385" s="2"/>
      <c r="M385" s="2"/>
    </row>
    <row r="386" ht="12.0" customHeight="1">
      <c r="K386" s="2"/>
      <c r="M386" s="2"/>
    </row>
    <row r="387" ht="12.0" customHeight="1">
      <c r="K387" s="2"/>
      <c r="M387" s="2"/>
    </row>
    <row r="388" ht="12.0" customHeight="1">
      <c r="K388" s="2"/>
      <c r="M388" s="2"/>
    </row>
    <row r="389" ht="12.0" customHeight="1">
      <c r="K389" s="2"/>
      <c r="M389" s="2"/>
    </row>
    <row r="390" ht="12.0" customHeight="1">
      <c r="K390" s="2"/>
      <c r="M390" s="2"/>
    </row>
    <row r="391" ht="12.0" customHeight="1">
      <c r="K391" s="2"/>
      <c r="M391" s="2"/>
    </row>
    <row r="392" ht="12.0" customHeight="1">
      <c r="K392" s="2"/>
      <c r="M392" s="2"/>
    </row>
    <row r="393" ht="12.0" customHeight="1">
      <c r="K393" s="2"/>
      <c r="M393" s="2"/>
    </row>
    <row r="394" ht="12.0" customHeight="1">
      <c r="K394" s="2"/>
      <c r="M394" s="2"/>
    </row>
    <row r="395" ht="12.0" customHeight="1">
      <c r="K395" s="2"/>
      <c r="M395" s="2"/>
    </row>
    <row r="396" ht="12.0" customHeight="1">
      <c r="K396" s="2"/>
      <c r="M396" s="2"/>
    </row>
    <row r="397" ht="12.0" customHeight="1">
      <c r="K397" s="2"/>
      <c r="M397" s="2"/>
    </row>
    <row r="398" ht="12.0" customHeight="1">
      <c r="K398" s="2"/>
      <c r="M398" s="2"/>
    </row>
    <row r="399" ht="12.0" customHeight="1">
      <c r="K399" s="2"/>
      <c r="M399" s="2"/>
    </row>
    <row r="400" ht="12.0" customHeight="1">
      <c r="K400" s="2"/>
      <c r="M400" s="2"/>
    </row>
    <row r="401" ht="12.0" customHeight="1">
      <c r="K401" s="2"/>
      <c r="M401" s="2"/>
    </row>
    <row r="402" ht="12.0" customHeight="1">
      <c r="K402" s="2"/>
      <c r="M402" s="2"/>
    </row>
    <row r="403" ht="12.0" customHeight="1">
      <c r="K403" s="2"/>
      <c r="M403" s="2"/>
    </row>
    <row r="404" ht="12.0" customHeight="1">
      <c r="K404" s="2"/>
      <c r="M404" s="2"/>
    </row>
    <row r="405" ht="12.0" customHeight="1">
      <c r="K405" s="2"/>
      <c r="M405" s="2"/>
    </row>
    <row r="406" ht="12.0" customHeight="1">
      <c r="K406" s="2"/>
      <c r="M406" s="2"/>
    </row>
    <row r="407" ht="12.0" customHeight="1">
      <c r="K407" s="2"/>
      <c r="M407" s="2"/>
    </row>
    <row r="408" ht="12.0" customHeight="1">
      <c r="K408" s="2"/>
      <c r="M408" s="2"/>
    </row>
    <row r="409" ht="12.0" customHeight="1">
      <c r="K409" s="2"/>
      <c r="M409" s="2"/>
    </row>
    <row r="410" ht="12.0" customHeight="1">
      <c r="K410" s="2"/>
      <c r="M410" s="2"/>
    </row>
    <row r="411" ht="12.0" customHeight="1">
      <c r="K411" s="2"/>
      <c r="M411" s="2"/>
    </row>
    <row r="412" ht="12.0" customHeight="1">
      <c r="K412" s="2"/>
      <c r="M412" s="2"/>
    </row>
    <row r="413" ht="12.0" customHeight="1">
      <c r="K413" s="2"/>
      <c r="M413" s="2"/>
    </row>
    <row r="414" ht="12.0" customHeight="1">
      <c r="K414" s="2"/>
      <c r="M414" s="2"/>
    </row>
    <row r="415" ht="12.0" customHeight="1">
      <c r="K415" s="2"/>
      <c r="M415" s="2"/>
    </row>
    <row r="416" ht="12.0" customHeight="1">
      <c r="K416" s="2"/>
      <c r="M416" s="2"/>
    </row>
    <row r="417" ht="12.0" customHeight="1">
      <c r="K417" s="2"/>
      <c r="M417" s="2"/>
    </row>
    <row r="418" ht="12.0" customHeight="1">
      <c r="K418" s="2"/>
      <c r="M418" s="2"/>
    </row>
    <row r="419" ht="12.0" customHeight="1">
      <c r="K419" s="2"/>
      <c r="M419" s="2"/>
    </row>
    <row r="420" ht="12.0" customHeight="1">
      <c r="K420" s="2"/>
      <c r="M420" s="2"/>
    </row>
    <row r="421" ht="12.0" customHeight="1">
      <c r="K421" s="2"/>
      <c r="M421" s="2"/>
    </row>
    <row r="422" ht="12.0" customHeight="1">
      <c r="K422" s="2"/>
      <c r="M422" s="2"/>
    </row>
    <row r="423" ht="12.0" customHeight="1">
      <c r="K423" s="2"/>
      <c r="M423" s="2"/>
    </row>
    <row r="424" ht="12.0" customHeight="1">
      <c r="K424" s="2"/>
      <c r="M424" s="2"/>
    </row>
    <row r="425" ht="12.0" customHeight="1">
      <c r="K425" s="2"/>
      <c r="M425" s="2"/>
    </row>
    <row r="426" ht="12.0" customHeight="1">
      <c r="K426" s="2"/>
      <c r="M426" s="2"/>
    </row>
    <row r="427" ht="12.0" customHeight="1">
      <c r="K427" s="2"/>
      <c r="M427" s="2"/>
    </row>
    <row r="428" ht="12.0" customHeight="1">
      <c r="K428" s="2"/>
      <c r="M428" s="2"/>
    </row>
    <row r="429" ht="12.0" customHeight="1">
      <c r="K429" s="2"/>
      <c r="M429" s="2"/>
    </row>
    <row r="430" ht="12.0" customHeight="1">
      <c r="K430" s="2"/>
      <c r="M430" s="2"/>
    </row>
    <row r="431" ht="12.0" customHeight="1">
      <c r="K431" s="2"/>
      <c r="M431" s="2"/>
    </row>
    <row r="432" ht="12.0" customHeight="1">
      <c r="K432" s="2"/>
      <c r="M432" s="2"/>
    </row>
    <row r="433" ht="12.0" customHeight="1">
      <c r="K433" s="2"/>
      <c r="M433" s="2"/>
    </row>
    <row r="434" ht="12.0" customHeight="1">
      <c r="K434" s="2"/>
      <c r="M434" s="2"/>
    </row>
    <row r="435" ht="12.0" customHeight="1">
      <c r="K435" s="2"/>
      <c r="M435" s="2"/>
    </row>
    <row r="436" ht="12.0" customHeight="1">
      <c r="K436" s="2"/>
      <c r="M436" s="2"/>
    </row>
    <row r="437" ht="12.0" customHeight="1">
      <c r="K437" s="2"/>
      <c r="M437" s="2"/>
    </row>
    <row r="438" ht="12.0" customHeight="1">
      <c r="K438" s="2"/>
      <c r="M438" s="2"/>
    </row>
    <row r="439" ht="12.0" customHeight="1">
      <c r="K439" s="2"/>
      <c r="M439" s="2"/>
    </row>
    <row r="440" ht="12.0" customHeight="1">
      <c r="K440" s="2"/>
      <c r="M440" s="2"/>
    </row>
    <row r="441" ht="12.0" customHeight="1">
      <c r="K441" s="2"/>
      <c r="M441" s="2"/>
    </row>
    <row r="442" ht="12.0" customHeight="1">
      <c r="K442" s="2"/>
      <c r="M442" s="2"/>
    </row>
    <row r="443" ht="12.0" customHeight="1">
      <c r="K443" s="2"/>
      <c r="M443" s="2"/>
    </row>
    <row r="444" ht="12.0" customHeight="1">
      <c r="K444" s="2"/>
      <c r="M444" s="2"/>
    </row>
    <row r="445" ht="12.0" customHeight="1">
      <c r="K445" s="2"/>
      <c r="M445" s="2"/>
    </row>
    <row r="446" ht="12.0" customHeight="1">
      <c r="K446" s="2"/>
      <c r="M446" s="2"/>
    </row>
    <row r="447" ht="12.0" customHeight="1">
      <c r="K447" s="2"/>
      <c r="M447" s="2"/>
    </row>
    <row r="448" ht="12.0" customHeight="1">
      <c r="K448" s="2"/>
      <c r="M448" s="2"/>
    </row>
    <row r="449" ht="12.0" customHeight="1">
      <c r="K449" s="2"/>
      <c r="M449" s="2"/>
    </row>
    <row r="450" ht="12.0" customHeight="1">
      <c r="K450" s="2"/>
      <c r="M450" s="2"/>
    </row>
    <row r="451" ht="12.0" customHeight="1">
      <c r="K451" s="2"/>
      <c r="M451" s="2"/>
    </row>
    <row r="452" ht="12.0" customHeight="1">
      <c r="K452" s="2"/>
      <c r="M452" s="2"/>
    </row>
    <row r="453" ht="12.0" customHeight="1">
      <c r="K453" s="2"/>
      <c r="M453" s="2"/>
    </row>
    <row r="454" ht="12.0" customHeight="1">
      <c r="K454" s="2"/>
      <c r="M454" s="2"/>
    </row>
    <row r="455" ht="12.0" customHeight="1">
      <c r="K455" s="2"/>
      <c r="M455" s="2"/>
    </row>
    <row r="456" ht="12.0" customHeight="1">
      <c r="K456" s="2"/>
      <c r="M456" s="2"/>
    </row>
    <row r="457" ht="12.0" customHeight="1">
      <c r="K457" s="2"/>
      <c r="M457" s="2"/>
    </row>
    <row r="458" ht="12.0" customHeight="1">
      <c r="K458" s="2"/>
      <c r="M458" s="2"/>
    </row>
    <row r="459" ht="12.0" customHeight="1">
      <c r="K459" s="2"/>
      <c r="M459" s="2"/>
    </row>
    <row r="460" ht="12.0" customHeight="1">
      <c r="K460" s="2"/>
      <c r="M460" s="2"/>
    </row>
    <row r="461" ht="12.0" customHeight="1">
      <c r="K461" s="2"/>
      <c r="M461" s="2"/>
    </row>
    <row r="462" ht="12.0" customHeight="1">
      <c r="K462" s="2"/>
      <c r="M462" s="2"/>
    </row>
    <row r="463" ht="12.0" customHeight="1">
      <c r="K463" s="2"/>
      <c r="M463" s="2"/>
    </row>
    <row r="464" ht="12.0" customHeight="1">
      <c r="K464" s="2"/>
      <c r="M464" s="2"/>
    </row>
    <row r="465" ht="12.0" customHeight="1">
      <c r="K465" s="2"/>
      <c r="M465" s="2"/>
    </row>
    <row r="466" ht="12.0" customHeight="1">
      <c r="K466" s="2"/>
      <c r="M466" s="2"/>
    </row>
    <row r="467" ht="12.0" customHeight="1">
      <c r="K467" s="2"/>
      <c r="M467" s="2"/>
    </row>
    <row r="468" ht="12.0" customHeight="1">
      <c r="K468" s="2"/>
      <c r="M468" s="2"/>
    </row>
    <row r="469" ht="12.0" customHeight="1">
      <c r="K469" s="2"/>
      <c r="M469" s="2"/>
    </row>
    <row r="470" ht="12.0" customHeight="1">
      <c r="K470" s="2"/>
      <c r="M470" s="2"/>
    </row>
    <row r="471" ht="12.0" customHeight="1">
      <c r="K471" s="2"/>
      <c r="M471" s="2"/>
    </row>
    <row r="472" ht="12.0" customHeight="1">
      <c r="K472" s="2"/>
      <c r="M472" s="2"/>
    </row>
    <row r="473" ht="12.0" customHeight="1">
      <c r="K473" s="2"/>
      <c r="M473" s="2"/>
    </row>
    <row r="474" ht="12.0" customHeight="1">
      <c r="K474" s="2"/>
      <c r="M474" s="2"/>
    </row>
    <row r="475" ht="12.0" customHeight="1">
      <c r="K475" s="2"/>
      <c r="M475" s="2"/>
    </row>
    <row r="476" ht="12.0" customHeight="1">
      <c r="K476" s="2"/>
      <c r="M476" s="2"/>
    </row>
    <row r="477" ht="12.0" customHeight="1">
      <c r="K477" s="2"/>
      <c r="M477" s="2"/>
    </row>
    <row r="478" ht="12.0" customHeight="1">
      <c r="K478" s="2"/>
      <c r="M478" s="2"/>
    </row>
    <row r="479" ht="12.0" customHeight="1">
      <c r="K479" s="2"/>
      <c r="M479" s="2"/>
    </row>
    <row r="480" ht="12.0" customHeight="1">
      <c r="K480" s="2"/>
      <c r="M480" s="2"/>
    </row>
    <row r="481" ht="12.0" customHeight="1">
      <c r="K481" s="2"/>
      <c r="M481" s="2"/>
    </row>
    <row r="482" ht="12.0" customHeight="1">
      <c r="K482" s="2"/>
      <c r="M482" s="2"/>
    </row>
    <row r="483" ht="12.0" customHeight="1">
      <c r="K483" s="2"/>
      <c r="M483" s="2"/>
    </row>
    <row r="484" ht="12.0" customHeight="1">
      <c r="K484" s="2"/>
      <c r="M484" s="2"/>
    </row>
    <row r="485" ht="12.0" customHeight="1">
      <c r="K485" s="2"/>
      <c r="M485" s="2"/>
    </row>
    <row r="486" ht="12.0" customHeight="1">
      <c r="K486" s="2"/>
      <c r="M486" s="2"/>
    </row>
    <row r="487" ht="12.0" customHeight="1">
      <c r="K487" s="2"/>
      <c r="M487" s="2"/>
    </row>
    <row r="488" ht="12.0" customHeight="1">
      <c r="K488" s="2"/>
      <c r="M488" s="2"/>
    </row>
    <row r="489" ht="12.0" customHeight="1">
      <c r="K489" s="2"/>
      <c r="M489" s="2"/>
    </row>
    <row r="490" ht="12.0" customHeight="1">
      <c r="K490" s="2"/>
      <c r="M490" s="2"/>
    </row>
    <row r="491" ht="12.0" customHeight="1">
      <c r="K491" s="2"/>
      <c r="M491" s="2"/>
    </row>
    <row r="492" ht="12.0" customHeight="1">
      <c r="K492" s="2"/>
      <c r="M492" s="2"/>
    </row>
    <row r="493" ht="12.0" customHeight="1">
      <c r="K493" s="2"/>
      <c r="M493" s="2"/>
    </row>
    <row r="494" ht="12.0" customHeight="1">
      <c r="K494" s="2"/>
      <c r="M494" s="2"/>
    </row>
    <row r="495" ht="12.0" customHeight="1">
      <c r="K495" s="2"/>
      <c r="M495" s="2"/>
    </row>
    <row r="496" ht="12.0" customHeight="1">
      <c r="K496" s="2"/>
      <c r="M496" s="2"/>
    </row>
    <row r="497" ht="12.0" customHeight="1">
      <c r="K497" s="2"/>
      <c r="M497" s="2"/>
    </row>
    <row r="498" ht="12.0" customHeight="1">
      <c r="K498" s="2"/>
      <c r="M498" s="2"/>
    </row>
    <row r="499" ht="12.0" customHeight="1">
      <c r="K499" s="2"/>
      <c r="M499" s="2"/>
    </row>
    <row r="500" ht="12.0" customHeight="1">
      <c r="K500" s="2"/>
      <c r="M500" s="2"/>
    </row>
    <row r="501" ht="12.0" customHeight="1">
      <c r="K501" s="2"/>
      <c r="M501" s="2"/>
    </row>
    <row r="502" ht="12.0" customHeight="1">
      <c r="K502" s="2"/>
      <c r="M502" s="2"/>
    </row>
    <row r="503" ht="12.0" customHeight="1">
      <c r="K503" s="2"/>
      <c r="M503" s="2"/>
    </row>
    <row r="504" ht="12.0" customHeight="1">
      <c r="K504" s="2"/>
      <c r="M504" s="2"/>
    </row>
    <row r="505" ht="12.0" customHeight="1">
      <c r="K505" s="2"/>
      <c r="M505" s="2"/>
    </row>
    <row r="506" ht="12.0" customHeight="1">
      <c r="K506" s="2"/>
      <c r="M506" s="2"/>
    </row>
    <row r="507" ht="12.0" customHeight="1">
      <c r="K507" s="2"/>
      <c r="M507" s="2"/>
    </row>
    <row r="508" ht="12.0" customHeight="1">
      <c r="K508" s="2"/>
      <c r="M508" s="2"/>
    </row>
    <row r="509" ht="12.0" customHeight="1">
      <c r="K509" s="2"/>
      <c r="M509" s="2"/>
    </row>
    <row r="510" ht="12.0" customHeight="1">
      <c r="K510" s="2"/>
      <c r="M510" s="2"/>
    </row>
    <row r="511" ht="12.0" customHeight="1">
      <c r="K511" s="2"/>
      <c r="M511" s="2"/>
    </row>
    <row r="512" ht="12.0" customHeight="1">
      <c r="K512" s="2"/>
      <c r="M512" s="2"/>
    </row>
    <row r="513" ht="12.0" customHeight="1">
      <c r="K513" s="2"/>
      <c r="M513" s="2"/>
    </row>
    <row r="514" ht="12.0" customHeight="1">
      <c r="K514" s="2"/>
      <c r="M514" s="2"/>
    </row>
    <row r="515" ht="12.0" customHeight="1">
      <c r="K515" s="2"/>
      <c r="M515" s="2"/>
    </row>
    <row r="516" ht="12.0" customHeight="1">
      <c r="K516" s="2"/>
      <c r="M516" s="2"/>
    </row>
    <row r="517" ht="12.0" customHeight="1">
      <c r="K517" s="2"/>
      <c r="M517" s="2"/>
    </row>
    <row r="518" ht="12.0" customHeight="1">
      <c r="K518" s="2"/>
      <c r="M518" s="2"/>
    </row>
    <row r="519" ht="12.0" customHeight="1">
      <c r="K519" s="2"/>
      <c r="M519" s="2"/>
    </row>
    <row r="520" ht="12.0" customHeight="1">
      <c r="K520" s="2"/>
      <c r="M520" s="2"/>
    </row>
    <row r="521" ht="12.0" customHeight="1">
      <c r="K521" s="2"/>
      <c r="M521" s="2"/>
    </row>
    <row r="522" ht="12.0" customHeight="1">
      <c r="K522" s="2"/>
      <c r="M522" s="2"/>
    </row>
    <row r="523" ht="12.0" customHeight="1">
      <c r="K523" s="2"/>
      <c r="M523" s="2"/>
    </row>
    <row r="524" ht="12.0" customHeight="1">
      <c r="K524" s="2"/>
      <c r="M524" s="2"/>
    </row>
    <row r="525" ht="12.0" customHeight="1">
      <c r="K525" s="2"/>
      <c r="M525" s="2"/>
    </row>
    <row r="526" ht="12.0" customHeight="1">
      <c r="K526" s="2"/>
      <c r="M526" s="2"/>
    </row>
    <row r="527" ht="12.0" customHeight="1">
      <c r="K527" s="2"/>
      <c r="M527" s="2"/>
    </row>
    <row r="528" ht="12.0" customHeight="1">
      <c r="K528" s="2"/>
      <c r="M528" s="2"/>
    </row>
    <row r="529" ht="12.0" customHeight="1">
      <c r="K529" s="2"/>
      <c r="M529" s="2"/>
    </row>
    <row r="530" ht="12.0" customHeight="1">
      <c r="K530" s="2"/>
      <c r="M530" s="2"/>
    </row>
    <row r="531" ht="12.0" customHeight="1">
      <c r="K531" s="2"/>
      <c r="M531" s="2"/>
    </row>
    <row r="532" ht="12.0" customHeight="1">
      <c r="K532" s="2"/>
      <c r="M532" s="2"/>
    </row>
    <row r="533" ht="12.0" customHeight="1">
      <c r="K533" s="2"/>
      <c r="M533" s="2"/>
    </row>
    <row r="534" ht="12.0" customHeight="1">
      <c r="K534" s="2"/>
      <c r="M534" s="2"/>
    </row>
    <row r="535" ht="12.0" customHeight="1">
      <c r="K535" s="2"/>
      <c r="M535" s="2"/>
    </row>
    <row r="536" ht="12.0" customHeight="1">
      <c r="K536" s="2"/>
      <c r="M536" s="2"/>
    </row>
    <row r="537" ht="12.0" customHeight="1">
      <c r="K537" s="2"/>
      <c r="M537" s="2"/>
    </row>
    <row r="538" ht="12.0" customHeight="1">
      <c r="K538" s="2"/>
      <c r="M538" s="2"/>
    </row>
    <row r="539" ht="12.0" customHeight="1">
      <c r="K539" s="2"/>
      <c r="M539" s="2"/>
    </row>
    <row r="540" ht="12.0" customHeight="1">
      <c r="K540" s="2"/>
      <c r="M540" s="2"/>
    </row>
    <row r="541" ht="12.0" customHeight="1">
      <c r="K541" s="2"/>
      <c r="M541" s="2"/>
    </row>
    <row r="542" ht="12.0" customHeight="1">
      <c r="K542" s="2"/>
      <c r="M542" s="2"/>
    </row>
    <row r="543" ht="12.0" customHeight="1">
      <c r="K543" s="2"/>
      <c r="M543" s="2"/>
    </row>
    <row r="544" ht="12.0" customHeight="1">
      <c r="K544" s="2"/>
      <c r="M544" s="2"/>
    </row>
    <row r="545" ht="12.0" customHeight="1">
      <c r="K545" s="2"/>
      <c r="M545" s="2"/>
    </row>
    <row r="546" ht="12.0" customHeight="1">
      <c r="K546" s="2"/>
      <c r="M546" s="2"/>
    </row>
    <row r="547" ht="12.0" customHeight="1">
      <c r="K547" s="2"/>
      <c r="M547" s="2"/>
    </row>
    <row r="548" ht="12.0" customHeight="1">
      <c r="K548" s="2"/>
      <c r="M548" s="2"/>
    </row>
    <row r="549" ht="12.0" customHeight="1">
      <c r="K549" s="2"/>
      <c r="M549" s="2"/>
    </row>
    <row r="550" ht="12.0" customHeight="1">
      <c r="K550" s="2"/>
      <c r="M550" s="2"/>
    </row>
    <row r="551" ht="12.0" customHeight="1">
      <c r="K551" s="2"/>
      <c r="M551" s="2"/>
    </row>
    <row r="552" ht="12.0" customHeight="1">
      <c r="K552" s="2"/>
      <c r="M552" s="2"/>
    </row>
    <row r="553" ht="12.0" customHeight="1">
      <c r="K553" s="2"/>
      <c r="M553" s="2"/>
    </row>
    <row r="554" ht="12.0" customHeight="1">
      <c r="K554" s="2"/>
      <c r="M554" s="2"/>
    </row>
    <row r="555" ht="12.0" customHeight="1">
      <c r="K555" s="2"/>
      <c r="M555" s="2"/>
    </row>
    <row r="556" ht="12.0" customHeight="1">
      <c r="K556" s="2"/>
      <c r="M556" s="2"/>
    </row>
    <row r="557" ht="12.0" customHeight="1">
      <c r="K557" s="2"/>
      <c r="M557" s="2"/>
    </row>
    <row r="558" ht="12.0" customHeight="1">
      <c r="K558" s="2"/>
      <c r="M558" s="2"/>
    </row>
    <row r="559" ht="12.0" customHeight="1">
      <c r="K559" s="2"/>
      <c r="M559" s="2"/>
    </row>
    <row r="560" ht="12.0" customHeight="1">
      <c r="K560" s="2"/>
      <c r="M560" s="2"/>
    </row>
    <row r="561" ht="12.0" customHeight="1">
      <c r="K561" s="2"/>
      <c r="M561" s="2"/>
    </row>
    <row r="562" ht="12.0" customHeight="1">
      <c r="K562" s="2"/>
      <c r="M562" s="2"/>
    </row>
    <row r="563" ht="12.0" customHeight="1">
      <c r="K563" s="2"/>
      <c r="M563" s="2"/>
    </row>
    <row r="564" ht="12.0" customHeight="1">
      <c r="K564" s="2"/>
      <c r="M564" s="2"/>
    </row>
    <row r="565" ht="12.0" customHeight="1">
      <c r="K565" s="2"/>
      <c r="M565" s="2"/>
    </row>
    <row r="566" ht="12.0" customHeight="1">
      <c r="K566" s="2"/>
      <c r="M566" s="2"/>
    </row>
    <row r="567" ht="12.0" customHeight="1">
      <c r="K567" s="2"/>
      <c r="M567" s="2"/>
    </row>
    <row r="568" ht="12.0" customHeight="1">
      <c r="K568" s="2"/>
      <c r="M568" s="2"/>
    </row>
    <row r="569" ht="12.0" customHeight="1">
      <c r="K569" s="2"/>
      <c r="M569" s="2"/>
    </row>
    <row r="570" ht="12.0" customHeight="1">
      <c r="K570" s="2"/>
      <c r="M570" s="2"/>
    </row>
    <row r="571" ht="12.0" customHeight="1">
      <c r="K571" s="2"/>
      <c r="M571" s="2"/>
    </row>
    <row r="572" ht="12.0" customHeight="1">
      <c r="K572" s="2"/>
      <c r="M572" s="2"/>
    </row>
    <row r="573" ht="12.0" customHeight="1">
      <c r="K573" s="2"/>
      <c r="M573" s="2"/>
    </row>
    <row r="574" ht="12.0" customHeight="1">
      <c r="K574" s="2"/>
      <c r="M574" s="2"/>
    </row>
    <row r="575" ht="12.0" customHeight="1">
      <c r="K575" s="2"/>
      <c r="M575" s="2"/>
    </row>
    <row r="576" ht="12.0" customHeight="1">
      <c r="K576" s="2"/>
      <c r="M576" s="2"/>
    </row>
    <row r="577" ht="12.0" customHeight="1">
      <c r="K577" s="2"/>
      <c r="M577" s="2"/>
    </row>
    <row r="578" ht="12.0" customHeight="1">
      <c r="K578" s="2"/>
      <c r="M578" s="2"/>
    </row>
    <row r="579" ht="12.0" customHeight="1">
      <c r="K579" s="2"/>
      <c r="M579" s="2"/>
    </row>
    <row r="580" ht="12.0" customHeight="1">
      <c r="K580" s="2"/>
      <c r="M580" s="2"/>
    </row>
    <row r="581" ht="12.0" customHeight="1">
      <c r="K581" s="2"/>
      <c r="M581" s="2"/>
    </row>
    <row r="582" ht="12.0" customHeight="1">
      <c r="K582" s="2"/>
      <c r="M582" s="2"/>
    </row>
    <row r="583" ht="12.0" customHeight="1">
      <c r="K583" s="2"/>
      <c r="M583" s="2"/>
    </row>
    <row r="584" ht="12.0" customHeight="1">
      <c r="K584" s="2"/>
      <c r="M584" s="2"/>
    </row>
    <row r="585" ht="12.0" customHeight="1">
      <c r="K585" s="2"/>
      <c r="M585" s="2"/>
    </row>
    <row r="586" ht="12.0" customHeight="1">
      <c r="K586" s="2"/>
      <c r="M586" s="2"/>
    </row>
    <row r="587" ht="12.0" customHeight="1">
      <c r="K587" s="2"/>
      <c r="M587" s="2"/>
    </row>
    <row r="588" ht="12.0" customHeight="1">
      <c r="K588" s="2"/>
      <c r="M588" s="2"/>
    </row>
    <row r="589" ht="12.0" customHeight="1">
      <c r="K589" s="2"/>
      <c r="M589" s="2"/>
    </row>
    <row r="590" ht="12.0" customHeight="1">
      <c r="K590" s="2"/>
      <c r="M590" s="2"/>
    </row>
    <row r="591" ht="12.0" customHeight="1">
      <c r="K591" s="2"/>
      <c r="M591" s="2"/>
    </row>
    <row r="592" ht="12.0" customHeight="1">
      <c r="K592" s="2"/>
      <c r="M592" s="2"/>
    </row>
    <row r="593" ht="12.0" customHeight="1">
      <c r="K593" s="2"/>
      <c r="M593" s="2"/>
    </row>
    <row r="594" ht="12.0" customHeight="1">
      <c r="K594" s="2"/>
      <c r="M594" s="2"/>
    </row>
    <row r="595" ht="12.0" customHeight="1">
      <c r="K595" s="2"/>
      <c r="M595" s="2"/>
    </row>
    <row r="596" ht="12.0" customHeight="1">
      <c r="K596" s="2"/>
      <c r="M596" s="2"/>
    </row>
    <row r="597" ht="12.0" customHeight="1">
      <c r="K597" s="2"/>
      <c r="M597" s="2"/>
    </row>
    <row r="598" ht="12.0" customHeight="1">
      <c r="K598" s="2"/>
      <c r="M598" s="2"/>
    </row>
    <row r="599" ht="12.0" customHeight="1">
      <c r="K599" s="2"/>
      <c r="M599" s="2"/>
    </row>
    <row r="600" ht="12.0" customHeight="1">
      <c r="K600" s="2"/>
      <c r="M600" s="2"/>
    </row>
    <row r="601" ht="12.0" customHeight="1">
      <c r="K601" s="2"/>
      <c r="M601" s="2"/>
    </row>
    <row r="602" ht="12.0" customHeight="1">
      <c r="K602" s="2"/>
      <c r="M602" s="2"/>
    </row>
    <row r="603" ht="12.0" customHeight="1">
      <c r="K603" s="2"/>
      <c r="M603" s="2"/>
    </row>
    <row r="604" ht="12.0" customHeight="1">
      <c r="K604" s="2"/>
      <c r="M604" s="2"/>
    </row>
    <row r="605" ht="12.0" customHeight="1">
      <c r="K605" s="2"/>
      <c r="M605" s="2"/>
    </row>
    <row r="606" ht="12.0" customHeight="1">
      <c r="K606" s="2"/>
      <c r="M606" s="2"/>
    </row>
    <row r="607" ht="12.0" customHeight="1">
      <c r="K607" s="2"/>
      <c r="M607" s="2"/>
    </row>
    <row r="608" ht="12.0" customHeight="1">
      <c r="K608" s="2"/>
      <c r="M608" s="2"/>
    </row>
    <row r="609" ht="12.0" customHeight="1">
      <c r="K609" s="2"/>
      <c r="M609" s="2"/>
    </row>
    <row r="610" ht="12.0" customHeight="1">
      <c r="K610" s="2"/>
      <c r="M610" s="2"/>
    </row>
    <row r="611" ht="12.0" customHeight="1">
      <c r="K611" s="2"/>
      <c r="M611" s="2"/>
    </row>
    <row r="612" ht="12.0" customHeight="1">
      <c r="K612" s="2"/>
      <c r="M612" s="2"/>
    </row>
    <row r="613" ht="12.0" customHeight="1">
      <c r="K613" s="2"/>
      <c r="M613" s="2"/>
    </row>
    <row r="614" ht="12.0" customHeight="1">
      <c r="K614" s="2"/>
      <c r="M614" s="2"/>
    </row>
    <row r="615" ht="12.0" customHeight="1">
      <c r="K615" s="2"/>
      <c r="M615" s="2"/>
    </row>
    <row r="616" ht="12.0" customHeight="1">
      <c r="K616" s="2"/>
      <c r="M616" s="2"/>
    </row>
    <row r="617" ht="12.0" customHeight="1">
      <c r="K617" s="2"/>
      <c r="M617" s="2"/>
    </row>
    <row r="618" ht="12.0" customHeight="1">
      <c r="K618" s="2"/>
      <c r="M618" s="2"/>
    </row>
    <row r="619" ht="12.0" customHeight="1">
      <c r="K619" s="2"/>
      <c r="M619" s="2"/>
    </row>
    <row r="620" ht="12.0" customHeight="1">
      <c r="K620" s="2"/>
      <c r="M620" s="2"/>
    </row>
    <row r="621" ht="12.0" customHeight="1">
      <c r="K621" s="2"/>
      <c r="M621" s="2"/>
    </row>
    <row r="622" ht="12.0" customHeight="1">
      <c r="K622" s="2"/>
      <c r="M622" s="2"/>
    </row>
    <row r="623" ht="12.0" customHeight="1">
      <c r="K623" s="2"/>
      <c r="M623" s="2"/>
    </row>
    <row r="624" ht="12.0" customHeight="1">
      <c r="K624" s="2"/>
      <c r="M624" s="2"/>
    </row>
    <row r="625" ht="12.0" customHeight="1">
      <c r="K625" s="2"/>
      <c r="M625" s="2"/>
    </row>
    <row r="626" ht="12.0" customHeight="1">
      <c r="K626" s="2"/>
      <c r="M626" s="2"/>
    </row>
    <row r="627" ht="12.0" customHeight="1">
      <c r="K627" s="2"/>
      <c r="M627" s="2"/>
    </row>
    <row r="628" ht="12.0" customHeight="1">
      <c r="K628" s="2"/>
      <c r="M628" s="2"/>
    </row>
    <row r="629" ht="12.0" customHeight="1">
      <c r="K629" s="2"/>
      <c r="M629" s="2"/>
    </row>
    <row r="630" ht="12.0" customHeight="1">
      <c r="K630" s="2"/>
      <c r="M630" s="2"/>
    </row>
    <row r="631" ht="12.0" customHeight="1">
      <c r="K631" s="2"/>
      <c r="M631" s="2"/>
    </row>
    <row r="632" ht="12.0" customHeight="1">
      <c r="K632" s="2"/>
      <c r="M632" s="2"/>
    </row>
    <row r="633" ht="12.0" customHeight="1">
      <c r="K633" s="2"/>
      <c r="M633" s="2"/>
    </row>
    <row r="634" ht="12.0" customHeight="1">
      <c r="K634" s="2"/>
      <c r="M634" s="2"/>
    </row>
    <row r="635" ht="12.0" customHeight="1">
      <c r="K635" s="2"/>
      <c r="M635" s="2"/>
    </row>
    <row r="636" ht="12.0" customHeight="1">
      <c r="K636" s="2"/>
      <c r="M636" s="2"/>
    </row>
    <row r="637" ht="12.0" customHeight="1">
      <c r="K637" s="2"/>
      <c r="M637" s="2"/>
    </row>
    <row r="638" ht="12.0" customHeight="1">
      <c r="K638" s="2"/>
      <c r="M638" s="2"/>
    </row>
    <row r="639" ht="12.0" customHeight="1">
      <c r="K639" s="2"/>
      <c r="M639" s="2"/>
    </row>
    <row r="640" ht="12.0" customHeight="1">
      <c r="K640" s="2"/>
      <c r="M640" s="2"/>
    </row>
    <row r="641" ht="12.0" customHeight="1">
      <c r="K641" s="2"/>
      <c r="M641" s="2"/>
    </row>
    <row r="642" ht="12.0" customHeight="1">
      <c r="K642" s="2"/>
      <c r="M642" s="2"/>
    </row>
    <row r="643" ht="12.0" customHeight="1">
      <c r="K643" s="2"/>
      <c r="M643" s="2"/>
    </row>
    <row r="644" ht="12.0" customHeight="1">
      <c r="K644" s="2"/>
      <c r="M644" s="2"/>
    </row>
    <row r="645" ht="12.0" customHeight="1">
      <c r="K645" s="2"/>
      <c r="M645" s="2"/>
    </row>
    <row r="646" ht="12.0" customHeight="1">
      <c r="K646" s="2"/>
      <c r="M646" s="2"/>
    </row>
    <row r="647" ht="12.0" customHeight="1">
      <c r="K647" s="2"/>
      <c r="M647" s="2"/>
    </row>
    <row r="648" ht="12.0" customHeight="1">
      <c r="K648" s="2"/>
      <c r="M648" s="2"/>
    </row>
    <row r="649" ht="12.0" customHeight="1">
      <c r="K649" s="2"/>
      <c r="M649" s="2"/>
    </row>
    <row r="650" ht="12.0" customHeight="1">
      <c r="K650" s="2"/>
      <c r="M650" s="2"/>
    </row>
    <row r="651" ht="12.0" customHeight="1">
      <c r="K651" s="2"/>
      <c r="M651" s="2"/>
    </row>
    <row r="652" ht="12.0" customHeight="1">
      <c r="K652" s="2"/>
      <c r="M652" s="2"/>
    </row>
    <row r="653" ht="12.0" customHeight="1">
      <c r="K653" s="2"/>
      <c r="M653" s="2"/>
    </row>
    <row r="654" ht="12.0" customHeight="1">
      <c r="K654" s="2"/>
      <c r="M654" s="2"/>
    </row>
    <row r="655" ht="12.0" customHeight="1">
      <c r="K655" s="2"/>
      <c r="M655" s="2"/>
    </row>
    <row r="656" ht="12.0" customHeight="1">
      <c r="K656" s="2"/>
      <c r="M656" s="2"/>
    </row>
    <row r="657" ht="12.0" customHeight="1">
      <c r="K657" s="2"/>
      <c r="M657" s="2"/>
    </row>
    <row r="658" ht="12.0" customHeight="1">
      <c r="K658" s="2"/>
      <c r="M658" s="2"/>
    </row>
    <row r="659" ht="12.0" customHeight="1">
      <c r="K659" s="2"/>
      <c r="M659" s="2"/>
    </row>
    <row r="660" ht="12.0" customHeight="1">
      <c r="K660" s="2"/>
      <c r="M660" s="2"/>
    </row>
    <row r="661" ht="12.0" customHeight="1">
      <c r="K661" s="2"/>
      <c r="M661" s="2"/>
    </row>
    <row r="662" ht="12.0" customHeight="1">
      <c r="K662" s="2"/>
      <c r="M662" s="2"/>
    </row>
    <row r="663" ht="12.0" customHeight="1">
      <c r="K663" s="2"/>
      <c r="M663" s="2"/>
    </row>
    <row r="664" ht="12.0" customHeight="1">
      <c r="K664" s="2"/>
      <c r="M664" s="2"/>
    </row>
    <row r="665" ht="12.0" customHeight="1">
      <c r="K665" s="2"/>
      <c r="M665" s="2"/>
    </row>
    <row r="666" ht="12.0" customHeight="1">
      <c r="K666" s="2"/>
      <c r="M666" s="2"/>
    </row>
    <row r="667" ht="12.0" customHeight="1">
      <c r="K667" s="2"/>
      <c r="M667" s="2"/>
    </row>
    <row r="668" ht="12.0" customHeight="1">
      <c r="K668" s="2"/>
      <c r="M668" s="2"/>
    </row>
    <row r="669" ht="12.0" customHeight="1">
      <c r="K669" s="2"/>
      <c r="M669" s="2"/>
    </row>
    <row r="670" ht="12.0" customHeight="1">
      <c r="K670" s="2"/>
      <c r="M670" s="2"/>
    </row>
    <row r="671" ht="12.0" customHeight="1">
      <c r="K671" s="2"/>
      <c r="M671" s="2"/>
    </row>
    <row r="672" ht="12.0" customHeight="1">
      <c r="K672" s="2"/>
      <c r="M672" s="2"/>
    </row>
    <row r="673" ht="12.0" customHeight="1">
      <c r="K673" s="2"/>
      <c r="M673" s="2"/>
    </row>
    <row r="674" ht="12.0" customHeight="1">
      <c r="K674" s="2"/>
      <c r="M674" s="2"/>
    </row>
    <row r="675" ht="12.0" customHeight="1">
      <c r="K675" s="2"/>
      <c r="M675" s="2"/>
    </row>
    <row r="676" ht="12.0" customHeight="1">
      <c r="K676" s="2"/>
      <c r="M676" s="2"/>
    </row>
    <row r="677" ht="12.0" customHeight="1">
      <c r="K677" s="2"/>
      <c r="M677" s="2"/>
    </row>
    <row r="678" ht="12.0" customHeight="1">
      <c r="K678" s="2"/>
      <c r="M678" s="2"/>
    </row>
    <row r="679" ht="12.0" customHeight="1">
      <c r="K679" s="2"/>
      <c r="M679" s="2"/>
    </row>
    <row r="680" ht="12.0" customHeight="1">
      <c r="K680" s="2"/>
      <c r="M680" s="2"/>
    </row>
    <row r="681" ht="12.0" customHeight="1">
      <c r="K681" s="2"/>
      <c r="M681" s="2"/>
    </row>
    <row r="682" ht="12.0" customHeight="1">
      <c r="K682" s="2"/>
      <c r="M682" s="2"/>
    </row>
    <row r="683" ht="12.0" customHeight="1">
      <c r="K683" s="2"/>
      <c r="M683" s="2"/>
    </row>
    <row r="684" ht="12.0" customHeight="1">
      <c r="K684" s="2"/>
      <c r="M684" s="2"/>
    </row>
    <row r="685" ht="12.0" customHeight="1">
      <c r="K685" s="2"/>
      <c r="M685" s="2"/>
    </row>
    <row r="686" ht="12.0" customHeight="1">
      <c r="K686" s="2"/>
      <c r="M686" s="2"/>
    </row>
    <row r="687" ht="12.0" customHeight="1">
      <c r="K687" s="2"/>
      <c r="M687" s="2"/>
    </row>
    <row r="688" ht="12.0" customHeight="1">
      <c r="K688" s="2"/>
      <c r="M688" s="2"/>
    </row>
    <row r="689" ht="12.0" customHeight="1">
      <c r="K689" s="2"/>
      <c r="M689" s="2"/>
    </row>
    <row r="690" ht="12.0" customHeight="1">
      <c r="K690" s="2"/>
      <c r="M690" s="2"/>
    </row>
    <row r="691" ht="12.0" customHeight="1">
      <c r="K691" s="2"/>
      <c r="M691" s="2"/>
    </row>
    <row r="692" ht="12.0" customHeight="1">
      <c r="K692" s="2"/>
      <c r="M692" s="2"/>
    </row>
    <row r="693" ht="12.0" customHeight="1">
      <c r="K693" s="2"/>
      <c r="M693" s="2"/>
    </row>
    <row r="694" ht="12.0" customHeight="1">
      <c r="K694" s="2"/>
      <c r="M694" s="2"/>
    </row>
    <row r="695" ht="12.0" customHeight="1">
      <c r="K695" s="2"/>
      <c r="M695" s="2"/>
    </row>
    <row r="696" ht="12.0" customHeight="1">
      <c r="K696" s="2"/>
      <c r="M696" s="2"/>
    </row>
    <row r="697" ht="12.0" customHeight="1">
      <c r="K697" s="2"/>
      <c r="M697" s="2"/>
    </row>
    <row r="698" ht="12.0" customHeight="1">
      <c r="K698" s="2"/>
      <c r="M698" s="2"/>
    </row>
    <row r="699" ht="12.0" customHeight="1">
      <c r="K699" s="2"/>
      <c r="M699" s="2"/>
    </row>
    <row r="700" ht="12.0" customHeight="1">
      <c r="K700" s="2"/>
      <c r="M700" s="2"/>
    </row>
    <row r="701" ht="12.0" customHeight="1">
      <c r="K701" s="2"/>
      <c r="M701" s="2"/>
    </row>
    <row r="702" ht="12.0" customHeight="1">
      <c r="K702" s="2"/>
      <c r="M702" s="2"/>
    </row>
    <row r="703" ht="12.0" customHeight="1">
      <c r="K703" s="2"/>
      <c r="M703" s="2"/>
    </row>
    <row r="704" ht="12.0" customHeight="1">
      <c r="K704" s="2"/>
      <c r="M704" s="2"/>
    </row>
    <row r="705" ht="12.0" customHeight="1">
      <c r="K705" s="2"/>
      <c r="M705" s="2"/>
    </row>
    <row r="706" ht="12.0" customHeight="1">
      <c r="K706" s="2"/>
      <c r="M706" s="2"/>
    </row>
    <row r="707" ht="12.0" customHeight="1">
      <c r="K707" s="2"/>
      <c r="M707" s="2"/>
    </row>
    <row r="708" ht="12.0" customHeight="1">
      <c r="K708" s="2"/>
      <c r="M708" s="2"/>
    </row>
    <row r="709" ht="12.0" customHeight="1">
      <c r="K709" s="2"/>
      <c r="M709" s="2"/>
    </row>
    <row r="710" ht="12.0" customHeight="1">
      <c r="K710" s="2"/>
      <c r="M710" s="2"/>
    </row>
    <row r="711" ht="12.0" customHeight="1">
      <c r="K711" s="2"/>
      <c r="M711" s="2"/>
    </row>
    <row r="712" ht="12.0" customHeight="1">
      <c r="K712" s="2"/>
      <c r="M712" s="2"/>
    </row>
    <row r="713" ht="12.0" customHeight="1">
      <c r="K713" s="2"/>
      <c r="M713" s="2"/>
    </row>
    <row r="714" ht="12.0" customHeight="1">
      <c r="K714" s="2"/>
      <c r="M714" s="2"/>
    </row>
    <row r="715" ht="12.0" customHeight="1">
      <c r="K715" s="2"/>
      <c r="M715" s="2"/>
    </row>
    <row r="716" ht="12.0" customHeight="1">
      <c r="K716" s="2"/>
      <c r="M716" s="2"/>
    </row>
    <row r="717" ht="12.0" customHeight="1">
      <c r="K717" s="2"/>
      <c r="M717" s="2"/>
    </row>
    <row r="718" ht="12.0" customHeight="1">
      <c r="K718" s="2"/>
      <c r="M718" s="2"/>
    </row>
    <row r="719" ht="12.0" customHeight="1">
      <c r="K719" s="2"/>
      <c r="M719" s="2"/>
    </row>
    <row r="720" ht="12.0" customHeight="1">
      <c r="K720" s="2"/>
      <c r="M720" s="2"/>
    </row>
    <row r="721" ht="12.0" customHeight="1">
      <c r="K721" s="2"/>
      <c r="M721" s="2"/>
    </row>
    <row r="722" ht="12.0" customHeight="1">
      <c r="K722" s="2"/>
      <c r="M722" s="2"/>
    </row>
    <row r="723" ht="12.0" customHeight="1">
      <c r="K723" s="2"/>
      <c r="M723" s="2"/>
    </row>
    <row r="724" ht="12.0" customHeight="1">
      <c r="K724" s="2"/>
      <c r="M724" s="2"/>
    </row>
    <row r="725" ht="12.0" customHeight="1">
      <c r="K725" s="2"/>
      <c r="M725" s="2"/>
    </row>
    <row r="726" ht="12.0" customHeight="1">
      <c r="K726" s="2"/>
      <c r="M726" s="2"/>
    </row>
    <row r="727" ht="12.0" customHeight="1">
      <c r="K727" s="2"/>
      <c r="M727" s="2"/>
    </row>
    <row r="728" ht="12.0" customHeight="1">
      <c r="K728" s="2"/>
      <c r="M728" s="2"/>
    </row>
    <row r="729" ht="12.0" customHeight="1">
      <c r="K729" s="2"/>
      <c r="M729" s="2"/>
    </row>
    <row r="730" ht="12.0" customHeight="1">
      <c r="K730" s="2"/>
      <c r="M730" s="2"/>
    </row>
    <row r="731" ht="12.0" customHeight="1">
      <c r="K731" s="2"/>
      <c r="M731" s="2"/>
    </row>
    <row r="732" ht="12.0" customHeight="1">
      <c r="K732" s="2"/>
      <c r="M732" s="2"/>
    </row>
    <row r="733" ht="12.0" customHeight="1">
      <c r="K733" s="2"/>
      <c r="M733" s="2"/>
    </row>
    <row r="734" ht="12.0" customHeight="1">
      <c r="K734" s="2"/>
      <c r="M734" s="2"/>
    </row>
    <row r="735" ht="12.0" customHeight="1">
      <c r="K735" s="2"/>
      <c r="M735" s="2"/>
    </row>
    <row r="736" ht="12.0" customHeight="1">
      <c r="K736" s="2"/>
      <c r="M736" s="2"/>
    </row>
    <row r="737" ht="12.0" customHeight="1">
      <c r="K737" s="2"/>
      <c r="M737" s="2"/>
    </row>
    <row r="738" ht="12.0" customHeight="1">
      <c r="K738" s="2"/>
      <c r="M738" s="2"/>
    </row>
    <row r="739" ht="12.0" customHeight="1">
      <c r="K739" s="2"/>
      <c r="M739" s="2"/>
    </row>
    <row r="740" ht="12.0" customHeight="1">
      <c r="K740" s="2"/>
      <c r="M740" s="2"/>
    </row>
    <row r="741" ht="12.0" customHeight="1">
      <c r="K741" s="2"/>
      <c r="M741" s="2"/>
    </row>
    <row r="742" ht="12.0" customHeight="1">
      <c r="K742" s="2"/>
      <c r="M742" s="2"/>
    </row>
    <row r="743" ht="12.0" customHeight="1">
      <c r="K743" s="2"/>
      <c r="M743" s="2"/>
    </row>
    <row r="744" ht="12.0" customHeight="1">
      <c r="K744" s="2"/>
      <c r="M744" s="2"/>
    </row>
    <row r="745" ht="12.0" customHeight="1">
      <c r="K745" s="2"/>
      <c r="M745" s="2"/>
    </row>
    <row r="746" ht="12.0" customHeight="1">
      <c r="K746" s="2"/>
      <c r="M746" s="2"/>
    </row>
    <row r="747" ht="12.0" customHeight="1">
      <c r="K747" s="2"/>
      <c r="M747" s="2"/>
    </row>
    <row r="748" ht="12.0" customHeight="1">
      <c r="K748" s="2"/>
      <c r="M748" s="2"/>
    </row>
    <row r="749" ht="12.0" customHeight="1">
      <c r="K749" s="2"/>
      <c r="M749" s="2"/>
    </row>
    <row r="750" ht="12.0" customHeight="1">
      <c r="K750" s="2"/>
      <c r="M750" s="2"/>
    </row>
    <row r="751" ht="12.0" customHeight="1">
      <c r="K751" s="2"/>
      <c r="M751" s="2"/>
    </row>
    <row r="752" ht="12.0" customHeight="1">
      <c r="K752" s="2"/>
      <c r="M752" s="2"/>
    </row>
    <row r="753" ht="12.0" customHeight="1">
      <c r="K753" s="2"/>
      <c r="M753" s="2"/>
    </row>
    <row r="754" ht="12.0" customHeight="1">
      <c r="K754" s="2"/>
      <c r="M754" s="2"/>
    </row>
    <row r="755" ht="12.0" customHeight="1">
      <c r="K755" s="2"/>
      <c r="M755" s="2"/>
    </row>
    <row r="756" ht="12.0" customHeight="1">
      <c r="K756" s="2"/>
      <c r="M756" s="2"/>
    </row>
    <row r="757" ht="12.0" customHeight="1">
      <c r="K757" s="2"/>
      <c r="M757" s="2"/>
    </row>
    <row r="758" ht="12.0" customHeight="1">
      <c r="K758" s="2"/>
      <c r="M758" s="2"/>
    </row>
    <row r="759" ht="12.0" customHeight="1">
      <c r="K759" s="2"/>
      <c r="M759" s="2"/>
    </row>
    <row r="760" ht="12.0" customHeight="1">
      <c r="K760" s="2"/>
      <c r="M760" s="2"/>
    </row>
    <row r="761" ht="12.0" customHeight="1">
      <c r="K761" s="2"/>
      <c r="M761" s="2"/>
    </row>
    <row r="762" ht="12.0" customHeight="1">
      <c r="K762" s="2"/>
      <c r="M762" s="2"/>
    </row>
    <row r="763" ht="12.0" customHeight="1">
      <c r="K763" s="2"/>
      <c r="M763" s="2"/>
    </row>
    <row r="764" ht="12.0" customHeight="1">
      <c r="K764" s="2"/>
      <c r="M764" s="2"/>
    </row>
    <row r="765" ht="12.0" customHeight="1">
      <c r="K765" s="2"/>
      <c r="M765" s="2"/>
    </row>
    <row r="766" ht="12.0" customHeight="1">
      <c r="K766" s="2"/>
      <c r="M766" s="2"/>
    </row>
    <row r="767" ht="12.0" customHeight="1">
      <c r="K767" s="2"/>
      <c r="M767" s="2"/>
    </row>
    <row r="768" ht="12.0" customHeight="1">
      <c r="K768" s="2"/>
      <c r="M768" s="2"/>
    </row>
    <row r="769" ht="12.0" customHeight="1">
      <c r="K769" s="2"/>
      <c r="M769" s="2"/>
    </row>
    <row r="770" ht="12.0" customHeight="1">
      <c r="K770" s="2"/>
      <c r="M770" s="2"/>
    </row>
    <row r="771" ht="12.0" customHeight="1">
      <c r="K771" s="2"/>
      <c r="M771" s="2"/>
    </row>
    <row r="772" ht="12.0" customHeight="1">
      <c r="K772" s="2"/>
      <c r="M772" s="2"/>
    </row>
    <row r="773" ht="12.0" customHeight="1">
      <c r="K773" s="2"/>
      <c r="M773" s="2"/>
    </row>
    <row r="774" ht="12.0" customHeight="1">
      <c r="K774" s="2"/>
      <c r="M774" s="2"/>
    </row>
    <row r="775" ht="12.0" customHeight="1">
      <c r="K775" s="2"/>
      <c r="M775" s="2"/>
    </row>
    <row r="776" ht="12.0" customHeight="1">
      <c r="K776" s="2"/>
      <c r="M776" s="2"/>
    </row>
    <row r="777" ht="12.0" customHeight="1">
      <c r="K777" s="2"/>
      <c r="M777" s="2"/>
    </row>
    <row r="778" ht="12.0" customHeight="1">
      <c r="K778" s="2"/>
      <c r="M778" s="2"/>
    </row>
    <row r="779" ht="12.0" customHeight="1">
      <c r="K779" s="2"/>
      <c r="M779" s="2"/>
    </row>
    <row r="780" ht="12.0" customHeight="1">
      <c r="K780" s="2"/>
      <c r="M780" s="2"/>
    </row>
    <row r="781" ht="12.0" customHeight="1">
      <c r="K781" s="2"/>
      <c r="M781" s="2"/>
    </row>
    <row r="782" ht="12.0" customHeight="1">
      <c r="K782" s="2"/>
      <c r="M782" s="2"/>
    </row>
    <row r="783" ht="12.0" customHeight="1">
      <c r="K783" s="2"/>
      <c r="M783" s="2"/>
    </row>
    <row r="784" ht="12.0" customHeight="1">
      <c r="K784" s="2"/>
      <c r="M784" s="2"/>
    </row>
    <row r="785" ht="12.0" customHeight="1">
      <c r="K785" s="2"/>
      <c r="M785" s="2"/>
    </row>
    <row r="786" ht="12.0" customHeight="1">
      <c r="K786" s="2"/>
      <c r="M786" s="2"/>
    </row>
    <row r="787" ht="12.0" customHeight="1">
      <c r="K787" s="2"/>
      <c r="M787" s="2"/>
    </row>
    <row r="788" ht="12.0" customHeight="1">
      <c r="K788" s="2"/>
      <c r="M788" s="2"/>
    </row>
    <row r="789" ht="12.0" customHeight="1">
      <c r="K789" s="2"/>
      <c r="M789" s="2"/>
    </row>
    <row r="790" ht="12.0" customHeight="1">
      <c r="K790" s="2"/>
      <c r="M790" s="2"/>
    </row>
    <row r="791" ht="12.0" customHeight="1">
      <c r="K791" s="2"/>
      <c r="M791" s="2"/>
    </row>
    <row r="792" ht="12.0" customHeight="1">
      <c r="K792" s="2"/>
      <c r="M792" s="2"/>
    </row>
    <row r="793" ht="12.0" customHeight="1">
      <c r="K793" s="2"/>
      <c r="M793" s="2"/>
    </row>
    <row r="794" ht="12.0" customHeight="1">
      <c r="K794" s="2"/>
      <c r="M794" s="2"/>
    </row>
    <row r="795" ht="12.0" customHeight="1">
      <c r="K795" s="2"/>
      <c r="M795" s="2"/>
    </row>
    <row r="796" ht="12.0" customHeight="1">
      <c r="K796" s="2"/>
      <c r="M796" s="2"/>
    </row>
    <row r="797" ht="12.0" customHeight="1">
      <c r="K797" s="2"/>
      <c r="M797" s="2"/>
    </row>
    <row r="798" ht="12.0" customHeight="1">
      <c r="K798" s="2"/>
      <c r="M798" s="2"/>
    </row>
    <row r="799" ht="12.0" customHeight="1">
      <c r="K799" s="2"/>
      <c r="M799" s="2"/>
    </row>
    <row r="800" ht="12.0" customHeight="1">
      <c r="K800" s="2"/>
      <c r="M800" s="2"/>
    </row>
    <row r="801" ht="12.0" customHeight="1">
      <c r="K801" s="2"/>
      <c r="M801" s="2"/>
    </row>
    <row r="802" ht="12.0" customHeight="1">
      <c r="K802" s="2"/>
      <c r="M802" s="2"/>
    </row>
    <row r="803" ht="12.0" customHeight="1">
      <c r="K803" s="2"/>
      <c r="M803" s="2"/>
    </row>
    <row r="804" ht="12.0" customHeight="1">
      <c r="K804" s="2"/>
      <c r="M804" s="2"/>
    </row>
    <row r="805" ht="12.0" customHeight="1">
      <c r="K805" s="2"/>
      <c r="M805" s="2"/>
    </row>
    <row r="806" ht="12.0" customHeight="1">
      <c r="K806" s="2"/>
      <c r="M806" s="2"/>
    </row>
    <row r="807" ht="12.0" customHeight="1">
      <c r="K807" s="2"/>
      <c r="M807" s="2"/>
    </row>
    <row r="808" ht="12.0" customHeight="1">
      <c r="K808" s="2"/>
      <c r="M808" s="2"/>
    </row>
    <row r="809" ht="12.0" customHeight="1">
      <c r="K809" s="2"/>
      <c r="M809" s="2"/>
    </row>
    <row r="810" ht="12.0" customHeight="1">
      <c r="K810" s="2"/>
      <c r="M810" s="2"/>
    </row>
    <row r="811" ht="12.0" customHeight="1">
      <c r="K811" s="2"/>
      <c r="M811" s="2"/>
    </row>
    <row r="812" ht="12.0" customHeight="1">
      <c r="K812" s="2"/>
      <c r="M812" s="2"/>
    </row>
    <row r="813" ht="12.0" customHeight="1">
      <c r="K813" s="2"/>
      <c r="M813" s="2"/>
    </row>
    <row r="814" ht="12.0" customHeight="1">
      <c r="K814" s="2"/>
      <c r="M814" s="2"/>
    </row>
    <row r="815" ht="12.0" customHeight="1">
      <c r="K815" s="2"/>
      <c r="M815" s="2"/>
    </row>
    <row r="816" ht="12.0" customHeight="1">
      <c r="K816" s="2"/>
      <c r="M816" s="2"/>
    </row>
    <row r="817" ht="12.0" customHeight="1">
      <c r="K817" s="2"/>
      <c r="M817" s="2"/>
    </row>
    <row r="818" ht="12.0" customHeight="1">
      <c r="K818" s="2"/>
      <c r="M818" s="2"/>
    </row>
    <row r="819" ht="12.0" customHeight="1">
      <c r="K819" s="2"/>
      <c r="M819" s="2"/>
    </row>
    <row r="820" ht="12.0" customHeight="1">
      <c r="K820" s="2"/>
      <c r="M820" s="2"/>
    </row>
    <row r="821" ht="12.0" customHeight="1">
      <c r="K821" s="2"/>
      <c r="M821" s="2"/>
    </row>
    <row r="822" ht="12.0" customHeight="1">
      <c r="K822" s="2"/>
      <c r="M822" s="2"/>
    </row>
    <row r="823" ht="12.0" customHeight="1">
      <c r="K823" s="2"/>
      <c r="M823" s="2"/>
    </row>
    <row r="824" ht="12.0" customHeight="1">
      <c r="K824" s="2"/>
      <c r="M824" s="2"/>
    </row>
    <row r="825" ht="12.0" customHeight="1">
      <c r="K825" s="2"/>
      <c r="M825" s="2"/>
    </row>
    <row r="826" ht="12.0" customHeight="1">
      <c r="K826" s="2"/>
      <c r="M826" s="2"/>
    </row>
    <row r="827" ht="12.0" customHeight="1">
      <c r="K827" s="2"/>
      <c r="M827" s="2"/>
    </row>
    <row r="828" ht="12.0" customHeight="1">
      <c r="K828" s="2"/>
      <c r="M828" s="2"/>
    </row>
    <row r="829" ht="12.0" customHeight="1">
      <c r="K829" s="2"/>
      <c r="M829" s="2"/>
    </row>
    <row r="830" ht="12.0" customHeight="1">
      <c r="K830" s="2"/>
      <c r="M830" s="2"/>
    </row>
    <row r="831" ht="12.0" customHeight="1">
      <c r="K831" s="2"/>
      <c r="M831" s="2"/>
    </row>
    <row r="832" ht="12.0" customHeight="1">
      <c r="K832" s="2"/>
      <c r="M832" s="2"/>
    </row>
    <row r="833" ht="12.0" customHeight="1">
      <c r="K833" s="2"/>
      <c r="M833" s="2"/>
    </row>
    <row r="834" ht="12.0" customHeight="1">
      <c r="K834" s="2"/>
      <c r="M834" s="2"/>
    </row>
    <row r="835" ht="12.0" customHeight="1">
      <c r="K835" s="2"/>
      <c r="M835" s="2"/>
    </row>
    <row r="836" ht="12.0" customHeight="1">
      <c r="K836" s="2"/>
      <c r="M836" s="2"/>
    </row>
    <row r="837" ht="12.0" customHeight="1">
      <c r="K837" s="2"/>
      <c r="M837" s="2"/>
    </row>
    <row r="838" ht="12.0" customHeight="1">
      <c r="K838" s="2"/>
      <c r="M838" s="2"/>
    </row>
    <row r="839" ht="12.0" customHeight="1">
      <c r="K839" s="2"/>
      <c r="M839" s="2"/>
    </row>
    <row r="840" ht="12.0" customHeight="1">
      <c r="K840" s="2"/>
      <c r="M840" s="2"/>
    </row>
    <row r="841" ht="12.0" customHeight="1">
      <c r="K841" s="2"/>
      <c r="M841" s="2"/>
    </row>
    <row r="842" ht="12.0" customHeight="1">
      <c r="K842" s="2"/>
      <c r="M842" s="2"/>
    </row>
    <row r="843" ht="12.0" customHeight="1">
      <c r="K843" s="2"/>
      <c r="M843" s="2"/>
    </row>
    <row r="844" ht="12.0" customHeight="1">
      <c r="K844" s="2"/>
      <c r="M844" s="2"/>
    </row>
    <row r="845" ht="12.0" customHeight="1">
      <c r="K845" s="2"/>
      <c r="M845" s="2"/>
    </row>
    <row r="846" ht="12.0" customHeight="1">
      <c r="K846" s="2"/>
      <c r="M846" s="2"/>
    </row>
    <row r="847" ht="12.0" customHeight="1">
      <c r="K847" s="2"/>
      <c r="M847" s="2"/>
    </row>
    <row r="848" ht="12.0" customHeight="1">
      <c r="K848" s="2"/>
      <c r="M848" s="2"/>
    </row>
    <row r="849" ht="12.0" customHeight="1">
      <c r="K849" s="2"/>
      <c r="M849" s="2"/>
    </row>
    <row r="850" ht="12.0" customHeight="1">
      <c r="K850" s="2"/>
      <c r="M850" s="2"/>
    </row>
    <row r="851" ht="12.0" customHeight="1">
      <c r="K851" s="2"/>
      <c r="M851" s="2"/>
    </row>
    <row r="852" ht="12.0" customHeight="1">
      <c r="K852" s="2"/>
      <c r="M852" s="2"/>
    </row>
    <row r="853" ht="12.0" customHeight="1">
      <c r="K853" s="2"/>
      <c r="M853" s="2"/>
    </row>
    <row r="854" ht="12.0" customHeight="1">
      <c r="K854" s="2"/>
      <c r="M854" s="2"/>
    </row>
    <row r="855" ht="12.0" customHeight="1">
      <c r="K855" s="2"/>
      <c r="M855" s="2"/>
    </row>
    <row r="856" ht="12.0" customHeight="1">
      <c r="K856" s="2"/>
      <c r="M856" s="2"/>
    </row>
    <row r="857" ht="12.0" customHeight="1">
      <c r="K857" s="2"/>
      <c r="M857" s="2"/>
    </row>
    <row r="858" ht="12.0" customHeight="1">
      <c r="K858" s="2"/>
      <c r="M858" s="2"/>
    </row>
    <row r="859" ht="12.0" customHeight="1">
      <c r="K859" s="2"/>
      <c r="M859" s="2"/>
    </row>
    <row r="860" ht="12.0" customHeight="1">
      <c r="K860" s="2"/>
      <c r="M860" s="2"/>
    </row>
    <row r="861" ht="12.0" customHeight="1">
      <c r="K861" s="2"/>
      <c r="M861" s="2"/>
    </row>
    <row r="862" ht="12.0" customHeight="1">
      <c r="K862" s="2"/>
      <c r="M862" s="2"/>
    </row>
    <row r="863" ht="12.0" customHeight="1">
      <c r="K863" s="2"/>
      <c r="M863" s="2"/>
    </row>
    <row r="864" ht="12.0" customHeight="1">
      <c r="K864" s="2"/>
      <c r="M864" s="2"/>
    </row>
    <row r="865" ht="12.0" customHeight="1">
      <c r="K865" s="2"/>
      <c r="M865" s="2"/>
    </row>
    <row r="866" ht="12.0" customHeight="1">
      <c r="K866" s="2"/>
      <c r="M866" s="2"/>
    </row>
    <row r="867" ht="12.0" customHeight="1">
      <c r="K867" s="2"/>
      <c r="M867" s="2"/>
    </row>
    <row r="868" ht="12.0" customHeight="1">
      <c r="K868" s="2"/>
      <c r="M868" s="2"/>
    </row>
    <row r="869" ht="12.0" customHeight="1">
      <c r="K869" s="2"/>
      <c r="M869" s="2"/>
    </row>
    <row r="870" ht="12.0" customHeight="1">
      <c r="K870" s="2"/>
      <c r="M870" s="2"/>
    </row>
    <row r="871" ht="12.0" customHeight="1">
      <c r="K871" s="2"/>
      <c r="M871" s="2"/>
    </row>
    <row r="872" ht="12.0" customHeight="1">
      <c r="K872" s="2"/>
      <c r="M872" s="2"/>
    </row>
    <row r="873" ht="12.0" customHeight="1">
      <c r="K873" s="2"/>
      <c r="M873" s="2"/>
    </row>
    <row r="874" ht="12.0" customHeight="1">
      <c r="K874" s="2"/>
      <c r="M874" s="2"/>
    </row>
    <row r="875" ht="12.0" customHeight="1">
      <c r="K875" s="2"/>
      <c r="M875" s="2"/>
    </row>
    <row r="876" ht="12.0" customHeight="1">
      <c r="K876" s="2"/>
      <c r="M876" s="2"/>
    </row>
    <row r="877" ht="12.0" customHeight="1">
      <c r="K877" s="2"/>
      <c r="M877" s="2"/>
    </row>
    <row r="878" ht="12.0" customHeight="1">
      <c r="K878" s="2"/>
      <c r="M878" s="2"/>
    </row>
    <row r="879" ht="12.0" customHeight="1">
      <c r="K879" s="2"/>
      <c r="M879" s="2"/>
    </row>
    <row r="880" ht="12.0" customHeight="1">
      <c r="K880" s="2"/>
      <c r="M880" s="2"/>
    </row>
    <row r="881" ht="12.0" customHeight="1">
      <c r="K881" s="2"/>
      <c r="M881" s="2"/>
    </row>
    <row r="882" ht="12.0" customHeight="1">
      <c r="K882" s="2"/>
      <c r="M882" s="2"/>
    </row>
    <row r="883" ht="12.0" customHeight="1">
      <c r="K883" s="2"/>
      <c r="M883" s="2"/>
    </row>
    <row r="884" ht="12.0" customHeight="1">
      <c r="K884" s="2"/>
      <c r="M884" s="2"/>
    </row>
    <row r="885" ht="12.0" customHeight="1">
      <c r="K885" s="2"/>
      <c r="M885" s="2"/>
    </row>
    <row r="886" ht="12.0" customHeight="1">
      <c r="K886" s="2"/>
      <c r="M886" s="2"/>
    </row>
    <row r="887" ht="12.0" customHeight="1">
      <c r="K887" s="2"/>
      <c r="M887" s="2"/>
    </row>
    <row r="888" ht="12.0" customHeight="1">
      <c r="K888" s="2"/>
      <c r="M888" s="2"/>
    </row>
    <row r="889" ht="12.0" customHeight="1">
      <c r="K889" s="2"/>
      <c r="M889" s="2"/>
    </row>
    <row r="890" ht="12.0" customHeight="1">
      <c r="K890" s="2"/>
      <c r="M890" s="2"/>
    </row>
    <row r="891" ht="12.0" customHeight="1">
      <c r="K891" s="2"/>
      <c r="M891" s="2"/>
    </row>
    <row r="892" ht="12.0" customHeight="1">
      <c r="K892" s="2"/>
      <c r="M892" s="2"/>
    </row>
    <row r="893" ht="12.0" customHeight="1">
      <c r="K893" s="2"/>
      <c r="M893" s="2"/>
    </row>
    <row r="894" ht="12.0" customHeight="1">
      <c r="K894" s="2"/>
      <c r="M894" s="2"/>
    </row>
    <row r="895" ht="12.0" customHeight="1">
      <c r="K895" s="2"/>
      <c r="M895" s="2"/>
    </row>
    <row r="896" ht="12.0" customHeight="1">
      <c r="K896" s="2"/>
      <c r="M896" s="2"/>
    </row>
    <row r="897" ht="12.0" customHeight="1">
      <c r="K897" s="2"/>
      <c r="M897" s="2"/>
    </row>
    <row r="898" ht="12.0" customHeight="1">
      <c r="K898" s="2"/>
      <c r="M898" s="2"/>
    </row>
    <row r="899" ht="12.0" customHeight="1">
      <c r="K899" s="2"/>
      <c r="M899" s="2"/>
    </row>
    <row r="900" ht="12.0" customHeight="1">
      <c r="K900" s="2"/>
      <c r="M900" s="2"/>
    </row>
    <row r="901" ht="12.0" customHeight="1">
      <c r="K901" s="2"/>
      <c r="M901" s="2"/>
    </row>
    <row r="902" ht="12.0" customHeight="1">
      <c r="K902" s="2"/>
      <c r="M902" s="2"/>
    </row>
    <row r="903" ht="12.0" customHeight="1">
      <c r="K903" s="2"/>
      <c r="M903" s="2"/>
    </row>
    <row r="904" ht="12.0" customHeight="1">
      <c r="K904" s="2"/>
      <c r="M904" s="2"/>
    </row>
    <row r="905" ht="12.0" customHeight="1">
      <c r="K905" s="2"/>
      <c r="M905" s="2"/>
    </row>
    <row r="906" ht="12.0" customHeight="1">
      <c r="K906" s="2"/>
      <c r="M906" s="2"/>
    </row>
    <row r="907" ht="12.0" customHeight="1">
      <c r="K907" s="2"/>
      <c r="M907" s="2"/>
    </row>
    <row r="908" ht="12.0" customHeight="1">
      <c r="K908" s="2"/>
      <c r="M908" s="2"/>
    </row>
    <row r="909" ht="12.0" customHeight="1">
      <c r="K909" s="2"/>
      <c r="M909" s="2"/>
    </row>
    <row r="910" ht="12.0" customHeight="1">
      <c r="K910" s="2"/>
      <c r="M910" s="2"/>
    </row>
    <row r="911" ht="12.0" customHeight="1">
      <c r="K911" s="2"/>
      <c r="M911" s="2"/>
    </row>
    <row r="912" ht="12.0" customHeight="1">
      <c r="K912" s="2"/>
      <c r="M912" s="2"/>
    </row>
    <row r="913" ht="12.0" customHeight="1">
      <c r="K913" s="2"/>
      <c r="M913" s="2"/>
    </row>
    <row r="914" ht="12.0" customHeight="1">
      <c r="K914" s="2"/>
      <c r="M914" s="2"/>
    </row>
    <row r="915" ht="12.0" customHeight="1">
      <c r="K915" s="2"/>
      <c r="M915" s="2"/>
    </row>
    <row r="916" ht="12.0" customHeight="1">
      <c r="K916" s="2"/>
      <c r="M916" s="2"/>
    </row>
    <row r="917" ht="12.0" customHeight="1">
      <c r="K917" s="2"/>
      <c r="M917" s="2"/>
    </row>
    <row r="918" ht="12.0" customHeight="1">
      <c r="K918" s="2"/>
      <c r="M918" s="2"/>
    </row>
    <row r="919" ht="12.0" customHeight="1">
      <c r="K919" s="2"/>
      <c r="M919" s="2"/>
    </row>
    <row r="920" ht="12.0" customHeight="1">
      <c r="K920" s="2"/>
      <c r="M920" s="2"/>
    </row>
    <row r="921" ht="12.0" customHeight="1">
      <c r="K921" s="2"/>
      <c r="M921" s="2"/>
    </row>
    <row r="922" ht="12.0" customHeight="1">
      <c r="K922" s="2"/>
      <c r="M922" s="2"/>
    </row>
    <row r="923" ht="12.0" customHeight="1">
      <c r="K923" s="2"/>
      <c r="M923" s="2"/>
    </row>
    <row r="924" ht="12.0" customHeight="1">
      <c r="K924" s="2"/>
      <c r="M924" s="2"/>
    </row>
    <row r="925" ht="12.0" customHeight="1">
      <c r="K925" s="2"/>
      <c r="M925" s="2"/>
    </row>
    <row r="926" ht="12.0" customHeight="1">
      <c r="K926" s="2"/>
      <c r="M926" s="2"/>
    </row>
    <row r="927" ht="12.0" customHeight="1">
      <c r="K927" s="2"/>
      <c r="M927" s="2"/>
    </row>
    <row r="928" ht="12.0" customHeight="1">
      <c r="K928" s="2"/>
      <c r="M928" s="2"/>
    </row>
    <row r="929" ht="12.0" customHeight="1">
      <c r="K929" s="2"/>
      <c r="M929" s="2"/>
    </row>
    <row r="930" ht="12.0" customHeight="1">
      <c r="K930" s="2"/>
      <c r="M930" s="2"/>
    </row>
    <row r="931" ht="12.0" customHeight="1">
      <c r="K931" s="2"/>
      <c r="M931" s="2"/>
    </row>
    <row r="932" ht="12.0" customHeight="1">
      <c r="K932" s="2"/>
      <c r="M932" s="2"/>
    </row>
    <row r="933" ht="12.0" customHeight="1">
      <c r="K933" s="2"/>
      <c r="M933" s="2"/>
    </row>
    <row r="934" ht="12.0" customHeight="1">
      <c r="K934" s="2"/>
      <c r="M934" s="2"/>
    </row>
    <row r="935" ht="12.0" customHeight="1">
      <c r="K935" s="2"/>
      <c r="M935" s="2"/>
    </row>
    <row r="936" ht="12.0" customHeight="1">
      <c r="K936" s="2"/>
      <c r="M936" s="2"/>
    </row>
    <row r="937" ht="12.0" customHeight="1">
      <c r="K937" s="2"/>
      <c r="M937" s="2"/>
    </row>
    <row r="938" ht="12.0" customHeight="1">
      <c r="K938" s="2"/>
      <c r="M938" s="2"/>
    </row>
    <row r="939" ht="12.0" customHeight="1">
      <c r="K939" s="2"/>
      <c r="M939" s="2"/>
    </row>
    <row r="940" ht="12.0" customHeight="1">
      <c r="K940" s="2"/>
      <c r="M940" s="2"/>
    </row>
    <row r="941" ht="12.0" customHeight="1">
      <c r="K941" s="2"/>
      <c r="M941" s="2"/>
    </row>
    <row r="942" ht="12.0" customHeight="1">
      <c r="K942" s="2"/>
      <c r="M942" s="2"/>
    </row>
    <row r="943" ht="12.0" customHeight="1">
      <c r="K943" s="2"/>
      <c r="M943" s="2"/>
    </row>
    <row r="944" ht="12.0" customHeight="1">
      <c r="K944" s="2"/>
      <c r="M944" s="2"/>
    </row>
    <row r="945" ht="12.0" customHeight="1">
      <c r="K945" s="2"/>
      <c r="M945" s="2"/>
    </row>
    <row r="946" ht="12.0" customHeight="1">
      <c r="K946" s="2"/>
      <c r="M946" s="2"/>
    </row>
    <row r="947" ht="12.0" customHeight="1">
      <c r="K947" s="2"/>
      <c r="M947" s="2"/>
    </row>
    <row r="948" ht="12.0" customHeight="1">
      <c r="K948" s="2"/>
      <c r="M948" s="2"/>
    </row>
    <row r="949" ht="12.0" customHeight="1">
      <c r="K949" s="2"/>
      <c r="M949" s="2"/>
    </row>
    <row r="950" ht="12.0" customHeight="1">
      <c r="K950" s="2"/>
      <c r="M950" s="2"/>
    </row>
    <row r="951" ht="12.0" customHeight="1">
      <c r="K951" s="2"/>
      <c r="M951" s="2"/>
    </row>
    <row r="952" ht="12.0" customHeight="1">
      <c r="K952" s="2"/>
      <c r="M952" s="2"/>
    </row>
    <row r="953" ht="12.0" customHeight="1">
      <c r="K953" s="2"/>
      <c r="M953" s="2"/>
    </row>
    <row r="954" ht="12.0" customHeight="1">
      <c r="K954" s="2"/>
      <c r="M954" s="2"/>
    </row>
    <row r="955" ht="12.0" customHeight="1">
      <c r="K955" s="2"/>
      <c r="M955" s="2"/>
    </row>
    <row r="956" ht="12.0" customHeight="1">
      <c r="K956" s="2"/>
      <c r="M956" s="2"/>
    </row>
    <row r="957" ht="12.0" customHeight="1">
      <c r="K957" s="2"/>
      <c r="M957" s="2"/>
    </row>
    <row r="958" ht="12.0" customHeight="1">
      <c r="K958" s="2"/>
      <c r="M958" s="2"/>
    </row>
    <row r="959" ht="12.0" customHeight="1">
      <c r="K959" s="2"/>
      <c r="M959" s="2"/>
    </row>
    <row r="960" ht="12.0" customHeight="1">
      <c r="K960" s="2"/>
      <c r="M960" s="2"/>
    </row>
    <row r="961" ht="12.0" customHeight="1">
      <c r="K961" s="2"/>
      <c r="M961" s="2"/>
    </row>
    <row r="962" ht="12.0" customHeight="1">
      <c r="K962" s="2"/>
      <c r="M962" s="2"/>
    </row>
    <row r="963" ht="12.0" customHeight="1">
      <c r="K963" s="2"/>
      <c r="M963" s="2"/>
    </row>
    <row r="964" ht="12.0" customHeight="1">
      <c r="K964" s="2"/>
      <c r="M964" s="2"/>
    </row>
    <row r="965" ht="12.0" customHeight="1">
      <c r="K965" s="2"/>
      <c r="M965" s="2"/>
    </row>
    <row r="966" ht="12.0" customHeight="1">
      <c r="K966" s="2"/>
      <c r="M966" s="2"/>
    </row>
    <row r="967" ht="12.0" customHeight="1">
      <c r="K967" s="2"/>
      <c r="M967" s="2"/>
    </row>
    <row r="968" ht="12.0" customHeight="1">
      <c r="K968" s="2"/>
      <c r="M968" s="2"/>
    </row>
    <row r="969" ht="12.0" customHeight="1">
      <c r="K969" s="2"/>
      <c r="M969" s="2"/>
    </row>
    <row r="970" ht="12.0" customHeight="1">
      <c r="K970" s="2"/>
      <c r="M970" s="2"/>
    </row>
    <row r="971" ht="12.0" customHeight="1">
      <c r="K971" s="2"/>
      <c r="M971" s="2"/>
    </row>
    <row r="972" ht="12.0" customHeight="1">
      <c r="K972" s="2"/>
      <c r="M972" s="2"/>
    </row>
    <row r="973" ht="12.0" customHeight="1">
      <c r="K973" s="2"/>
      <c r="M973" s="2"/>
    </row>
    <row r="974" ht="12.0" customHeight="1">
      <c r="K974" s="2"/>
      <c r="M974" s="2"/>
    </row>
    <row r="975" ht="12.0" customHeight="1">
      <c r="K975" s="2"/>
      <c r="M975" s="2"/>
    </row>
    <row r="976" ht="12.0" customHeight="1">
      <c r="K976" s="2"/>
      <c r="M976" s="2"/>
    </row>
    <row r="977" ht="12.0" customHeight="1">
      <c r="K977" s="2"/>
      <c r="M977" s="2"/>
    </row>
    <row r="978" ht="12.0" customHeight="1">
      <c r="K978" s="2"/>
      <c r="M978" s="2"/>
    </row>
    <row r="979" ht="12.0" customHeight="1">
      <c r="K979" s="2"/>
      <c r="M979" s="2"/>
    </row>
    <row r="980" ht="12.0" customHeight="1">
      <c r="K980" s="2"/>
      <c r="M980" s="2"/>
    </row>
    <row r="981" ht="12.0" customHeight="1">
      <c r="K981" s="2"/>
      <c r="M981" s="2"/>
    </row>
    <row r="982" ht="12.0" customHeight="1">
      <c r="K982" s="2"/>
      <c r="M982" s="2"/>
    </row>
    <row r="983" ht="12.0" customHeight="1">
      <c r="K983" s="2"/>
      <c r="M983" s="2"/>
    </row>
    <row r="984" ht="12.0" customHeight="1">
      <c r="K984" s="2"/>
      <c r="M984" s="2"/>
    </row>
    <row r="985" ht="12.0" customHeight="1">
      <c r="K985" s="2"/>
      <c r="M985" s="2"/>
    </row>
    <row r="986" ht="12.0" customHeight="1">
      <c r="K986" s="2"/>
      <c r="M986" s="2"/>
    </row>
    <row r="987" ht="12.0" customHeight="1">
      <c r="K987" s="2"/>
      <c r="M987" s="2"/>
    </row>
    <row r="988" ht="12.0" customHeight="1">
      <c r="K988" s="2"/>
      <c r="M988" s="2"/>
    </row>
    <row r="989" ht="12.0" customHeight="1">
      <c r="K989" s="2"/>
      <c r="M989" s="2"/>
    </row>
    <row r="990" ht="12.0" customHeight="1">
      <c r="K990" s="2"/>
      <c r="M990" s="2"/>
    </row>
    <row r="991" ht="12.0" customHeight="1">
      <c r="K991" s="2"/>
      <c r="M991" s="2"/>
    </row>
    <row r="992" ht="12.0" customHeight="1">
      <c r="K992" s="2"/>
      <c r="M992" s="2"/>
    </row>
    <row r="993" ht="12.0" customHeight="1">
      <c r="K993" s="2"/>
      <c r="M993" s="2"/>
    </row>
    <row r="994" ht="12.0" customHeight="1">
      <c r="K994" s="2"/>
      <c r="M994" s="2"/>
    </row>
    <row r="995" ht="12.0" customHeight="1">
      <c r="K995" s="2"/>
      <c r="M995" s="2"/>
    </row>
    <row r="996" ht="12.0" customHeight="1">
      <c r="K996" s="2"/>
      <c r="M996" s="2"/>
    </row>
    <row r="997" ht="12.0" customHeight="1">
      <c r="K997" s="2"/>
      <c r="M997" s="2"/>
    </row>
    <row r="998" ht="12.0" customHeight="1">
      <c r="K998" s="2"/>
      <c r="M998" s="2"/>
    </row>
    <row r="999" ht="12.0" customHeight="1">
      <c r="K999" s="2"/>
      <c r="M999" s="2"/>
    </row>
    <row r="1000" ht="12.0" customHeight="1">
      <c r="K1000" s="2"/>
      <c r="M1000" s="2"/>
    </row>
    <row r="1001" ht="12.0" customHeight="1">
      <c r="K1001" s="2"/>
      <c r="M1001" s="2"/>
    </row>
    <row r="1002" ht="12.0" customHeight="1">
      <c r="K1002" s="2"/>
      <c r="M1002" s="2"/>
    </row>
    <row r="1003" ht="12.0" customHeight="1">
      <c r="K1003" s="2"/>
      <c r="M1003" s="2"/>
    </row>
  </sheetData>
  <mergeCells count="3">
    <mergeCell ref="J7:K7"/>
    <mergeCell ref="L7:M7"/>
    <mergeCell ref="F8:H8"/>
  </mergeCells>
  <dataValidations>
    <dataValidation type="list" allowBlank="1" showErrorMessage="1" sqref="J21">
      <formula1>"STOCK BRICKS,BLOCKS,FACE BRICKS,NO BRICKWORK DONE"</formula1>
    </dataValidation>
    <dataValidation type="list" allowBlank="1" showErrorMessage="1" sqref="J26">
      <formula1>"CONCRETE ROOF TILES,IBR,CORRUGATED ROOFING SHEETS,NO ROOFING DONE"</formula1>
    </dataValidation>
    <dataValidation type="list" allowBlank="1" showErrorMessage="1" sqref="J18 J35 J38 J41 J44 J53 J60 J63 J67 J70 J73 J76 J81 J87">
      <formula1>"YES,NO"</formula1>
    </dataValidation>
    <dataValidation type="list" allowBlank="1" showErrorMessage="1" sqref="L17:L18 L21 L26 L31 L35 L38 L41 L44 L47 L53 L56 L60 L63 L67 L70 L73 L76 L81">
      <formula1>"DELAPIDATED,POOR,FAIR,GOOD,VERY GOOD,EXCELLENT,NOT APPLICABLE"</formula1>
    </dataValidation>
    <dataValidation type="list" allowBlank="1" showErrorMessage="1" sqref="J56">
      <formula1>"STEEL WINDOW FRAMES,ALUMINIUM WINDOW FRAMES,NO WINDOWS FITTED"</formula1>
    </dataValidation>
    <dataValidation type="list" allowBlank="1" showErrorMessage="1" sqref="L84">
      <formula1>"Delapidated,Poor,Fair,Good,Very Good,Excellent,Not Applicable"</formula1>
    </dataValidation>
    <dataValidation type="list" allowBlank="1" showErrorMessage="1" sqref="J12">
      <formula1>"2010-2013,2014-2021,2021-2023"</formula1>
    </dataValidation>
    <dataValidation type="list" allowBlank="1" showErrorMessage="1" sqref="J47">
      <formula1>"VINYL FLOORING,TILING FLOORING,TIMBER FLOORING,NO FLOORING"</formula1>
    </dataValidation>
    <dataValidation type="list" allowBlank="1" showErrorMessage="1" sqref="J31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63"/>
    <col customWidth="1" min="3" max="3" width="24.38"/>
    <col customWidth="1" hidden="1" min="4" max="4" width="17.38"/>
    <col customWidth="1" hidden="1" min="5" max="5" width="23.38"/>
    <col customWidth="1" hidden="1" min="6" max="6" width="21.75"/>
    <col customWidth="1" hidden="1" min="7" max="7" width="22.88"/>
    <col customWidth="1" min="8" max="8" width="24.88"/>
    <col customWidth="1" min="9" max="9" width="18.75"/>
    <col customWidth="1" min="10" max="10" width="20.13"/>
    <col customWidth="1" min="11" max="11" width="18.38"/>
    <col customWidth="1" min="12" max="26" width="9.13"/>
  </cols>
  <sheetData>
    <row r="1" ht="12.0" customHeight="1">
      <c r="B1" s="1"/>
      <c r="I1" s="2"/>
      <c r="K1" s="2"/>
    </row>
    <row r="2" ht="12.0" customHeight="1">
      <c r="B2" s="1"/>
      <c r="I2" s="2"/>
      <c r="K2" s="2"/>
    </row>
    <row r="3" ht="12.0" customHeight="1">
      <c r="B3" s="1"/>
      <c r="C3" s="905" t="s">
        <v>197</v>
      </c>
      <c r="I3" s="2"/>
      <c r="K3" s="2"/>
    </row>
    <row r="4" ht="39.0" customHeight="1">
      <c r="B4" s="1"/>
      <c r="C4" s="4"/>
      <c r="I4" s="2"/>
      <c r="K4" s="2"/>
    </row>
    <row r="5" ht="39.0" customHeight="1">
      <c r="B5" s="1"/>
      <c r="C5" s="4"/>
      <c r="I5" s="2"/>
      <c r="K5" s="2"/>
    </row>
    <row r="6" ht="39.0" customHeight="1">
      <c r="B6" s="1"/>
      <c r="C6" s="4"/>
      <c r="I6" s="2"/>
      <c r="K6" s="2"/>
    </row>
    <row r="7" ht="39.0" customHeight="1">
      <c r="B7" s="1"/>
      <c r="C7" s="4"/>
      <c r="I7" s="2"/>
      <c r="K7" s="2"/>
    </row>
    <row r="8" ht="39.0" customHeight="1">
      <c r="B8" s="1"/>
      <c r="C8" s="4"/>
      <c r="I8" s="2"/>
      <c r="K8" s="2"/>
    </row>
    <row r="9" ht="39.0" customHeight="1">
      <c r="B9" s="1"/>
      <c r="C9" s="4"/>
      <c r="I9" s="2"/>
      <c r="K9" s="2"/>
    </row>
    <row r="10" ht="39.0" customHeight="1">
      <c r="B10" s="1"/>
      <c r="C10" s="4"/>
      <c r="I10" s="2"/>
      <c r="K10" s="2"/>
    </row>
    <row r="11" ht="49.5" customHeight="1">
      <c r="B11" s="1"/>
      <c r="H11" s="6" t="s">
        <v>2</v>
      </c>
      <c r="I11" s="7"/>
      <c r="J11" s="8" t="s">
        <v>3</v>
      </c>
      <c r="K11" s="7"/>
    </row>
    <row r="12" ht="66.75" customHeight="1">
      <c r="A12" s="20"/>
      <c r="B12" s="906" t="s">
        <v>6</v>
      </c>
      <c r="C12" s="907" t="s">
        <v>7</v>
      </c>
      <c r="D12" s="908" t="s">
        <v>8</v>
      </c>
      <c r="E12" s="909" t="s">
        <v>9</v>
      </c>
      <c r="F12" s="909" t="s">
        <v>10</v>
      </c>
      <c r="G12" s="909" t="s">
        <v>11</v>
      </c>
      <c r="H12" s="26" t="s">
        <v>13</v>
      </c>
      <c r="I12" s="24" t="s">
        <v>14</v>
      </c>
      <c r="J12" s="31" t="s">
        <v>18</v>
      </c>
      <c r="K12" s="24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30.0" customHeight="1">
      <c r="A13" s="17"/>
      <c r="B13" s="52"/>
      <c r="C13" s="184" t="s">
        <v>19</v>
      </c>
      <c r="D13" s="37"/>
      <c r="E13" s="255"/>
      <c r="F13" s="255"/>
      <c r="G13" s="772"/>
      <c r="H13" s="188">
        <v>500.0</v>
      </c>
      <c r="I13" s="189"/>
      <c r="J13" s="193"/>
      <c r="K13" s="610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.0" customHeight="1">
      <c r="A14" s="17"/>
      <c r="B14" s="52"/>
      <c r="C14" s="194" t="s">
        <v>20</v>
      </c>
      <c r="D14" s="48"/>
      <c r="E14" s="910"/>
      <c r="F14" s="910"/>
      <c r="G14" s="910"/>
      <c r="H14" s="196" t="s">
        <v>9</v>
      </c>
      <c r="I14" s="197"/>
      <c r="J14" s="193"/>
      <c r="K14" s="610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.0" hidden="1" customHeight="1">
      <c r="A15" s="17"/>
      <c r="B15" s="52"/>
      <c r="C15" s="383"/>
      <c r="D15" s="54"/>
      <c r="E15" s="910"/>
      <c r="F15" s="910"/>
      <c r="G15" s="910"/>
      <c r="H15" s="911"/>
      <c r="I15" s="799"/>
      <c r="J15" s="255"/>
      <c r="K15" s="602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0.0" hidden="1" customHeight="1">
      <c r="A16" s="17"/>
      <c r="B16" s="61"/>
      <c r="C16" s="383"/>
      <c r="D16" s="63">
        <v>1.24</v>
      </c>
      <c r="E16" s="255"/>
      <c r="F16" s="912">
        <v>1.25</v>
      </c>
      <c r="G16" s="913">
        <v>1.32</v>
      </c>
      <c r="H16" s="891"/>
      <c r="I16" s="801"/>
      <c r="J16" s="255"/>
      <c r="K16" s="602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.0" customHeight="1">
      <c r="A17" s="34"/>
      <c r="B17" s="44">
        <v>1.0</v>
      </c>
      <c r="C17" s="65" t="s">
        <v>22</v>
      </c>
      <c r="D17" s="54"/>
      <c r="E17" s="867">
        <f>728.744769874477*D16</f>
        <v>903.6435146</v>
      </c>
      <c r="F17" s="867">
        <f>E17/$F$16</f>
        <v>722.9148117</v>
      </c>
      <c r="G17" s="867">
        <f>E17/$G$16</f>
        <v>684.5784202</v>
      </c>
      <c r="H17" s="914"/>
      <c r="I17" s="801">
        <f>IF(H14="2010-2013",G17*H13,IF(H14="2014-2021",F17*H13,IF(H14="2021-2023",E17*H13,-2)))</f>
        <v>451821.7573</v>
      </c>
      <c r="J17" s="72" t="s">
        <v>23</v>
      </c>
      <c r="K17" s="73">
        <f t="shared" ref="K17:K18" si="1">IF(J17="Delapidated",I17*0.6,IF(J17="Poor",I17*0.7,IF(J17="Fair",I17*0.8,IF(J17="Good",I17*0.85,IF(J17="Very Good",I17*0.9,IF(J17="Excellent",I17*1,IF(J17="Not Applicable",I17*1,0)))))))</f>
        <v>451821.7573</v>
      </c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30.0" customHeight="1">
      <c r="A18" s="34"/>
      <c r="B18" s="44">
        <f t="shared" ref="B18:B19" si="2">B17+1</f>
        <v>2</v>
      </c>
      <c r="C18" s="208" t="s">
        <v>24</v>
      </c>
      <c r="D18" s="219"/>
      <c r="E18" s="219"/>
      <c r="F18" s="867"/>
      <c r="G18" s="867"/>
      <c r="H18" s="72" t="s">
        <v>25</v>
      </c>
      <c r="I18" s="801">
        <f>IF(H18="YES",IF(H14="2010-2013",G20*$H$13,IF(H14="2014-2021",F20*$H$13,IF(H14="2021-2023",E20*$H$13,0))),0)</f>
        <v>351454.3933</v>
      </c>
      <c r="J18" s="72" t="s">
        <v>23</v>
      </c>
      <c r="K18" s="73">
        <f t="shared" si="1"/>
        <v>351454.3933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0.0" hidden="1" customHeight="1">
      <c r="A19" s="34"/>
      <c r="B19" s="44">
        <f t="shared" si="2"/>
        <v>3</v>
      </c>
      <c r="C19" s="208" t="s">
        <v>198</v>
      </c>
      <c r="D19" s="66"/>
      <c r="E19" s="867" t="str">
        <f>#REF!/#REF!</f>
        <v>#REF!</v>
      </c>
      <c r="F19" s="867" t="str">
        <f t="shared" ref="F19:F21" si="3">E19/$F$16</f>
        <v>#REF!</v>
      </c>
      <c r="G19" s="867" t="str">
        <f t="shared" ref="G19:G21" si="4">E19/$G$16</f>
        <v>#REF!</v>
      </c>
      <c r="H19" s="219"/>
      <c r="I19" s="801"/>
      <c r="J19" s="219"/>
      <c r="K19" s="402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30.0" hidden="1" customHeight="1">
      <c r="A20" s="34"/>
      <c r="B20" s="44"/>
      <c r="C20" s="79" t="s">
        <v>25</v>
      </c>
      <c r="D20" s="66"/>
      <c r="E20" s="867">
        <f>566.861924686192*D16</f>
        <v>702.9087866</v>
      </c>
      <c r="F20" s="867">
        <f t="shared" si="3"/>
        <v>562.3270293</v>
      </c>
      <c r="G20" s="867">
        <f t="shared" si="4"/>
        <v>532.5066565</v>
      </c>
      <c r="H20" s="914"/>
      <c r="I20" s="801"/>
      <c r="J20" s="219"/>
      <c r="K20" s="402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0.0" hidden="1" customHeight="1">
      <c r="A21" s="34"/>
      <c r="B21" s="44"/>
      <c r="C21" s="79" t="s">
        <v>26</v>
      </c>
      <c r="D21" s="66"/>
      <c r="E21" s="867">
        <v>0.0</v>
      </c>
      <c r="F21" s="867">
        <f t="shared" si="3"/>
        <v>0</v>
      </c>
      <c r="G21" s="867">
        <f t="shared" si="4"/>
        <v>0</v>
      </c>
      <c r="H21" s="914"/>
      <c r="I21" s="801"/>
      <c r="J21" s="219"/>
      <c r="K21" s="73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30.0" customHeight="1">
      <c r="A22" s="34"/>
      <c r="B22" s="44">
        <v>3.0</v>
      </c>
      <c r="C22" s="208" t="s">
        <v>83</v>
      </c>
      <c r="D22" s="66"/>
      <c r="E22" s="219"/>
      <c r="F22" s="867"/>
      <c r="G22" s="867"/>
      <c r="H22" s="72" t="s">
        <v>28</v>
      </c>
      <c r="I22" s="801">
        <f>IF(H22="STOCK BRICKS",IF(H14="2010-2013",G23*$H$13,IF(H14="2014-2021",F23*$H$13,IF(H14="2021-2023",E23*$H$13,0))),IF(H22="BLOCKS",IF(H14="2010-2013",G24*$H$13,IF(H14="2014-2021",F24*$H$13,IF(H14="2021-2023",E24*$H$13,0))),IF(H22="FACE BRICKS",IF(H14="2010-2013",G25*$H$13,IF(H14="2014-2021",F25*$H$13,IF(H14="2021-2023",E25*$H$13,0))),0)))</f>
        <v>361571.5481</v>
      </c>
      <c r="J22" s="72" t="s">
        <v>23</v>
      </c>
      <c r="K22" s="73">
        <f>IF(J22="Delapidated",I22*0.6,IF(J22="Poor",I22*0.7,IF(J22="Fair",I22*0.8,IF(J22="Good",I22*0.85,IF(J22="Very Good",I22*0.9,IF(J22="Excellent",I22*1,IF(J22="Not Applicable",I22*1,0)))))))</f>
        <v>361571.5481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0.0" hidden="1" customHeight="1">
      <c r="A23" s="34"/>
      <c r="B23" s="44"/>
      <c r="C23" s="79" t="s">
        <v>28</v>
      </c>
      <c r="D23" s="66"/>
      <c r="E23" s="867">
        <f>583.179916317992*D16</f>
        <v>723.1430962</v>
      </c>
      <c r="F23" s="867">
        <f t="shared" ref="F23:F26" si="5">E23/$F$16</f>
        <v>578.514477</v>
      </c>
      <c r="G23" s="867">
        <f t="shared" ref="G23:G26" si="6">E23/$G$16</f>
        <v>547.835679</v>
      </c>
      <c r="H23" s="914"/>
      <c r="I23" s="801"/>
      <c r="J23" s="219"/>
      <c r="K23" s="73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0.0" hidden="1" customHeight="1">
      <c r="A24" s="34"/>
      <c r="B24" s="44"/>
      <c r="C24" s="79" t="s">
        <v>29</v>
      </c>
      <c r="D24" s="66"/>
      <c r="E24" s="867">
        <f>E23*0.8</f>
        <v>578.514477</v>
      </c>
      <c r="F24" s="867">
        <f t="shared" si="5"/>
        <v>462.8115816</v>
      </c>
      <c r="G24" s="867">
        <f t="shared" si="6"/>
        <v>438.2685432</v>
      </c>
      <c r="H24" s="914"/>
      <c r="I24" s="801"/>
      <c r="J24" s="219"/>
      <c r="K24" s="7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0.0" hidden="1" customHeight="1">
      <c r="A25" s="34"/>
      <c r="B25" s="44"/>
      <c r="C25" s="79" t="s">
        <v>30</v>
      </c>
      <c r="D25" s="66"/>
      <c r="E25" s="867">
        <f>E23*1.3</f>
        <v>940.0860251</v>
      </c>
      <c r="F25" s="867">
        <f t="shared" si="5"/>
        <v>752.0688201</v>
      </c>
      <c r="G25" s="867">
        <f t="shared" si="6"/>
        <v>712.1863827</v>
      </c>
      <c r="H25" s="914"/>
      <c r="I25" s="801"/>
      <c r="J25" s="219"/>
      <c r="K25" s="402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30.0" hidden="1" customHeight="1">
      <c r="A26" s="34"/>
      <c r="B26" s="44"/>
      <c r="C26" s="79" t="s">
        <v>31</v>
      </c>
      <c r="D26" s="66"/>
      <c r="E26" s="867">
        <v>0.0</v>
      </c>
      <c r="F26" s="867">
        <f t="shared" si="5"/>
        <v>0</v>
      </c>
      <c r="G26" s="867">
        <f t="shared" si="6"/>
        <v>0</v>
      </c>
      <c r="H26" s="914"/>
      <c r="I26" s="801"/>
      <c r="J26" s="219"/>
      <c r="K26" s="73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0.0" customHeight="1">
      <c r="A27" s="34"/>
      <c r="B27" s="44">
        <f>B22+1</f>
        <v>4</v>
      </c>
      <c r="C27" s="208" t="s">
        <v>32</v>
      </c>
      <c r="D27" s="66"/>
      <c r="E27" s="219"/>
      <c r="F27" s="867"/>
      <c r="G27" s="867"/>
      <c r="H27" s="72" t="s">
        <v>34</v>
      </c>
      <c r="I27" s="801">
        <f>IF(H27="CONCRETE ROOF TILES",IF(H14="2010-2013",G28*$H$13,IF(H14="2014-2021",F28*$H$13,IF(H14="2021-2023",E28*$H$13,0))),IF(H27="IBR",IF(H14="2010-2013",G29*$H$13,IF(H14="2014-2021",F29*$H$13,IF(H14="2021-2023",E29*$H$13,0))),IF(H27="CORRUGATED ROOFING SHEETS",IF(H14="2010-2013",G30*$H$13,IF(H14="2014-2021",F30*$H$13,IF(H14="2021-2023",E30*$H$13,0))),0)))</f>
        <v>173600</v>
      </c>
      <c r="J27" s="72" t="s">
        <v>23</v>
      </c>
      <c r="K27" s="73">
        <f>IF(J27="Delapidated",I27*0.6,IF(J27="Poor",I27*0.7,IF(J27="Fair",I27*0.8,IF(J27="Good",I27*0.85,IF(J27="Very Good",I27*0.9,IF(J27="Excellent",I27*1,IF(J27="Not Applicable",I27*1,0)))))))</f>
        <v>173600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0.0" hidden="1" customHeight="1">
      <c r="A28" s="34"/>
      <c r="B28" s="44"/>
      <c r="C28" s="79" t="s">
        <v>33</v>
      </c>
      <c r="D28" s="66"/>
      <c r="E28" s="67">
        <f>130*D16</f>
        <v>161.2</v>
      </c>
      <c r="F28" s="867">
        <f t="shared" ref="F28:F31" si="7">E28/$F$16</f>
        <v>128.96</v>
      </c>
      <c r="G28" s="867">
        <f t="shared" ref="G28:G31" si="8">E28/$G$16</f>
        <v>122.1212121</v>
      </c>
      <c r="H28" s="914"/>
      <c r="I28" s="801"/>
      <c r="J28" s="219"/>
      <c r="K28" s="73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0.0" hidden="1" customHeight="1">
      <c r="A29" s="34"/>
      <c r="B29" s="44"/>
      <c r="C29" s="79" t="s">
        <v>34</v>
      </c>
      <c r="D29" s="66"/>
      <c r="E29" s="67">
        <f>280*D16</f>
        <v>347.2</v>
      </c>
      <c r="F29" s="867">
        <f t="shared" si="7"/>
        <v>277.76</v>
      </c>
      <c r="G29" s="867">
        <f t="shared" si="8"/>
        <v>263.030303</v>
      </c>
      <c r="H29" s="914"/>
      <c r="I29" s="801"/>
      <c r="J29" s="219"/>
      <c r="K29" s="402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30.0" hidden="1" customHeight="1">
      <c r="A30" s="34"/>
      <c r="B30" s="44"/>
      <c r="C30" s="79" t="s">
        <v>35</v>
      </c>
      <c r="D30" s="66"/>
      <c r="E30" s="67">
        <f>E28*0.6</f>
        <v>96.72</v>
      </c>
      <c r="F30" s="867">
        <f t="shared" si="7"/>
        <v>77.376</v>
      </c>
      <c r="G30" s="867">
        <f t="shared" si="8"/>
        <v>73.27272727</v>
      </c>
      <c r="H30" s="914"/>
      <c r="I30" s="801"/>
      <c r="J30" s="219"/>
      <c r="K30" s="73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0.0" hidden="1" customHeight="1">
      <c r="A31" s="34"/>
      <c r="B31" s="44"/>
      <c r="C31" s="79" t="s">
        <v>36</v>
      </c>
      <c r="D31" s="66"/>
      <c r="E31" s="67">
        <v>0.0</v>
      </c>
      <c r="F31" s="867">
        <f t="shared" si="7"/>
        <v>0</v>
      </c>
      <c r="G31" s="867">
        <f t="shared" si="8"/>
        <v>0</v>
      </c>
      <c r="H31" s="914"/>
      <c r="I31" s="801"/>
      <c r="J31" s="219"/>
      <c r="K31" s="73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30.0" customHeight="1">
      <c r="A32" s="34"/>
      <c r="B32" s="456">
        <v>5.0</v>
      </c>
      <c r="C32" s="92" t="s">
        <v>158</v>
      </c>
      <c r="D32" s="66"/>
      <c r="E32" s="67"/>
      <c r="F32" s="867"/>
      <c r="G32" s="867"/>
      <c r="H32" s="72" t="s">
        <v>137</v>
      </c>
      <c r="I32" s="70">
        <f>IF(H32="TIMBER ROOF TRUSSES",IF(H14="2010-2013",G33*$H$13,IF(H14="2014-2021",F33*$H$13,IF(H14="2021-2023",E33*$H$13,0))),IF(H32="STRUCTURAL STEEL TRUSSES",IF(H14="2010-2013",G34*$H$13,IF(H14="2014-2021",F34*$H$13,IF(H14="2021-2023",E34*$H$13,0))),0))</f>
        <v>744000</v>
      </c>
      <c r="J32" s="72" t="s">
        <v>23</v>
      </c>
      <c r="K32" s="211">
        <f>IF(J32="Delapidated",I32*0.6,IF(J32="Poor",I32*0.7,IF(J32="Fair",I32*0.8,IF(J32="Good",I32*0.85,IF(J32="Very Good",I32*0.9,IF(J32="Excellent",I32*1,IF(J32="Not Applicable",I32*1,0)))))))</f>
        <v>744000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0.0" hidden="1" customHeight="1">
      <c r="A33" s="34"/>
      <c r="B33" s="456"/>
      <c r="C33" s="79" t="s">
        <v>38</v>
      </c>
      <c r="D33" s="66"/>
      <c r="E33" s="67">
        <f>450*D16</f>
        <v>558</v>
      </c>
      <c r="F33" s="867">
        <v>744.0</v>
      </c>
      <c r="G33" s="867">
        <v>704.545454545455</v>
      </c>
      <c r="H33" s="914"/>
      <c r="I33" s="801"/>
      <c r="J33" s="219"/>
      <c r="K33" s="73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30.0" hidden="1" customHeight="1">
      <c r="A34" s="34"/>
      <c r="B34" s="456"/>
      <c r="C34" s="79" t="s">
        <v>137</v>
      </c>
      <c r="D34" s="66"/>
      <c r="E34" s="67">
        <f>1200*D16</f>
        <v>1488</v>
      </c>
      <c r="F34" s="867">
        <v>347.2</v>
      </c>
      <c r="G34" s="867">
        <v>328.787878787879</v>
      </c>
      <c r="H34" s="914"/>
      <c r="I34" s="801"/>
      <c r="J34" s="219"/>
      <c r="K34" s="73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30.0" hidden="1" customHeight="1">
      <c r="A35" s="34"/>
      <c r="B35" s="456"/>
      <c r="C35" s="79" t="s">
        <v>41</v>
      </c>
      <c r="D35" s="66"/>
      <c r="E35" s="67">
        <v>0.0</v>
      </c>
      <c r="F35" s="867">
        <v>0.0</v>
      </c>
      <c r="G35" s="867">
        <v>0.0</v>
      </c>
      <c r="H35" s="914"/>
      <c r="I35" s="801"/>
      <c r="J35" s="219"/>
      <c r="K35" s="73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30.0" customHeight="1">
      <c r="A36" s="34"/>
      <c r="B36" s="44">
        <v>6.0</v>
      </c>
      <c r="C36" s="208" t="s">
        <v>199</v>
      </c>
      <c r="D36" s="66"/>
      <c r="E36" s="219"/>
      <c r="F36" s="867"/>
      <c r="G36" s="867"/>
      <c r="H36" s="72" t="s">
        <v>25</v>
      </c>
      <c r="I36" s="801">
        <f>IF(H36="YES",IF(H14="2010-2013",G37*$H$13,IF(H14="2014-2021",F37*$H$13,IF(H14="2021-2023",E37*$H$13,0))),0)</f>
        <v>7240.655732</v>
      </c>
      <c r="J36" s="72" t="s">
        <v>23</v>
      </c>
      <c r="K36" s="73">
        <f>IF(J36="Delapidated",I36*0.6,IF(J36="Poor",I36*0.7,IF(J36="Fair",I36*0.8,IF(J36="Good",I36*0.85,IF(J36="Very Good",I36*0.9,IF(J36="Excellent",I36*1,IF(J36="Not Applicable",I36*1,0)))))))</f>
        <v>7240.655732</v>
      </c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30.0" hidden="1" customHeight="1">
      <c r="A37" s="34"/>
      <c r="B37" s="44"/>
      <c r="C37" s="79" t="s">
        <v>25</v>
      </c>
      <c r="D37" s="66"/>
      <c r="E37" s="867">
        <f>135.481171548117*8.62%*D16</f>
        <v>14.48131146</v>
      </c>
      <c r="F37" s="867">
        <f t="shared" ref="F37:F38" si="9">E37/$F$16</f>
        <v>11.58504917</v>
      </c>
      <c r="G37" s="867">
        <f t="shared" ref="G37:G38" si="10">E37/$G$16</f>
        <v>10.9706905</v>
      </c>
      <c r="H37" s="914"/>
      <c r="I37" s="801"/>
      <c r="J37" s="219"/>
      <c r="K37" s="73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0.0" hidden="1" customHeight="1">
      <c r="A38" s="34"/>
      <c r="B38" s="44"/>
      <c r="C38" s="79" t="s">
        <v>26</v>
      </c>
      <c r="D38" s="66"/>
      <c r="E38" s="867">
        <v>0.0</v>
      </c>
      <c r="F38" s="867">
        <f t="shared" si="9"/>
        <v>0</v>
      </c>
      <c r="G38" s="867">
        <f t="shared" si="10"/>
        <v>0</v>
      </c>
      <c r="H38" s="914"/>
      <c r="I38" s="801"/>
      <c r="J38" s="219"/>
      <c r="K38" s="402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0.0" customHeight="1">
      <c r="A39" s="34"/>
      <c r="B39" s="44">
        <v>7.0</v>
      </c>
      <c r="C39" s="208" t="s">
        <v>45</v>
      </c>
      <c r="D39" s="66"/>
      <c r="E39" s="867"/>
      <c r="F39" s="867"/>
      <c r="G39" s="867"/>
      <c r="H39" s="72" t="s">
        <v>25</v>
      </c>
      <c r="I39" s="801">
        <f>IF(H39="YES",IF(H14="2010-2013",G40*$H$13,IF(H14="2014-2021",F40*$H$13,IF(H14="2021-2023",E40*$H$13,0))),0)</f>
        <v>62276.35916</v>
      </c>
      <c r="J39" s="72" t="s">
        <v>23</v>
      </c>
      <c r="K39" s="73">
        <f>IF(J39="Delapidated",I39*0.6,IF(J39="Poor",I39*0.7,IF(J39="Fair",I39*0.8,IF(J39="Good",I39*0.85,IF(J39="Very Good",I39*0.9,IF(J39="Excellent",I39*1,IF(J39="Not Applicable",I39*1,0)))))))</f>
        <v>62276.35916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30.0" hidden="1" customHeight="1">
      <c r="A40" s="34"/>
      <c r="B40" s="44"/>
      <c r="C40" s="79" t="s">
        <v>25</v>
      </c>
      <c r="D40" s="66"/>
      <c r="E40" s="867">
        <f>135.481171548117*74.14%*D16</f>
        <v>124.5527183</v>
      </c>
      <c r="F40" s="867">
        <f t="shared" ref="F40:F41" si="11">E40/$F$16</f>
        <v>99.64217466</v>
      </c>
      <c r="G40" s="867">
        <f t="shared" ref="G40:G41" si="12">E40/$G$16</f>
        <v>94.35811994</v>
      </c>
      <c r="H40" s="914"/>
      <c r="I40" s="801"/>
      <c r="J40" s="219"/>
      <c r="K40" s="73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30.0" hidden="1" customHeight="1">
      <c r="A41" s="34"/>
      <c r="B41" s="44"/>
      <c r="C41" s="79" t="s">
        <v>26</v>
      </c>
      <c r="D41" s="66"/>
      <c r="E41" s="867"/>
      <c r="F41" s="867">
        <f t="shared" si="11"/>
        <v>0</v>
      </c>
      <c r="G41" s="867">
        <f t="shared" si="12"/>
        <v>0</v>
      </c>
      <c r="H41" s="914"/>
      <c r="I41" s="801"/>
      <c r="J41" s="219"/>
      <c r="K41" s="73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30.0" hidden="1" customHeight="1">
      <c r="A42" s="34"/>
      <c r="B42" s="44"/>
      <c r="C42" s="208" t="s">
        <v>49</v>
      </c>
      <c r="D42" s="66"/>
      <c r="E42" s="867"/>
      <c r="F42" s="867"/>
      <c r="G42" s="867"/>
      <c r="H42" s="72" t="s">
        <v>26</v>
      </c>
      <c r="I42" s="801"/>
      <c r="J42" s="219"/>
      <c r="K42" s="402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30.0" hidden="1" customHeight="1">
      <c r="A43" s="34"/>
      <c r="B43" s="44"/>
      <c r="C43" s="79" t="s">
        <v>25</v>
      </c>
      <c r="D43" s="66"/>
      <c r="E43" s="867">
        <f>135.481171548117*17.24%*D16</f>
        <v>28.96262293</v>
      </c>
      <c r="F43" s="867">
        <f t="shared" ref="F43:F44" si="13">E43/$F$16</f>
        <v>23.17009834</v>
      </c>
      <c r="G43" s="867">
        <f t="shared" ref="G43:G44" si="14">E43/$G$16</f>
        <v>21.94138101</v>
      </c>
      <c r="H43" s="914"/>
      <c r="I43" s="801"/>
      <c r="J43" s="871" t="s">
        <v>128</v>
      </c>
      <c r="K43" s="73">
        <f>IF(J43="Delapidated",F43*0.6,IF(J43="Poor",F43*0.7,IF(J43="Fair",F43*0.8,IF(J43="Good",F43*0.85,IF(J43="Very Good",F43*0.9,IF(J43="Excellent",F43*1,IF(J43="Not Applicable",F43*1,0)))))))</f>
        <v>13.90205901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30.0" hidden="1" customHeight="1">
      <c r="A44" s="34"/>
      <c r="B44" s="44"/>
      <c r="C44" s="79" t="s">
        <v>26</v>
      </c>
      <c r="D44" s="66"/>
      <c r="E44" s="867"/>
      <c r="F44" s="867">
        <f t="shared" si="13"/>
        <v>0</v>
      </c>
      <c r="G44" s="867">
        <f t="shared" si="14"/>
        <v>0</v>
      </c>
      <c r="H44" s="914"/>
      <c r="I44" s="801"/>
      <c r="J44" s="219"/>
      <c r="K44" s="73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30.0" customHeight="1">
      <c r="A45" s="34"/>
      <c r="B45" s="44">
        <v>8.0</v>
      </c>
      <c r="C45" s="208" t="s">
        <v>50</v>
      </c>
      <c r="D45" s="66"/>
      <c r="E45" s="219"/>
      <c r="F45" s="867"/>
      <c r="G45" s="867"/>
      <c r="H45" s="72" t="s">
        <v>25</v>
      </c>
      <c r="I45" s="801">
        <f>IF(H45="YES",IF(H14="2010-2013",G46*$H$13,IF(H14="2014-2021",F46*$H$13,IF(H14="2021-2023",E46*$H$13,0))),0)</f>
        <v>77175.73222</v>
      </c>
      <c r="J45" s="72" t="s">
        <v>23</v>
      </c>
      <c r="K45" s="73">
        <f>IF(J45="Delapidated",I45*0.6,IF(J45="Poor",I45*0.7,IF(J45="Fair",I45*0.8,IF(J45="Good",I45*0.85,IF(J45="Very Good",I45*0.9,IF(J45="Excellent",I45*1,IF(J45="Not Applicable",I45*1,0)))))))</f>
        <v>77175.73222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30.0" hidden="1" customHeight="1">
      <c r="A46" s="34"/>
      <c r="B46" s="44"/>
      <c r="C46" s="79" t="s">
        <v>25</v>
      </c>
      <c r="D46" s="66"/>
      <c r="E46" s="867">
        <f>124.476987447699*D16</f>
        <v>154.3514644</v>
      </c>
      <c r="F46" s="867">
        <f t="shared" ref="F46:F47" si="15">E46/$F$16</f>
        <v>123.4811715</v>
      </c>
      <c r="G46" s="867">
        <f t="shared" ref="G46:G47" si="16">E46/$G$16</f>
        <v>116.9329276</v>
      </c>
      <c r="H46" s="914"/>
      <c r="I46" s="801"/>
      <c r="J46" s="219"/>
      <c r="K46" s="73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30.0" hidden="1" customHeight="1">
      <c r="A47" s="34"/>
      <c r="B47" s="44"/>
      <c r="C47" s="79" t="s">
        <v>26</v>
      </c>
      <c r="D47" s="66"/>
      <c r="E47" s="867"/>
      <c r="F47" s="867">
        <f t="shared" si="15"/>
        <v>0</v>
      </c>
      <c r="G47" s="867">
        <f t="shared" si="16"/>
        <v>0</v>
      </c>
      <c r="H47" s="914"/>
      <c r="I47" s="801"/>
      <c r="J47" s="219"/>
      <c r="K47" s="73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30.0" customHeight="1">
      <c r="A48" s="34"/>
      <c r="B48" s="44">
        <v>9.0</v>
      </c>
      <c r="C48" s="92" t="s">
        <v>190</v>
      </c>
      <c r="D48" s="66"/>
      <c r="E48" s="867"/>
      <c r="F48" s="867"/>
      <c r="G48" s="867"/>
      <c r="H48" s="72" t="s">
        <v>52</v>
      </c>
      <c r="I48" s="801">
        <f>IF(H48="VINYL FLOORING",IF(H14="2010-2013",G49*$H$13,IF(H14="2014-2021",F49*$H$13,IF(H14="2021-2023",E49*$H$13,0))),IF(H48="TILING FLOORING",IF(H14="2010-2013",G50*$H$13,IF(H14="2014-2021",F50*$H$13,IF(H14="2021-2023",E50*$H$13,0))),IF(H48="TIMBER FLOORING",IF(H14="2010-2013",G51*$H$13,IF(H14="2014-2021",F51*$H$13,IF(H14="2021-2023",E51*$H$13,0))),IF(H48="CARPETS FLOORING",IF(H14="2010-2013",G52*$H$13,IF(H14="2014-2021",F52*$H$13,IF(H14="2021-2023",E52*$H$13,0))),0))))</f>
        <v>77824.26778</v>
      </c>
      <c r="J48" s="72" t="s">
        <v>23</v>
      </c>
      <c r="K48" s="73">
        <f>IF(J48="Delapidated",I48*0.6,IF(J48="Poor",I48*0.7,IF(J48="Fair",I48*0.8,IF(J48="Good",I48*0.85,IF(J48="Very Good",I48*0.9,IF(J48="Excellent",I48*1,IF(J48="Not Applicable",I48*1,0)))))))</f>
        <v>77824.26778</v>
      </c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30.0" hidden="1" customHeight="1">
      <c r="A49" s="34"/>
      <c r="B49" s="44"/>
      <c r="C49" s="79" t="s">
        <v>53</v>
      </c>
      <c r="D49" s="66"/>
      <c r="E49" s="867">
        <f>E50*0.7</f>
        <v>108.9539749</v>
      </c>
      <c r="F49" s="867">
        <f t="shared" ref="F49:F53" si="17">E49/$F$16</f>
        <v>87.16317992</v>
      </c>
      <c r="G49" s="867">
        <f t="shared" ref="G49:G53" si="18">E49/$G$16</f>
        <v>82.54089007</v>
      </c>
      <c r="H49" s="914"/>
      <c r="I49" s="801"/>
      <c r="J49" s="219"/>
      <c r="K49" s="73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30.0" hidden="1" customHeight="1">
      <c r="A50" s="34"/>
      <c r="B50" s="44"/>
      <c r="C50" s="79" t="s">
        <v>52</v>
      </c>
      <c r="D50" s="66"/>
      <c r="E50" s="867">
        <f>156.903765690377*0.8*D16</f>
        <v>155.6485356</v>
      </c>
      <c r="F50" s="867">
        <f t="shared" si="17"/>
        <v>124.5188285</v>
      </c>
      <c r="G50" s="867">
        <f t="shared" si="18"/>
        <v>117.9155572</v>
      </c>
      <c r="H50" s="914"/>
      <c r="I50" s="801"/>
      <c r="J50" s="219"/>
      <c r="K50" s="73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30.0" hidden="1" customHeight="1">
      <c r="A51" s="34"/>
      <c r="B51" s="44"/>
      <c r="C51" s="79" t="s">
        <v>54</v>
      </c>
      <c r="D51" s="66"/>
      <c r="E51" s="867">
        <f>E50*1.2</f>
        <v>186.7782427</v>
      </c>
      <c r="F51" s="867">
        <f t="shared" si="17"/>
        <v>149.4225941</v>
      </c>
      <c r="G51" s="867">
        <f t="shared" si="18"/>
        <v>141.4986687</v>
      </c>
      <c r="H51" s="914"/>
      <c r="I51" s="801"/>
      <c r="J51" s="219"/>
      <c r="K51" s="402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30.0" hidden="1" customHeight="1">
      <c r="A52" s="34"/>
      <c r="B52" s="44"/>
      <c r="C52" s="79" t="s">
        <v>55</v>
      </c>
      <c r="D52" s="66"/>
      <c r="E52" s="867">
        <f>E50*1.3</f>
        <v>202.3430962</v>
      </c>
      <c r="F52" s="867">
        <f t="shared" si="17"/>
        <v>161.874477</v>
      </c>
      <c r="G52" s="867">
        <f t="shared" si="18"/>
        <v>153.2902244</v>
      </c>
      <c r="H52" s="914"/>
      <c r="I52" s="801"/>
      <c r="J52" s="219"/>
      <c r="K52" s="73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30.0" hidden="1" customHeight="1">
      <c r="A53" s="34"/>
      <c r="B53" s="44"/>
      <c r="C53" s="79" t="s">
        <v>56</v>
      </c>
      <c r="D53" s="66"/>
      <c r="E53" s="867">
        <v>0.0</v>
      </c>
      <c r="F53" s="867">
        <f t="shared" si="17"/>
        <v>0</v>
      </c>
      <c r="G53" s="867">
        <f t="shared" si="18"/>
        <v>0</v>
      </c>
      <c r="H53" s="914"/>
      <c r="I53" s="801"/>
      <c r="J53" s="219"/>
      <c r="K53" s="73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30.0" hidden="1" customHeight="1">
      <c r="A54" s="34"/>
      <c r="B54" s="44">
        <f>B45+1</f>
        <v>9</v>
      </c>
      <c r="C54" s="208" t="s">
        <v>162</v>
      </c>
      <c r="D54" s="66"/>
      <c r="E54" s="219"/>
      <c r="F54" s="867"/>
      <c r="G54" s="867"/>
      <c r="H54" s="72" t="s">
        <v>26</v>
      </c>
      <c r="I54" s="801">
        <f>IF(H54="YES",IF(H14="2010-2013",G55*$H$13,IF(H14="2014-2021",F55*$H$13,IF(H14="2021-2023",E55*$H$13,0))),0)</f>
        <v>0</v>
      </c>
      <c r="J54" s="72" t="s">
        <v>23</v>
      </c>
      <c r="K54" s="73">
        <f>IF(J54="Delapidated",I54*0.6,IF(J54="Poor",I54*0.7,IF(J54="Fair",I54*0.8,IF(J54="Good",I54*0.85,IF(J54="Very Good",I54*0.9,IF(J54="Excellent",I54*1,IF(J54="Not Applicable",I54*1,0)))))))</f>
        <v>0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30.0" hidden="1" customHeight="1">
      <c r="A55" s="34"/>
      <c r="B55" s="44"/>
      <c r="C55" s="79" t="s">
        <v>25</v>
      </c>
      <c r="D55" s="66"/>
      <c r="E55" s="867">
        <f>1338.91213389121*D16</f>
        <v>1660.251046</v>
      </c>
      <c r="F55" s="867">
        <f t="shared" ref="F55:F56" si="19">E55/$F$16</f>
        <v>1328.200837</v>
      </c>
      <c r="G55" s="867">
        <f t="shared" ref="G55:G56" si="20">E55/$G$16</f>
        <v>1257.765944</v>
      </c>
      <c r="H55" s="914"/>
      <c r="I55" s="801"/>
      <c r="J55" s="219"/>
      <c r="K55" s="73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30.0" hidden="1" customHeight="1">
      <c r="A56" s="34"/>
      <c r="B56" s="44"/>
      <c r="C56" s="79" t="s">
        <v>26</v>
      </c>
      <c r="D56" s="66"/>
      <c r="E56" s="867"/>
      <c r="F56" s="867">
        <f t="shared" si="19"/>
        <v>0</v>
      </c>
      <c r="G56" s="867">
        <f t="shared" si="20"/>
        <v>0</v>
      </c>
      <c r="H56" s="914"/>
      <c r="I56" s="801"/>
      <c r="J56" s="219"/>
      <c r="K56" s="402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30.0" customHeight="1">
      <c r="A57" s="34"/>
      <c r="B57" s="44">
        <f>B54+1</f>
        <v>10</v>
      </c>
      <c r="C57" s="208" t="s">
        <v>57</v>
      </c>
      <c r="D57" s="66"/>
      <c r="E57" s="219"/>
      <c r="F57" s="867"/>
      <c r="G57" s="867"/>
      <c r="H57" s="72" t="s">
        <v>59</v>
      </c>
      <c r="I57" s="801">
        <f>IF(H57="STEEL WINDOW FRAMES",IF(H14="2010-2013",G58*$H$13,IF(H14="2014-2021",F58*$H$13,IF(H14="2021-2023",E58*$H$13,0))),IF(H57="ALUMINIUM WINDOW FRAMES",IF(H14="2010-2013",G59*$H$13,IF(H14="2014-2021",F59*$H$13,IF(H14="2021-2023",E59*$H$13,0))),0))</f>
        <v>27552.30126</v>
      </c>
      <c r="J57" s="72" t="s">
        <v>23</v>
      </c>
      <c r="K57" s="73">
        <f>IF(J57="Delapidated",I57*0.6,IF(J57="Poor",I57*0.7,IF(J57="Fair",I57*0.8,IF(J57="Good",I57*0.85,IF(J57="Very Good",I57*0.9,IF(J57="Excellent",I57*1,IF(J57="Not Applicable",I57*1,0)))))))</f>
        <v>27552.30126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30.0" hidden="1" customHeight="1">
      <c r="A58" s="34"/>
      <c r="B58" s="44"/>
      <c r="C58" s="79" t="s">
        <v>59</v>
      </c>
      <c r="D58" s="66"/>
      <c r="E58" s="867">
        <f>E59*0.3</f>
        <v>55.10460251</v>
      </c>
      <c r="F58" s="867">
        <f t="shared" ref="F58:F60" si="21">E58/$F$16</f>
        <v>44.08368201</v>
      </c>
      <c r="G58" s="867">
        <f t="shared" ref="G58:G60" si="22">E58/$G$16</f>
        <v>41.74591099</v>
      </c>
      <c r="H58" s="219"/>
      <c r="I58" s="801"/>
      <c r="J58" s="219"/>
      <c r="K58" s="73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30.0" hidden="1" customHeight="1">
      <c r="A59" s="34"/>
      <c r="B59" s="44"/>
      <c r="C59" s="79" t="s">
        <v>58</v>
      </c>
      <c r="D59" s="66"/>
      <c r="E59" s="867">
        <v>183.682008368201</v>
      </c>
      <c r="F59" s="867">
        <f t="shared" si="21"/>
        <v>146.9456067</v>
      </c>
      <c r="G59" s="867">
        <f t="shared" si="22"/>
        <v>139.1530366</v>
      </c>
      <c r="H59" s="914"/>
      <c r="I59" s="801"/>
      <c r="J59" s="219"/>
      <c r="K59" s="402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30.0" hidden="1" customHeight="1">
      <c r="A60" s="34"/>
      <c r="B60" s="44"/>
      <c r="C60" s="79" t="s">
        <v>60</v>
      </c>
      <c r="D60" s="66"/>
      <c r="E60" s="867">
        <v>0.0</v>
      </c>
      <c r="F60" s="867">
        <f t="shared" si="21"/>
        <v>0</v>
      </c>
      <c r="G60" s="867">
        <f t="shared" si="22"/>
        <v>0</v>
      </c>
      <c r="H60" s="914"/>
      <c r="I60" s="801"/>
      <c r="J60" s="219"/>
      <c r="K60" s="73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30.0" customHeight="1">
      <c r="A61" s="34"/>
      <c r="B61" s="44">
        <f>B57+1</f>
        <v>11</v>
      </c>
      <c r="C61" s="208" t="s">
        <v>61</v>
      </c>
      <c r="D61" s="66"/>
      <c r="E61" s="219"/>
      <c r="F61" s="867"/>
      <c r="G61" s="867"/>
      <c r="H61" s="72" t="s">
        <v>25</v>
      </c>
      <c r="I61" s="801">
        <f>IF(H61="YES",IF(H14="2010-2013",G62*$H$13,IF(H14="2014-2021",F62*$H$13,IF(H14="2021-2023",E62*$H$13,0))),0)</f>
        <v>166051.046</v>
      </c>
      <c r="J61" s="72" t="s">
        <v>23</v>
      </c>
      <c r="K61" s="73">
        <f>IF(J61="Delapidated",I61*0.6,IF(J61="Poor",I61*0.7,IF(J61="Fair",I61*0.8,IF(J61="Good",I61*0.85,IF(J61="Very Good",I61*0.9,IF(J61="Excellent",I61*1,IF(J61="Not Applicable",I61*1,0)))))))</f>
        <v>166051.046</v>
      </c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30.0" hidden="1" customHeight="1">
      <c r="A62" s="34"/>
      <c r="B62" s="44"/>
      <c r="C62" s="79" t="s">
        <v>25</v>
      </c>
      <c r="D62" s="66"/>
      <c r="E62" s="867">
        <f>267.824267782427*D16</f>
        <v>332.1020921</v>
      </c>
      <c r="F62" s="867">
        <f t="shared" ref="F62:F63" si="23">E62/$F$16</f>
        <v>265.6816736</v>
      </c>
      <c r="G62" s="867">
        <f t="shared" ref="G62:G63" si="24">E62/$G$16</f>
        <v>251.592494</v>
      </c>
      <c r="H62" s="914"/>
      <c r="I62" s="801"/>
      <c r="J62" s="219"/>
      <c r="K62" s="402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30.0" hidden="1" customHeight="1">
      <c r="A63" s="34"/>
      <c r="B63" s="44"/>
      <c r="C63" s="79" t="s">
        <v>26</v>
      </c>
      <c r="D63" s="66"/>
      <c r="E63" s="867"/>
      <c r="F63" s="867">
        <f t="shared" si="23"/>
        <v>0</v>
      </c>
      <c r="G63" s="867">
        <f t="shared" si="24"/>
        <v>0</v>
      </c>
      <c r="H63" s="914"/>
      <c r="I63" s="801"/>
      <c r="J63" s="219"/>
      <c r="K63" s="73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30.0" customHeight="1">
      <c r="A64" s="34"/>
      <c r="B64" s="44">
        <f>B61+1</f>
        <v>12</v>
      </c>
      <c r="C64" s="208" t="s">
        <v>62</v>
      </c>
      <c r="D64" s="66"/>
      <c r="E64" s="219"/>
      <c r="F64" s="867"/>
      <c r="G64" s="867"/>
      <c r="H64" s="72" t="s">
        <v>25</v>
      </c>
      <c r="I64" s="801">
        <f>IF(H64="YES",IF(H14="2010-2013",G65*$H$13,IF(H14="2014-2021",F65*$H$13,IF(H14="2021-2023",E65*$H$13,0))),0)</f>
        <v>15690.37657</v>
      </c>
      <c r="J64" s="72" t="s">
        <v>23</v>
      </c>
      <c r="K64" s="73">
        <f>IF(J64="Delapidated",I64*0.6,IF(J64="Poor",I64*0.7,IF(J64="Fair",I64*0.8,IF(J64="Good",I64*0.85,IF(J64="Very Good",I64*0.9,IF(J64="Excellent",I64*1,IF(J64="Not Applicable",I64*1,0)))))))</f>
        <v>15690.37657</v>
      </c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30.0" hidden="1" customHeight="1">
      <c r="A65" s="34"/>
      <c r="B65" s="44"/>
      <c r="C65" s="79" t="s">
        <v>25</v>
      </c>
      <c r="D65" s="66"/>
      <c r="E65" s="867">
        <v>31.3807531380754</v>
      </c>
      <c r="F65" s="867">
        <f t="shared" ref="F65:F66" si="25">E65/$F$16</f>
        <v>25.10460251</v>
      </c>
      <c r="G65" s="867">
        <f t="shared" ref="G65:G66" si="26">E65/$G$16</f>
        <v>23.77329783</v>
      </c>
      <c r="H65" s="914"/>
      <c r="I65" s="801"/>
      <c r="J65" s="219"/>
      <c r="K65" s="402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30.0" hidden="1" customHeight="1">
      <c r="A66" s="34"/>
      <c r="B66" s="44"/>
      <c r="C66" s="79" t="s">
        <v>26</v>
      </c>
      <c r="D66" s="66"/>
      <c r="E66" s="867"/>
      <c r="F66" s="867">
        <f t="shared" si="25"/>
        <v>0</v>
      </c>
      <c r="G66" s="867">
        <f t="shared" si="26"/>
        <v>0</v>
      </c>
      <c r="H66" s="914"/>
      <c r="I66" s="801"/>
      <c r="J66" s="219"/>
      <c r="K66" s="73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30.0" customHeight="1">
      <c r="A67" s="34"/>
      <c r="B67" s="44"/>
      <c r="C67" s="214" t="s">
        <v>167</v>
      </c>
      <c r="D67" s="66"/>
      <c r="E67" s="66"/>
      <c r="F67" s="67"/>
      <c r="G67" s="67"/>
      <c r="H67" s="227">
        <v>5.0</v>
      </c>
      <c r="I67" s="34"/>
      <c r="J67" s="72" t="s">
        <v>23</v>
      </c>
      <c r="K67" s="34"/>
      <c r="L67" s="199"/>
      <c r="M67" s="199"/>
      <c r="N67" s="45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32.25" customHeight="1">
      <c r="A68" s="34"/>
      <c r="B68" s="44">
        <f>B64+1</f>
        <v>13</v>
      </c>
      <c r="C68" s="208" t="s">
        <v>93</v>
      </c>
      <c r="D68" s="66"/>
      <c r="E68" s="867"/>
      <c r="F68" s="867"/>
      <c r="G68" s="867"/>
      <c r="H68" s="72" t="s">
        <v>25</v>
      </c>
      <c r="I68" s="801">
        <f>IF(H68="YES",IF(H14="2010-2013",G69*H67,IF(H14="2014-2021",F69*H67,IF(H14="2021-2023",E69*H67,0))),0)</f>
        <v>75000</v>
      </c>
      <c r="J68" s="72" t="s">
        <v>194</v>
      </c>
      <c r="K68" s="73">
        <f>IF(J68="Delapidated",I68*0.6,IF(J68="Poor",I68*0.7,IF(J68="Fair",I68*0.8,IF(J68="Good",I68*0.85,IF(J68="Very Good",I68*0.9,IF(J68="Excellent",I68*1,IF(J68="Not Applicable",I68*1,0)))))))</f>
        <v>60000</v>
      </c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30.0" hidden="1" customHeight="1">
      <c r="A69" s="34"/>
      <c r="B69" s="44"/>
      <c r="C69" s="79" t="s">
        <v>25</v>
      </c>
      <c r="D69" s="66"/>
      <c r="E69" s="219">
        <v>15000.0</v>
      </c>
      <c r="F69" s="867">
        <f t="shared" ref="F69:F70" si="27">E69/$F$16</f>
        <v>12000</v>
      </c>
      <c r="G69" s="867">
        <f t="shared" ref="G69:G70" si="28">E69/$G$16</f>
        <v>11363.63636</v>
      </c>
      <c r="H69" s="914"/>
      <c r="I69" s="801"/>
      <c r="J69" s="219"/>
      <c r="K69" s="402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30.0" hidden="1" customHeight="1">
      <c r="A70" s="34"/>
      <c r="B70" s="44"/>
      <c r="C70" s="79" t="s">
        <v>26</v>
      </c>
      <c r="D70" s="66"/>
      <c r="E70" s="867"/>
      <c r="F70" s="867">
        <f t="shared" si="27"/>
        <v>0</v>
      </c>
      <c r="G70" s="867">
        <f t="shared" si="28"/>
        <v>0</v>
      </c>
      <c r="H70" s="914"/>
      <c r="I70" s="801"/>
      <c r="J70" s="219"/>
      <c r="K70" s="73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30.0" customHeight="1">
      <c r="A71" s="34"/>
      <c r="B71" s="44">
        <f>B68+1</f>
        <v>14</v>
      </c>
      <c r="C71" s="208" t="s">
        <v>65</v>
      </c>
      <c r="D71" s="66"/>
      <c r="E71" s="219"/>
      <c r="F71" s="867"/>
      <c r="G71" s="867"/>
      <c r="H71" s="72" t="s">
        <v>25</v>
      </c>
      <c r="I71" s="801">
        <f>IF(H71="YES",IF(H14="2010-2013",G72*$H$13,IF(H14="2014-2021",F72*$H$13,IF(H14="2021-2023",E72*$H$13,0))),0)</f>
        <v>107371.5481</v>
      </c>
      <c r="J71" s="72" t="s">
        <v>194</v>
      </c>
      <c r="K71" s="73">
        <f>IF(J71="Delapidated",I71*0.6,IF(J71="Poor",I71*0.7,IF(J71="Fair",I71*0.8,IF(J71="Good",I71*0.85,IF(J71="Very Good",I71*0.9,IF(J71="Excellent",I71*1,IF(J71="Not Applicable",I71*1,0)))))))</f>
        <v>85897.23849</v>
      </c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30.0" hidden="1" customHeight="1">
      <c r="A72" s="34"/>
      <c r="B72" s="44"/>
      <c r="C72" s="79" t="s">
        <v>25</v>
      </c>
      <c r="D72" s="66"/>
      <c r="E72" s="867">
        <f>173.179916317992*D16</f>
        <v>214.7430962</v>
      </c>
      <c r="F72" s="867">
        <f t="shared" ref="F72:F73" si="29">E72/$F$16</f>
        <v>171.794477</v>
      </c>
      <c r="G72" s="867">
        <f t="shared" ref="G72:G73" si="30">E72/$G$16</f>
        <v>162.6841638</v>
      </c>
      <c r="H72" s="914"/>
      <c r="I72" s="801"/>
      <c r="J72" s="219"/>
      <c r="K72" s="402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30.0" hidden="1" customHeight="1">
      <c r="A73" s="34"/>
      <c r="B73" s="44"/>
      <c r="C73" s="79" t="s">
        <v>26</v>
      </c>
      <c r="D73" s="66"/>
      <c r="E73" s="867"/>
      <c r="F73" s="867">
        <f t="shared" si="29"/>
        <v>0</v>
      </c>
      <c r="G73" s="867">
        <f t="shared" si="30"/>
        <v>0</v>
      </c>
      <c r="H73" s="914"/>
      <c r="I73" s="801"/>
      <c r="J73" s="219"/>
      <c r="K73" s="73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30.0" hidden="1" customHeight="1">
      <c r="A74" s="34"/>
      <c r="B74" s="44"/>
      <c r="C74" s="208"/>
      <c r="D74" s="66"/>
      <c r="E74" s="867"/>
      <c r="F74" s="867"/>
      <c r="G74" s="867"/>
      <c r="H74" s="914"/>
      <c r="I74" s="801"/>
      <c r="J74" s="255"/>
      <c r="K74" s="99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30.0" customHeight="1">
      <c r="A75" s="34"/>
      <c r="B75" s="44">
        <f>B71+1</f>
        <v>15</v>
      </c>
      <c r="C75" s="208" t="s">
        <v>94</v>
      </c>
      <c r="D75" s="66"/>
      <c r="E75" s="219"/>
      <c r="F75" s="867"/>
      <c r="G75" s="867"/>
      <c r="H75" s="72" t="s">
        <v>25</v>
      </c>
      <c r="I75" s="801">
        <f>IF(H75="YES",IF(H14="2010-2013",G76*$H$13,IF(H14="2014-2021",F76*$H$13,IF(H14="2021-2023",E76*$H$13,0))),0)</f>
        <v>907949.7908</v>
      </c>
      <c r="J75" s="72" t="s">
        <v>138</v>
      </c>
      <c r="K75" s="73">
        <f>IF(J75="Delapidated",I75*0.6,IF(J75="Poor",I75*0.7,IF(J75="Fair",I75*0.8,IF(J75="Good",I75*0.85,IF(J75="Very Good",I75*0.9,IF(J75="Excellent",I75*1,IF(J75="Not Applicable",I75*1,0)))))))</f>
        <v>771757.3222</v>
      </c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30.0" hidden="1" customHeight="1">
      <c r="A76" s="34"/>
      <c r="B76" s="44"/>
      <c r="C76" s="79" t="s">
        <v>25</v>
      </c>
      <c r="D76" s="66"/>
      <c r="E76" s="71">
        <f>1464.43514644351*D16</f>
        <v>1815.899582</v>
      </c>
      <c r="F76" s="867">
        <f t="shared" ref="F76:F77" si="31">E76/$F$16</f>
        <v>1452.719665</v>
      </c>
      <c r="G76" s="867">
        <f t="shared" ref="G76:G77" si="32">E76/$G$16</f>
        <v>1375.681501</v>
      </c>
      <c r="H76" s="914"/>
      <c r="I76" s="801"/>
      <c r="J76" s="219"/>
      <c r="K76" s="73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30.0" hidden="1" customHeight="1">
      <c r="A77" s="34"/>
      <c r="B77" s="44"/>
      <c r="C77" s="79" t="s">
        <v>26</v>
      </c>
      <c r="D77" s="66"/>
      <c r="E77" s="867"/>
      <c r="F77" s="867">
        <f t="shared" si="31"/>
        <v>0</v>
      </c>
      <c r="G77" s="867">
        <f t="shared" si="32"/>
        <v>0</v>
      </c>
      <c r="H77" s="914"/>
      <c r="I77" s="801"/>
      <c r="J77" s="255"/>
      <c r="K77" s="602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30.0" customHeight="1">
      <c r="A78" s="34"/>
      <c r="B78" s="44">
        <f>B75+1</f>
        <v>16</v>
      </c>
      <c r="C78" s="208" t="s">
        <v>68</v>
      </c>
      <c r="D78" s="66"/>
      <c r="E78" s="219"/>
      <c r="F78" s="867"/>
      <c r="G78" s="867"/>
      <c r="H78" s="72" t="s">
        <v>25</v>
      </c>
      <c r="I78" s="801">
        <f>IF(H78="YES",IF(H14="2010-2013",G79*$H$13,IF(H14="2014-2021",F79*$H$13,IF(H14="2021-2023",E79*$H$13,0))),0)</f>
        <v>648535.5649</v>
      </c>
      <c r="J78" s="72" t="s">
        <v>82</v>
      </c>
      <c r="K78" s="73">
        <f>IF(J78="Delapidated",I78*0.6,IF(J78="Poor",I78*0.7,IF(J78="Fair",I78*0.8,IF(J78="Good",I78*0.85,IF(J78="Very Good",I78*0.9,IF(J78="Excellent",I78*1,IF(J78="Not Applicable",I78*1,0)))))))</f>
        <v>583682.0084</v>
      </c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30.0" hidden="1" customHeight="1">
      <c r="A79" s="34"/>
      <c r="B79" s="44"/>
      <c r="C79" s="79" t="s">
        <v>25</v>
      </c>
      <c r="D79" s="66"/>
      <c r="E79" s="867">
        <f>1046.02510460251*D16</f>
        <v>1297.07113</v>
      </c>
      <c r="F79" s="867">
        <f t="shared" ref="F79:F80" si="33">E79/$F$16</f>
        <v>1037.656904</v>
      </c>
      <c r="G79" s="867">
        <f t="shared" ref="G79:G80" si="34">E79/$G$16</f>
        <v>982.6296437</v>
      </c>
      <c r="H79" s="914"/>
      <c r="I79" s="801"/>
      <c r="J79" s="255"/>
      <c r="K79" s="99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30.0" hidden="1" customHeight="1">
      <c r="A80" s="34"/>
      <c r="B80" s="44"/>
      <c r="C80" s="79" t="s">
        <v>26</v>
      </c>
      <c r="D80" s="66"/>
      <c r="E80" s="867"/>
      <c r="F80" s="867">
        <f t="shared" si="33"/>
        <v>0</v>
      </c>
      <c r="G80" s="867">
        <f t="shared" si="34"/>
        <v>0</v>
      </c>
      <c r="H80" s="914"/>
      <c r="I80" s="801"/>
      <c r="J80" s="255"/>
      <c r="K80" s="602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30.0" customHeight="1">
      <c r="A81" s="218"/>
      <c r="B81" s="375"/>
      <c r="C81" s="220"/>
      <c r="D81" s="221"/>
      <c r="E81" s="915"/>
      <c r="F81" s="915"/>
      <c r="G81" s="915"/>
      <c r="H81" s="916"/>
      <c r="I81" s="45"/>
      <c r="J81" s="193"/>
      <c r="K81" s="610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</row>
    <row r="82" ht="30.0" customHeight="1">
      <c r="A82" s="270"/>
      <c r="B82" s="44"/>
      <c r="C82" s="214" t="s">
        <v>69</v>
      </c>
      <c r="D82" s="255"/>
      <c r="E82" s="255"/>
      <c r="F82" s="867">
        <f t="shared" ref="F82:F84" si="35">E82/$F$16</f>
        <v>0</v>
      </c>
      <c r="G82" s="917">
        <f t="shared" ref="G82:G84" si="36">E82/$G$16</f>
        <v>0</v>
      </c>
      <c r="H82" s="227">
        <v>55.0</v>
      </c>
      <c r="I82" s="189"/>
      <c r="J82" s="193"/>
      <c r="K82" s="45"/>
      <c r="L82" s="270"/>
      <c r="M82" s="270"/>
      <c r="N82" s="270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70"/>
    </row>
    <row r="83" ht="30.0" customHeight="1">
      <c r="A83" s="270"/>
      <c r="B83" s="44">
        <v>17.0</v>
      </c>
      <c r="C83" s="92" t="s">
        <v>156</v>
      </c>
      <c r="D83" s="255"/>
      <c r="E83" s="255"/>
      <c r="F83" s="867">
        <f t="shared" si="35"/>
        <v>0</v>
      </c>
      <c r="G83" s="867">
        <f t="shared" si="36"/>
        <v>0</v>
      </c>
      <c r="H83" s="229" t="s">
        <v>25</v>
      </c>
      <c r="I83" s="799">
        <f>IF(H83="YES",IF(H14="2010-2013",G84*$H$82,IF(H14="2014-2021",F84*$H$82,IF(H14="2021-2023",E84*$H$82,0))),0)</f>
        <v>197780</v>
      </c>
      <c r="J83" s="72" t="s">
        <v>82</v>
      </c>
      <c r="K83" s="73">
        <f>IF(J83="Delapidated",I83*0.6,IF(J83="Poor",I83*0.7,IF(J83="Fair",I83*0.8,IF(J83="Good",I83*0.85,IF(J83="Very Good",I83*0.9,IF(J83="Excellent",I83*1,IF(J83="Not Applicable",I83*1,0)))))))</f>
        <v>178002</v>
      </c>
      <c r="L83" s="270"/>
      <c r="M83" s="270"/>
      <c r="N83" s="270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70"/>
    </row>
    <row r="84" ht="30.0" hidden="1" customHeight="1">
      <c r="A84" s="270"/>
      <c r="B84" s="44"/>
      <c r="C84" s="79" t="s">
        <v>25</v>
      </c>
      <c r="D84" s="255"/>
      <c r="E84" s="862">
        <f>2900*D16</f>
        <v>3596</v>
      </c>
      <c r="F84" s="867">
        <f t="shared" si="35"/>
        <v>2876.8</v>
      </c>
      <c r="G84" s="867">
        <f t="shared" si="36"/>
        <v>2724.242424</v>
      </c>
      <c r="H84" s="911"/>
      <c r="I84" s="799"/>
      <c r="J84" s="255"/>
      <c r="K84" s="99"/>
      <c r="L84" s="270"/>
      <c r="M84" s="270"/>
      <c r="N84" s="270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70"/>
    </row>
    <row r="85" ht="30.0" hidden="1" customHeight="1">
      <c r="A85" s="17"/>
      <c r="B85" s="44"/>
      <c r="C85" s="79" t="s">
        <v>26</v>
      </c>
      <c r="D85" s="255"/>
      <c r="E85" s="255"/>
      <c r="F85" s="255"/>
      <c r="G85" s="255"/>
      <c r="H85" s="911"/>
      <c r="I85" s="799"/>
      <c r="J85" s="255"/>
      <c r="K85" s="73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0.0" hidden="1" customHeight="1">
      <c r="A86" s="88"/>
      <c r="B86" s="656"/>
      <c r="C86" s="657" t="s">
        <v>71</v>
      </c>
      <c r="D86" s="219"/>
      <c r="E86" s="219"/>
      <c r="F86" s="219"/>
      <c r="G86" s="219"/>
      <c r="H86" s="219"/>
      <c r="I86" s="51"/>
      <c r="J86" s="219"/>
      <c r="K86" s="402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30.0" hidden="1" customHeight="1">
      <c r="A87" s="17"/>
      <c r="B87" s="44" t="str">
        <f>#REF!+1</f>
        <v>#REF!</v>
      </c>
      <c r="C87" s="254" t="s">
        <v>72</v>
      </c>
      <c r="D87" s="255"/>
      <c r="E87" s="255"/>
      <c r="F87" s="255"/>
      <c r="G87" s="255"/>
      <c r="H87" s="255"/>
      <c r="I87" s="102"/>
      <c r="J87" s="255"/>
      <c r="K87" s="602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0.0" hidden="1" customHeight="1">
      <c r="A88" s="17"/>
      <c r="B88" s="44"/>
      <c r="C88" s="254" t="s">
        <v>200</v>
      </c>
      <c r="D88" s="255"/>
      <c r="E88" s="255"/>
      <c r="F88" s="255"/>
      <c r="G88" s="255"/>
      <c r="H88" s="255"/>
      <c r="I88" s="102"/>
      <c r="J88" s="255"/>
      <c r="K88" s="602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0.0" hidden="1" customHeight="1">
      <c r="A89" s="17"/>
      <c r="B89" s="61"/>
      <c r="C89" s="255"/>
      <c r="D89" s="255"/>
      <c r="E89" s="255"/>
      <c r="F89" s="255"/>
      <c r="G89" s="255"/>
      <c r="H89" s="255"/>
      <c r="I89" s="102"/>
      <c r="J89" s="255"/>
      <c r="K89" s="602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0.0" hidden="1" customHeight="1">
      <c r="A90" s="17"/>
      <c r="B90" s="656"/>
      <c r="C90" s="657" t="s">
        <v>71</v>
      </c>
      <c r="D90" s="255"/>
      <c r="E90" s="255"/>
      <c r="F90" s="255"/>
      <c r="G90" s="255"/>
      <c r="H90" s="255"/>
      <c r="I90" s="102"/>
      <c r="J90" s="255"/>
      <c r="K90" s="602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0.0" hidden="1" customHeight="1">
      <c r="A91" s="17"/>
      <c r="B91" s="174"/>
      <c r="C91" s="660" t="s">
        <v>73</v>
      </c>
      <c r="D91" s="255"/>
      <c r="E91" s="255"/>
      <c r="F91" s="255"/>
      <c r="G91" s="255"/>
      <c r="H91" s="255"/>
      <c r="I91" s="102"/>
      <c r="J91" s="255"/>
      <c r="K91" s="602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30.0" customHeight="1">
      <c r="A92" s="918"/>
      <c r="B92" s="44">
        <v>18.0</v>
      </c>
      <c r="C92" s="208" t="s">
        <v>178</v>
      </c>
      <c r="D92" s="66"/>
      <c r="E92" s="219"/>
      <c r="F92" s="219"/>
      <c r="G92" s="219"/>
      <c r="H92" s="72" t="s">
        <v>25</v>
      </c>
      <c r="I92" s="801">
        <f>IF(H92="YES",IF(H14="2010-2013",G93,IF(H14="2014-2021",F93,IF(H14="2021-2023",E93,0))),0)</f>
        <v>1860000</v>
      </c>
      <c r="J92" s="72" t="s">
        <v>87</v>
      </c>
      <c r="K92" s="73">
        <f>IF(J92="Delapidated",I92*0.6,IF(J92="Poor",I92*0.7,IF(J92="Fair",I92*0.8,IF(J92="Good",I92*0.85,IF(J92="Very Good",I92*0.9,IF(J92="Excellent",I92*1,IF(J92="Not Applicable",I92*1,0)))))))</f>
        <v>1116000</v>
      </c>
      <c r="L92" s="918"/>
      <c r="M92" s="918"/>
      <c r="N92" s="918"/>
      <c r="O92" s="918"/>
      <c r="P92" s="918"/>
      <c r="Q92" s="918"/>
      <c r="R92" s="918"/>
      <c r="S92" s="918"/>
      <c r="T92" s="918"/>
      <c r="U92" s="918"/>
      <c r="V92" s="918"/>
      <c r="W92" s="918"/>
      <c r="X92" s="918"/>
      <c r="Y92" s="918"/>
      <c r="Z92" s="918"/>
    </row>
    <row r="93" ht="30.0" hidden="1" customHeight="1">
      <c r="A93" s="918"/>
      <c r="B93" s="108"/>
      <c r="C93" s="877" t="s">
        <v>25</v>
      </c>
      <c r="D93" s="316"/>
      <c r="E93" s="919">
        <v>1860000.0</v>
      </c>
      <c r="F93" s="919">
        <v>1488000.0</v>
      </c>
      <c r="G93" s="919">
        <v>1409090.90909091</v>
      </c>
      <c r="H93" s="34"/>
      <c r="I93" s="920"/>
      <c r="J93" s="34"/>
      <c r="K93" s="921"/>
      <c r="L93" s="918"/>
      <c r="M93" s="918"/>
      <c r="N93" s="918"/>
      <c r="O93" s="918"/>
      <c r="P93" s="918"/>
      <c r="Q93" s="918"/>
      <c r="R93" s="918"/>
      <c r="S93" s="918"/>
      <c r="T93" s="918"/>
      <c r="U93" s="918"/>
      <c r="V93" s="918"/>
      <c r="W93" s="918"/>
      <c r="X93" s="918"/>
      <c r="Y93" s="918"/>
      <c r="Z93" s="918"/>
    </row>
    <row r="94" ht="30.0" hidden="1" customHeight="1">
      <c r="A94" s="918"/>
      <c r="B94" s="44"/>
      <c r="C94" s="79" t="s">
        <v>26</v>
      </c>
      <c r="D94" s="219"/>
      <c r="E94" s="922">
        <v>0.0</v>
      </c>
      <c r="F94" s="922">
        <v>0.0</v>
      </c>
      <c r="G94" s="922">
        <v>0.0</v>
      </c>
      <c r="H94" s="923"/>
      <c r="I94" s="924"/>
      <c r="J94" s="34"/>
      <c r="K94" s="402"/>
      <c r="L94" s="918"/>
      <c r="M94" s="918"/>
      <c r="N94" s="918"/>
      <c r="O94" s="918"/>
      <c r="P94" s="918"/>
      <c r="Q94" s="918"/>
      <c r="R94" s="918"/>
      <c r="S94" s="918"/>
      <c r="T94" s="918"/>
      <c r="U94" s="918"/>
      <c r="V94" s="918"/>
      <c r="W94" s="918"/>
      <c r="X94" s="918"/>
      <c r="Y94" s="918"/>
      <c r="Z94" s="918"/>
    </row>
    <row r="95" ht="30.0" hidden="1" customHeight="1">
      <c r="A95" s="17"/>
      <c r="B95" s="139"/>
      <c r="C95" s="567"/>
      <c r="D95" s="17"/>
      <c r="E95" s="17"/>
      <c r="F95" s="17"/>
      <c r="G95" s="17"/>
      <c r="H95" s="17"/>
      <c r="I95" s="115"/>
      <c r="J95" s="17"/>
      <c r="K95" s="602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30.0" customHeight="1">
      <c r="A96" s="17"/>
      <c r="B96" s="340"/>
      <c r="C96" s="570"/>
      <c r="D96" s="17"/>
      <c r="E96" s="17"/>
      <c r="F96" s="17"/>
      <c r="G96" s="17"/>
      <c r="H96" s="17"/>
      <c r="I96" s="115"/>
      <c r="J96" s="17"/>
      <c r="K96" s="925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30.0" customHeight="1">
      <c r="A97" s="17"/>
      <c r="B97" s="340"/>
      <c r="C97" s="250"/>
      <c r="D97" s="17"/>
      <c r="E97" s="17"/>
      <c r="F97" s="17"/>
      <c r="G97" s="17"/>
      <c r="H97" s="340" t="s">
        <v>143</v>
      </c>
      <c r="I97" s="265">
        <f>SUM(I17:I92)</f>
        <v>6312895.341</v>
      </c>
      <c r="J97" s="17"/>
      <c r="K97" s="266">
        <f>SUM(K17:K92)</f>
        <v>5311610.909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30.0" customHeight="1">
      <c r="A98" s="17"/>
      <c r="B98" s="340"/>
      <c r="C98" s="250"/>
      <c r="D98" s="17"/>
      <c r="E98" s="17"/>
      <c r="F98" s="17"/>
      <c r="G98" s="17"/>
      <c r="H98" s="340"/>
      <c r="I98" s="887"/>
      <c r="J98" s="17"/>
      <c r="K98" s="88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30.0" customHeight="1">
      <c r="A99" s="147"/>
      <c r="B99" s="119"/>
      <c r="C99" s="17"/>
      <c r="D99" s="17"/>
      <c r="E99" s="17"/>
      <c r="F99" s="17"/>
      <c r="G99" s="17"/>
      <c r="H99" s="138" t="s">
        <v>131</v>
      </c>
      <c r="I99" s="265">
        <f>I97/H13</f>
        <v>12625.79068</v>
      </c>
      <c r="J99" s="17"/>
      <c r="K99" s="266">
        <f>K97/H13</f>
        <v>10623.22182</v>
      </c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</row>
    <row r="100" ht="30.0" customHeight="1">
      <c r="B100" s="119"/>
      <c r="C100" s="17"/>
      <c r="D100" s="17"/>
      <c r="E100" s="17"/>
      <c r="F100" s="17"/>
      <c r="G100" s="17"/>
      <c r="H100" s="17"/>
      <c r="I100" s="261"/>
      <c r="J100" s="926"/>
      <c r="K100" s="261"/>
    </row>
    <row r="101" ht="45.75" customHeight="1">
      <c r="B101" s="1"/>
      <c r="H101" s="574"/>
      <c r="I101" s="927"/>
      <c r="K101" s="2"/>
    </row>
    <row r="102" ht="12.0" customHeight="1">
      <c r="B102" s="1"/>
      <c r="I102" s="2"/>
      <c r="K102" s="2"/>
    </row>
    <row r="103" ht="12.0" customHeight="1">
      <c r="B103" s="1"/>
      <c r="I103" s="2"/>
      <c r="K103" s="2"/>
    </row>
    <row r="104" ht="12.0" customHeight="1">
      <c r="B104" s="1"/>
      <c r="I104" s="2"/>
      <c r="K104" s="2"/>
    </row>
    <row r="105" ht="12.0" customHeight="1">
      <c r="B105" s="1"/>
      <c r="I105" s="2"/>
      <c r="K105" s="2"/>
    </row>
    <row r="106" ht="12.0" customHeight="1">
      <c r="B106" s="1"/>
      <c r="I106" s="2"/>
      <c r="K106" s="2"/>
    </row>
    <row r="107" ht="12.0" customHeight="1">
      <c r="B107" s="1"/>
      <c r="I107" s="2"/>
      <c r="K107" s="2"/>
    </row>
    <row r="108" ht="12.0" customHeight="1">
      <c r="B108" s="1"/>
      <c r="I108" s="2"/>
      <c r="K108" s="2"/>
    </row>
    <row r="109" ht="12.0" customHeight="1">
      <c r="B109" s="1"/>
      <c r="I109" s="2"/>
      <c r="K109" s="2"/>
    </row>
    <row r="110" ht="12.0" customHeight="1">
      <c r="B110" s="1"/>
      <c r="I110" s="2"/>
      <c r="K110" s="2"/>
    </row>
    <row r="111" ht="12.0" customHeight="1">
      <c r="B111" s="1"/>
      <c r="I111" s="2"/>
      <c r="K111" s="2"/>
    </row>
    <row r="112" ht="12.0" customHeight="1">
      <c r="B112" s="1"/>
      <c r="I112" s="2"/>
      <c r="K112" s="2"/>
    </row>
    <row r="113" ht="12.0" customHeight="1">
      <c r="B113" s="1"/>
      <c r="I113" s="2"/>
      <c r="K113" s="2"/>
    </row>
    <row r="114" ht="12.0" customHeight="1">
      <c r="B114" s="1"/>
      <c r="I114" s="2"/>
      <c r="K114" s="2"/>
    </row>
    <row r="115" ht="12.0" customHeight="1">
      <c r="B115" s="1"/>
      <c r="I115" s="2"/>
      <c r="K115" s="2"/>
    </row>
    <row r="116" ht="12.0" customHeight="1">
      <c r="B116" s="1"/>
      <c r="I116" s="2"/>
      <c r="K116" s="2"/>
    </row>
    <row r="117" ht="12.0" customHeight="1">
      <c r="B117" s="1"/>
      <c r="I117" s="2"/>
      <c r="K117" s="2"/>
    </row>
    <row r="118" ht="12.0" customHeight="1">
      <c r="B118" s="1"/>
      <c r="I118" s="2"/>
      <c r="K118" s="2"/>
    </row>
    <row r="119" ht="12.0" customHeight="1">
      <c r="B119" s="1"/>
      <c r="I119" s="2"/>
      <c r="K119" s="2"/>
    </row>
    <row r="120" ht="12.0" customHeight="1">
      <c r="B120" s="1"/>
      <c r="I120" s="2"/>
      <c r="K120" s="2"/>
    </row>
    <row r="121" ht="12.0" customHeight="1">
      <c r="B121" s="1"/>
      <c r="I121" s="2"/>
      <c r="K121" s="2"/>
    </row>
    <row r="122" ht="12.0" customHeight="1">
      <c r="B122" s="1"/>
      <c r="I122" s="2"/>
      <c r="K122" s="2"/>
    </row>
    <row r="123" ht="12.0" customHeight="1">
      <c r="B123" s="1"/>
      <c r="I123" s="2"/>
      <c r="K123" s="2"/>
    </row>
    <row r="124" ht="12.0" customHeight="1">
      <c r="B124" s="1"/>
      <c r="I124" s="2"/>
      <c r="K124" s="2"/>
    </row>
    <row r="125" ht="12.0" customHeight="1">
      <c r="B125" s="1"/>
      <c r="I125" s="2"/>
      <c r="K125" s="2"/>
    </row>
    <row r="126" ht="12.0" customHeight="1">
      <c r="B126" s="1"/>
      <c r="I126" s="2"/>
      <c r="K126" s="2"/>
    </row>
    <row r="127" ht="12.0" customHeight="1">
      <c r="B127" s="1"/>
      <c r="I127" s="2"/>
      <c r="K127" s="2"/>
    </row>
    <row r="128" ht="12.0" customHeight="1">
      <c r="B128" s="1"/>
      <c r="I128" s="2"/>
      <c r="K128" s="2"/>
    </row>
    <row r="129" ht="12.0" customHeight="1">
      <c r="B129" s="1"/>
      <c r="I129" s="2"/>
      <c r="K129" s="2"/>
    </row>
    <row r="130" ht="12.0" customHeight="1">
      <c r="B130" s="1"/>
      <c r="I130" s="2"/>
      <c r="K130" s="2"/>
    </row>
    <row r="131" ht="12.0" customHeight="1">
      <c r="B131" s="1"/>
      <c r="I131" s="2"/>
      <c r="K131" s="2"/>
    </row>
    <row r="132" ht="12.0" customHeight="1">
      <c r="B132" s="1"/>
      <c r="I132" s="2"/>
      <c r="K132" s="2"/>
    </row>
    <row r="133" ht="12.0" customHeight="1">
      <c r="B133" s="1"/>
      <c r="I133" s="2"/>
      <c r="K133" s="2"/>
    </row>
    <row r="134" ht="12.0" customHeight="1">
      <c r="B134" s="1"/>
      <c r="I134" s="2"/>
      <c r="K134" s="2"/>
    </row>
    <row r="135" ht="12.0" customHeight="1">
      <c r="B135" s="1"/>
      <c r="I135" s="2"/>
      <c r="K135" s="2"/>
    </row>
    <row r="136" ht="12.0" customHeight="1">
      <c r="B136" s="1"/>
      <c r="I136" s="2"/>
      <c r="K136" s="2"/>
    </row>
    <row r="137" ht="12.0" customHeight="1">
      <c r="B137" s="1"/>
      <c r="I137" s="2"/>
      <c r="K137" s="2"/>
    </row>
    <row r="138" ht="12.0" customHeight="1">
      <c r="B138" s="1"/>
      <c r="I138" s="2"/>
      <c r="K138" s="2"/>
    </row>
    <row r="139" ht="12.0" customHeight="1">
      <c r="B139" s="1"/>
      <c r="I139" s="2"/>
      <c r="K139" s="2"/>
    </row>
    <row r="140" ht="12.0" customHeight="1">
      <c r="B140" s="1"/>
      <c r="I140" s="2"/>
      <c r="K140" s="2"/>
    </row>
    <row r="141" ht="12.0" customHeight="1">
      <c r="B141" s="1"/>
      <c r="I141" s="2"/>
      <c r="K141" s="2"/>
    </row>
    <row r="142" ht="12.0" customHeight="1">
      <c r="B142" s="1"/>
      <c r="I142" s="2"/>
      <c r="K142" s="2"/>
    </row>
    <row r="143" ht="12.0" customHeight="1">
      <c r="B143" s="1"/>
      <c r="I143" s="2"/>
      <c r="K143" s="2"/>
    </row>
    <row r="144" ht="12.0" customHeight="1">
      <c r="B144" s="1"/>
      <c r="I144" s="2"/>
      <c r="K144" s="2"/>
    </row>
    <row r="145" ht="12.0" customHeight="1">
      <c r="B145" s="1"/>
      <c r="I145" s="2"/>
      <c r="K145" s="2"/>
    </row>
    <row r="146" ht="12.0" customHeight="1">
      <c r="B146" s="1"/>
      <c r="I146" s="2"/>
      <c r="K146" s="2"/>
    </row>
    <row r="147" ht="12.0" customHeight="1">
      <c r="B147" s="1"/>
      <c r="I147" s="2"/>
      <c r="K147" s="2"/>
    </row>
    <row r="148" ht="12.0" customHeight="1">
      <c r="B148" s="1"/>
      <c r="I148" s="2"/>
      <c r="K148" s="2"/>
    </row>
    <row r="149" ht="12.0" customHeight="1">
      <c r="B149" s="1"/>
      <c r="I149" s="2"/>
      <c r="K149" s="2"/>
    </row>
    <row r="150" ht="12.0" customHeight="1">
      <c r="B150" s="1"/>
      <c r="I150" s="2"/>
      <c r="K150" s="2"/>
    </row>
    <row r="151" ht="12.0" customHeight="1">
      <c r="B151" s="1"/>
      <c r="I151" s="2"/>
      <c r="K151" s="2"/>
    </row>
    <row r="152" ht="12.0" customHeight="1">
      <c r="B152" s="1"/>
      <c r="I152" s="2"/>
      <c r="K152" s="2"/>
    </row>
    <row r="153" ht="12.0" customHeight="1">
      <c r="B153" s="1"/>
      <c r="I153" s="2"/>
      <c r="K153" s="2"/>
    </row>
    <row r="154" ht="12.0" customHeight="1">
      <c r="B154" s="1"/>
      <c r="I154" s="2"/>
      <c r="K154" s="2"/>
    </row>
    <row r="155" ht="12.0" customHeight="1">
      <c r="B155" s="1"/>
      <c r="I155" s="2"/>
      <c r="K155" s="2"/>
    </row>
    <row r="156" ht="12.0" customHeight="1">
      <c r="B156" s="1"/>
      <c r="I156" s="2"/>
      <c r="K156" s="2"/>
    </row>
    <row r="157" ht="12.0" customHeight="1">
      <c r="B157" s="1"/>
      <c r="I157" s="2"/>
      <c r="K157" s="2"/>
    </row>
    <row r="158" ht="12.0" customHeight="1">
      <c r="B158" s="1"/>
      <c r="I158" s="2"/>
      <c r="K158" s="2"/>
    </row>
    <row r="159" ht="12.0" customHeight="1">
      <c r="B159" s="1"/>
      <c r="I159" s="2"/>
      <c r="K159" s="2"/>
    </row>
    <row r="160" ht="12.0" customHeight="1">
      <c r="B160" s="1"/>
      <c r="I160" s="2"/>
      <c r="K160" s="2"/>
    </row>
    <row r="161" ht="12.0" customHeight="1">
      <c r="B161" s="1"/>
      <c r="I161" s="2"/>
      <c r="K161" s="2"/>
    </row>
    <row r="162" ht="12.0" customHeight="1">
      <c r="B162" s="1"/>
      <c r="I162" s="2"/>
      <c r="K162" s="2"/>
    </row>
    <row r="163" ht="12.0" customHeight="1">
      <c r="B163" s="1"/>
      <c r="I163" s="2"/>
      <c r="K163" s="2"/>
    </row>
    <row r="164" ht="12.0" customHeight="1">
      <c r="B164" s="1"/>
      <c r="I164" s="2"/>
      <c r="K164" s="2"/>
    </row>
    <row r="165" ht="12.0" customHeight="1">
      <c r="B165" s="1"/>
      <c r="I165" s="2"/>
      <c r="K165" s="2"/>
    </row>
    <row r="166" ht="12.0" customHeight="1">
      <c r="B166" s="1"/>
      <c r="I166" s="2"/>
      <c r="K166" s="2"/>
    </row>
    <row r="167" ht="12.0" customHeight="1">
      <c r="B167" s="1"/>
      <c r="I167" s="2"/>
      <c r="K167" s="2"/>
    </row>
    <row r="168" ht="12.0" customHeight="1">
      <c r="B168" s="1"/>
      <c r="I168" s="2"/>
      <c r="K168" s="2"/>
    </row>
    <row r="169" ht="12.0" customHeight="1">
      <c r="B169" s="1"/>
      <c r="I169" s="2"/>
      <c r="K169" s="2"/>
    </row>
    <row r="170" ht="12.0" customHeight="1">
      <c r="B170" s="1"/>
      <c r="I170" s="2"/>
      <c r="K170" s="2"/>
    </row>
    <row r="171" ht="12.0" customHeight="1">
      <c r="B171" s="1"/>
      <c r="I171" s="2"/>
      <c r="K171" s="2"/>
    </row>
    <row r="172" ht="12.0" customHeight="1">
      <c r="B172" s="1"/>
      <c r="I172" s="2"/>
      <c r="K172" s="2"/>
    </row>
    <row r="173" ht="12.0" customHeight="1">
      <c r="B173" s="1"/>
      <c r="I173" s="2"/>
      <c r="K173" s="2"/>
    </row>
    <row r="174" ht="12.0" customHeight="1">
      <c r="B174" s="1"/>
      <c r="I174" s="2"/>
      <c r="K174" s="2"/>
    </row>
    <row r="175" ht="12.0" customHeight="1">
      <c r="B175" s="1"/>
      <c r="I175" s="2"/>
      <c r="K175" s="2"/>
    </row>
    <row r="176" ht="12.0" customHeight="1">
      <c r="B176" s="1"/>
      <c r="I176" s="2"/>
      <c r="K176" s="2"/>
    </row>
    <row r="177" ht="12.0" customHeight="1">
      <c r="B177" s="1"/>
      <c r="I177" s="2"/>
      <c r="K177" s="2"/>
    </row>
    <row r="178" ht="12.0" customHeight="1">
      <c r="B178" s="1"/>
      <c r="I178" s="2"/>
      <c r="K178" s="2"/>
    </row>
    <row r="179" ht="12.0" customHeight="1">
      <c r="B179" s="1"/>
      <c r="I179" s="2"/>
      <c r="K179" s="2"/>
    </row>
    <row r="180" ht="12.0" customHeight="1">
      <c r="B180" s="1"/>
      <c r="I180" s="2"/>
      <c r="K180" s="2"/>
    </row>
    <row r="181" ht="12.0" customHeight="1">
      <c r="B181" s="1"/>
      <c r="I181" s="2"/>
      <c r="K181" s="2"/>
    </row>
    <row r="182" ht="12.0" customHeight="1">
      <c r="B182" s="1"/>
      <c r="I182" s="2"/>
      <c r="K182" s="2"/>
    </row>
    <row r="183" ht="12.0" customHeight="1">
      <c r="B183" s="1"/>
      <c r="I183" s="2"/>
      <c r="K183" s="2"/>
    </row>
    <row r="184" ht="12.0" customHeight="1">
      <c r="B184" s="1"/>
      <c r="I184" s="2"/>
      <c r="K184" s="2"/>
    </row>
    <row r="185" ht="12.0" customHeight="1">
      <c r="B185" s="1"/>
      <c r="I185" s="2"/>
      <c r="K185" s="2"/>
    </row>
    <row r="186" ht="12.0" customHeight="1">
      <c r="B186" s="1"/>
      <c r="I186" s="2"/>
      <c r="K186" s="2"/>
    </row>
    <row r="187" ht="12.0" customHeight="1">
      <c r="B187" s="1"/>
      <c r="I187" s="2"/>
      <c r="K187" s="2"/>
    </row>
    <row r="188" ht="12.0" customHeight="1">
      <c r="B188" s="1"/>
      <c r="I188" s="2"/>
      <c r="K188" s="2"/>
    </row>
    <row r="189" ht="12.0" customHeight="1">
      <c r="B189" s="1"/>
      <c r="I189" s="2"/>
      <c r="K189" s="2"/>
    </row>
    <row r="190" ht="12.0" customHeight="1">
      <c r="B190" s="1"/>
      <c r="I190" s="2"/>
      <c r="K190" s="2"/>
    </row>
    <row r="191" ht="12.0" customHeight="1">
      <c r="B191" s="1"/>
      <c r="I191" s="2"/>
      <c r="K191" s="2"/>
    </row>
    <row r="192" ht="12.0" customHeight="1">
      <c r="B192" s="1"/>
      <c r="I192" s="2"/>
      <c r="K192" s="2"/>
    </row>
    <row r="193" ht="12.0" customHeight="1">
      <c r="B193" s="1"/>
      <c r="I193" s="2"/>
      <c r="K193" s="2"/>
    </row>
    <row r="194" ht="12.0" customHeight="1">
      <c r="B194" s="1"/>
      <c r="I194" s="2"/>
      <c r="K194" s="2"/>
    </row>
    <row r="195" ht="12.0" customHeight="1">
      <c r="B195" s="1"/>
      <c r="I195" s="2"/>
      <c r="K195" s="2"/>
    </row>
    <row r="196" ht="12.0" customHeight="1">
      <c r="B196" s="1"/>
      <c r="I196" s="2"/>
      <c r="K196" s="2"/>
    </row>
    <row r="197" ht="12.0" customHeight="1">
      <c r="B197" s="1"/>
      <c r="I197" s="2"/>
      <c r="K197" s="2"/>
    </row>
    <row r="198" ht="12.0" customHeight="1">
      <c r="B198" s="1"/>
      <c r="I198" s="2"/>
      <c r="K198" s="2"/>
    </row>
    <row r="199" ht="12.0" customHeight="1">
      <c r="B199" s="1"/>
      <c r="I199" s="2"/>
      <c r="K199" s="2"/>
    </row>
    <row r="200" ht="12.0" customHeight="1">
      <c r="B200" s="1"/>
      <c r="I200" s="2"/>
      <c r="K200" s="2"/>
    </row>
    <row r="201" ht="12.0" customHeight="1">
      <c r="B201" s="1"/>
      <c r="I201" s="2"/>
      <c r="K201" s="2"/>
    </row>
    <row r="202" ht="12.0" customHeight="1">
      <c r="B202" s="1"/>
      <c r="I202" s="2"/>
      <c r="K202" s="2"/>
    </row>
    <row r="203" ht="12.0" customHeight="1">
      <c r="B203" s="1"/>
      <c r="I203" s="2"/>
      <c r="K203" s="2"/>
    </row>
    <row r="204" ht="12.0" customHeight="1">
      <c r="B204" s="1"/>
      <c r="I204" s="2"/>
      <c r="K204" s="2"/>
    </row>
    <row r="205" ht="12.0" customHeight="1">
      <c r="B205" s="1"/>
      <c r="I205" s="2"/>
      <c r="K205" s="2"/>
    </row>
    <row r="206" ht="12.0" customHeight="1">
      <c r="B206" s="1"/>
      <c r="I206" s="2"/>
      <c r="K206" s="2"/>
    </row>
    <row r="207" ht="12.0" customHeight="1">
      <c r="B207" s="1"/>
      <c r="I207" s="2"/>
      <c r="K207" s="2"/>
    </row>
    <row r="208" ht="12.0" customHeight="1">
      <c r="B208" s="1"/>
      <c r="I208" s="2"/>
      <c r="K208" s="2"/>
    </row>
    <row r="209" ht="12.0" customHeight="1">
      <c r="B209" s="1"/>
      <c r="I209" s="2"/>
      <c r="K209" s="2"/>
    </row>
    <row r="210" ht="12.0" customHeight="1">
      <c r="B210" s="1"/>
      <c r="I210" s="2"/>
      <c r="K210" s="2"/>
    </row>
    <row r="211" ht="12.0" customHeight="1">
      <c r="B211" s="1"/>
      <c r="I211" s="2"/>
      <c r="K211" s="2"/>
    </row>
    <row r="212" ht="12.0" customHeight="1">
      <c r="B212" s="1"/>
      <c r="I212" s="2"/>
      <c r="K212" s="2"/>
    </row>
    <row r="213" ht="12.0" customHeight="1">
      <c r="B213" s="1"/>
      <c r="I213" s="2"/>
      <c r="K213" s="2"/>
    </row>
    <row r="214" ht="12.0" customHeight="1">
      <c r="B214" s="1"/>
      <c r="I214" s="2"/>
      <c r="K214" s="2"/>
    </row>
    <row r="215" ht="12.0" customHeight="1">
      <c r="B215" s="1"/>
      <c r="I215" s="2"/>
      <c r="K215" s="2"/>
    </row>
    <row r="216" ht="12.0" customHeight="1">
      <c r="B216" s="1"/>
      <c r="I216" s="2"/>
      <c r="K216" s="2"/>
    </row>
    <row r="217" ht="12.0" customHeight="1">
      <c r="B217" s="1"/>
      <c r="I217" s="2"/>
      <c r="K217" s="2"/>
    </row>
    <row r="218" ht="12.0" customHeight="1">
      <c r="B218" s="1"/>
      <c r="I218" s="2"/>
      <c r="K218" s="2"/>
    </row>
    <row r="219" ht="12.0" customHeight="1">
      <c r="B219" s="1"/>
      <c r="I219" s="2"/>
      <c r="K219" s="2"/>
    </row>
    <row r="220" ht="12.0" customHeight="1">
      <c r="B220" s="1"/>
      <c r="I220" s="2"/>
      <c r="K220" s="2"/>
    </row>
    <row r="221" ht="12.0" customHeight="1">
      <c r="B221" s="1"/>
      <c r="I221" s="2"/>
      <c r="K221" s="2"/>
    </row>
    <row r="222" ht="12.0" customHeight="1">
      <c r="B222" s="1"/>
      <c r="I222" s="2"/>
      <c r="K222" s="2"/>
    </row>
    <row r="223" ht="12.0" customHeight="1">
      <c r="B223" s="1"/>
      <c r="I223" s="2"/>
      <c r="K223" s="2"/>
    </row>
    <row r="224" ht="12.0" customHeight="1">
      <c r="B224" s="1"/>
      <c r="I224" s="2"/>
      <c r="K224" s="2"/>
    </row>
    <row r="225" ht="12.0" customHeight="1">
      <c r="B225" s="1"/>
      <c r="I225" s="2"/>
      <c r="K225" s="2"/>
    </row>
    <row r="226" ht="12.0" customHeight="1">
      <c r="B226" s="1"/>
      <c r="I226" s="2"/>
      <c r="K226" s="2"/>
    </row>
    <row r="227" ht="12.0" customHeight="1">
      <c r="B227" s="1"/>
      <c r="I227" s="2"/>
      <c r="K227" s="2"/>
    </row>
    <row r="228" ht="12.0" customHeight="1">
      <c r="B228" s="1"/>
      <c r="I228" s="2"/>
      <c r="K228" s="2"/>
    </row>
    <row r="229" ht="12.0" customHeight="1">
      <c r="B229" s="1"/>
      <c r="I229" s="2"/>
      <c r="K229" s="2"/>
    </row>
    <row r="230" ht="12.0" customHeight="1">
      <c r="B230" s="1"/>
      <c r="I230" s="2"/>
      <c r="K230" s="2"/>
    </row>
    <row r="231" ht="12.0" customHeight="1">
      <c r="B231" s="1"/>
      <c r="I231" s="2"/>
      <c r="K231" s="2"/>
    </row>
    <row r="232" ht="12.0" customHeight="1">
      <c r="B232" s="1"/>
      <c r="I232" s="2"/>
      <c r="K232" s="2"/>
    </row>
    <row r="233" ht="12.0" customHeight="1">
      <c r="B233" s="1"/>
      <c r="I233" s="2"/>
      <c r="K233" s="2"/>
    </row>
    <row r="234" ht="12.0" customHeight="1">
      <c r="B234" s="1"/>
      <c r="I234" s="2"/>
      <c r="K234" s="2"/>
    </row>
    <row r="235" ht="12.0" customHeight="1">
      <c r="B235" s="1"/>
      <c r="I235" s="2"/>
      <c r="K235" s="2"/>
    </row>
    <row r="236" ht="12.0" customHeight="1">
      <c r="B236" s="1"/>
      <c r="I236" s="2"/>
      <c r="K236" s="2"/>
    </row>
    <row r="237" ht="12.0" customHeight="1">
      <c r="B237" s="1"/>
      <c r="I237" s="2"/>
      <c r="K237" s="2"/>
    </row>
    <row r="238" ht="12.0" customHeight="1">
      <c r="B238" s="1"/>
      <c r="I238" s="2"/>
      <c r="K238" s="2"/>
    </row>
    <row r="239" ht="12.0" customHeight="1">
      <c r="B239" s="1"/>
      <c r="I239" s="2"/>
      <c r="K239" s="2"/>
    </row>
    <row r="240" ht="12.0" customHeight="1">
      <c r="B240" s="1"/>
      <c r="I240" s="2"/>
      <c r="K240" s="2"/>
    </row>
    <row r="241" ht="12.0" customHeight="1">
      <c r="B241" s="1"/>
      <c r="I241" s="2"/>
      <c r="K241" s="2"/>
    </row>
    <row r="242" ht="12.0" customHeight="1">
      <c r="B242" s="1"/>
      <c r="I242" s="2"/>
      <c r="K242" s="2"/>
    </row>
    <row r="243" ht="12.0" customHeight="1">
      <c r="B243" s="1"/>
      <c r="I243" s="2"/>
      <c r="K243" s="2"/>
    </row>
    <row r="244" ht="12.0" customHeight="1">
      <c r="B244" s="1"/>
      <c r="I244" s="2"/>
      <c r="K244" s="2"/>
    </row>
    <row r="245" ht="12.0" customHeight="1">
      <c r="B245" s="1"/>
      <c r="I245" s="2"/>
      <c r="K245" s="2"/>
    </row>
    <row r="246" ht="12.0" customHeight="1">
      <c r="B246" s="1"/>
      <c r="I246" s="2"/>
      <c r="K246" s="2"/>
    </row>
    <row r="247" ht="12.0" customHeight="1">
      <c r="B247" s="1"/>
      <c r="I247" s="2"/>
      <c r="K247" s="2"/>
    </row>
    <row r="248" ht="12.0" customHeight="1">
      <c r="B248" s="1"/>
      <c r="I248" s="2"/>
      <c r="K248" s="2"/>
    </row>
    <row r="249" ht="12.0" customHeight="1">
      <c r="B249" s="1"/>
      <c r="I249" s="2"/>
      <c r="K249" s="2"/>
    </row>
    <row r="250" ht="12.0" customHeight="1">
      <c r="B250" s="1"/>
      <c r="I250" s="2"/>
      <c r="K250" s="2"/>
    </row>
    <row r="251" ht="12.0" customHeight="1">
      <c r="B251" s="1"/>
      <c r="I251" s="2"/>
      <c r="K251" s="2"/>
    </row>
    <row r="252" ht="12.0" customHeight="1">
      <c r="B252" s="1"/>
      <c r="I252" s="2"/>
      <c r="K252" s="2"/>
    </row>
    <row r="253" ht="12.0" customHeight="1">
      <c r="B253" s="1"/>
      <c r="I253" s="2"/>
      <c r="K253" s="2"/>
    </row>
    <row r="254" ht="12.0" customHeight="1">
      <c r="B254" s="1"/>
      <c r="I254" s="2"/>
      <c r="K254" s="2"/>
    </row>
    <row r="255" ht="12.0" customHeight="1">
      <c r="B255" s="1"/>
      <c r="I255" s="2"/>
      <c r="K255" s="2"/>
    </row>
    <row r="256" ht="12.0" customHeight="1">
      <c r="B256" s="1"/>
      <c r="I256" s="2"/>
      <c r="K256" s="2"/>
    </row>
    <row r="257" ht="12.0" customHeight="1">
      <c r="B257" s="1"/>
      <c r="I257" s="2"/>
      <c r="K257" s="2"/>
    </row>
    <row r="258" ht="12.0" customHeight="1">
      <c r="B258" s="1"/>
      <c r="I258" s="2"/>
      <c r="K258" s="2"/>
    </row>
    <row r="259" ht="12.0" customHeight="1">
      <c r="B259" s="1"/>
      <c r="I259" s="2"/>
      <c r="K259" s="2"/>
    </row>
    <row r="260" ht="12.0" customHeight="1">
      <c r="B260" s="1"/>
      <c r="I260" s="2"/>
      <c r="K260" s="2"/>
    </row>
    <row r="261" ht="12.0" customHeight="1">
      <c r="B261" s="1"/>
      <c r="I261" s="2"/>
      <c r="K261" s="2"/>
    </row>
    <row r="262" ht="12.0" customHeight="1">
      <c r="B262" s="1"/>
      <c r="I262" s="2"/>
      <c r="K262" s="2"/>
    </row>
    <row r="263" ht="12.0" customHeight="1">
      <c r="B263" s="1"/>
      <c r="I263" s="2"/>
      <c r="K263" s="2"/>
    </row>
    <row r="264" ht="12.0" customHeight="1">
      <c r="B264" s="1"/>
      <c r="I264" s="2"/>
      <c r="K264" s="2"/>
    </row>
    <row r="265" ht="12.0" customHeight="1">
      <c r="B265" s="1"/>
      <c r="I265" s="2"/>
      <c r="K265" s="2"/>
    </row>
    <row r="266" ht="12.0" customHeight="1">
      <c r="B266" s="1"/>
      <c r="I266" s="2"/>
      <c r="K266" s="2"/>
    </row>
    <row r="267" ht="12.0" customHeight="1">
      <c r="B267" s="1"/>
      <c r="I267" s="2"/>
      <c r="K267" s="2"/>
    </row>
    <row r="268" ht="12.0" customHeight="1">
      <c r="B268" s="1"/>
      <c r="I268" s="2"/>
      <c r="K268" s="2"/>
    </row>
    <row r="269" ht="12.0" customHeight="1">
      <c r="B269" s="1"/>
      <c r="I269" s="2"/>
      <c r="K269" s="2"/>
    </row>
    <row r="270" ht="12.0" customHeight="1">
      <c r="B270" s="1"/>
      <c r="I270" s="2"/>
      <c r="K270" s="2"/>
    </row>
    <row r="271" ht="12.0" customHeight="1">
      <c r="B271" s="1"/>
      <c r="I271" s="2"/>
      <c r="K271" s="2"/>
    </row>
    <row r="272" ht="12.0" customHeight="1">
      <c r="B272" s="1"/>
      <c r="I272" s="2"/>
      <c r="K272" s="2"/>
    </row>
    <row r="273" ht="12.0" customHeight="1">
      <c r="B273" s="1"/>
      <c r="I273" s="2"/>
      <c r="K273" s="2"/>
    </row>
    <row r="274" ht="12.0" customHeight="1">
      <c r="B274" s="1"/>
      <c r="I274" s="2"/>
      <c r="K274" s="2"/>
    </row>
    <row r="275" ht="12.0" customHeight="1">
      <c r="B275" s="1"/>
      <c r="I275" s="2"/>
      <c r="K275" s="2"/>
    </row>
    <row r="276" ht="12.0" customHeight="1">
      <c r="B276" s="1"/>
      <c r="I276" s="2"/>
      <c r="K276" s="2"/>
    </row>
    <row r="277" ht="12.0" customHeight="1">
      <c r="B277" s="1"/>
      <c r="I277" s="2"/>
      <c r="K277" s="2"/>
    </row>
    <row r="278" ht="12.0" customHeight="1">
      <c r="B278" s="1"/>
      <c r="I278" s="2"/>
      <c r="K278" s="2"/>
    </row>
    <row r="279" ht="12.0" customHeight="1">
      <c r="B279" s="1"/>
      <c r="I279" s="2"/>
      <c r="K279" s="2"/>
    </row>
    <row r="280" ht="12.0" customHeight="1">
      <c r="B280" s="1"/>
      <c r="I280" s="2"/>
      <c r="K280" s="2"/>
    </row>
    <row r="281" ht="12.0" customHeight="1">
      <c r="B281" s="1"/>
      <c r="I281" s="2"/>
      <c r="K281" s="2"/>
    </row>
    <row r="282" ht="12.0" customHeight="1">
      <c r="B282" s="1"/>
      <c r="I282" s="2"/>
      <c r="K282" s="2"/>
    </row>
    <row r="283" ht="12.0" customHeight="1">
      <c r="B283" s="1"/>
      <c r="I283" s="2"/>
      <c r="K283" s="2"/>
    </row>
    <row r="284" ht="12.0" customHeight="1">
      <c r="B284" s="1"/>
      <c r="I284" s="2"/>
      <c r="K284" s="2"/>
    </row>
    <row r="285" ht="12.0" customHeight="1">
      <c r="B285" s="1"/>
      <c r="I285" s="2"/>
      <c r="K285" s="2"/>
    </row>
    <row r="286" ht="12.0" customHeight="1">
      <c r="B286" s="1"/>
      <c r="I286" s="2"/>
      <c r="K286" s="2"/>
    </row>
    <row r="287" ht="12.0" customHeight="1">
      <c r="B287" s="1"/>
      <c r="I287" s="2"/>
      <c r="K287" s="2"/>
    </row>
    <row r="288" ht="12.0" customHeight="1">
      <c r="B288" s="1"/>
      <c r="I288" s="2"/>
      <c r="K288" s="2"/>
    </row>
    <row r="289" ht="12.0" customHeight="1">
      <c r="B289" s="1"/>
      <c r="I289" s="2"/>
      <c r="K289" s="2"/>
    </row>
    <row r="290" ht="12.0" customHeight="1">
      <c r="B290" s="1"/>
      <c r="I290" s="2"/>
      <c r="K290" s="2"/>
    </row>
    <row r="291" ht="12.0" customHeight="1">
      <c r="B291" s="1"/>
      <c r="I291" s="2"/>
      <c r="K291" s="2"/>
    </row>
    <row r="292" ht="12.0" customHeight="1">
      <c r="B292" s="1"/>
      <c r="I292" s="2"/>
      <c r="K292" s="2"/>
    </row>
    <row r="293" ht="12.0" customHeight="1">
      <c r="B293" s="1"/>
      <c r="I293" s="2"/>
      <c r="K293" s="2"/>
    </row>
    <row r="294" ht="12.0" customHeight="1">
      <c r="B294" s="1"/>
      <c r="I294" s="2"/>
      <c r="K294" s="2"/>
    </row>
    <row r="295" ht="12.0" customHeight="1">
      <c r="B295" s="1"/>
      <c r="I295" s="2"/>
      <c r="K295" s="2"/>
    </row>
    <row r="296" ht="12.0" customHeight="1">
      <c r="B296" s="1"/>
      <c r="I296" s="2"/>
      <c r="K296" s="2"/>
    </row>
    <row r="297" ht="12.0" customHeight="1">
      <c r="B297" s="1"/>
      <c r="I297" s="2"/>
      <c r="K297" s="2"/>
    </row>
    <row r="298" ht="12.0" customHeight="1">
      <c r="B298" s="1"/>
      <c r="I298" s="2"/>
      <c r="K298" s="2"/>
    </row>
    <row r="299" ht="12.0" customHeight="1">
      <c r="B299" s="1"/>
      <c r="I299" s="2"/>
      <c r="K299" s="2"/>
    </row>
    <row r="300" ht="12.0" customHeight="1">
      <c r="B300" s="1"/>
      <c r="I300" s="2"/>
      <c r="K300" s="2"/>
    </row>
    <row r="301" ht="12.0" customHeight="1">
      <c r="B301" s="1"/>
      <c r="I301" s="2"/>
      <c r="K301" s="2"/>
    </row>
    <row r="302" ht="12.0" customHeight="1">
      <c r="B302" s="1"/>
      <c r="I302" s="2"/>
      <c r="K302" s="2"/>
    </row>
    <row r="303" ht="12.0" customHeight="1">
      <c r="B303" s="1"/>
      <c r="I303" s="2"/>
      <c r="K303" s="2"/>
    </row>
    <row r="304" ht="12.0" customHeight="1">
      <c r="B304" s="1"/>
      <c r="I304" s="2"/>
      <c r="K304" s="2"/>
    </row>
    <row r="305" ht="12.0" customHeight="1">
      <c r="B305" s="1"/>
      <c r="I305" s="2"/>
      <c r="K305" s="2"/>
    </row>
    <row r="306" ht="12.0" customHeight="1">
      <c r="B306" s="1"/>
      <c r="I306" s="2"/>
      <c r="K306" s="2"/>
    </row>
    <row r="307" ht="12.0" customHeight="1">
      <c r="B307" s="1"/>
      <c r="I307" s="2"/>
      <c r="K307" s="2"/>
    </row>
    <row r="308" ht="12.0" customHeight="1">
      <c r="B308" s="1"/>
      <c r="I308" s="2"/>
      <c r="K308" s="2"/>
    </row>
    <row r="309" ht="12.0" customHeight="1">
      <c r="B309" s="1"/>
      <c r="I309" s="2"/>
      <c r="K309" s="2"/>
    </row>
    <row r="310" ht="12.0" customHeight="1">
      <c r="B310" s="1"/>
      <c r="I310" s="2"/>
      <c r="K310" s="2"/>
    </row>
    <row r="311" ht="12.0" customHeight="1">
      <c r="B311" s="1"/>
      <c r="I311" s="2"/>
      <c r="K311" s="2"/>
    </row>
    <row r="312" ht="12.0" customHeight="1">
      <c r="B312" s="1"/>
      <c r="I312" s="2"/>
      <c r="K312" s="2"/>
    </row>
    <row r="313" ht="12.0" customHeight="1">
      <c r="B313" s="1"/>
      <c r="I313" s="2"/>
      <c r="K313" s="2"/>
    </row>
    <row r="314" ht="12.0" customHeight="1">
      <c r="B314" s="1"/>
      <c r="I314" s="2"/>
      <c r="K314" s="2"/>
    </row>
    <row r="315" ht="12.0" customHeight="1">
      <c r="B315" s="1"/>
      <c r="I315" s="2"/>
      <c r="K315" s="2"/>
    </row>
    <row r="316" ht="12.0" customHeight="1">
      <c r="B316" s="1"/>
      <c r="I316" s="2"/>
      <c r="K316" s="2"/>
    </row>
    <row r="317" ht="12.0" customHeight="1">
      <c r="B317" s="1"/>
      <c r="I317" s="2"/>
      <c r="K317" s="2"/>
    </row>
    <row r="318" ht="12.0" customHeight="1">
      <c r="B318" s="1"/>
      <c r="I318" s="2"/>
      <c r="K318" s="2"/>
    </row>
    <row r="319" ht="12.0" customHeight="1">
      <c r="B319" s="1"/>
      <c r="I319" s="2"/>
      <c r="K319" s="2"/>
    </row>
    <row r="320" ht="12.0" customHeight="1">
      <c r="B320" s="1"/>
      <c r="I320" s="2"/>
      <c r="K320" s="2"/>
    </row>
    <row r="321" ht="12.0" customHeight="1">
      <c r="B321" s="1"/>
      <c r="I321" s="2"/>
      <c r="K321" s="2"/>
    </row>
    <row r="322" ht="12.0" customHeight="1">
      <c r="B322" s="1"/>
      <c r="I322" s="2"/>
      <c r="K322" s="2"/>
    </row>
    <row r="323" ht="12.0" customHeight="1">
      <c r="B323" s="1"/>
      <c r="I323" s="2"/>
      <c r="K323" s="2"/>
    </row>
    <row r="324" ht="12.0" customHeight="1">
      <c r="B324" s="1"/>
      <c r="I324" s="2"/>
      <c r="K324" s="2"/>
    </row>
    <row r="325" ht="12.0" customHeight="1">
      <c r="B325" s="1"/>
      <c r="I325" s="2"/>
      <c r="K325" s="2"/>
    </row>
    <row r="326" ht="12.0" customHeight="1">
      <c r="B326" s="1"/>
      <c r="I326" s="2"/>
      <c r="K326" s="2"/>
    </row>
    <row r="327" ht="12.0" customHeight="1">
      <c r="B327" s="1"/>
      <c r="I327" s="2"/>
      <c r="K327" s="2"/>
    </row>
    <row r="328" ht="12.0" customHeight="1">
      <c r="B328" s="1"/>
      <c r="I328" s="2"/>
      <c r="K328" s="2"/>
    </row>
    <row r="329" ht="12.0" customHeight="1">
      <c r="B329" s="1"/>
      <c r="I329" s="2"/>
      <c r="K329" s="2"/>
    </row>
    <row r="330" ht="12.0" customHeight="1">
      <c r="B330" s="1"/>
      <c r="I330" s="2"/>
      <c r="K330" s="2"/>
    </row>
    <row r="331" ht="12.0" customHeight="1">
      <c r="B331" s="1"/>
      <c r="I331" s="2"/>
      <c r="K331" s="2"/>
    </row>
    <row r="332" ht="12.0" customHeight="1">
      <c r="B332" s="1"/>
      <c r="I332" s="2"/>
      <c r="K332" s="2"/>
    </row>
    <row r="333" ht="12.0" customHeight="1">
      <c r="B333" s="1"/>
      <c r="I333" s="2"/>
      <c r="K333" s="2"/>
    </row>
    <row r="334" ht="12.0" customHeight="1">
      <c r="B334" s="1"/>
      <c r="I334" s="2"/>
      <c r="K334" s="2"/>
    </row>
    <row r="335" ht="12.0" customHeight="1">
      <c r="B335" s="1"/>
      <c r="I335" s="2"/>
      <c r="K335" s="2"/>
    </row>
    <row r="336" ht="12.0" customHeight="1">
      <c r="B336" s="1"/>
      <c r="I336" s="2"/>
      <c r="K336" s="2"/>
    </row>
    <row r="337" ht="12.0" customHeight="1">
      <c r="B337" s="1"/>
      <c r="I337" s="2"/>
      <c r="K337" s="2"/>
    </row>
    <row r="338" ht="12.0" customHeight="1">
      <c r="B338" s="1"/>
      <c r="I338" s="2"/>
      <c r="K338" s="2"/>
    </row>
    <row r="339" ht="12.0" customHeight="1">
      <c r="B339" s="1"/>
      <c r="I339" s="2"/>
      <c r="K339" s="2"/>
    </row>
    <row r="340" ht="12.0" customHeight="1">
      <c r="B340" s="1"/>
      <c r="I340" s="2"/>
      <c r="K340" s="2"/>
    </row>
    <row r="341" ht="12.0" customHeight="1">
      <c r="B341" s="1"/>
      <c r="I341" s="2"/>
      <c r="K341" s="2"/>
    </row>
    <row r="342" ht="12.0" customHeight="1">
      <c r="B342" s="1"/>
      <c r="I342" s="2"/>
      <c r="K342" s="2"/>
    </row>
    <row r="343" ht="12.0" customHeight="1">
      <c r="B343" s="1"/>
      <c r="I343" s="2"/>
      <c r="K343" s="2"/>
    </row>
    <row r="344" ht="12.0" customHeight="1">
      <c r="B344" s="1"/>
      <c r="I344" s="2"/>
      <c r="K344" s="2"/>
    </row>
    <row r="345" ht="12.0" customHeight="1">
      <c r="B345" s="1"/>
      <c r="I345" s="2"/>
      <c r="K345" s="2"/>
    </row>
    <row r="346" ht="12.0" customHeight="1">
      <c r="B346" s="1"/>
      <c r="I346" s="2"/>
      <c r="K346" s="2"/>
    </row>
    <row r="347" ht="12.0" customHeight="1">
      <c r="B347" s="1"/>
      <c r="I347" s="2"/>
      <c r="K347" s="2"/>
    </row>
    <row r="348" ht="12.0" customHeight="1">
      <c r="B348" s="1"/>
      <c r="I348" s="2"/>
      <c r="K348" s="2"/>
    </row>
    <row r="349" ht="12.0" customHeight="1">
      <c r="B349" s="1"/>
      <c r="I349" s="2"/>
      <c r="K349" s="2"/>
    </row>
    <row r="350" ht="12.0" customHeight="1">
      <c r="B350" s="1"/>
      <c r="I350" s="2"/>
      <c r="K350" s="2"/>
    </row>
    <row r="351" ht="12.0" customHeight="1">
      <c r="B351" s="1"/>
      <c r="I351" s="2"/>
      <c r="K351" s="2"/>
    </row>
    <row r="352" ht="12.0" customHeight="1">
      <c r="B352" s="1"/>
      <c r="I352" s="2"/>
      <c r="K352" s="2"/>
    </row>
    <row r="353" ht="12.0" customHeight="1">
      <c r="B353" s="1"/>
      <c r="I353" s="2"/>
      <c r="K353" s="2"/>
    </row>
    <row r="354" ht="12.0" customHeight="1">
      <c r="B354" s="1"/>
      <c r="I354" s="2"/>
      <c r="K354" s="2"/>
    </row>
    <row r="355" ht="12.0" customHeight="1">
      <c r="B355" s="1"/>
      <c r="I355" s="2"/>
      <c r="K355" s="2"/>
    </row>
    <row r="356" ht="12.0" customHeight="1">
      <c r="B356" s="1"/>
      <c r="I356" s="2"/>
      <c r="K356" s="2"/>
    </row>
    <row r="357" ht="12.0" customHeight="1">
      <c r="B357" s="1"/>
      <c r="I357" s="2"/>
      <c r="K357" s="2"/>
    </row>
    <row r="358" ht="12.0" customHeight="1">
      <c r="B358" s="1"/>
      <c r="I358" s="2"/>
      <c r="K358" s="2"/>
    </row>
    <row r="359" ht="12.0" customHeight="1">
      <c r="B359" s="1"/>
      <c r="I359" s="2"/>
      <c r="K359" s="2"/>
    </row>
    <row r="360" ht="12.0" customHeight="1">
      <c r="B360" s="1"/>
      <c r="I360" s="2"/>
      <c r="K360" s="2"/>
    </row>
    <row r="361" ht="12.0" customHeight="1">
      <c r="B361" s="1"/>
      <c r="I361" s="2"/>
      <c r="K361" s="2"/>
    </row>
    <row r="362" ht="12.0" customHeight="1">
      <c r="B362" s="1"/>
      <c r="I362" s="2"/>
      <c r="K362" s="2"/>
    </row>
    <row r="363" ht="12.0" customHeight="1">
      <c r="B363" s="1"/>
      <c r="I363" s="2"/>
      <c r="K363" s="2"/>
    </row>
    <row r="364" ht="12.0" customHeight="1">
      <c r="B364" s="1"/>
      <c r="I364" s="2"/>
      <c r="K364" s="2"/>
    </row>
    <row r="365" ht="12.0" customHeight="1">
      <c r="B365" s="1"/>
      <c r="I365" s="2"/>
      <c r="K365" s="2"/>
    </row>
    <row r="366" ht="12.0" customHeight="1">
      <c r="B366" s="1"/>
      <c r="I366" s="2"/>
      <c r="K366" s="2"/>
    </row>
    <row r="367" ht="12.0" customHeight="1">
      <c r="B367" s="1"/>
      <c r="I367" s="2"/>
      <c r="K367" s="2"/>
    </row>
    <row r="368" ht="12.0" customHeight="1">
      <c r="B368" s="1"/>
      <c r="I368" s="2"/>
      <c r="K368" s="2"/>
    </row>
    <row r="369" ht="12.0" customHeight="1">
      <c r="B369" s="1"/>
      <c r="I369" s="2"/>
      <c r="K369" s="2"/>
    </row>
    <row r="370" ht="12.0" customHeight="1">
      <c r="B370" s="1"/>
      <c r="I370" s="2"/>
      <c r="K370" s="2"/>
    </row>
    <row r="371" ht="12.0" customHeight="1">
      <c r="B371" s="1"/>
      <c r="I371" s="2"/>
      <c r="K371" s="2"/>
    </row>
    <row r="372" ht="12.0" customHeight="1">
      <c r="B372" s="1"/>
      <c r="I372" s="2"/>
      <c r="K372" s="2"/>
    </row>
    <row r="373" ht="12.0" customHeight="1">
      <c r="B373" s="1"/>
      <c r="I373" s="2"/>
      <c r="K373" s="2"/>
    </row>
    <row r="374" ht="12.0" customHeight="1">
      <c r="B374" s="1"/>
      <c r="I374" s="2"/>
      <c r="K374" s="2"/>
    </row>
    <row r="375" ht="12.0" customHeight="1">
      <c r="B375" s="1"/>
      <c r="I375" s="2"/>
      <c r="K375" s="2"/>
    </row>
    <row r="376" ht="12.0" customHeight="1">
      <c r="B376" s="1"/>
      <c r="I376" s="2"/>
      <c r="K376" s="2"/>
    </row>
    <row r="377" ht="12.0" customHeight="1">
      <c r="B377" s="1"/>
      <c r="I377" s="2"/>
      <c r="K377" s="2"/>
    </row>
    <row r="378" ht="12.0" customHeight="1">
      <c r="B378" s="1"/>
      <c r="I378" s="2"/>
      <c r="K378" s="2"/>
    </row>
    <row r="379" ht="12.0" customHeight="1">
      <c r="B379" s="1"/>
      <c r="I379" s="2"/>
      <c r="K379" s="2"/>
    </row>
    <row r="380" ht="12.0" customHeight="1">
      <c r="B380" s="1"/>
      <c r="I380" s="2"/>
      <c r="K380" s="2"/>
    </row>
    <row r="381" ht="12.0" customHeight="1">
      <c r="B381" s="1"/>
      <c r="I381" s="2"/>
      <c r="K381" s="2"/>
    </row>
    <row r="382" ht="12.0" customHeight="1">
      <c r="B382" s="1"/>
      <c r="I382" s="2"/>
      <c r="K382" s="2"/>
    </row>
    <row r="383" ht="12.0" customHeight="1">
      <c r="B383" s="1"/>
      <c r="I383" s="2"/>
      <c r="K383" s="2"/>
    </row>
    <row r="384" ht="12.0" customHeight="1">
      <c r="B384" s="1"/>
      <c r="I384" s="2"/>
      <c r="K384" s="2"/>
    </row>
    <row r="385" ht="12.0" customHeight="1">
      <c r="B385" s="1"/>
      <c r="I385" s="2"/>
      <c r="K385" s="2"/>
    </row>
    <row r="386" ht="12.0" customHeight="1">
      <c r="B386" s="1"/>
      <c r="I386" s="2"/>
      <c r="K386" s="2"/>
    </row>
    <row r="387" ht="12.0" customHeight="1">
      <c r="B387" s="1"/>
      <c r="I387" s="2"/>
      <c r="K387" s="2"/>
    </row>
    <row r="388" ht="12.0" customHeight="1">
      <c r="B388" s="1"/>
      <c r="I388" s="2"/>
      <c r="K388" s="2"/>
    </row>
    <row r="389" ht="12.0" customHeight="1">
      <c r="B389" s="1"/>
      <c r="I389" s="2"/>
      <c r="K389" s="2"/>
    </row>
    <row r="390" ht="12.0" customHeight="1">
      <c r="B390" s="1"/>
      <c r="I390" s="2"/>
      <c r="K390" s="2"/>
    </row>
    <row r="391" ht="12.0" customHeight="1">
      <c r="B391" s="1"/>
      <c r="I391" s="2"/>
      <c r="K391" s="2"/>
    </row>
    <row r="392" ht="12.0" customHeight="1">
      <c r="B392" s="1"/>
      <c r="I392" s="2"/>
      <c r="K392" s="2"/>
    </row>
    <row r="393" ht="12.0" customHeight="1">
      <c r="B393" s="1"/>
      <c r="I393" s="2"/>
      <c r="K393" s="2"/>
    </row>
    <row r="394" ht="12.0" customHeight="1">
      <c r="B394" s="1"/>
      <c r="I394" s="2"/>
      <c r="K394" s="2"/>
    </row>
    <row r="395" ht="12.0" customHeight="1">
      <c r="B395" s="1"/>
      <c r="I395" s="2"/>
      <c r="K395" s="2"/>
    </row>
    <row r="396" ht="12.0" customHeight="1">
      <c r="B396" s="1"/>
      <c r="I396" s="2"/>
      <c r="K396" s="2"/>
    </row>
    <row r="397" ht="12.0" customHeight="1">
      <c r="B397" s="1"/>
      <c r="I397" s="2"/>
      <c r="K397" s="2"/>
    </row>
    <row r="398" ht="12.0" customHeight="1">
      <c r="B398" s="1"/>
      <c r="I398" s="2"/>
      <c r="K398" s="2"/>
    </row>
    <row r="399" ht="12.0" customHeight="1">
      <c r="B399" s="1"/>
      <c r="I399" s="2"/>
      <c r="K399" s="2"/>
    </row>
    <row r="400" ht="12.0" customHeight="1">
      <c r="B400" s="1"/>
      <c r="I400" s="2"/>
      <c r="K400" s="2"/>
    </row>
    <row r="401" ht="12.0" customHeight="1">
      <c r="B401" s="1"/>
      <c r="I401" s="2"/>
      <c r="K401" s="2"/>
    </row>
    <row r="402" ht="12.0" customHeight="1">
      <c r="B402" s="1"/>
      <c r="I402" s="2"/>
      <c r="K402" s="2"/>
    </row>
    <row r="403" ht="12.0" customHeight="1">
      <c r="B403" s="1"/>
      <c r="I403" s="2"/>
      <c r="K403" s="2"/>
    </row>
    <row r="404" ht="12.0" customHeight="1">
      <c r="B404" s="1"/>
      <c r="I404" s="2"/>
      <c r="K404" s="2"/>
    </row>
    <row r="405" ht="12.0" customHeight="1">
      <c r="B405" s="1"/>
      <c r="I405" s="2"/>
      <c r="K405" s="2"/>
    </row>
    <row r="406" ht="12.0" customHeight="1">
      <c r="B406" s="1"/>
      <c r="I406" s="2"/>
      <c r="K406" s="2"/>
    </row>
    <row r="407" ht="12.0" customHeight="1">
      <c r="B407" s="1"/>
      <c r="I407" s="2"/>
      <c r="K407" s="2"/>
    </row>
    <row r="408" ht="12.0" customHeight="1">
      <c r="B408" s="1"/>
      <c r="I408" s="2"/>
      <c r="K408" s="2"/>
    </row>
    <row r="409" ht="12.0" customHeight="1">
      <c r="B409" s="1"/>
      <c r="I409" s="2"/>
      <c r="K409" s="2"/>
    </row>
    <row r="410" ht="12.0" customHeight="1">
      <c r="B410" s="1"/>
      <c r="I410" s="2"/>
      <c r="K410" s="2"/>
    </row>
    <row r="411" ht="12.0" customHeight="1">
      <c r="B411" s="1"/>
      <c r="I411" s="2"/>
      <c r="K411" s="2"/>
    </row>
    <row r="412" ht="12.0" customHeight="1">
      <c r="B412" s="1"/>
      <c r="I412" s="2"/>
      <c r="K412" s="2"/>
    </row>
    <row r="413" ht="12.0" customHeight="1">
      <c r="B413" s="1"/>
      <c r="I413" s="2"/>
      <c r="K413" s="2"/>
    </row>
    <row r="414" ht="12.0" customHeight="1">
      <c r="B414" s="1"/>
      <c r="I414" s="2"/>
      <c r="K414" s="2"/>
    </row>
    <row r="415" ht="12.0" customHeight="1">
      <c r="B415" s="1"/>
      <c r="I415" s="2"/>
      <c r="K415" s="2"/>
    </row>
    <row r="416" ht="12.0" customHeight="1">
      <c r="B416" s="1"/>
      <c r="I416" s="2"/>
      <c r="K416" s="2"/>
    </row>
    <row r="417" ht="12.0" customHeight="1">
      <c r="B417" s="1"/>
      <c r="I417" s="2"/>
      <c r="K417" s="2"/>
    </row>
    <row r="418" ht="12.0" customHeight="1">
      <c r="B418" s="1"/>
      <c r="I418" s="2"/>
      <c r="K418" s="2"/>
    </row>
    <row r="419" ht="12.0" customHeight="1">
      <c r="B419" s="1"/>
      <c r="I419" s="2"/>
      <c r="K419" s="2"/>
    </row>
    <row r="420" ht="12.0" customHeight="1">
      <c r="B420" s="1"/>
      <c r="I420" s="2"/>
      <c r="K420" s="2"/>
    </row>
    <row r="421" ht="12.0" customHeight="1">
      <c r="B421" s="1"/>
      <c r="I421" s="2"/>
      <c r="K421" s="2"/>
    </row>
    <row r="422" ht="12.0" customHeight="1">
      <c r="B422" s="1"/>
      <c r="I422" s="2"/>
      <c r="K422" s="2"/>
    </row>
    <row r="423" ht="12.0" customHeight="1">
      <c r="B423" s="1"/>
      <c r="I423" s="2"/>
      <c r="K423" s="2"/>
    </row>
    <row r="424" ht="12.0" customHeight="1">
      <c r="B424" s="1"/>
      <c r="I424" s="2"/>
      <c r="K424" s="2"/>
    </row>
    <row r="425" ht="12.0" customHeight="1">
      <c r="B425" s="1"/>
      <c r="I425" s="2"/>
      <c r="K425" s="2"/>
    </row>
    <row r="426" ht="12.0" customHeight="1">
      <c r="B426" s="1"/>
      <c r="I426" s="2"/>
      <c r="K426" s="2"/>
    </row>
    <row r="427" ht="12.0" customHeight="1">
      <c r="B427" s="1"/>
      <c r="I427" s="2"/>
      <c r="K427" s="2"/>
    </row>
    <row r="428" ht="12.0" customHeight="1">
      <c r="B428" s="1"/>
      <c r="I428" s="2"/>
      <c r="K428" s="2"/>
    </row>
    <row r="429" ht="12.0" customHeight="1">
      <c r="B429" s="1"/>
      <c r="I429" s="2"/>
      <c r="K429" s="2"/>
    </row>
    <row r="430" ht="12.0" customHeight="1">
      <c r="B430" s="1"/>
      <c r="I430" s="2"/>
      <c r="K430" s="2"/>
    </row>
    <row r="431" ht="12.0" customHeight="1">
      <c r="B431" s="1"/>
      <c r="I431" s="2"/>
      <c r="K431" s="2"/>
    </row>
    <row r="432" ht="12.0" customHeight="1">
      <c r="B432" s="1"/>
      <c r="I432" s="2"/>
      <c r="K432" s="2"/>
    </row>
    <row r="433" ht="12.0" customHeight="1">
      <c r="B433" s="1"/>
      <c r="I433" s="2"/>
      <c r="K433" s="2"/>
    </row>
    <row r="434" ht="12.0" customHeight="1">
      <c r="B434" s="1"/>
      <c r="I434" s="2"/>
      <c r="K434" s="2"/>
    </row>
    <row r="435" ht="12.0" customHeight="1">
      <c r="B435" s="1"/>
      <c r="I435" s="2"/>
      <c r="K435" s="2"/>
    </row>
    <row r="436" ht="12.0" customHeight="1">
      <c r="B436" s="1"/>
      <c r="I436" s="2"/>
      <c r="K436" s="2"/>
    </row>
    <row r="437" ht="12.0" customHeight="1">
      <c r="B437" s="1"/>
      <c r="I437" s="2"/>
      <c r="K437" s="2"/>
    </row>
    <row r="438" ht="12.0" customHeight="1">
      <c r="B438" s="1"/>
      <c r="I438" s="2"/>
      <c r="K438" s="2"/>
    </row>
    <row r="439" ht="12.0" customHeight="1">
      <c r="B439" s="1"/>
      <c r="I439" s="2"/>
      <c r="K439" s="2"/>
    </row>
    <row r="440" ht="12.0" customHeight="1">
      <c r="B440" s="1"/>
      <c r="I440" s="2"/>
      <c r="K440" s="2"/>
    </row>
    <row r="441" ht="12.0" customHeight="1">
      <c r="B441" s="1"/>
      <c r="I441" s="2"/>
      <c r="K441" s="2"/>
    </row>
    <row r="442" ht="12.0" customHeight="1">
      <c r="B442" s="1"/>
      <c r="I442" s="2"/>
      <c r="K442" s="2"/>
    </row>
    <row r="443" ht="12.0" customHeight="1">
      <c r="B443" s="1"/>
      <c r="I443" s="2"/>
      <c r="K443" s="2"/>
    </row>
    <row r="444" ht="12.0" customHeight="1">
      <c r="B444" s="1"/>
      <c r="I444" s="2"/>
      <c r="K444" s="2"/>
    </row>
    <row r="445" ht="12.0" customHeight="1">
      <c r="B445" s="1"/>
      <c r="I445" s="2"/>
      <c r="K445" s="2"/>
    </row>
    <row r="446" ht="12.0" customHeight="1">
      <c r="B446" s="1"/>
      <c r="I446" s="2"/>
      <c r="K446" s="2"/>
    </row>
    <row r="447" ht="12.0" customHeight="1">
      <c r="B447" s="1"/>
      <c r="I447" s="2"/>
      <c r="K447" s="2"/>
    </row>
    <row r="448" ht="12.0" customHeight="1">
      <c r="B448" s="1"/>
      <c r="I448" s="2"/>
      <c r="K448" s="2"/>
    </row>
    <row r="449" ht="12.0" customHeight="1">
      <c r="B449" s="1"/>
      <c r="I449" s="2"/>
      <c r="K449" s="2"/>
    </row>
    <row r="450" ht="12.0" customHeight="1">
      <c r="B450" s="1"/>
      <c r="I450" s="2"/>
      <c r="K450" s="2"/>
    </row>
    <row r="451" ht="12.0" customHeight="1">
      <c r="B451" s="1"/>
      <c r="I451" s="2"/>
      <c r="K451" s="2"/>
    </row>
    <row r="452" ht="12.0" customHeight="1">
      <c r="B452" s="1"/>
      <c r="I452" s="2"/>
      <c r="K452" s="2"/>
    </row>
    <row r="453" ht="12.0" customHeight="1">
      <c r="B453" s="1"/>
      <c r="I453" s="2"/>
      <c r="K453" s="2"/>
    </row>
    <row r="454" ht="12.0" customHeight="1">
      <c r="B454" s="1"/>
      <c r="I454" s="2"/>
      <c r="K454" s="2"/>
    </row>
    <row r="455" ht="12.0" customHeight="1">
      <c r="B455" s="1"/>
      <c r="I455" s="2"/>
      <c r="K455" s="2"/>
    </row>
    <row r="456" ht="12.0" customHeight="1">
      <c r="B456" s="1"/>
      <c r="I456" s="2"/>
      <c r="K456" s="2"/>
    </row>
    <row r="457" ht="12.0" customHeight="1">
      <c r="B457" s="1"/>
      <c r="I457" s="2"/>
      <c r="K457" s="2"/>
    </row>
    <row r="458" ht="12.0" customHeight="1">
      <c r="B458" s="1"/>
      <c r="I458" s="2"/>
      <c r="K458" s="2"/>
    </row>
    <row r="459" ht="12.0" customHeight="1">
      <c r="B459" s="1"/>
      <c r="I459" s="2"/>
      <c r="K459" s="2"/>
    </row>
    <row r="460" ht="12.0" customHeight="1">
      <c r="B460" s="1"/>
      <c r="I460" s="2"/>
      <c r="K460" s="2"/>
    </row>
    <row r="461" ht="12.0" customHeight="1">
      <c r="B461" s="1"/>
      <c r="I461" s="2"/>
      <c r="K461" s="2"/>
    </row>
    <row r="462" ht="12.0" customHeight="1">
      <c r="B462" s="1"/>
      <c r="I462" s="2"/>
      <c r="K462" s="2"/>
    </row>
    <row r="463" ht="12.0" customHeight="1">
      <c r="B463" s="1"/>
      <c r="I463" s="2"/>
      <c r="K463" s="2"/>
    </row>
    <row r="464" ht="12.0" customHeight="1">
      <c r="B464" s="1"/>
      <c r="I464" s="2"/>
      <c r="K464" s="2"/>
    </row>
    <row r="465" ht="12.0" customHeight="1">
      <c r="B465" s="1"/>
      <c r="I465" s="2"/>
      <c r="K465" s="2"/>
    </row>
    <row r="466" ht="12.0" customHeight="1">
      <c r="B466" s="1"/>
      <c r="I466" s="2"/>
      <c r="K466" s="2"/>
    </row>
    <row r="467" ht="12.0" customHeight="1">
      <c r="B467" s="1"/>
      <c r="I467" s="2"/>
      <c r="K467" s="2"/>
    </row>
    <row r="468" ht="12.0" customHeight="1">
      <c r="B468" s="1"/>
      <c r="I468" s="2"/>
      <c r="K468" s="2"/>
    </row>
    <row r="469" ht="12.0" customHeight="1">
      <c r="B469" s="1"/>
      <c r="I469" s="2"/>
      <c r="K469" s="2"/>
    </row>
    <row r="470" ht="12.0" customHeight="1">
      <c r="B470" s="1"/>
      <c r="I470" s="2"/>
      <c r="K470" s="2"/>
    </row>
    <row r="471" ht="12.0" customHeight="1">
      <c r="B471" s="1"/>
      <c r="I471" s="2"/>
      <c r="K471" s="2"/>
    </row>
    <row r="472" ht="12.0" customHeight="1">
      <c r="B472" s="1"/>
      <c r="I472" s="2"/>
      <c r="K472" s="2"/>
    </row>
    <row r="473" ht="12.0" customHeight="1">
      <c r="B473" s="1"/>
      <c r="I473" s="2"/>
      <c r="K473" s="2"/>
    </row>
    <row r="474" ht="12.0" customHeight="1">
      <c r="B474" s="1"/>
      <c r="I474" s="2"/>
      <c r="K474" s="2"/>
    </row>
    <row r="475" ht="12.0" customHeight="1">
      <c r="B475" s="1"/>
      <c r="I475" s="2"/>
      <c r="K475" s="2"/>
    </row>
    <row r="476" ht="12.0" customHeight="1">
      <c r="B476" s="1"/>
      <c r="I476" s="2"/>
      <c r="K476" s="2"/>
    </row>
    <row r="477" ht="12.0" customHeight="1">
      <c r="B477" s="1"/>
      <c r="I477" s="2"/>
      <c r="K477" s="2"/>
    </row>
    <row r="478" ht="12.0" customHeight="1">
      <c r="B478" s="1"/>
      <c r="I478" s="2"/>
      <c r="K478" s="2"/>
    </row>
    <row r="479" ht="12.0" customHeight="1">
      <c r="B479" s="1"/>
      <c r="I479" s="2"/>
      <c r="K479" s="2"/>
    </row>
    <row r="480" ht="12.0" customHeight="1">
      <c r="B480" s="1"/>
      <c r="I480" s="2"/>
      <c r="K480" s="2"/>
    </row>
    <row r="481" ht="12.0" customHeight="1">
      <c r="B481" s="1"/>
      <c r="I481" s="2"/>
      <c r="K481" s="2"/>
    </row>
    <row r="482" ht="12.0" customHeight="1">
      <c r="B482" s="1"/>
      <c r="I482" s="2"/>
      <c r="K482" s="2"/>
    </row>
    <row r="483" ht="12.0" customHeight="1">
      <c r="B483" s="1"/>
      <c r="I483" s="2"/>
      <c r="K483" s="2"/>
    </row>
    <row r="484" ht="12.0" customHeight="1">
      <c r="B484" s="1"/>
      <c r="I484" s="2"/>
      <c r="K484" s="2"/>
    </row>
    <row r="485" ht="12.0" customHeight="1">
      <c r="B485" s="1"/>
      <c r="I485" s="2"/>
      <c r="K485" s="2"/>
    </row>
    <row r="486" ht="12.0" customHeight="1">
      <c r="B486" s="1"/>
      <c r="I486" s="2"/>
      <c r="K486" s="2"/>
    </row>
    <row r="487" ht="12.0" customHeight="1">
      <c r="B487" s="1"/>
      <c r="I487" s="2"/>
      <c r="K487" s="2"/>
    </row>
    <row r="488" ht="12.0" customHeight="1">
      <c r="B488" s="1"/>
      <c r="I488" s="2"/>
      <c r="K488" s="2"/>
    </row>
    <row r="489" ht="12.0" customHeight="1">
      <c r="B489" s="1"/>
      <c r="I489" s="2"/>
      <c r="K489" s="2"/>
    </row>
    <row r="490" ht="12.0" customHeight="1">
      <c r="B490" s="1"/>
      <c r="I490" s="2"/>
      <c r="K490" s="2"/>
    </row>
    <row r="491" ht="12.0" customHeight="1">
      <c r="B491" s="1"/>
      <c r="I491" s="2"/>
      <c r="K491" s="2"/>
    </row>
    <row r="492" ht="12.0" customHeight="1">
      <c r="B492" s="1"/>
      <c r="I492" s="2"/>
      <c r="K492" s="2"/>
    </row>
    <row r="493" ht="12.0" customHeight="1">
      <c r="B493" s="1"/>
      <c r="I493" s="2"/>
      <c r="K493" s="2"/>
    </row>
    <row r="494" ht="12.0" customHeight="1">
      <c r="B494" s="1"/>
      <c r="I494" s="2"/>
      <c r="K494" s="2"/>
    </row>
    <row r="495" ht="12.0" customHeight="1">
      <c r="B495" s="1"/>
      <c r="I495" s="2"/>
      <c r="K495" s="2"/>
    </row>
    <row r="496" ht="12.0" customHeight="1">
      <c r="B496" s="1"/>
      <c r="I496" s="2"/>
      <c r="K496" s="2"/>
    </row>
    <row r="497" ht="12.0" customHeight="1">
      <c r="B497" s="1"/>
      <c r="I497" s="2"/>
      <c r="K497" s="2"/>
    </row>
    <row r="498" ht="12.0" customHeight="1">
      <c r="B498" s="1"/>
      <c r="I498" s="2"/>
      <c r="K498" s="2"/>
    </row>
    <row r="499" ht="12.0" customHeight="1">
      <c r="B499" s="1"/>
      <c r="I499" s="2"/>
      <c r="K499" s="2"/>
    </row>
    <row r="500" ht="12.0" customHeight="1">
      <c r="B500" s="1"/>
      <c r="I500" s="2"/>
      <c r="K500" s="2"/>
    </row>
    <row r="501" ht="12.0" customHeight="1">
      <c r="B501" s="1"/>
      <c r="I501" s="2"/>
      <c r="K501" s="2"/>
    </row>
    <row r="502" ht="12.0" customHeight="1">
      <c r="B502" s="1"/>
      <c r="I502" s="2"/>
      <c r="K502" s="2"/>
    </row>
    <row r="503" ht="12.0" customHeight="1">
      <c r="B503" s="1"/>
      <c r="I503" s="2"/>
      <c r="K503" s="2"/>
    </row>
    <row r="504" ht="12.0" customHeight="1">
      <c r="B504" s="1"/>
      <c r="I504" s="2"/>
      <c r="K504" s="2"/>
    </row>
    <row r="505" ht="12.0" customHeight="1">
      <c r="B505" s="1"/>
      <c r="I505" s="2"/>
      <c r="K505" s="2"/>
    </row>
    <row r="506" ht="12.0" customHeight="1">
      <c r="B506" s="1"/>
      <c r="I506" s="2"/>
      <c r="K506" s="2"/>
    </row>
    <row r="507" ht="12.0" customHeight="1">
      <c r="B507" s="1"/>
      <c r="I507" s="2"/>
      <c r="K507" s="2"/>
    </row>
    <row r="508" ht="12.0" customHeight="1">
      <c r="B508" s="1"/>
      <c r="I508" s="2"/>
      <c r="K508" s="2"/>
    </row>
    <row r="509" ht="12.0" customHeight="1">
      <c r="B509" s="1"/>
      <c r="I509" s="2"/>
      <c r="K509" s="2"/>
    </row>
    <row r="510" ht="12.0" customHeight="1">
      <c r="B510" s="1"/>
      <c r="I510" s="2"/>
      <c r="K510" s="2"/>
    </row>
    <row r="511" ht="12.0" customHeight="1">
      <c r="B511" s="1"/>
      <c r="I511" s="2"/>
      <c r="K511" s="2"/>
    </row>
    <row r="512" ht="12.0" customHeight="1">
      <c r="B512" s="1"/>
      <c r="I512" s="2"/>
      <c r="K512" s="2"/>
    </row>
    <row r="513" ht="12.0" customHeight="1">
      <c r="B513" s="1"/>
      <c r="I513" s="2"/>
      <c r="K513" s="2"/>
    </row>
    <row r="514" ht="12.0" customHeight="1">
      <c r="B514" s="1"/>
      <c r="I514" s="2"/>
      <c r="K514" s="2"/>
    </row>
    <row r="515" ht="12.0" customHeight="1">
      <c r="B515" s="1"/>
      <c r="I515" s="2"/>
      <c r="K515" s="2"/>
    </row>
    <row r="516" ht="12.0" customHeight="1">
      <c r="B516" s="1"/>
      <c r="I516" s="2"/>
      <c r="K516" s="2"/>
    </row>
    <row r="517" ht="12.0" customHeight="1">
      <c r="B517" s="1"/>
      <c r="I517" s="2"/>
      <c r="K517" s="2"/>
    </row>
    <row r="518" ht="12.0" customHeight="1">
      <c r="B518" s="1"/>
      <c r="I518" s="2"/>
      <c r="K518" s="2"/>
    </row>
    <row r="519" ht="12.0" customHeight="1">
      <c r="B519" s="1"/>
      <c r="I519" s="2"/>
      <c r="K519" s="2"/>
    </row>
    <row r="520" ht="12.0" customHeight="1">
      <c r="B520" s="1"/>
      <c r="I520" s="2"/>
      <c r="K520" s="2"/>
    </row>
    <row r="521" ht="12.0" customHeight="1">
      <c r="B521" s="1"/>
      <c r="I521" s="2"/>
      <c r="K521" s="2"/>
    </row>
    <row r="522" ht="12.0" customHeight="1">
      <c r="B522" s="1"/>
      <c r="I522" s="2"/>
      <c r="K522" s="2"/>
    </row>
    <row r="523" ht="12.0" customHeight="1">
      <c r="B523" s="1"/>
      <c r="I523" s="2"/>
      <c r="K523" s="2"/>
    </row>
    <row r="524" ht="12.0" customHeight="1">
      <c r="B524" s="1"/>
      <c r="I524" s="2"/>
      <c r="K524" s="2"/>
    </row>
    <row r="525" ht="12.0" customHeight="1">
      <c r="B525" s="1"/>
      <c r="I525" s="2"/>
      <c r="K525" s="2"/>
    </row>
    <row r="526" ht="12.0" customHeight="1">
      <c r="B526" s="1"/>
      <c r="I526" s="2"/>
      <c r="K526" s="2"/>
    </row>
    <row r="527" ht="12.0" customHeight="1">
      <c r="B527" s="1"/>
      <c r="I527" s="2"/>
      <c r="K527" s="2"/>
    </row>
    <row r="528" ht="12.0" customHeight="1">
      <c r="B528" s="1"/>
      <c r="I528" s="2"/>
      <c r="K528" s="2"/>
    </row>
    <row r="529" ht="12.0" customHeight="1">
      <c r="B529" s="1"/>
      <c r="I529" s="2"/>
      <c r="K529" s="2"/>
    </row>
    <row r="530" ht="12.0" customHeight="1">
      <c r="B530" s="1"/>
      <c r="I530" s="2"/>
      <c r="K530" s="2"/>
    </row>
    <row r="531" ht="12.0" customHeight="1">
      <c r="B531" s="1"/>
      <c r="I531" s="2"/>
      <c r="K531" s="2"/>
    </row>
    <row r="532" ht="12.0" customHeight="1">
      <c r="B532" s="1"/>
      <c r="I532" s="2"/>
      <c r="K532" s="2"/>
    </row>
    <row r="533" ht="12.0" customHeight="1">
      <c r="B533" s="1"/>
      <c r="I533" s="2"/>
      <c r="K533" s="2"/>
    </row>
    <row r="534" ht="12.0" customHeight="1">
      <c r="B534" s="1"/>
      <c r="I534" s="2"/>
      <c r="K534" s="2"/>
    </row>
    <row r="535" ht="12.0" customHeight="1">
      <c r="B535" s="1"/>
      <c r="I535" s="2"/>
      <c r="K535" s="2"/>
    </row>
    <row r="536" ht="12.0" customHeight="1">
      <c r="B536" s="1"/>
      <c r="I536" s="2"/>
      <c r="K536" s="2"/>
    </row>
    <row r="537" ht="12.0" customHeight="1">
      <c r="B537" s="1"/>
      <c r="I537" s="2"/>
      <c r="K537" s="2"/>
    </row>
    <row r="538" ht="12.0" customHeight="1">
      <c r="B538" s="1"/>
      <c r="I538" s="2"/>
      <c r="K538" s="2"/>
    </row>
    <row r="539" ht="12.0" customHeight="1">
      <c r="B539" s="1"/>
      <c r="I539" s="2"/>
      <c r="K539" s="2"/>
    </row>
    <row r="540" ht="12.0" customHeight="1">
      <c r="B540" s="1"/>
      <c r="I540" s="2"/>
      <c r="K540" s="2"/>
    </row>
    <row r="541" ht="12.0" customHeight="1">
      <c r="B541" s="1"/>
      <c r="I541" s="2"/>
      <c r="K541" s="2"/>
    </row>
    <row r="542" ht="12.0" customHeight="1">
      <c r="B542" s="1"/>
      <c r="I542" s="2"/>
      <c r="K542" s="2"/>
    </row>
    <row r="543" ht="12.0" customHeight="1">
      <c r="B543" s="1"/>
      <c r="I543" s="2"/>
      <c r="K543" s="2"/>
    </row>
    <row r="544" ht="12.0" customHeight="1">
      <c r="B544" s="1"/>
      <c r="I544" s="2"/>
      <c r="K544" s="2"/>
    </row>
    <row r="545" ht="12.0" customHeight="1">
      <c r="B545" s="1"/>
      <c r="I545" s="2"/>
      <c r="K545" s="2"/>
    </row>
    <row r="546" ht="12.0" customHeight="1">
      <c r="B546" s="1"/>
      <c r="I546" s="2"/>
      <c r="K546" s="2"/>
    </row>
    <row r="547" ht="12.0" customHeight="1">
      <c r="B547" s="1"/>
      <c r="I547" s="2"/>
      <c r="K547" s="2"/>
    </row>
    <row r="548" ht="12.0" customHeight="1">
      <c r="B548" s="1"/>
      <c r="I548" s="2"/>
      <c r="K548" s="2"/>
    </row>
    <row r="549" ht="12.0" customHeight="1">
      <c r="B549" s="1"/>
      <c r="I549" s="2"/>
      <c r="K549" s="2"/>
    </row>
    <row r="550" ht="12.0" customHeight="1">
      <c r="B550" s="1"/>
      <c r="I550" s="2"/>
      <c r="K550" s="2"/>
    </row>
    <row r="551" ht="12.0" customHeight="1">
      <c r="B551" s="1"/>
      <c r="I551" s="2"/>
      <c r="K551" s="2"/>
    </row>
    <row r="552" ht="12.0" customHeight="1">
      <c r="B552" s="1"/>
      <c r="I552" s="2"/>
      <c r="K552" s="2"/>
    </row>
    <row r="553" ht="12.0" customHeight="1">
      <c r="B553" s="1"/>
      <c r="I553" s="2"/>
      <c r="K553" s="2"/>
    </row>
    <row r="554" ht="12.0" customHeight="1">
      <c r="B554" s="1"/>
      <c r="I554" s="2"/>
      <c r="K554" s="2"/>
    </row>
    <row r="555" ht="12.0" customHeight="1">
      <c r="B555" s="1"/>
      <c r="I555" s="2"/>
      <c r="K555" s="2"/>
    </row>
    <row r="556" ht="12.0" customHeight="1">
      <c r="B556" s="1"/>
      <c r="I556" s="2"/>
      <c r="K556" s="2"/>
    </row>
    <row r="557" ht="12.0" customHeight="1">
      <c r="B557" s="1"/>
      <c r="I557" s="2"/>
      <c r="K557" s="2"/>
    </row>
    <row r="558" ht="12.0" customHeight="1">
      <c r="B558" s="1"/>
      <c r="I558" s="2"/>
      <c r="K558" s="2"/>
    </row>
    <row r="559" ht="12.0" customHeight="1">
      <c r="B559" s="1"/>
      <c r="I559" s="2"/>
      <c r="K559" s="2"/>
    </row>
    <row r="560" ht="12.0" customHeight="1">
      <c r="B560" s="1"/>
      <c r="I560" s="2"/>
      <c r="K560" s="2"/>
    </row>
    <row r="561" ht="12.0" customHeight="1">
      <c r="B561" s="1"/>
      <c r="I561" s="2"/>
      <c r="K561" s="2"/>
    </row>
    <row r="562" ht="12.0" customHeight="1">
      <c r="B562" s="1"/>
      <c r="I562" s="2"/>
      <c r="K562" s="2"/>
    </row>
    <row r="563" ht="12.0" customHeight="1">
      <c r="B563" s="1"/>
      <c r="I563" s="2"/>
      <c r="K563" s="2"/>
    </row>
    <row r="564" ht="12.0" customHeight="1">
      <c r="B564" s="1"/>
      <c r="I564" s="2"/>
      <c r="K564" s="2"/>
    </row>
    <row r="565" ht="12.0" customHeight="1">
      <c r="B565" s="1"/>
      <c r="I565" s="2"/>
      <c r="K565" s="2"/>
    </row>
    <row r="566" ht="12.0" customHeight="1">
      <c r="B566" s="1"/>
      <c r="I566" s="2"/>
      <c r="K566" s="2"/>
    </row>
    <row r="567" ht="12.0" customHeight="1">
      <c r="B567" s="1"/>
      <c r="I567" s="2"/>
      <c r="K567" s="2"/>
    </row>
    <row r="568" ht="12.0" customHeight="1">
      <c r="B568" s="1"/>
      <c r="I568" s="2"/>
      <c r="K568" s="2"/>
    </row>
    <row r="569" ht="12.0" customHeight="1">
      <c r="B569" s="1"/>
      <c r="I569" s="2"/>
      <c r="K569" s="2"/>
    </row>
    <row r="570" ht="12.0" customHeight="1">
      <c r="B570" s="1"/>
      <c r="I570" s="2"/>
      <c r="K570" s="2"/>
    </row>
    <row r="571" ht="12.0" customHeight="1">
      <c r="B571" s="1"/>
      <c r="I571" s="2"/>
      <c r="K571" s="2"/>
    </row>
    <row r="572" ht="12.0" customHeight="1">
      <c r="B572" s="1"/>
      <c r="I572" s="2"/>
      <c r="K572" s="2"/>
    </row>
    <row r="573" ht="12.0" customHeight="1">
      <c r="B573" s="1"/>
      <c r="I573" s="2"/>
      <c r="K573" s="2"/>
    </row>
    <row r="574" ht="12.0" customHeight="1">
      <c r="B574" s="1"/>
      <c r="I574" s="2"/>
      <c r="K574" s="2"/>
    </row>
    <row r="575" ht="12.0" customHeight="1">
      <c r="B575" s="1"/>
      <c r="I575" s="2"/>
      <c r="K575" s="2"/>
    </row>
    <row r="576" ht="12.0" customHeight="1">
      <c r="B576" s="1"/>
      <c r="I576" s="2"/>
      <c r="K576" s="2"/>
    </row>
    <row r="577" ht="12.0" customHeight="1">
      <c r="B577" s="1"/>
      <c r="I577" s="2"/>
      <c r="K577" s="2"/>
    </row>
    <row r="578" ht="12.0" customHeight="1">
      <c r="B578" s="1"/>
      <c r="I578" s="2"/>
      <c r="K578" s="2"/>
    </row>
    <row r="579" ht="12.0" customHeight="1">
      <c r="B579" s="1"/>
      <c r="I579" s="2"/>
      <c r="K579" s="2"/>
    </row>
    <row r="580" ht="12.0" customHeight="1">
      <c r="B580" s="1"/>
      <c r="I580" s="2"/>
      <c r="K580" s="2"/>
    </row>
    <row r="581" ht="12.0" customHeight="1">
      <c r="B581" s="1"/>
      <c r="I581" s="2"/>
      <c r="K581" s="2"/>
    </row>
    <row r="582" ht="12.0" customHeight="1">
      <c r="B582" s="1"/>
      <c r="I582" s="2"/>
      <c r="K582" s="2"/>
    </row>
    <row r="583" ht="12.0" customHeight="1">
      <c r="B583" s="1"/>
      <c r="I583" s="2"/>
      <c r="K583" s="2"/>
    </row>
    <row r="584" ht="12.0" customHeight="1">
      <c r="B584" s="1"/>
      <c r="I584" s="2"/>
      <c r="K584" s="2"/>
    </row>
    <row r="585" ht="12.0" customHeight="1">
      <c r="B585" s="1"/>
      <c r="I585" s="2"/>
      <c r="K585" s="2"/>
    </row>
    <row r="586" ht="12.0" customHeight="1">
      <c r="B586" s="1"/>
      <c r="I586" s="2"/>
      <c r="K586" s="2"/>
    </row>
    <row r="587" ht="12.0" customHeight="1">
      <c r="B587" s="1"/>
      <c r="I587" s="2"/>
      <c r="K587" s="2"/>
    </row>
    <row r="588" ht="12.0" customHeight="1">
      <c r="B588" s="1"/>
      <c r="I588" s="2"/>
      <c r="K588" s="2"/>
    </row>
    <row r="589" ht="12.0" customHeight="1">
      <c r="B589" s="1"/>
      <c r="I589" s="2"/>
      <c r="K589" s="2"/>
    </row>
    <row r="590" ht="12.0" customHeight="1">
      <c r="B590" s="1"/>
      <c r="I590" s="2"/>
      <c r="K590" s="2"/>
    </row>
    <row r="591" ht="12.0" customHeight="1">
      <c r="B591" s="1"/>
      <c r="I591" s="2"/>
      <c r="K591" s="2"/>
    </row>
    <row r="592" ht="12.0" customHeight="1">
      <c r="B592" s="1"/>
      <c r="I592" s="2"/>
      <c r="K592" s="2"/>
    </row>
    <row r="593" ht="12.0" customHeight="1">
      <c r="B593" s="1"/>
      <c r="I593" s="2"/>
      <c r="K593" s="2"/>
    </row>
    <row r="594" ht="12.0" customHeight="1">
      <c r="B594" s="1"/>
      <c r="I594" s="2"/>
      <c r="K594" s="2"/>
    </row>
    <row r="595" ht="12.0" customHeight="1">
      <c r="B595" s="1"/>
      <c r="I595" s="2"/>
      <c r="K595" s="2"/>
    </row>
    <row r="596" ht="12.0" customHeight="1">
      <c r="B596" s="1"/>
      <c r="I596" s="2"/>
      <c r="K596" s="2"/>
    </row>
    <row r="597" ht="12.0" customHeight="1">
      <c r="B597" s="1"/>
      <c r="I597" s="2"/>
      <c r="K597" s="2"/>
    </row>
    <row r="598" ht="12.0" customHeight="1">
      <c r="B598" s="1"/>
      <c r="I598" s="2"/>
      <c r="K598" s="2"/>
    </row>
    <row r="599" ht="12.0" customHeight="1">
      <c r="B599" s="1"/>
      <c r="I599" s="2"/>
      <c r="K599" s="2"/>
    </row>
    <row r="600" ht="12.0" customHeight="1">
      <c r="B600" s="1"/>
      <c r="I600" s="2"/>
      <c r="K600" s="2"/>
    </row>
    <row r="601" ht="12.0" customHeight="1">
      <c r="B601" s="1"/>
      <c r="I601" s="2"/>
      <c r="K601" s="2"/>
    </row>
    <row r="602" ht="12.0" customHeight="1">
      <c r="B602" s="1"/>
      <c r="I602" s="2"/>
      <c r="K602" s="2"/>
    </row>
    <row r="603" ht="12.0" customHeight="1">
      <c r="B603" s="1"/>
      <c r="I603" s="2"/>
      <c r="K603" s="2"/>
    </row>
    <row r="604" ht="12.0" customHeight="1">
      <c r="B604" s="1"/>
      <c r="I604" s="2"/>
      <c r="K604" s="2"/>
    </row>
    <row r="605" ht="12.0" customHeight="1">
      <c r="B605" s="1"/>
      <c r="I605" s="2"/>
      <c r="K605" s="2"/>
    </row>
    <row r="606" ht="12.0" customHeight="1">
      <c r="B606" s="1"/>
      <c r="I606" s="2"/>
      <c r="K606" s="2"/>
    </row>
    <row r="607" ht="12.0" customHeight="1">
      <c r="B607" s="1"/>
      <c r="I607" s="2"/>
      <c r="K607" s="2"/>
    </row>
    <row r="608" ht="12.0" customHeight="1">
      <c r="B608" s="1"/>
      <c r="I608" s="2"/>
      <c r="K608" s="2"/>
    </row>
    <row r="609" ht="12.0" customHeight="1">
      <c r="B609" s="1"/>
      <c r="I609" s="2"/>
      <c r="K609" s="2"/>
    </row>
    <row r="610" ht="12.0" customHeight="1">
      <c r="B610" s="1"/>
      <c r="I610" s="2"/>
      <c r="K610" s="2"/>
    </row>
    <row r="611" ht="12.0" customHeight="1">
      <c r="B611" s="1"/>
      <c r="I611" s="2"/>
      <c r="K611" s="2"/>
    </row>
    <row r="612" ht="12.0" customHeight="1">
      <c r="B612" s="1"/>
      <c r="I612" s="2"/>
      <c r="K612" s="2"/>
    </row>
    <row r="613" ht="12.0" customHeight="1">
      <c r="B613" s="1"/>
      <c r="I613" s="2"/>
      <c r="K613" s="2"/>
    </row>
    <row r="614" ht="12.0" customHeight="1">
      <c r="B614" s="1"/>
      <c r="I614" s="2"/>
      <c r="K614" s="2"/>
    </row>
    <row r="615" ht="12.0" customHeight="1">
      <c r="B615" s="1"/>
      <c r="I615" s="2"/>
      <c r="K615" s="2"/>
    </row>
    <row r="616" ht="12.0" customHeight="1">
      <c r="B616" s="1"/>
      <c r="I616" s="2"/>
      <c r="K616" s="2"/>
    </row>
    <row r="617" ht="12.0" customHeight="1">
      <c r="B617" s="1"/>
      <c r="I617" s="2"/>
      <c r="K617" s="2"/>
    </row>
    <row r="618" ht="12.0" customHeight="1">
      <c r="B618" s="1"/>
      <c r="I618" s="2"/>
      <c r="K618" s="2"/>
    </row>
    <row r="619" ht="12.0" customHeight="1">
      <c r="B619" s="1"/>
      <c r="I619" s="2"/>
      <c r="K619" s="2"/>
    </row>
    <row r="620" ht="12.0" customHeight="1">
      <c r="B620" s="1"/>
      <c r="I620" s="2"/>
      <c r="K620" s="2"/>
    </row>
    <row r="621" ht="12.0" customHeight="1">
      <c r="B621" s="1"/>
      <c r="I621" s="2"/>
      <c r="K621" s="2"/>
    </row>
    <row r="622" ht="12.0" customHeight="1">
      <c r="B622" s="1"/>
      <c r="I622" s="2"/>
      <c r="K622" s="2"/>
    </row>
    <row r="623" ht="12.0" customHeight="1">
      <c r="B623" s="1"/>
      <c r="I623" s="2"/>
      <c r="K623" s="2"/>
    </row>
    <row r="624" ht="12.0" customHeight="1">
      <c r="B624" s="1"/>
      <c r="I624" s="2"/>
      <c r="K624" s="2"/>
    </row>
    <row r="625" ht="12.0" customHeight="1">
      <c r="B625" s="1"/>
      <c r="I625" s="2"/>
      <c r="K625" s="2"/>
    </row>
    <row r="626" ht="12.0" customHeight="1">
      <c r="B626" s="1"/>
      <c r="I626" s="2"/>
      <c r="K626" s="2"/>
    </row>
    <row r="627" ht="12.0" customHeight="1">
      <c r="B627" s="1"/>
      <c r="I627" s="2"/>
      <c r="K627" s="2"/>
    </row>
    <row r="628" ht="12.0" customHeight="1">
      <c r="B628" s="1"/>
      <c r="I628" s="2"/>
      <c r="K628" s="2"/>
    </row>
    <row r="629" ht="12.0" customHeight="1">
      <c r="B629" s="1"/>
      <c r="I629" s="2"/>
      <c r="K629" s="2"/>
    </row>
    <row r="630" ht="12.0" customHeight="1">
      <c r="B630" s="1"/>
      <c r="I630" s="2"/>
      <c r="K630" s="2"/>
    </row>
    <row r="631" ht="12.0" customHeight="1">
      <c r="B631" s="1"/>
      <c r="I631" s="2"/>
      <c r="K631" s="2"/>
    </row>
    <row r="632" ht="12.0" customHeight="1">
      <c r="B632" s="1"/>
      <c r="I632" s="2"/>
      <c r="K632" s="2"/>
    </row>
    <row r="633" ht="12.0" customHeight="1">
      <c r="B633" s="1"/>
      <c r="I633" s="2"/>
      <c r="K633" s="2"/>
    </row>
    <row r="634" ht="12.0" customHeight="1">
      <c r="B634" s="1"/>
      <c r="I634" s="2"/>
      <c r="K634" s="2"/>
    </row>
    <row r="635" ht="12.0" customHeight="1">
      <c r="B635" s="1"/>
      <c r="I635" s="2"/>
      <c r="K635" s="2"/>
    </row>
    <row r="636" ht="12.0" customHeight="1">
      <c r="B636" s="1"/>
      <c r="I636" s="2"/>
      <c r="K636" s="2"/>
    </row>
    <row r="637" ht="12.0" customHeight="1">
      <c r="B637" s="1"/>
      <c r="I637" s="2"/>
      <c r="K637" s="2"/>
    </row>
    <row r="638" ht="12.0" customHeight="1">
      <c r="B638" s="1"/>
      <c r="I638" s="2"/>
      <c r="K638" s="2"/>
    </row>
    <row r="639" ht="12.0" customHeight="1">
      <c r="B639" s="1"/>
      <c r="I639" s="2"/>
      <c r="K639" s="2"/>
    </row>
    <row r="640" ht="12.0" customHeight="1">
      <c r="B640" s="1"/>
      <c r="I640" s="2"/>
      <c r="K640" s="2"/>
    </row>
    <row r="641" ht="12.0" customHeight="1">
      <c r="B641" s="1"/>
      <c r="I641" s="2"/>
      <c r="K641" s="2"/>
    </row>
    <row r="642" ht="12.0" customHeight="1">
      <c r="B642" s="1"/>
      <c r="I642" s="2"/>
      <c r="K642" s="2"/>
    </row>
    <row r="643" ht="12.0" customHeight="1">
      <c r="B643" s="1"/>
      <c r="I643" s="2"/>
      <c r="K643" s="2"/>
    </row>
    <row r="644" ht="12.0" customHeight="1">
      <c r="B644" s="1"/>
      <c r="I644" s="2"/>
      <c r="K644" s="2"/>
    </row>
    <row r="645" ht="12.0" customHeight="1">
      <c r="B645" s="1"/>
      <c r="I645" s="2"/>
      <c r="K645" s="2"/>
    </row>
    <row r="646" ht="12.0" customHeight="1">
      <c r="B646" s="1"/>
      <c r="I646" s="2"/>
      <c r="K646" s="2"/>
    </row>
    <row r="647" ht="12.0" customHeight="1">
      <c r="B647" s="1"/>
      <c r="I647" s="2"/>
      <c r="K647" s="2"/>
    </row>
    <row r="648" ht="12.0" customHeight="1">
      <c r="B648" s="1"/>
      <c r="I648" s="2"/>
      <c r="K648" s="2"/>
    </row>
    <row r="649" ht="12.0" customHeight="1">
      <c r="B649" s="1"/>
      <c r="I649" s="2"/>
      <c r="K649" s="2"/>
    </row>
    <row r="650" ht="12.0" customHeight="1">
      <c r="B650" s="1"/>
      <c r="I650" s="2"/>
      <c r="K650" s="2"/>
    </row>
    <row r="651" ht="12.0" customHeight="1">
      <c r="B651" s="1"/>
      <c r="I651" s="2"/>
      <c r="K651" s="2"/>
    </row>
    <row r="652" ht="12.0" customHeight="1">
      <c r="B652" s="1"/>
      <c r="I652" s="2"/>
      <c r="K652" s="2"/>
    </row>
    <row r="653" ht="12.0" customHeight="1">
      <c r="B653" s="1"/>
      <c r="I653" s="2"/>
      <c r="K653" s="2"/>
    </row>
    <row r="654" ht="12.0" customHeight="1">
      <c r="B654" s="1"/>
      <c r="I654" s="2"/>
      <c r="K654" s="2"/>
    </row>
    <row r="655" ht="12.0" customHeight="1">
      <c r="B655" s="1"/>
      <c r="I655" s="2"/>
      <c r="K655" s="2"/>
    </row>
    <row r="656" ht="12.0" customHeight="1">
      <c r="B656" s="1"/>
      <c r="I656" s="2"/>
      <c r="K656" s="2"/>
    </row>
    <row r="657" ht="12.0" customHeight="1">
      <c r="B657" s="1"/>
      <c r="I657" s="2"/>
      <c r="K657" s="2"/>
    </row>
    <row r="658" ht="12.0" customHeight="1">
      <c r="B658" s="1"/>
      <c r="I658" s="2"/>
      <c r="K658" s="2"/>
    </row>
    <row r="659" ht="12.0" customHeight="1">
      <c r="B659" s="1"/>
      <c r="I659" s="2"/>
      <c r="K659" s="2"/>
    </row>
    <row r="660" ht="12.0" customHeight="1">
      <c r="B660" s="1"/>
      <c r="I660" s="2"/>
      <c r="K660" s="2"/>
    </row>
    <row r="661" ht="12.0" customHeight="1">
      <c r="B661" s="1"/>
      <c r="I661" s="2"/>
      <c r="K661" s="2"/>
    </row>
    <row r="662" ht="12.0" customHeight="1">
      <c r="B662" s="1"/>
      <c r="I662" s="2"/>
      <c r="K662" s="2"/>
    </row>
    <row r="663" ht="12.0" customHeight="1">
      <c r="B663" s="1"/>
      <c r="I663" s="2"/>
      <c r="K663" s="2"/>
    </row>
    <row r="664" ht="12.0" customHeight="1">
      <c r="B664" s="1"/>
      <c r="I664" s="2"/>
      <c r="K664" s="2"/>
    </row>
    <row r="665" ht="12.0" customHeight="1">
      <c r="B665" s="1"/>
      <c r="I665" s="2"/>
      <c r="K665" s="2"/>
    </row>
    <row r="666" ht="12.0" customHeight="1">
      <c r="B666" s="1"/>
      <c r="I666" s="2"/>
      <c r="K666" s="2"/>
    </row>
    <row r="667" ht="12.0" customHeight="1">
      <c r="B667" s="1"/>
      <c r="I667" s="2"/>
      <c r="K667" s="2"/>
    </row>
    <row r="668" ht="12.0" customHeight="1">
      <c r="B668" s="1"/>
      <c r="I668" s="2"/>
      <c r="K668" s="2"/>
    </row>
    <row r="669" ht="12.0" customHeight="1">
      <c r="B669" s="1"/>
      <c r="I669" s="2"/>
      <c r="K669" s="2"/>
    </row>
    <row r="670" ht="12.0" customHeight="1">
      <c r="B670" s="1"/>
      <c r="I670" s="2"/>
      <c r="K670" s="2"/>
    </row>
    <row r="671" ht="12.0" customHeight="1">
      <c r="B671" s="1"/>
      <c r="I671" s="2"/>
      <c r="K671" s="2"/>
    </row>
    <row r="672" ht="12.0" customHeight="1">
      <c r="B672" s="1"/>
      <c r="I672" s="2"/>
      <c r="K672" s="2"/>
    </row>
    <row r="673" ht="12.0" customHeight="1">
      <c r="B673" s="1"/>
      <c r="I673" s="2"/>
      <c r="K673" s="2"/>
    </row>
    <row r="674" ht="12.0" customHeight="1">
      <c r="B674" s="1"/>
      <c r="I674" s="2"/>
      <c r="K674" s="2"/>
    </row>
    <row r="675" ht="12.0" customHeight="1">
      <c r="B675" s="1"/>
      <c r="I675" s="2"/>
      <c r="K675" s="2"/>
    </row>
    <row r="676" ht="12.0" customHeight="1">
      <c r="B676" s="1"/>
      <c r="I676" s="2"/>
      <c r="K676" s="2"/>
    </row>
    <row r="677" ht="12.0" customHeight="1">
      <c r="B677" s="1"/>
      <c r="I677" s="2"/>
      <c r="K677" s="2"/>
    </row>
    <row r="678" ht="12.0" customHeight="1">
      <c r="B678" s="1"/>
      <c r="I678" s="2"/>
      <c r="K678" s="2"/>
    </row>
    <row r="679" ht="12.0" customHeight="1">
      <c r="B679" s="1"/>
      <c r="I679" s="2"/>
      <c r="K679" s="2"/>
    </row>
    <row r="680" ht="12.0" customHeight="1">
      <c r="B680" s="1"/>
      <c r="I680" s="2"/>
      <c r="K680" s="2"/>
    </row>
    <row r="681" ht="12.0" customHeight="1">
      <c r="B681" s="1"/>
      <c r="I681" s="2"/>
      <c r="K681" s="2"/>
    </row>
    <row r="682" ht="12.0" customHeight="1">
      <c r="B682" s="1"/>
      <c r="I682" s="2"/>
      <c r="K682" s="2"/>
    </row>
    <row r="683" ht="12.0" customHeight="1">
      <c r="B683" s="1"/>
      <c r="I683" s="2"/>
      <c r="K683" s="2"/>
    </row>
    <row r="684" ht="12.0" customHeight="1">
      <c r="B684" s="1"/>
      <c r="I684" s="2"/>
      <c r="K684" s="2"/>
    </row>
    <row r="685" ht="12.0" customHeight="1">
      <c r="B685" s="1"/>
      <c r="I685" s="2"/>
      <c r="K685" s="2"/>
    </row>
    <row r="686" ht="12.0" customHeight="1">
      <c r="B686" s="1"/>
      <c r="I686" s="2"/>
      <c r="K686" s="2"/>
    </row>
    <row r="687" ht="12.0" customHeight="1">
      <c r="B687" s="1"/>
      <c r="I687" s="2"/>
      <c r="K687" s="2"/>
    </row>
    <row r="688" ht="12.0" customHeight="1">
      <c r="B688" s="1"/>
      <c r="I688" s="2"/>
      <c r="K688" s="2"/>
    </row>
    <row r="689" ht="12.0" customHeight="1">
      <c r="B689" s="1"/>
      <c r="I689" s="2"/>
      <c r="K689" s="2"/>
    </row>
    <row r="690" ht="12.0" customHeight="1">
      <c r="B690" s="1"/>
      <c r="I690" s="2"/>
      <c r="K690" s="2"/>
    </row>
    <row r="691" ht="12.0" customHeight="1">
      <c r="B691" s="1"/>
      <c r="I691" s="2"/>
      <c r="K691" s="2"/>
    </row>
    <row r="692" ht="12.0" customHeight="1">
      <c r="B692" s="1"/>
      <c r="I692" s="2"/>
      <c r="K692" s="2"/>
    </row>
    <row r="693" ht="12.0" customHeight="1">
      <c r="B693" s="1"/>
      <c r="I693" s="2"/>
      <c r="K693" s="2"/>
    </row>
    <row r="694" ht="12.0" customHeight="1">
      <c r="B694" s="1"/>
      <c r="I694" s="2"/>
      <c r="K694" s="2"/>
    </row>
    <row r="695" ht="12.0" customHeight="1">
      <c r="B695" s="1"/>
      <c r="I695" s="2"/>
      <c r="K695" s="2"/>
    </row>
    <row r="696" ht="12.0" customHeight="1">
      <c r="B696" s="1"/>
      <c r="I696" s="2"/>
      <c r="K696" s="2"/>
    </row>
    <row r="697" ht="12.0" customHeight="1">
      <c r="B697" s="1"/>
      <c r="I697" s="2"/>
      <c r="K697" s="2"/>
    </row>
    <row r="698" ht="12.0" customHeight="1">
      <c r="B698" s="1"/>
      <c r="I698" s="2"/>
      <c r="K698" s="2"/>
    </row>
    <row r="699" ht="12.0" customHeight="1">
      <c r="B699" s="1"/>
      <c r="I699" s="2"/>
      <c r="K699" s="2"/>
    </row>
    <row r="700" ht="12.0" customHeight="1">
      <c r="B700" s="1"/>
      <c r="I700" s="2"/>
      <c r="K700" s="2"/>
    </row>
    <row r="701" ht="12.0" customHeight="1">
      <c r="B701" s="1"/>
      <c r="I701" s="2"/>
      <c r="K701" s="2"/>
    </row>
    <row r="702" ht="12.0" customHeight="1">
      <c r="B702" s="1"/>
      <c r="I702" s="2"/>
      <c r="K702" s="2"/>
    </row>
    <row r="703" ht="12.0" customHeight="1">
      <c r="B703" s="1"/>
      <c r="I703" s="2"/>
      <c r="K703" s="2"/>
    </row>
    <row r="704" ht="12.0" customHeight="1">
      <c r="B704" s="1"/>
      <c r="I704" s="2"/>
      <c r="K704" s="2"/>
    </row>
    <row r="705" ht="12.0" customHeight="1">
      <c r="B705" s="1"/>
      <c r="I705" s="2"/>
      <c r="K705" s="2"/>
    </row>
    <row r="706" ht="12.0" customHeight="1">
      <c r="B706" s="1"/>
      <c r="I706" s="2"/>
      <c r="K706" s="2"/>
    </row>
    <row r="707" ht="12.0" customHeight="1">
      <c r="B707" s="1"/>
      <c r="I707" s="2"/>
      <c r="K707" s="2"/>
    </row>
    <row r="708" ht="12.0" customHeight="1">
      <c r="B708" s="1"/>
      <c r="I708" s="2"/>
      <c r="K708" s="2"/>
    </row>
    <row r="709" ht="12.0" customHeight="1">
      <c r="B709" s="1"/>
      <c r="I709" s="2"/>
      <c r="K709" s="2"/>
    </row>
    <row r="710" ht="12.0" customHeight="1">
      <c r="B710" s="1"/>
      <c r="I710" s="2"/>
      <c r="K710" s="2"/>
    </row>
    <row r="711" ht="12.0" customHeight="1">
      <c r="B711" s="1"/>
      <c r="I711" s="2"/>
      <c r="K711" s="2"/>
    </row>
    <row r="712" ht="12.0" customHeight="1">
      <c r="B712" s="1"/>
      <c r="I712" s="2"/>
      <c r="K712" s="2"/>
    </row>
    <row r="713" ht="12.0" customHeight="1">
      <c r="B713" s="1"/>
      <c r="I713" s="2"/>
      <c r="K713" s="2"/>
    </row>
    <row r="714" ht="12.0" customHeight="1">
      <c r="B714" s="1"/>
      <c r="I714" s="2"/>
      <c r="K714" s="2"/>
    </row>
    <row r="715" ht="12.0" customHeight="1">
      <c r="B715" s="1"/>
      <c r="I715" s="2"/>
      <c r="K715" s="2"/>
    </row>
    <row r="716" ht="12.0" customHeight="1">
      <c r="B716" s="1"/>
      <c r="I716" s="2"/>
      <c r="K716" s="2"/>
    </row>
    <row r="717" ht="12.0" customHeight="1">
      <c r="B717" s="1"/>
      <c r="I717" s="2"/>
      <c r="K717" s="2"/>
    </row>
    <row r="718" ht="12.0" customHeight="1">
      <c r="B718" s="1"/>
      <c r="I718" s="2"/>
      <c r="K718" s="2"/>
    </row>
    <row r="719" ht="12.0" customHeight="1">
      <c r="B719" s="1"/>
      <c r="I719" s="2"/>
      <c r="K719" s="2"/>
    </row>
    <row r="720" ht="12.0" customHeight="1">
      <c r="B720" s="1"/>
      <c r="I720" s="2"/>
      <c r="K720" s="2"/>
    </row>
    <row r="721" ht="12.0" customHeight="1">
      <c r="B721" s="1"/>
      <c r="I721" s="2"/>
      <c r="K721" s="2"/>
    </row>
    <row r="722" ht="12.0" customHeight="1">
      <c r="B722" s="1"/>
      <c r="I722" s="2"/>
      <c r="K722" s="2"/>
    </row>
    <row r="723" ht="12.0" customHeight="1">
      <c r="B723" s="1"/>
      <c r="I723" s="2"/>
      <c r="K723" s="2"/>
    </row>
    <row r="724" ht="12.0" customHeight="1">
      <c r="B724" s="1"/>
      <c r="I724" s="2"/>
      <c r="K724" s="2"/>
    </row>
    <row r="725" ht="12.0" customHeight="1">
      <c r="B725" s="1"/>
      <c r="I725" s="2"/>
      <c r="K725" s="2"/>
    </row>
    <row r="726" ht="12.0" customHeight="1">
      <c r="B726" s="1"/>
      <c r="I726" s="2"/>
      <c r="K726" s="2"/>
    </row>
    <row r="727" ht="12.0" customHeight="1">
      <c r="B727" s="1"/>
      <c r="I727" s="2"/>
      <c r="K727" s="2"/>
    </row>
    <row r="728" ht="12.0" customHeight="1">
      <c r="B728" s="1"/>
      <c r="I728" s="2"/>
      <c r="K728" s="2"/>
    </row>
    <row r="729" ht="12.0" customHeight="1">
      <c r="B729" s="1"/>
      <c r="I729" s="2"/>
      <c r="K729" s="2"/>
    </row>
    <row r="730" ht="12.0" customHeight="1">
      <c r="B730" s="1"/>
      <c r="I730" s="2"/>
      <c r="K730" s="2"/>
    </row>
    <row r="731" ht="12.0" customHeight="1">
      <c r="B731" s="1"/>
      <c r="I731" s="2"/>
      <c r="K731" s="2"/>
    </row>
    <row r="732" ht="12.0" customHeight="1">
      <c r="B732" s="1"/>
      <c r="I732" s="2"/>
      <c r="K732" s="2"/>
    </row>
    <row r="733" ht="12.0" customHeight="1">
      <c r="B733" s="1"/>
      <c r="I733" s="2"/>
      <c r="K733" s="2"/>
    </row>
    <row r="734" ht="12.0" customHeight="1">
      <c r="B734" s="1"/>
      <c r="I734" s="2"/>
      <c r="K734" s="2"/>
    </row>
    <row r="735" ht="12.0" customHeight="1">
      <c r="B735" s="1"/>
      <c r="I735" s="2"/>
      <c r="K735" s="2"/>
    </row>
    <row r="736" ht="12.0" customHeight="1">
      <c r="B736" s="1"/>
      <c r="I736" s="2"/>
      <c r="K736" s="2"/>
    </row>
    <row r="737" ht="12.0" customHeight="1">
      <c r="B737" s="1"/>
      <c r="I737" s="2"/>
      <c r="K737" s="2"/>
    </row>
    <row r="738" ht="12.0" customHeight="1">
      <c r="B738" s="1"/>
      <c r="I738" s="2"/>
      <c r="K738" s="2"/>
    </row>
    <row r="739" ht="12.0" customHeight="1">
      <c r="B739" s="1"/>
      <c r="I739" s="2"/>
      <c r="K739" s="2"/>
    </row>
    <row r="740" ht="12.0" customHeight="1">
      <c r="B740" s="1"/>
      <c r="I740" s="2"/>
      <c r="K740" s="2"/>
    </row>
    <row r="741" ht="12.0" customHeight="1">
      <c r="B741" s="1"/>
      <c r="I741" s="2"/>
      <c r="K741" s="2"/>
    </row>
    <row r="742" ht="12.0" customHeight="1">
      <c r="B742" s="1"/>
      <c r="I742" s="2"/>
      <c r="K742" s="2"/>
    </row>
    <row r="743" ht="12.0" customHeight="1">
      <c r="B743" s="1"/>
      <c r="I743" s="2"/>
      <c r="K743" s="2"/>
    </row>
    <row r="744" ht="12.0" customHeight="1">
      <c r="B744" s="1"/>
      <c r="I744" s="2"/>
      <c r="K744" s="2"/>
    </row>
    <row r="745" ht="12.0" customHeight="1">
      <c r="B745" s="1"/>
      <c r="I745" s="2"/>
      <c r="K745" s="2"/>
    </row>
    <row r="746" ht="12.0" customHeight="1">
      <c r="B746" s="1"/>
      <c r="I746" s="2"/>
      <c r="K746" s="2"/>
    </row>
    <row r="747" ht="12.0" customHeight="1">
      <c r="B747" s="1"/>
      <c r="I747" s="2"/>
      <c r="K747" s="2"/>
    </row>
    <row r="748" ht="12.0" customHeight="1">
      <c r="B748" s="1"/>
      <c r="I748" s="2"/>
      <c r="K748" s="2"/>
    </row>
    <row r="749" ht="12.0" customHeight="1">
      <c r="B749" s="1"/>
      <c r="I749" s="2"/>
      <c r="K749" s="2"/>
    </row>
    <row r="750" ht="12.0" customHeight="1">
      <c r="B750" s="1"/>
      <c r="I750" s="2"/>
      <c r="K750" s="2"/>
    </row>
    <row r="751" ht="12.0" customHeight="1">
      <c r="B751" s="1"/>
      <c r="I751" s="2"/>
      <c r="K751" s="2"/>
    </row>
    <row r="752" ht="12.0" customHeight="1">
      <c r="B752" s="1"/>
      <c r="I752" s="2"/>
      <c r="K752" s="2"/>
    </row>
    <row r="753" ht="12.0" customHeight="1">
      <c r="B753" s="1"/>
      <c r="I753" s="2"/>
      <c r="K753" s="2"/>
    </row>
    <row r="754" ht="12.0" customHeight="1">
      <c r="B754" s="1"/>
      <c r="I754" s="2"/>
      <c r="K754" s="2"/>
    </row>
    <row r="755" ht="12.0" customHeight="1">
      <c r="B755" s="1"/>
      <c r="I755" s="2"/>
      <c r="K755" s="2"/>
    </row>
    <row r="756" ht="12.0" customHeight="1">
      <c r="B756" s="1"/>
      <c r="I756" s="2"/>
      <c r="K756" s="2"/>
    </row>
    <row r="757" ht="12.0" customHeight="1">
      <c r="B757" s="1"/>
      <c r="I757" s="2"/>
      <c r="K757" s="2"/>
    </row>
    <row r="758" ht="12.0" customHeight="1">
      <c r="B758" s="1"/>
      <c r="I758" s="2"/>
      <c r="K758" s="2"/>
    </row>
    <row r="759" ht="12.0" customHeight="1">
      <c r="B759" s="1"/>
      <c r="I759" s="2"/>
      <c r="K759" s="2"/>
    </row>
    <row r="760" ht="12.0" customHeight="1">
      <c r="B760" s="1"/>
      <c r="I760" s="2"/>
      <c r="K760" s="2"/>
    </row>
    <row r="761" ht="12.0" customHeight="1">
      <c r="B761" s="1"/>
      <c r="I761" s="2"/>
      <c r="K761" s="2"/>
    </row>
    <row r="762" ht="12.0" customHeight="1">
      <c r="B762" s="1"/>
      <c r="I762" s="2"/>
      <c r="K762" s="2"/>
    </row>
    <row r="763" ht="12.0" customHeight="1">
      <c r="B763" s="1"/>
      <c r="I763" s="2"/>
      <c r="K763" s="2"/>
    </row>
    <row r="764" ht="12.0" customHeight="1">
      <c r="B764" s="1"/>
      <c r="I764" s="2"/>
      <c r="K764" s="2"/>
    </row>
    <row r="765" ht="12.0" customHeight="1">
      <c r="B765" s="1"/>
      <c r="I765" s="2"/>
      <c r="K765" s="2"/>
    </row>
    <row r="766" ht="12.0" customHeight="1">
      <c r="B766" s="1"/>
      <c r="I766" s="2"/>
      <c r="K766" s="2"/>
    </row>
    <row r="767" ht="12.0" customHeight="1">
      <c r="B767" s="1"/>
      <c r="I767" s="2"/>
      <c r="K767" s="2"/>
    </row>
    <row r="768" ht="12.0" customHeight="1">
      <c r="B768" s="1"/>
      <c r="I768" s="2"/>
      <c r="K768" s="2"/>
    </row>
    <row r="769" ht="12.0" customHeight="1">
      <c r="B769" s="1"/>
      <c r="I769" s="2"/>
      <c r="K769" s="2"/>
    </row>
    <row r="770" ht="12.0" customHeight="1">
      <c r="B770" s="1"/>
      <c r="I770" s="2"/>
      <c r="K770" s="2"/>
    </row>
    <row r="771" ht="12.0" customHeight="1">
      <c r="B771" s="1"/>
      <c r="I771" s="2"/>
      <c r="K771" s="2"/>
    </row>
    <row r="772" ht="12.0" customHeight="1">
      <c r="B772" s="1"/>
      <c r="I772" s="2"/>
      <c r="K772" s="2"/>
    </row>
    <row r="773" ht="12.0" customHeight="1">
      <c r="B773" s="1"/>
      <c r="I773" s="2"/>
      <c r="K773" s="2"/>
    </row>
    <row r="774" ht="12.0" customHeight="1">
      <c r="B774" s="1"/>
      <c r="I774" s="2"/>
      <c r="K774" s="2"/>
    </row>
    <row r="775" ht="12.0" customHeight="1">
      <c r="B775" s="1"/>
      <c r="I775" s="2"/>
      <c r="K775" s="2"/>
    </row>
    <row r="776" ht="12.0" customHeight="1">
      <c r="B776" s="1"/>
      <c r="I776" s="2"/>
      <c r="K776" s="2"/>
    </row>
    <row r="777" ht="12.0" customHeight="1">
      <c r="B777" s="1"/>
      <c r="I777" s="2"/>
      <c r="K777" s="2"/>
    </row>
    <row r="778" ht="12.0" customHeight="1">
      <c r="B778" s="1"/>
      <c r="I778" s="2"/>
      <c r="K778" s="2"/>
    </row>
    <row r="779" ht="12.0" customHeight="1">
      <c r="B779" s="1"/>
      <c r="I779" s="2"/>
      <c r="K779" s="2"/>
    </row>
    <row r="780" ht="12.0" customHeight="1">
      <c r="B780" s="1"/>
      <c r="I780" s="2"/>
      <c r="K780" s="2"/>
    </row>
    <row r="781" ht="12.0" customHeight="1">
      <c r="B781" s="1"/>
      <c r="I781" s="2"/>
      <c r="K781" s="2"/>
    </row>
    <row r="782" ht="12.0" customHeight="1">
      <c r="B782" s="1"/>
      <c r="I782" s="2"/>
      <c r="K782" s="2"/>
    </row>
    <row r="783" ht="12.0" customHeight="1">
      <c r="B783" s="1"/>
      <c r="I783" s="2"/>
      <c r="K783" s="2"/>
    </row>
    <row r="784" ht="12.0" customHeight="1">
      <c r="B784" s="1"/>
      <c r="I784" s="2"/>
      <c r="K784" s="2"/>
    </row>
    <row r="785" ht="12.0" customHeight="1">
      <c r="B785" s="1"/>
      <c r="I785" s="2"/>
      <c r="K785" s="2"/>
    </row>
    <row r="786" ht="12.0" customHeight="1">
      <c r="B786" s="1"/>
      <c r="I786" s="2"/>
      <c r="K786" s="2"/>
    </row>
    <row r="787" ht="12.0" customHeight="1">
      <c r="B787" s="1"/>
      <c r="I787" s="2"/>
      <c r="K787" s="2"/>
    </row>
    <row r="788" ht="12.0" customHeight="1">
      <c r="B788" s="1"/>
      <c r="I788" s="2"/>
      <c r="K788" s="2"/>
    </row>
    <row r="789" ht="12.0" customHeight="1">
      <c r="B789" s="1"/>
      <c r="I789" s="2"/>
      <c r="K789" s="2"/>
    </row>
    <row r="790" ht="12.0" customHeight="1">
      <c r="B790" s="1"/>
      <c r="I790" s="2"/>
      <c r="K790" s="2"/>
    </row>
    <row r="791" ht="12.0" customHeight="1">
      <c r="B791" s="1"/>
      <c r="I791" s="2"/>
      <c r="K791" s="2"/>
    </row>
    <row r="792" ht="12.0" customHeight="1">
      <c r="B792" s="1"/>
      <c r="I792" s="2"/>
      <c r="K792" s="2"/>
    </row>
    <row r="793" ht="12.0" customHeight="1">
      <c r="B793" s="1"/>
      <c r="I793" s="2"/>
      <c r="K793" s="2"/>
    </row>
    <row r="794" ht="12.0" customHeight="1">
      <c r="B794" s="1"/>
      <c r="I794" s="2"/>
      <c r="K794" s="2"/>
    </row>
    <row r="795" ht="12.0" customHeight="1">
      <c r="B795" s="1"/>
      <c r="I795" s="2"/>
      <c r="K795" s="2"/>
    </row>
    <row r="796" ht="12.0" customHeight="1">
      <c r="B796" s="1"/>
      <c r="I796" s="2"/>
      <c r="K796" s="2"/>
    </row>
    <row r="797" ht="12.0" customHeight="1">
      <c r="B797" s="1"/>
      <c r="I797" s="2"/>
      <c r="K797" s="2"/>
    </row>
    <row r="798" ht="12.0" customHeight="1">
      <c r="B798" s="1"/>
      <c r="I798" s="2"/>
      <c r="K798" s="2"/>
    </row>
    <row r="799" ht="12.0" customHeight="1">
      <c r="B799" s="1"/>
      <c r="I799" s="2"/>
      <c r="K799" s="2"/>
    </row>
    <row r="800" ht="12.0" customHeight="1">
      <c r="B800" s="1"/>
      <c r="I800" s="2"/>
      <c r="K800" s="2"/>
    </row>
    <row r="801" ht="12.0" customHeight="1">
      <c r="B801" s="1"/>
      <c r="I801" s="2"/>
      <c r="K801" s="2"/>
    </row>
    <row r="802" ht="12.0" customHeight="1">
      <c r="B802" s="1"/>
      <c r="I802" s="2"/>
      <c r="K802" s="2"/>
    </row>
    <row r="803" ht="12.0" customHeight="1">
      <c r="B803" s="1"/>
      <c r="I803" s="2"/>
      <c r="K803" s="2"/>
    </row>
    <row r="804" ht="12.0" customHeight="1">
      <c r="B804" s="1"/>
      <c r="I804" s="2"/>
      <c r="K804" s="2"/>
    </row>
    <row r="805" ht="12.0" customHeight="1">
      <c r="B805" s="1"/>
      <c r="I805" s="2"/>
      <c r="K805" s="2"/>
    </row>
    <row r="806" ht="12.0" customHeight="1">
      <c r="B806" s="1"/>
      <c r="I806" s="2"/>
      <c r="K806" s="2"/>
    </row>
    <row r="807" ht="12.0" customHeight="1">
      <c r="B807" s="1"/>
      <c r="I807" s="2"/>
      <c r="K807" s="2"/>
    </row>
    <row r="808" ht="12.0" customHeight="1">
      <c r="B808" s="1"/>
      <c r="I808" s="2"/>
      <c r="K808" s="2"/>
    </row>
    <row r="809" ht="12.0" customHeight="1">
      <c r="B809" s="1"/>
      <c r="I809" s="2"/>
      <c r="K809" s="2"/>
    </row>
    <row r="810" ht="12.0" customHeight="1">
      <c r="B810" s="1"/>
      <c r="I810" s="2"/>
      <c r="K810" s="2"/>
    </row>
    <row r="811" ht="12.0" customHeight="1">
      <c r="B811" s="1"/>
      <c r="I811" s="2"/>
      <c r="K811" s="2"/>
    </row>
    <row r="812" ht="12.0" customHeight="1">
      <c r="B812" s="1"/>
      <c r="I812" s="2"/>
      <c r="K812" s="2"/>
    </row>
    <row r="813" ht="12.0" customHeight="1">
      <c r="B813" s="1"/>
      <c r="I813" s="2"/>
      <c r="K813" s="2"/>
    </row>
    <row r="814" ht="12.0" customHeight="1">
      <c r="B814" s="1"/>
      <c r="I814" s="2"/>
      <c r="K814" s="2"/>
    </row>
    <row r="815" ht="12.0" customHeight="1">
      <c r="B815" s="1"/>
      <c r="I815" s="2"/>
      <c r="K815" s="2"/>
    </row>
    <row r="816" ht="12.0" customHeight="1">
      <c r="B816" s="1"/>
      <c r="I816" s="2"/>
      <c r="K816" s="2"/>
    </row>
    <row r="817" ht="12.0" customHeight="1">
      <c r="B817" s="1"/>
      <c r="I817" s="2"/>
      <c r="K817" s="2"/>
    </row>
    <row r="818" ht="12.0" customHeight="1">
      <c r="B818" s="1"/>
      <c r="I818" s="2"/>
      <c r="K818" s="2"/>
    </row>
    <row r="819" ht="12.0" customHeight="1">
      <c r="B819" s="1"/>
      <c r="I819" s="2"/>
      <c r="K819" s="2"/>
    </row>
    <row r="820" ht="12.0" customHeight="1">
      <c r="B820" s="1"/>
      <c r="I820" s="2"/>
      <c r="K820" s="2"/>
    </row>
    <row r="821" ht="12.0" customHeight="1">
      <c r="B821" s="1"/>
      <c r="I821" s="2"/>
      <c r="K821" s="2"/>
    </row>
    <row r="822" ht="12.0" customHeight="1">
      <c r="B822" s="1"/>
      <c r="I822" s="2"/>
      <c r="K822" s="2"/>
    </row>
    <row r="823" ht="12.0" customHeight="1">
      <c r="B823" s="1"/>
      <c r="I823" s="2"/>
      <c r="K823" s="2"/>
    </row>
    <row r="824" ht="12.0" customHeight="1">
      <c r="B824" s="1"/>
      <c r="I824" s="2"/>
      <c r="K824" s="2"/>
    </row>
    <row r="825" ht="12.0" customHeight="1">
      <c r="B825" s="1"/>
      <c r="I825" s="2"/>
      <c r="K825" s="2"/>
    </row>
    <row r="826" ht="12.0" customHeight="1">
      <c r="B826" s="1"/>
      <c r="I826" s="2"/>
      <c r="K826" s="2"/>
    </row>
    <row r="827" ht="12.0" customHeight="1">
      <c r="B827" s="1"/>
      <c r="I827" s="2"/>
      <c r="K827" s="2"/>
    </row>
    <row r="828" ht="12.0" customHeight="1">
      <c r="B828" s="1"/>
      <c r="I828" s="2"/>
      <c r="K828" s="2"/>
    </row>
    <row r="829" ht="12.0" customHeight="1">
      <c r="B829" s="1"/>
      <c r="I829" s="2"/>
      <c r="K829" s="2"/>
    </row>
    <row r="830" ht="12.0" customHeight="1">
      <c r="B830" s="1"/>
      <c r="I830" s="2"/>
      <c r="K830" s="2"/>
    </row>
    <row r="831" ht="12.0" customHeight="1">
      <c r="B831" s="1"/>
      <c r="I831" s="2"/>
      <c r="K831" s="2"/>
    </row>
    <row r="832" ht="12.0" customHeight="1">
      <c r="B832" s="1"/>
      <c r="I832" s="2"/>
      <c r="K832" s="2"/>
    </row>
    <row r="833" ht="12.0" customHeight="1">
      <c r="B833" s="1"/>
      <c r="I833" s="2"/>
      <c r="K833" s="2"/>
    </row>
    <row r="834" ht="12.0" customHeight="1">
      <c r="B834" s="1"/>
      <c r="I834" s="2"/>
      <c r="K834" s="2"/>
    </row>
    <row r="835" ht="12.0" customHeight="1">
      <c r="B835" s="1"/>
      <c r="I835" s="2"/>
      <c r="K835" s="2"/>
    </row>
    <row r="836" ht="12.0" customHeight="1">
      <c r="B836" s="1"/>
      <c r="I836" s="2"/>
      <c r="K836" s="2"/>
    </row>
    <row r="837" ht="12.0" customHeight="1">
      <c r="B837" s="1"/>
      <c r="I837" s="2"/>
      <c r="K837" s="2"/>
    </row>
    <row r="838" ht="12.0" customHeight="1">
      <c r="B838" s="1"/>
      <c r="I838" s="2"/>
      <c r="K838" s="2"/>
    </row>
    <row r="839" ht="12.0" customHeight="1">
      <c r="B839" s="1"/>
      <c r="I839" s="2"/>
      <c r="K839" s="2"/>
    </row>
    <row r="840" ht="12.0" customHeight="1">
      <c r="B840" s="1"/>
      <c r="I840" s="2"/>
      <c r="K840" s="2"/>
    </row>
    <row r="841" ht="12.0" customHeight="1">
      <c r="B841" s="1"/>
      <c r="I841" s="2"/>
      <c r="K841" s="2"/>
    </row>
    <row r="842" ht="12.0" customHeight="1">
      <c r="B842" s="1"/>
      <c r="I842" s="2"/>
      <c r="K842" s="2"/>
    </row>
    <row r="843" ht="12.0" customHeight="1">
      <c r="B843" s="1"/>
      <c r="I843" s="2"/>
      <c r="K843" s="2"/>
    </row>
    <row r="844" ht="12.0" customHeight="1">
      <c r="B844" s="1"/>
      <c r="I844" s="2"/>
      <c r="K844" s="2"/>
    </row>
    <row r="845" ht="12.0" customHeight="1">
      <c r="B845" s="1"/>
      <c r="I845" s="2"/>
      <c r="K845" s="2"/>
    </row>
    <row r="846" ht="12.0" customHeight="1">
      <c r="B846" s="1"/>
      <c r="I846" s="2"/>
      <c r="K846" s="2"/>
    </row>
    <row r="847" ht="12.0" customHeight="1">
      <c r="B847" s="1"/>
      <c r="I847" s="2"/>
      <c r="K847" s="2"/>
    </row>
    <row r="848" ht="12.0" customHeight="1">
      <c r="B848" s="1"/>
      <c r="I848" s="2"/>
      <c r="K848" s="2"/>
    </row>
    <row r="849" ht="12.0" customHeight="1">
      <c r="B849" s="1"/>
      <c r="I849" s="2"/>
      <c r="K849" s="2"/>
    </row>
    <row r="850" ht="12.0" customHeight="1">
      <c r="B850" s="1"/>
      <c r="I850" s="2"/>
      <c r="K850" s="2"/>
    </row>
    <row r="851" ht="12.0" customHeight="1">
      <c r="B851" s="1"/>
      <c r="I851" s="2"/>
      <c r="K851" s="2"/>
    </row>
    <row r="852" ht="12.0" customHeight="1">
      <c r="B852" s="1"/>
      <c r="I852" s="2"/>
      <c r="K852" s="2"/>
    </row>
    <row r="853" ht="12.0" customHeight="1">
      <c r="B853" s="1"/>
      <c r="I853" s="2"/>
      <c r="K853" s="2"/>
    </row>
    <row r="854" ht="12.0" customHeight="1">
      <c r="B854" s="1"/>
      <c r="I854" s="2"/>
      <c r="K854" s="2"/>
    </row>
    <row r="855" ht="12.0" customHeight="1">
      <c r="B855" s="1"/>
      <c r="I855" s="2"/>
      <c r="K855" s="2"/>
    </row>
    <row r="856" ht="12.0" customHeight="1">
      <c r="B856" s="1"/>
      <c r="I856" s="2"/>
      <c r="K856" s="2"/>
    </row>
    <row r="857" ht="12.0" customHeight="1">
      <c r="B857" s="1"/>
      <c r="I857" s="2"/>
      <c r="K857" s="2"/>
    </row>
    <row r="858" ht="12.0" customHeight="1">
      <c r="B858" s="1"/>
      <c r="I858" s="2"/>
      <c r="K858" s="2"/>
    </row>
    <row r="859" ht="12.0" customHeight="1">
      <c r="B859" s="1"/>
      <c r="I859" s="2"/>
      <c r="K859" s="2"/>
    </row>
    <row r="860" ht="12.0" customHeight="1">
      <c r="B860" s="1"/>
      <c r="I860" s="2"/>
      <c r="K860" s="2"/>
    </row>
    <row r="861" ht="12.0" customHeight="1">
      <c r="B861" s="1"/>
      <c r="I861" s="2"/>
      <c r="K861" s="2"/>
    </row>
    <row r="862" ht="12.0" customHeight="1">
      <c r="B862" s="1"/>
      <c r="I862" s="2"/>
      <c r="K862" s="2"/>
    </row>
    <row r="863" ht="12.0" customHeight="1">
      <c r="B863" s="1"/>
      <c r="I863" s="2"/>
      <c r="K863" s="2"/>
    </row>
    <row r="864" ht="12.0" customHeight="1">
      <c r="B864" s="1"/>
      <c r="I864" s="2"/>
      <c r="K864" s="2"/>
    </row>
    <row r="865" ht="12.0" customHeight="1">
      <c r="B865" s="1"/>
      <c r="I865" s="2"/>
      <c r="K865" s="2"/>
    </row>
    <row r="866" ht="12.0" customHeight="1">
      <c r="B866" s="1"/>
      <c r="I866" s="2"/>
      <c r="K866" s="2"/>
    </row>
    <row r="867" ht="12.0" customHeight="1">
      <c r="B867" s="1"/>
      <c r="I867" s="2"/>
      <c r="K867" s="2"/>
    </row>
    <row r="868" ht="12.0" customHeight="1">
      <c r="B868" s="1"/>
      <c r="I868" s="2"/>
      <c r="K868" s="2"/>
    </row>
    <row r="869" ht="12.0" customHeight="1">
      <c r="B869" s="1"/>
      <c r="I869" s="2"/>
      <c r="K869" s="2"/>
    </row>
    <row r="870" ht="12.0" customHeight="1">
      <c r="B870" s="1"/>
      <c r="I870" s="2"/>
      <c r="K870" s="2"/>
    </row>
    <row r="871" ht="12.0" customHeight="1">
      <c r="B871" s="1"/>
      <c r="I871" s="2"/>
      <c r="K871" s="2"/>
    </row>
    <row r="872" ht="12.0" customHeight="1">
      <c r="B872" s="1"/>
      <c r="I872" s="2"/>
      <c r="K872" s="2"/>
    </row>
    <row r="873" ht="12.0" customHeight="1">
      <c r="B873" s="1"/>
      <c r="I873" s="2"/>
      <c r="K873" s="2"/>
    </row>
    <row r="874" ht="12.0" customHeight="1">
      <c r="B874" s="1"/>
      <c r="I874" s="2"/>
      <c r="K874" s="2"/>
    </row>
    <row r="875" ht="12.0" customHeight="1">
      <c r="B875" s="1"/>
      <c r="I875" s="2"/>
      <c r="K875" s="2"/>
    </row>
    <row r="876" ht="12.0" customHeight="1">
      <c r="B876" s="1"/>
      <c r="I876" s="2"/>
      <c r="K876" s="2"/>
    </row>
    <row r="877" ht="12.0" customHeight="1">
      <c r="B877" s="1"/>
      <c r="I877" s="2"/>
      <c r="K877" s="2"/>
    </row>
    <row r="878" ht="12.0" customHeight="1">
      <c r="B878" s="1"/>
      <c r="I878" s="2"/>
      <c r="K878" s="2"/>
    </row>
    <row r="879" ht="12.0" customHeight="1">
      <c r="B879" s="1"/>
      <c r="I879" s="2"/>
      <c r="K879" s="2"/>
    </row>
    <row r="880" ht="12.0" customHeight="1">
      <c r="B880" s="1"/>
      <c r="I880" s="2"/>
      <c r="K880" s="2"/>
    </row>
    <row r="881" ht="12.0" customHeight="1">
      <c r="B881" s="1"/>
      <c r="I881" s="2"/>
      <c r="K881" s="2"/>
    </row>
    <row r="882" ht="12.0" customHeight="1">
      <c r="B882" s="1"/>
      <c r="I882" s="2"/>
      <c r="K882" s="2"/>
    </row>
    <row r="883" ht="12.0" customHeight="1">
      <c r="B883" s="1"/>
      <c r="I883" s="2"/>
      <c r="K883" s="2"/>
    </row>
    <row r="884" ht="12.0" customHeight="1">
      <c r="B884" s="1"/>
      <c r="I884" s="2"/>
      <c r="K884" s="2"/>
    </row>
    <row r="885" ht="12.0" customHeight="1">
      <c r="B885" s="1"/>
      <c r="I885" s="2"/>
      <c r="K885" s="2"/>
    </row>
    <row r="886" ht="12.0" customHeight="1">
      <c r="B886" s="1"/>
      <c r="I886" s="2"/>
      <c r="K886" s="2"/>
    </row>
    <row r="887" ht="12.0" customHeight="1">
      <c r="B887" s="1"/>
      <c r="I887" s="2"/>
      <c r="K887" s="2"/>
    </row>
    <row r="888" ht="12.0" customHeight="1">
      <c r="B888" s="1"/>
      <c r="I888" s="2"/>
      <c r="K888" s="2"/>
    </row>
    <row r="889" ht="12.0" customHeight="1">
      <c r="B889" s="1"/>
      <c r="I889" s="2"/>
      <c r="K889" s="2"/>
    </row>
    <row r="890" ht="12.0" customHeight="1">
      <c r="B890" s="1"/>
      <c r="I890" s="2"/>
      <c r="K890" s="2"/>
    </row>
    <row r="891" ht="12.0" customHeight="1">
      <c r="B891" s="1"/>
      <c r="I891" s="2"/>
      <c r="K891" s="2"/>
    </row>
    <row r="892" ht="12.0" customHeight="1">
      <c r="B892" s="1"/>
      <c r="I892" s="2"/>
      <c r="K892" s="2"/>
    </row>
    <row r="893" ht="12.0" customHeight="1">
      <c r="B893" s="1"/>
      <c r="I893" s="2"/>
      <c r="K893" s="2"/>
    </row>
    <row r="894" ht="12.0" customHeight="1">
      <c r="B894" s="1"/>
      <c r="I894" s="2"/>
      <c r="K894" s="2"/>
    </row>
    <row r="895" ht="12.0" customHeight="1">
      <c r="B895" s="1"/>
      <c r="I895" s="2"/>
      <c r="K895" s="2"/>
    </row>
    <row r="896" ht="12.0" customHeight="1">
      <c r="B896" s="1"/>
      <c r="I896" s="2"/>
      <c r="K896" s="2"/>
    </row>
    <row r="897" ht="12.0" customHeight="1">
      <c r="B897" s="1"/>
      <c r="I897" s="2"/>
      <c r="K897" s="2"/>
    </row>
    <row r="898" ht="12.0" customHeight="1">
      <c r="B898" s="1"/>
      <c r="I898" s="2"/>
      <c r="K898" s="2"/>
    </row>
    <row r="899" ht="12.0" customHeight="1">
      <c r="B899" s="1"/>
      <c r="I899" s="2"/>
      <c r="K899" s="2"/>
    </row>
    <row r="900" ht="12.0" customHeight="1">
      <c r="B900" s="1"/>
      <c r="I900" s="2"/>
      <c r="K900" s="2"/>
    </row>
    <row r="901" ht="12.0" customHeight="1">
      <c r="B901" s="1"/>
      <c r="I901" s="2"/>
      <c r="K901" s="2"/>
    </row>
    <row r="902" ht="12.0" customHeight="1">
      <c r="B902" s="1"/>
      <c r="I902" s="2"/>
      <c r="K902" s="2"/>
    </row>
    <row r="903" ht="12.0" customHeight="1">
      <c r="B903" s="1"/>
      <c r="I903" s="2"/>
      <c r="K903" s="2"/>
    </row>
    <row r="904" ht="12.0" customHeight="1">
      <c r="B904" s="1"/>
      <c r="I904" s="2"/>
      <c r="K904" s="2"/>
    </row>
    <row r="905" ht="12.0" customHeight="1">
      <c r="B905" s="1"/>
      <c r="I905" s="2"/>
      <c r="K905" s="2"/>
    </row>
    <row r="906" ht="12.0" customHeight="1">
      <c r="B906" s="1"/>
      <c r="I906" s="2"/>
      <c r="K906" s="2"/>
    </row>
    <row r="907" ht="12.0" customHeight="1">
      <c r="B907" s="1"/>
      <c r="I907" s="2"/>
      <c r="K907" s="2"/>
    </row>
    <row r="908" ht="12.0" customHeight="1">
      <c r="B908" s="1"/>
      <c r="I908" s="2"/>
      <c r="K908" s="2"/>
    </row>
    <row r="909" ht="12.0" customHeight="1">
      <c r="B909" s="1"/>
      <c r="I909" s="2"/>
      <c r="K909" s="2"/>
    </row>
    <row r="910" ht="12.0" customHeight="1">
      <c r="B910" s="1"/>
      <c r="I910" s="2"/>
      <c r="K910" s="2"/>
    </row>
    <row r="911" ht="12.0" customHeight="1">
      <c r="B911" s="1"/>
      <c r="I911" s="2"/>
      <c r="K911" s="2"/>
    </row>
    <row r="912" ht="12.0" customHeight="1">
      <c r="B912" s="1"/>
      <c r="I912" s="2"/>
      <c r="K912" s="2"/>
    </row>
    <row r="913" ht="12.0" customHeight="1">
      <c r="B913" s="1"/>
      <c r="I913" s="2"/>
      <c r="K913" s="2"/>
    </row>
    <row r="914" ht="12.0" customHeight="1">
      <c r="B914" s="1"/>
      <c r="I914" s="2"/>
      <c r="K914" s="2"/>
    </row>
    <row r="915" ht="12.0" customHeight="1">
      <c r="B915" s="1"/>
      <c r="I915" s="2"/>
      <c r="K915" s="2"/>
    </row>
    <row r="916" ht="12.0" customHeight="1">
      <c r="B916" s="1"/>
      <c r="I916" s="2"/>
      <c r="K916" s="2"/>
    </row>
    <row r="917" ht="12.0" customHeight="1">
      <c r="B917" s="1"/>
      <c r="I917" s="2"/>
      <c r="K917" s="2"/>
    </row>
    <row r="918" ht="12.0" customHeight="1">
      <c r="B918" s="1"/>
      <c r="I918" s="2"/>
      <c r="K918" s="2"/>
    </row>
    <row r="919" ht="12.0" customHeight="1">
      <c r="B919" s="1"/>
      <c r="I919" s="2"/>
      <c r="K919" s="2"/>
    </row>
    <row r="920" ht="12.0" customHeight="1">
      <c r="B920" s="1"/>
      <c r="I920" s="2"/>
      <c r="K920" s="2"/>
    </row>
    <row r="921" ht="12.0" customHeight="1">
      <c r="B921" s="1"/>
      <c r="I921" s="2"/>
      <c r="K921" s="2"/>
    </row>
    <row r="922" ht="12.0" customHeight="1">
      <c r="B922" s="1"/>
      <c r="I922" s="2"/>
      <c r="K922" s="2"/>
    </row>
    <row r="923" ht="12.0" customHeight="1">
      <c r="B923" s="1"/>
      <c r="I923" s="2"/>
      <c r="K923" s="2"/>
    </row>
    <row r="924" ht="12.0" customHeight="1">
      <c r="B924" s="1"/>
      <c r="I924" s="2"/>
      <c r="K924" s="2"/>
    </row>
    <row r="925" ht="12.0" customHeight="1">
      <c r="B925" s="1"/>
      <c r="I925" s="2"/>
      <c r="K925" s="2"/>
    </row>
    <row r="926" ht="12.0" customHeight="1">
      <c r="B926" s="1"/>
      <c r="I926" s="2"/>
      <c r="K926" s="2"/>
    </row>
    <row r="927" ht="12.0" customHeight="1">
      <c r="B927" s="1"/>
      <c r="I927" s="2"/>
      <c r="K927" s="2"/>
    </row>
    <row r="928" ht="12.0" customHeight="1">
      <c r="B928" s="1"/>
      <c r="I928" s="2"/>
      <c r="K928" s="2"/>
    </row>
    <row r="929" ht="12.0" customHeight="1">
      <c r="B929" s="1"/>
      <c r="I929" s="2"/>
      <c r="K929" s="2"/>
    </row>
    <row r="930" ht="12.0" customHeight="1">
      <c r="B930" s="1"/>
      <c r="I930" s="2"/>
      <c r="K930" s="2"/>
    </row>
    <row r="931" ht="12.0" customHeight="1">
      <c r="B931" s="1"/>
      <c r="I931" s="2"/>
      <c r="K931" s="2"/>
    </row>
    <row r="932" ht="12.0" customHeight="1">
      <c r="B932" s="1"/>
      <c r="I932" s="2"/>
      <c r="K932" s="2"/>
    </row>
    <row r="933" ht="12.0" customHeight="1">
      <c r="B933" s="1"/>
      <c r="I933" s="2"/>
      <c r="K933" s="2"/>
    </row>
    <row r="934" ht="12.0" customHeight="1">
      <c r="B934" s="1"/>
      <c r="I934" s="2"/>
      <c r="K934" s="2"/>
    </row>
    <row r="935" ht="12.0" customHeight="1">
      <c r="B935" s="1"/>
      <c r="I935" s="2"/>
      <c r="K935" s="2"/>
    </row>
    <row r="936" ht="12.0" customHeight="1">
      <c r="B936" s="1"/>
      <c r="I936" s="2"/>
      <c r="K936" s="2"/>
    </row>
    <row r="937" ht="12.0" customHeight="1">
      <c r="B937" s="1"/>
      <c r="I937" s="2"/>
      <c r="K937" s="2"/>
    </row>
    <row r="938" ht="12.0" customHeight="1">
      <c r="B938" s="1"/>
      <c r="I938" s="2"/>
      <c r="K938" s="2"/>
    </row>
    <row r="939" ht="12.0" customHeight="1">
      <c r="B939" s="1"/>
      <c r="I939" s="2"/>
      <c r="K939" s="2"/>
    </row>
    <row r="940" ht="12.0" customHeight="1">
      <c r="B940" s="1"/>
      <c r="I940" s="2"/>
      <c r="K940" s="2"/>
    </row>
    <row r="941" ht="12.0" customHeight="1">
      <c r="B941" s="1"/>
      <c r="I941" s="2"/>
      <c r="K941" s="2"/>
    </row>
    <row r="942" ht="12.0" customHeight="1">
      <c r="B942" s="1"/>
      <c r="I942" s="2"/>
      <c r="K942" s="2"/>
    </row>
    <row r="943" ht="12.0" customHeight="1">
      <c r="B943" s="1"/>
      <c r="I943" s="2"/>
      <c r="K943" s="2"/>
    </row>
    <row r="944" ht="12.0" customHeight="1">
      <c r="B944" s="1"/>
      <c r="I944" s="2"/>
      <c r="K944" s="2"/>
    </row>
    <row r="945" ht="12.0" customHeight="1">
      <c r="B945" s="1"/>
      <c r="I945" s="2"/>
      <c r="K945" s="2"/>
    </row>
    <row r="946" ht="12.0" customHeight="1">
      <c r="B946" s="1"/>
      <c r="I946" s="2"/>
      <c r="K946" s="2"/>
    </row>
    <row r="947" ht="12.0" customHeight="1">
      <c r="B947" s="1"/>
      <c r="I947" s="2"/>
      <c r="K947" s="2"/>
    </row>
    <row r="948" ht="12.0" customHeight="1">
      <c r="B948" s="1"/>
      <c r="I948" s="2"/>
      <c r="K948" s="2"/>
    </row>
    <row r="949" ht="12.0" customHeight="1">
      <c r="B949" s="1"/>
      <c r="I949" s="2"/>
      <c r="K949" s="2"/>
    </row>
    <row r="950" ht="12.0" customHeight="1">
      <c r="B950" s="1"/>
      <c r="I950" s="2"/>
      <c r="K950" s="2"/>
    </row>
    <row r="951" ht="12.0" customHeight="1">
      <c r="B951" s="1"/>
      <c r="I951" s="2"/>
      <c r="K951" s="2"/>
    </row>
    <row r="952" ht="12.0" customHeight="1">
      <c r="B952" s="1"/>
      <c r="I952" s="2"/>
      <c r="K952" s="2"/>
    </row>
    <row r="953" ht="12.0" customHeight="1">
      <c r="B953" s="1"/>
      <c r="I953" s="2"/>
      <c r="K953" s="2"/>
    </row>
    <row r="954" ht="12.0" customHeight="1">
      <c r="B954" s="1"/>
      <c r="I954" s="2"/>
      <c r="K954" s="2"/>
    </row>
    <row r="955" ht="12.0" customHeight="1">
      <c r="B955" s="1"/>
      <c r="I955" s="2"/>
      <c r="K955" s="2"/>
    </row>
    <row r="956" ht="12.0" customHeight="1">
      <c r="B956" s="1"/>
      <c r="I956" s="2"/>
      <c r="K956" s="2"/>
    </row>
    <row r="957" ht="12.0" customHeight="1">
      <c r="B957" s="1"/>
      <c r="I957" s="2"/>
      <c r="K957" s="2"/>
    </row>
    <row r="958" ht="12.0" customHeight="1">
      <c r="B958" s="1"/>
      <c r="I958" s="2"/>
      <c r="K958" s="2"/>
    </row>
    <row r="959" ht="12.0" customHeight="1">
      <c r="B959" s="1"/>
      <c r="I959" s="2"/>
      <c r="K959" s="2"/>
    </row>
    <row r="960" ht="12.0" customHeight="1">
      <c r="B960" s="1"/>
      <c r="I960" s="2"/>
      <c r="K960" s="2"/>
    </row>
    <row r="961" ht="12.0" customHeight="1">
      <c r="B961" s="1"/>
      <c r="I961" s="2"/>
      <c r="K961" s="2"/>
    </row>
    <row r="962" ht="12.0" customHeight="1">
      <c r="B962" s="1"/>
      <c r="I962" s="2"/>
      <c r="K962" s="2"/>
    </row>
    <row r="963" ht="12.0" customHeight="1">
      <c r="B963" s="1"/>
      <c r="I963" s="2"/>
      <c r="K963" s="2"/>
    </row>
    <row r="964" ht="12.0" customHeight="1">
      <c r="B964" s="1"/>
      <c r="I964" s="2"/>
      <c r="K964" s="2"/>
    </row>
    <row r="965" ht="12.0" customHeight="1">
      <c r="B965" s="1"/>
      <c r="I965" s="2"/>
      <c r="K965" s="2"/>
    </row>
    <row r="966" ht="12.0" customHeight="1">
      <c r="B966" s="1"/>
      <c r="I966" s="2"/>
      <c r="K966" s="2"/>
    </row>
    <row r="967" ht="12.0" customHeight="1">
      <c r="B967" s="1"/>
      <c r="I967" s="2"/>
      <c r="K967" s="2"/>
    </row>
    <row r="968" ht="12.0" customHeight="1">
      <c r="B968" s="1"/>
      <c r="I968" s="2"/>
      <c r="K968" s="2"/>
    </row>
    <row r="969" ht="12.0" customHeight="1">
      <c r="B969" s="1"/>
      <c r="I969" s="2"/>
      <c r="K969" s="2"/>
    </row>
    <row r="970" ht="12.0" customHeight="1">
      <c r="B970" s="1"/>
      <c r="I970" s="2"/>
      <c r="K970" s="2"/>
    </row>
    <row r="971" ht="12.0" customHeight="1">
      <c r="B971" s="1"/>
      <c r="I971" s="2"/>
      <c r="K971" s="2"/>
    </row>
    <row r="972" ht="12.0" customHeight="1">
      <c r="B972" s="1"/>
      <c r="I972" s="2"/>
      <c r="K972" s="2"/>
    </row>
    <row r="973" ht="12.0" customHeight="1">
      <c r="B973" s="1"/>
      <c r="I973" s="2"/>
      <c r="K973" s="2"/>
    </row>
    <row r="974" ht="12.0" customHeight="1">
      <c r="B974" s="1"/>
      <c r="I974" s="2"/>
      <c r="K974" s="2"/>
    </row>
    <row r="975" ht="12.0" customHeight="1">
      <c r="B975" s="1"/>
      <c r="I975" s="2"/>
      <c r="K975" s="2"/>
    </row>
    <row r="976" ht="12.0" customHeight="1">
      <c r="B976" s="1"/>
      <c r="I976" s="2"/>
      <c r="K976" s="2"/>
    </row>
    <row r="977" ht="12.0" customHeight="1">
      <c r="B977" s="1"/>
      <c r="I977" s="2"/>
      <c r="K977" s="2"/>
    </row>
    <row r="978" ht="12.0" customHeight="1">
      <c r="B978" s="1"/>
      <c r="I978" s="2"/>
      <c r="K978" s="2"/>
    </row>
    <row r="979" ht="12.0" customHeight="1">
      <c r="B979" s="1"/>
      <c r="I979" s="2"/>
      <c r="K979" s="2"/>
    </row>
    <row r="980" ht="12.0" customHeight="1">
      <c r="B980" s="1"/>
      <c r="I980" s="2"/>
      <c r="K980" s="2"/>
    </row>
    <row r="981" ht="12.0" customHeight="1">
      <c r="B981" s="1"/>
      <c r="I981" s="2"/>
      <c r="K981" s="2"/>
    </row>
    <row r="982" ht="12.0" customHeight="1">
      <c r="B982" s="1"/>
      <c r="I982" s="2"/>
      <c r="K982" s="2"/>
    </row>
    <row r="983" ht="12.0" customHeight="1">
      <c r="B983" s="1"/>
      <c r="I983" s="2"/>
      <c r="K983" s="2"/>
    </row>
    <row r="984" ht="12.0" customHeight="1">
      <c r="B984" s="1"/>
      <c r="I984" s="2"/>
      <c r="K984" s="2"/>
    </row>
    <row r="985" ht="12.0" customHeight="1">
      <c r="B985" s="1"/>
      <c r="I985" s="2"/>
      <c r="K985" s="2"/>
    </row>
    <row r="986" ht="12.0" customHeight="1">
      <c r="B986" s="1"/>
      <c r="I986" s="2"/>
      <c r="K986" s="2"/>
    </row>
    <row r="987" ht="12.0" customHeight="1">
      <c r="B987" s="1"/>
      <c r="I987" s="2"/>
      <c r="K987" s="2"/>
    </row>
    <row r="988" ht="12.0" customHeight="1">
      <c r="B988" s="1"/>
      <c r="I988" s="2"/>
      <c r="K988" s="2"/>
    </row>
    <row r="989" ht="12.0" customHeight="1">
      <c r="B989" s="1"/>
      <c r="I989" s="2"/>
      <c r="K989" s="2"/>
    </row>
    <row r="990" ht="12.0" customHeight="1">
      <c r="B990" s="1"/>
      <c r="I990" s="2"/>
      <c r="K990" s="2"/>
    </row>
    <row r="991" ht="12.0" customHeight="1">
      <c r="B991" s="1"/>
      <c r="I991" s="2"/>
      <c r="K991" s="2"/>
    </row>
    <row r="992" ht="12.0" customHeight="1">
      <c r="B992" s="1"/>
      <c r="I992" s="2"/>
      <c r="K992" s="2"/>
    </row>
    <row r="993" ht="12.0" customHeight="1">
      <c r="B993" s="1"/>
      <c r="I993" s="2"/>
      <c r="K993" s="2"/>
    </row>
    <row r="994" ht="12.0" customHeight="1">
      <c r="B994" s="1"/>
      <c r="I994" s="2"/>
      <c r="K994" s="2"/>
    </row>
    <row r="995" ht="12.0" customHeight="1">
      <c r="B995" s="1"/>
      <c r="I995" s="2"/>
      <c r="K995" s="2"/>
    </row>
    <row r="996" ht="12.0" customHeight="1">
      <c r="B996" s="1"/>
      <c r="I996" s="2"/>
      <c r="K996" s="2"/>
    </row>
    <row r="997" ht="12.0" customHeight="1">
      <c r="B997" s="1"/>
      <c r="I997" s="2"/>
      <c r="K997" s="2"/>
    </row>
    <row r="998" ht="12.0" customHeight="1">
      <c r="B998" s="1"/>
      <c r="I998" s="2"/>
      <c r="K998" s="2"/>
    </row>
    <row r="999" ht="12.0" customHeight="1">
      <c r="B999" s="1"/>
      <c r="I999" s="2"/>
      <c r="K999" s="2"/>
    </row>
    <row r="1000" ht="12.0" customHeight="1">
      <c r="B1000" s="1"/>
      <c r="I1000" s="2"/>
      <c r="K1000" s="2"/>
    </row>
    <row r="1001" ht="12.0" customHeight="1">
      <c r="B1001" s="1"/>
      <c r="I1001" s="2"/>
      <c r="K1001" s="2"/>
    </row>
    <row r="1002" ht="12.0" customHeight="1">
      <c r="B1002" s="1"/>
      <c r="I1002" s="2"/>
      <c r="K1002" s="2"/>
    </row>
    <row r="1003" ht="12.0" customHeight="1">
      <c r="B1003" s="1"/>
      <c r="I1003" s="2"/>
      <c r="K1003" s="2"/>
    </row>
    <row r="1004" ht="12.0" customHeight="1">
      <c r="B1004" s="1"/>
      <c r="I1004" s="2"/>
      <c r="K1004" s="2"/>
    </row>
    <row r="1005" ht="12.0" customHeight="1">
      <c r="B1005" s="1"/>
      <c r="I1005" s="2"/>
      <c r="K1005" s="2"/>
    </row>
    <row r="1006" ht="12.0" customHeight="1">
      <c r="B1006" s="1"/>
      <c r="I1006" s="2"/>
      <c r="K1006" s="2"/>
    </row>
  </sheetData>
  <mergeCells count="2">
    <mergeCell ref="H11:I11"/>
    <mergeCell ref="J11:K11"/>
  </mergeCells>
  <dataValidations>
    <dataValidation type="list" allowBlank="1" showErrorMessage="1" sqref="H22">
      <formula1>"STOCK BRICKS,BLOCKS,FACE BRICKS,NO BRICKWORK DONE"</formula1>
    </dataValidation>
    <dataValidation type="list" allowBlank="1" showErrorMessage="1" sqref="H27">
      <formula1>"CONCRETE ROOF TILES,IBR,CORRUGATED ROOFING SHEETS,NO ROOFING DONE"</formula1>
    </dataValidation>
    <dataValidation type="list" allowBlank="1" showErrorMessage="1" sqref="H18 H36 H39 H42 H45 H54 H61 H64 H68 H71 H75 H78 H83 H92">
      <formula1>"YES,NO"</formula1>
    </dataValidation>
    <dataValidation type="list" allowBlank="1" showErrorMessage="1" sqref="J17:J18 J22 J27 J32 J36 J39 J45 J48 J54 J57 J61 J64 J67:J68 J71 J75 J78 J83 J92 J100">
      <formula1>"DELAPIDATED,POOR,FAIR,GOOD,VERY GOOD,EXCELLENT,NOT APPLICABLE"</formula1>
    </dataValidation>
    <dataValidation type="list" allowBlank="1" showErrorMessage="1" sqref="H57">
      <formula1>"STEEL WINDOW FRAMES,ALUMINIUM WINDOW FRAMES,NO WINDOWS FITTED"</formula1>
    </dataValidation>
    <dataValidation type="list" allowBlank="1" showErrorMessage="1" sqref="J43">
      <formula1>"Delapidated,Poor,Fair,Good,Very Good,Excellent,Not Applicable"</formula1>
    </dataValidation>
    <dataValidation type="list" allowBlank="1" showErrorMessage="1" sqref="H14">
      <formula1>"2010-2013,2014-2021,2021-2023"</formula1>
    </dataValidation>
    <dataValidation type="list" allowBlank="1" showErrorMessage="1" sqref="H48">
      <formula1>"VINYL FLOORING,TILING FLOORING,TIMBER FLOORING,NO FLOORING"</formula1>
    </dataValidation>
    <dataValidation type="list" allowBlank="1" showErrorMessage="1" sqref="H32">
      <formula1>"TIMBER ROOF TRUSSES,STRUCTURAL STEEL TRUSSES,NO ROOF TRUSSES"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33.13"/>
    <col customWidth="1" min="4" max="6" width="19.63"/>
    <col customWidth="1" min="7" max="9" width="13.25"/>
    <col customWidth="1" min="10" max="10" width="13.75"/>
    <col customWidth="1" min="11" max="11" width="20.75"/>
    <col customWidth="1" min="12" max="12" width="21.0"/>
    <col customWidth="1" hidden="1" min="13" max="13" width="13.38"/>
    <col customWidth="1" min="14" max="14" width="23.63"/>
    <col customWidth="1" min="15" max="15" width="20.88"/>
    <col customWidth="1" min="16" max="26" width="9.0"/>
  </cols>
  <sheetData>
    <row r="1" ht="12.0" customHeight="1">
      <c r="B1" s="1"/>
      <c r="D1" s="161"/>
      <c r="E1" s="161"/>
      <c r="F1" s="161"/>
      <c r="G1" s="348"/>
      <c r="H1" s="348"/>
      <c r="I1" s="348"/>
      <c r="J1" s="348"/>
      <c r="K1" s="348"/>
      <c r="L1" s="3"/>
      <c r="M1" s="928"/>
      <c r="O1" s="151"/>
    </row>
    <row r="2" ht="26.25" customHeight="1">
      <c r="B2" s="1"/>
      <c r="C2" s="4" t="s">
        <v>201</v>
      </c>
      <c r="D2" s="161"/>
      <c r="E2" s="161"/>
      <c r="F2" s="161"/>
      <c r="G2" s="348"/>
      <c r="H2" s="348"/>
      <c r="I2" s="348"/>
      <c r="J2" s="348"/>
      <c r="K2" s="348"/>
      <c r="L2" s="3"/>
      <c r="M2" s="928"/>
      <c r="O2" s="151"/>
    </row>
    <row r="3" ht="24.75" customHeight="1">
      <c r="B3" s="1"/>
      <c r="C3" s="929"/>
      <c r="D3" s="161"/>
      <c r="E3" s="161"/>
      <c r="F3" s="161"/>
      <c r="G3" s="348"/>
      <c r="H3" s="348"/>
      <c r="I3" s="348"/>
      <c r="J3" s="348"/>
      <c r="K3" s="348"/>
      <c r="L3" s="3"/>
      <c r="M3" s="928"/>
      <c r="O3" s="151"/>
    </row>
    <row r="4" ht="30.0" customHeight="1">
      <c r="B4" s="1"/>
      <c r="C4" s="5"/>
      <c r="D4" s="161"/>
      <c r="E4" s="161"/>
      <c r="F4" s="161"/>
      <c r="G4" s="348"/>
      <c r="H4" s="348"/>
      <c r="I4" s="348"/>
      <c r="J4" s="348"/>
      <c r="K4" s="6" t="s">
        <v>2</v>
      </c>
      <c r="L4" s="7"/>
      <c r="M4" s="928"/>
      <c r="N4" s="8" t="s">
        <v>3</v>
      </c>
      <c r="O4" s="7"/>
    </row>
    <row r="5" ht="22.5" customHeight="1">
      <c r="B5" s="1"/>
      <c r="D5" s="161"/>
      <c r="E5" s="161"/>
      <c r="F5" s="161"/>
      <c r="G5" s="353" t="s">
        <v>96</v>
      </c>
      <c r="H5" s="354"/>
      <c r="I5" s="355"/>
      <c r="J5" s="356" t="s">
        <v>80</v>
      </c>
      <c r="K5" s="356"/>
      <c r="L5" s="930"/>
      <c r="M5" s="928"/>
      <c r="O5" s="151"/>
    </row>
    <row r="6" ht="73.5" customHeight="1">
      <c r="A6" s="358"/>
      <c r="B6" s="167" t="s">
        <v>6</v>
      </c>
      <c r="C6" s="167" t="s">
        <v>7</v>
      </c>
      <c r="D6" s="359" t="s">
        <v>97</v>
      </c>
      <c r="E6" s="359"/>
      <c r="F6" s="361" t="s">
        <v>8</v>
      </c>
      <c r="G6" s="362" t="s">
        <v>9</v>
      </c>
      <c r="H6" s="362" t="s">
        <v>10</v>
      </c>
      <c r="I6" s="362" t="s">
        <v>11</v>
      </c>
      <c r="J6" s="363" t="s">
        <v>12</v>
      </c>
      <c r="K6" s="26" t="s">
        <v>13</v>
      </c>
      <c r="L6" s="364" t="s">
        <v>14</v>
      </c>
      <c r="M6" s="931"/>
      <c r="N6" s="366" t="s">
        <v>18</v>
      </c>
      <c r="O6" s="364" t="s">
        <v>14</v>
      </c>
      <c r="P6" s="358"/>
      <c r="Q6" s="358"/>
      <c r="R6" s="358"/>
      <c r="S6" s="358"/>
      <c r="T6" s="358"/>
      <c r="U6" s="358"/>
      <c r="V6" s="358"/>
      <c r="W6" s="358"/>
      <c r="X6" s="358"/>
      <c r="Y6" s="358"/>
      <c r="Z6" s="358"/>
    </row>
    <row r="7" ht="30.0" customHeight="1">
      <c r="A7" s="358"/>
      <c r="B7" s="367"/>
      <c r="C7" s="194" t="s">
        <v>20</v>
      </c>
      <c r="D7" s="175"/>
      <c r="E7" s="175"/>
      <c r="F7" s="37"/>
      <c r="G7" s="176">
        <v>3.0</v>
      </c>
      <c r="H7" s="176">
        <v>2.0</v>
      </c>
      <c r="I7" s="176">
        <v>1.0</v>
      </c>
      <c r="J7" s="932"/>
      <c r="K7" s="933" t="s">
        <v>9</v>
      </c>
      <c r="L7" s="371"/>
      <c r="M7" s="934"/>
      <c r="N7" s="375"/>
      <c r="O7" s="224"/>
      <c r="P7" s="358"/>
      <c r="Q7" s="358"/>
      <c r="R7" s="358"/>
      <c r="S7" s="358"/>
      <c r="T7" s="358"/>
      <c r="U7" s="358"/>
      <c r="V7" s="358"/>
      <c r="W7" s="358"/>
      <c r="X7" s="358"/>
      <c r="Y7" s="358"/>
      <c r="Z7" s="358"/>
    </row>
    <row r="8" ht="30.0" customHeight="1">
      <c r="A8" s="935"/>
      <c r="B8" s="367"/>
      <c r="C8" s="198"/>
      <c r="D8" s="368"/>
      <c r="E8" s="368"/>
      <c r="F8" s="48"/>
      <c r="G8" s="371"/>
      <c r="H8" s="203">
        <v>1.25</v>
      </c>
      <c r="I8" s="203">
        <v>1.32</v>
      </c>
      <c r="J8" s="372"/>
      <c r="K8" s="936"/>
      <c r="L8" s="371"/>
      <c r="M8" s="934"/>
      <c r="N8" s="375"/>
      <c r="O8" s="224"/>
      <c r="P8" s="935"/>
      <c r="Q8" s="935"/>
      <c r="R8" s="935"/>
      <c r="S8" s="935"/>
      <c r="T8" s="935"/>
      <c r="U8" s="935"/>
      <c r="V8" s="935"/>
      <c r="W8" s="935"/>
      <c r="X8" s="935"/>
      <c r="Y8" s="935"/>
      <c r="Z8" s="935"/>
    </row>
    <row r="9" ht="30.0" customHeight="1">
      <c r="A9" s="358"/>
      <c r="B9" s="367"/>
      <c r="C9" s="937" t="s">
        <v>202</v>
      </c>
      <c r="D9" s="175"/>
      <c r="E9" s="185" t="s">
        <v>81</v>
      </c>
      <c r="F9" s="54"/>
      <c r="G9" s="176"/>
      <c r="H9" s="176"/>
      <c r="I9" s="176"/>
      <c r="J9" s="938"/>
      <c r="K9" s="227">
        <v>60.0</v>
      </c>
      <c r="L9" s="939"/>
      <c r="M9" s="934"/>
      <c r="N9" s="375"/>
      <c r="O9" s="224"/>
      <c r="P9" s="358"/>
      <c r="Q9" s="358"/>
      <c r="R9" s="358"/>
      <c r="S9" s="358"/>
      <c r="T9" s="358"/>
      <c r="U9" s="358"/>
      <c r="V9" s="358"/>
      <c r="W9" s="358"/>
      <c r="X9" s="358"/>
      <c r="Y9" s="358"/>
      <c r="Z9" s="358"/>
    </row>
    <row r="10" ht="30.0" customHeight="1">
      <c r="A10" s="358"/>
      <c r="B10" s="174"/>
      <c r="C10" s="174"/>
      <c r="D10" s="175"/>
      <c r="E10" s="185" t="s">
        <v>11</v>
      </c>
      <c r="F10" s="54"/>
      <c r="G10" s="176"/>
      <c r="H10" s="176"/>
      <c r="I10" s="176"/>
      <c r="J10" s="932">
        <v>1.0</v>
      </c>
      <c r="K10" s="940"/>
      <c r="L10" s="941"/>
      <c r="M10" s="931"/>
      <c r="N10" s="20"/>
      <c r="O10" s="942"/>
      <c r="P10" s="358"/>
      <c r="Q10" s="358"/>
      <c r="R10" s="358"/>
      <c r="S10" s="358"/>
      <c r="T10" s="358"/>
      <c r="U10" s="358"/>
      <c r="V10" s="358"/>
      <c r="W10" s="358"/>
      <c r="X10" s="358"/>
      <c r="Y10" s="358"/>
      <c r="Z10" s="358"/>
    </row>
    <row r="11" ht="30.0" customHeight="1">
      <c r="A11" s="358"/>
      <c r="B11" s="174"/>
      <c r="C11" s="174"/>
      <c r="D11" s="175"/>
      <c r="E11" s="185" t="s">
        <v>10</v>
      </c>
      <c r="F11" s="54"/>
      <c r="G11" s="176"/>
      <c r="H11" s="176"/>
      <c r="I11" s="176"/>
      <c r="J11" s="932">
        <v>2.0</v>
      </c>
      <c r="K11" s="943"/>
      <c r="L11" s="944"/>
      <c r="M11" s="931"/>
      <c r="N11" s="20"/>
      <c r="O11" s="945"/>
      <c r="P11" s="358"/>
      <c r="Q11" s="358"/>
      <c r="R11" s="358"/>
      <c r="S11" s="358"/>
      <c r="T11" s="358"/>
      <c r="U11" s="358"/>
      <c r="V11" s="358"/>
      <c r="W11" s="358"/>
      <c r="X11" s="358"/>
      <c r="Y11" s="358"/>
      <c r="Z11" s="358"/>
    </row>
    <row r="12" ht="30.0" customHeight="1">
      <c r="A12" s="358"/>
      <c r="B12" s="174"/>
      <c r="C12" s="174"/>
      <c r="D12" s="175"/>
      <c r="E12" s="185" t="s">
        <v>9</v>
      </c>
      <c r="F12" s="20"/>
      <c r="G12" s="176"/>
      <c r="H12" s="176"/>
      <c r="I12" s="176"/>
      <c r="J12" s="932">
        <v>3.0</v>
      </c>
      <c r="K12" s="943"/>
      <c r="L12" s="944"/>
      <c r="M12" s="931"/>
      <c r="N12" s="20"/>
      <c r="O12" s="945"/>
      <c r="P12" s="358"/>
      <c r="Q12" s="358"/>
      <c r="R12" s="358"/>
      <c r="S12" s="358"/>
      <c r="T12" s="358"/>
      <c r="U12" s="358"/>
      <c r="V12" s="358"/>
      <c r="W12" s="358"/>
      <c r="X12" s="358"/>
      <c r="Y12" s="358"/>
      <c r="Z12" s="358"/>
    </row>
    <row r="13" ht="30.0" customHeight="1">
      <c r="A13" s="358"/>
      <c r="B13" s="174"/>
      <c r="C13" s="174"/>
      <c r="D13" s="175"/>
      <c r="E13" s="185" t="s">
        <v>21</v>
      </c>
      <c r="F13" s="63">
        <v>1.24</v>
      </c>
      <c r="G13" s="176"/>
      <c r="H13" s="203">
        <v>1.25</v>
      </c>
      <c r="I13" s="203">
        <v>1.32</v>
      </c>
      <c r="J13" s="932"/>
      <c r="K13" s="943"/>
      <c r="L13" s="944"/>
      <c r="M13" s="931"/>
      <c r="N13" s="20"/>
      <c r="O13" s="945"/>
      <c r="P13" s="358"/>
      <c r="Q13" s="358"/>
      <c r="R13" s="358"/>
      <c r="S13" s="358"/>
      <c r="T13" s="358"/>
      <c r="U13" s="358"/>
      <c r="V13" s="358"/>
      <c r="W13" s="358"/>
      <c r="X13" s="358"/>
      <c r="Y13" s="358"/>
      <c r="Z13" s="358"/>
    </row>
    <row r="14" ht="30.0" customHeight="1">
      <c r="A14" s="392"/>
      <c r="B14" s="83">
        <v>1.0</v>
      </c>
      <c r="C14" s="65" t="s">
        <v>203</v>
      </c>
      <c r="D14" s="66">
        <v>650.0</v>
      </c>
      <c r="E14" s="66"/>
      <c r="F14" s="66"/>
      <c r="G14" s="377"/>
      <c r="H14" s="377"/>
      <c r="I14" s="377"/>
      <c r="J14" s="382"/>
      <c r="K14" s="410" t="s">
        <v>25</v>
      </c>
      <c r="L14" s="73">
        <f>IF(K14="YES",IF(K7="2010-2013",I15*$K$9,IF(K7="2014-2021",H15*$K$9,IF(K7="2021-2023",G15*$K$9,0))),0)</f>
        <v>163680</v>
      </c>
      <c r="M14" s="946"/>
      <c r="N14" s="72" t="s">
        <v>23</v>
      </c>
      <c r="O14" s="73">
        <f>IF(N14="Delapidated",L14*0.6,IF(N14="Poor",L14*0.7,IF(N14="Fair",L14*0.8,IF(N14="Good",L14*0.85,IF(N14="Very Good",L14*0.9,IF(N14="Excellent",L14*1,IF(N14="Not Applicable",L14*1,0)))))))</f>
        <v>163680</v>
      </c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</row>
    <row r="15" ht="30.0" customHeight="1">
      <c r="A15" s="392"/>
      <c r="B15" s="84"/>
      <c r="C15" s="79" t="s">
        <v>25</v>
      </c>
      <c r="D15" s="399">
        <f>D17*D14</f>
        <v>65000</v>
      </c>
      <c r="E15" s="399"/>
      <c r="F15" s="399"/>
      <c r="G15" s="400">
        <f>2200*F13</f>
        <v>2728</v>
      </c>
      <c r="H15" s="400">
        <f t="shared" ref="H15:H16" si="1">G15/$H$13</f>
        <v>2182.4</v>
      </c>
      <c r="I15" s="400">
        <f t="shared" ref="I15:I16" si="2">G15/$I$13</f>
        <v>2066.666667</v>
      </c>
      <c r="J15" s="400">
        <v>1.0</v>
      </c>
      <c r="K15" s="947"/>
      <c r="L15" s="681"/>
      <c r="M15" s="946">
        <f>G15*K9</f>
        <v>163680</v>
      </c>
      <c r="N15" s="34"/>
      <c r="O15" s="402"/>
      <c r="P15" s="392"/>
      <c r="Q15" s="392"/>
      <c r="R15" s="392"/>
      <c r="S15" s="392"/>
      <c r="T15" s="392"/>
      <c r="U15" s="392"/>
      <c r="V15" s="392"/>
      <c r="W15" s="392"/>
      <c r="X15" s="392"/>
      <c r="Y15" s="392"/>
      <c r="Z15" s="392"/>
    </row>
    <row r="16" ht="30.0" customHeight="1">
      <c r="A16" s="392"/>
      <c r="B16" s="84"/>
      <c r="C16" s="79" t="s">
        <v>26</v>
      </c>
      <c r="D16" s="399">
        <v>0.0</v>
      </c>
      <c r="E16" s="399"/>
      <c r="F16" s="399"/>
      <c r="G16" s="400">
        <v>0.0</v>
      </c>
      <c r="H16" s="400">
        <f t="shared" si="1"/>
        <v>0</v>
      </c>
      <c r="I16" s="400">
        <f t="shared" si="2"/>
        <v>0</v>
      </c>
      <c r="J16" s="400">
        <v>2.0</v>
      </c>
      <c r="K16" s="948"/>
      <c r="L16" s="73"/>
      <c r="M16" s="946">
        <v>0.0</v>
      </c>
      <c r="N16" s="34"/>
      <c r="O16" s="402"/>
      <c r="P16" s="392"/>
      <c r="Q16" s="392"/>
      <c r="R16" s="392"/>
      <c r="S16" s="392"/>
      <c r="T16" s="392"/>
      <c r="U16" s="392"/>
      <c r="V16" s="392"/>
      <c r="W16" s="392"/>
      <c r="X16" s="392"/>
      <c r="Y16" s="392"/>
      <c r="Z16" s="392"/>
    </row>
    <row r="17" ht="30.0" customHeight="1">
      <c r="A17" s="392"/>
      <c r="B17" s="85"/>
      <c r="C17" s="949" t="s">
        <v>204</v>
      </c>
      <c r="D17" s="42">
        <f>5*20</f>
        <v>100</v>
      </c>
      <c r="E17" s="42"/>
      <c r="F17" s="42"/>
      <c r="G17" s="400"/>
      <c r="H17" s="400"/>
      <c r="I17" s="400"/>
      <c r="J17" s="400"/>
      <c r="K17" s="948"/>
      <c r="L17" s="217"/>
      <c r="M17" s="946"/>
      <c r="N17" s="34"/>
      <c r="O17" s="786"/>
      <c r="P17" s="392"/>
      <c r="Q17" s="392"/>
      <c r="R17" s="392"/>
      <c r="S17" s="392"/>
      <c r="T17" s="392"/>
      <c r="U17" s="392"/>
      <c r="V17" s="392"/>
      <c r="W17" s="392"/>
      <c r="X17" s="392"/>
      <c r="Y17" s="392"/>
      <c r="Z17" s="392"/>
    </row>
    <row r="18" ht="30.0" customHeight="1">
      <c r="A18" s="404"/>
      <c r="B18" s="375"/>
      <c r="C18" s="950"/>
      <c r="D18" s="221"/>
      <c r="E18" s="221"/>
      <c r="F18" s="221"/>
      <c r="G18" s="407"/>
      <c r="H18" s="407"/>
      <c r="I18" s="407"/>
      <c r="J18" s="407"/>
      <c r="K18" s="951"/>
      <c r="L18" s="45"/>
      <c r="M18" s="952"/>
      <c r="N18" s="612"/>
      <c r="O18" s="409"/>
      <c r="P18" s="404"/>
      <c r="Q18" s="404"/>
      <c r="R18" s="404"/>
      <c r="S18" s="404"/>
      <c r="T18" s="404"/>
      <c r="U18" s="404"/>
      <c r="V18" s="404"/>
      <c r="W18" s="404"/>
      <c r="X18" s="404"/>
      <c r="Y18" s="404"/>
      <c r="Z18" s="404"/>
    </row>
    <row r="19" ht="30.0" customHeight="1">
      <c r="A19" s="392"/>
      <c r="B19" s="44"/>
      <c r="C19" s="953" t="s">
        <v>205</v>
      </c>
      <c r="D19" s="42"/>
      <c r="E19" s="42"/>
      <c r="F19" s="42"/>
      <c r="G19" s="400"/>
      <c r="H19" s="400"/>
      <c r="I19" s="400"/>
      <c r="J19" s="954"/>
      <c r="K19" s="227">
        <v>100.0</v>
      </c>
      <c r="L19" s="228"/>
      <c r="M19" s="952"/>
      <c r="N19" s="612"/>
      <c r="O19" s="409"/>
      <c r="P19" s="392"/>
      <c r="Q19" s="392"/>
      <c r="R19" s="392"/>
      <c r="S19" s="392"/>
      <c r="T19" s="392"/>
      <c r="U19" s="392"/>
      <c r="V19" s="392"/>
      <c r="W19" s="392"/>
      <c r="X19" s="392"/>
      <c r="Y19" s="392"/>
      <c r="Z19" s="392"/>
    </row>
    <row r="20" ht="30.0" customHeight="1">
      <c r="A20" s="392"/>
      <c r="B20" s="83">
        <v>2.0</v>
      </c>
      <c r="C20" s="65" t="s">
        <v>206</v>
      </c>
      <c r="D20" s="66">
        <v>360.0</v>
      </c>
      <c r="E20" s="66"/>
      <c r="F20" s="66"/>
      <c r="G20" s="400"/>
      <c r="H20" s="400"/>
      <c r="I20" s="400"/>
      <c r="J20" s="400"/>
      <c r="K20" s="955" t="s">
        <v>26</v>
      </c>
      <c r="L20" s="230">
        <f>IF(K20="YES",IF(K7="2010-2013",I21*$K$19,IF(K7="2014-2021",H21*$K$19,IF(K7="2021-2023",G21*$K$19,0))),0)</f>
        <v>0</v>
      </c>
      <c r="M20" s="946"/>
      <c r="N20" s="229" t="s">
        <v>23</v>
      </c>
      <c r="O20" s="230">
        <f>IF(N20="Delapidated",L20*0.6,IF(N20="Poor",L20*0.7,IF(N20="Fair",L20*0.8,IF(N20="Good",L20*0.85,IF(N20="Very Good",L20*0.9,IF(N20="Excellent",L20*1,IF(N20="Not Applicable",L20*1,0)))))))</f>
        <v>0</v>
      </c>
      <c r="P20" s="392"/>
      <c r="Q20" s="392"/>
      <c r="R20" s="392"/>
      <c r="S20" s="392"/>
      <c r="T20" s="392"/>
      <c r="U20" s="392"/>
      <c r="V20" s="392"/>
      <c r="W20" s="392"/>
      <c r="X20" s="392"/>
      <c r="Y20" s="392"/>
      <c r="Z20" s="392"/>
    </row>
    <row r="21" ht="30.0" customHeight="1">
      <c r="A21" s="392"/>
      <c r="B21" s="84"/>
      <c r="C21" s="79" t="s">
        <v>25</v>
      </c>
      <c r="D21" s="399">
        <f>D20*D23</f>
        <v>36000</v>
      </c>
      <c r="E21" s="399"/>
      <c r="F21" s="399"/>
      <c r="G21" s="400">
        <f>360*F13</f>
        <v>446.4</v>
      </c>
      <c r="H21" s="400">
        <f t="shared" ref="H21:H22" si="3">G21/$H$13</f>
        <v>357.12</v>
      </c>
      <c r="I21" s="400">
        <f t="shared" ref="I21:I22" si="4">G21/$I$13</f>
        <v>338.1818182</v>
      </c>
      <c r="J21" s="400">
        <v>1.0</v>
      </c>
      <c r="K21" s="947"/>
      <c r="L21" s="681"/>
      <c r="M21" s="946">
        <f>K19*G21</f>
        <v>44640</v>
      </c>
      <c r="N21" s="34"/>
      <c r="O21" s="402"/>
      <c r="P21" s="392"/>
      <c r="Q21" s="392"/>
      <c r="R21" s="392"/>
      <c r="S21" s="392"/>
      <c r="T21" s="392"/>
      <c r="U21" s="392"/>
      <c r="V21" s="392"/>
      <c r="W21" s="392"/>
      <c r="X21" s="392"/>
      <c r="Y21" s="392"/>
      <c r="Z21" s="392"/>
    </row>
    <row r="22" ht="30.0" customHeight="1">
      <c r="A22" s="392"/>
      <c r="B22" s="84"/>
      <c r="C22" s="79" t="s">
        <v>26</v>
      </c>
      <c r="D22" s="399">
        <v>0.0</v>
      </c>
      <c r="E22" s="399"/>
      <c r="F22" s="399"/>
      <c r="G22" s="400">
        <v>0.0</v>
      </c>
      <c r="H22" s="400">
        <f t="shared" si="3"/>
        <v>0</v>
      </c>
      <c r="I22" s="400">
        <f t="shared" si="4"/>
        <v>0</v>
      </c>
      <c r="J22" s="400">
        <v>2.0</v>
      </c>
      <c r="K22" s="948"/>
      <c r="L22" s="73"/>
      <c r="M22" s="946">
        <v>0.0</v>
      </c>
      <c r="N22" s="34"/>
      <c r="O22" s="402"/>
      <c r="P22" s="392"/>
      <c r="Q22" s="392"/>
      <c r="R22" s="392"/>
      <c r="S22" s="392"/>
      <c r="T22" s="392"/>
      <c r="U22" s="392"/>
      <c r="V22" s="392"/>
      <c r="W22" s="392"/>
      <c r="X22" s="392"/>
      <c r="Y22" s="392"/>
      <c r="Z22" s="392"/>
    </row>
    <row r="23" ht="30.0" customHeight="1">
      <c r="A23" s="392"/>
      <c r="B23" s="85"/>
      <c r="C23" s="949" t="s">
        <v>204</v>
      </c>
      <c r="D23" s="42">
        <v>100.0</v>
      </c>
      <c r="E23" s="42"/>
      <c r="F23" s="42"/>
      <c r="G23" s="400"/>
      <c r="H23" s="400"/>
      <c r="I23" s="400"/>
      <c r="J23" s="400"/>
      <c r="K23" s="948"/>
      <c r="L23" s="217"/>
      <c r="M23" s="946"/>
      <c r="N23" s="34"/>
      <c r="O23" s="786"/>
      <c r="P23" s="392"/>
      <c r="Q23" s="392"/>
      <c r="R23" s="392"/>
      <c r="S23" s="392"/>
      <c r="T23" s="392"/>
      <c r="U23" s="392"/>
      <c r="V23" s="392"/>
      <c r="W23" s="392"/>
      <c r="X23" s="392"/>
      <c r="Y23" s="392"/>
      <c r="Z23" s="392"/>
    </row>
    <row r="24" ht="30.0" customHeight="1">
      <c r="A24" s="404"/>
      <c r="B24" s="375"/>
      <c r="C24" s="950"/>
      <c r="D24" s="221"/>
      <c r="E24" s="221"/>
      <c r="F24" s="221"/>
      <c r="G24" s="407"/>
      <c r="H24" s="407"/>
      <c r="I24" s="407"/>
      <c r="J24" s="407"/>
      <c r="K24" s="951"/>
      <c r="L24" s="45"/>
      <c r="M24" s="952"/>
      <c r="N24" s="612"/>
      <c r="O24" s="409"/>
      <c r="P24" s="404"/>
      <c r="Q24" s="404"/>
      <c r="R24" s="404"/>
      <c r="S24" s="404"/>
      <c r="T24" s="404"/>
      <c r="U24" s="404"/>
      <c r="V24" s="404"/>
      <c r="W24" s="404"/>
      <c r="X24" s="404"/>
      <c r="Y24" s="404"/>
      <c r="Z24" s="404"/>
    </row>
    <row r="25" ht="30.0" customHeight="1">
      <c r="A25" s="392"/>
      <c r="B25" s="44"/>
      <c r="C25" s="953" t="s">
        <v>207</v>
      </c>
      <c r="D25" s="42"/>
      <c r="E25" s="42"/>
      <c r="F25" s="42"/>
      <c r="G25" s="400"/>
      <c r="H25" s="400"/>
      <c r="I25" s="400"/>
      <c r="J25" s="954"/>
      <c r="K25" s="227">
        <v>18.0</v>
      </c>
      <c r="L25" s="228"/>
      <c r="M25" s="952"/>
      <c r="N25" s="612"/>
      <c r="O25" s="409"/>
      <c r="P25" s="392"/>
      <c r="Q25" s="392"/>
      <c r="R25" s="392"/>
      <c r="S25" s="392"/>
      <c r="T25" s="392"/>
      <c r="U25" s="392"/>
      <c r="V25" s="392"/>
      <c r="W25" s="392"/>
      <c r="X25" s="392"/>
      <c r="Y25" s="392"/>
      <c r="Z25" s="392"/>
    </row>
    <row r="26" ht="30.0" customHeight="1">
      <c r="A26" s="392"/>
      <c r="B26" s="219">
        <v>3.0</v>
      </c>
      <c r="C26" s="65" t="s">
        <v>208</v>
      </c>
      <c r="D26" s="66">
        <v>480.0</v>
      </c>
      <c r="E26" s="66"/>
      <c r="F26" s="66"/>
      <c r="G26" s="400"/>
      <c r="H26" s="400"/>
      <c r="I26" s="400"/>
      <c r="J26" s="400"/>
      <c r="K26" s="955" t="s">
        <v>25</v>
      </c>
      <c r="L26" s="230">
        <f>IF(K26="YES",IF(K7="2010-2013",I27*$K$25,IF(K7="2014-2021",H27*$K$25,IF(K7="2021-2023",G27*$K$25,0))),0)</f>
        <v>8640</v>
      </c>
      <c r="M26" s="946"/>
      <c r="N26" s="229" t="s">
        <v>23</v>
      </c>
      <c r="O26" s="230">
        <f>IF(N26="Delapidated",L26*0.6,IF(N26="Poor",L26*0.7,IF(N26="Fair",L26*0.8,IF(N26="Good",L26*0.85,IF(N26="Very Good",L26*0.9,IF(N26="Excellent",L26*1,IF(N26="Not Applicable",L26*1,0)))))))</f>
        <v>8640</v>
      </c>
      <c r="P26" s="392"/>
      <c r="Q26" s="392"/>
      <c r="R26" s="392"/>
      <c r="S26" s="392"/>
      <c r="T26" s="392"/>
      <c r="U26" s="392"/>
      <c r="V26" s="392"/>
      <c r="W26" s="392"/>
      <c r="X26" s="392"/>
      <c r="Y26" s="392"/>
      <c r="Z26" s="392"/>
    </row>
    <row r="27" ht="30.0" customHeight="1">
      <c r="A27" s="392"/>
      <c r="B27" s="219"/>
      <c r="C27" s="79" t="s">
        <v>25</v>
      </c>
      <c r="D27" s="399">
        <f>D29*D26</f>
        <v>8640</v>
      </c>
      <c r="E27" s="399"/>
      <c r="F27" s="399"/>
      <c r="G27" s="400">
        <v>480.0</v>
      </c>
      <c r="H27" s="400">
        <f t="shared" ref="H27:H28" si="5">G27/$H$13</f>
        <v>384</v>
      </c>
      <c r="I27" s="400">
        <f t="shared" ref="I27:I28" si="6">G27/$I$13</f>
        <v>363.6363636</v>
      </c>
      <c r="J27" s="400">
        <v>1.0</v>
      </c>
      <c r="K27" s="219"/>
      <c r="L27" s="413"/>
      <c r="M27" s="946">
        <f>K25*G27</f>
        <v>8640</v>
      </c>
      <c r="N27" s="34"/>
      <c r="O27" s="416"/>
      <c r="P27" s="392"/>
      <c r="Q27" s="392"/>
      <c r="R27" s="392"/>
      <c r="S27" s="392"/>
      <c r="T27" s="392"/>
      <c r="U27" s="392"/>
      <c r="V27" s="392"/>
      <c r="W27" s="392"/>
      <c r="X27" s="392"/>
      <c r="Y27" s="392"/>
      <c r="Z27" s="392"/>
    </row>
    <row r="28" ht="30.0" customHeight="1">
      <c r="A28" s="392"/>
      <c r="B28" s="219"/>
      <c r="C28" s="79" t="s">
        <v>26</v>
      </c>
      <c r="D28" s="399">
        <f>D15*L28</f>
        <v>0</v>
      </c>
      <c r="E28" s="399"/>
      <c r="F28" s="399"/>
      <c r="G28" s="400">
        <v>0.0</v>
      </c>
      <c r="H28" s="400">
        <f t="shared" si="5"/>
        <v>0</v>
      </c>
      <c r="I28" s="400">
        <f t="shared" si="6"/>
        <v>0</v>
      </c>
      <c r="J28" s="400">
        <v>2.0</v>
      </c>
      <c r="K28" s="400"/>
      <c r="L28" s="945"/>
      <c r="M28" s="946">
        <v>0.0</v>
      </c>
      <c r="N28" s="34"/>
      <c r="O28" s="416"/>
      <c r="P28" s="392"/>
      <c r="Q28" s="392"/>
      <c r="R28" s="392"/>
      <c r="S28" s="392"/>
      <c r="T28" s="392"/>
      <c r="U28" s="392"/>
      <c r="V28" s="392"/>
      <c r="W28" s="392"/>
      <c r="X28" s="392"/>
      <c r="Y28" s="392"/>
      <c r="Z28" s="392"/>
    </row>
    <row r="29" ht="30.0" customHeight="1">
      <c r="A29" s="392"/>
      <c r="B29" s="219"/>
      <c r="C29" s="949" t="s">
        <v>204</v>
      </c>
      <c r="D29" s="42">
        <v>18.0</v>
      </c>
      <c r="E29" s="42"/>
      <c r="F29" s="42"/>
      <c r="G29" s="400"/>
      <c r="H29" s="400"/>
      <c r="I29" s="400"/>
      <c r="J29" s="400"/>
      <c r="K29" s="400"/>
      <c r="L29" s="945"/>
      <c r="M29" s="946"/>
      <c r="N29" s="34"/>
      <c r="O29" s="416"/>
      <c r="P29" s="392"/>
      <c r="Q29" s="392"/>
      <c r="R29" s="392"/>
      <c r="S29" s="392"/>
      <c r="T29" s="392"/>
      <c r="U29" s="392"/>
      <c r="V29" s="392"/>
      <c r="W29" s="392"/>
      <c r="X29" s="392"/>
      <c r="Y29" s="392"/>
      <c r="Z29" s="392"/>
    </row>
    <row r="30" ht="30.0" customHeight="1">
      <c r="A30" s="956"/>
      <c r="B30" s="340"/>
      <c r="C30" s="570"/>
      <c r="D30" s="342"/>
      <c r="E30" s="342"/>
      <c r="F30" s="342"/>
      <c r="G30" s="957"/>
      <c r="H30" s="957"/>
      <c r="I30" s="957"/>
      <c r="J30" s="957"/>
      <c r="K30" s="957"/>
      <c r="L30" s="248"/>
      <c r="M30" s="958"/>
      <c r="N30" s="218"/>
      <c r="O30" s="959"/>
      <c r="P30" s="404"/>
      <c r="Q30" s="404"/>
      <c r="R30" s="404"/>
      <c r="S30" s="404"/>
      <c r="T30" s="404"/>
      <c r="U30" s="404"/>
      <c r="V30" s="404"/>
      <c r="W30" s="404"/>
      <c r="X30" s="404"/>
      <c r="Y30" s="404"/>
      <c r="Z30" s="404"/>
    </row>
    <row r="31" ht="30.0" customHeight="1">
      <c r="A31" s="960"/>
      <c r="B31" s="119"/>
      <c r="C31" s="17"/>
      <c r="D31" s="16"/>
      <c r="E31" s="16"/>
      <c r="F31" s="16"/>
      <c r="G31" s="430"/>
      <c r="H31" s="430"/>
      <c r="I31" s="430"/>
      <c r="J31" s="17"/>
      <c r="K31" s="435" t="s">
        <v>116</v>
      </c>
      <c r="L31" s="436">
        <f>SUM(L14:L28)</f>
        <v>172320</v>
      </c>
      <c r="M31" s="961"/>
      <c r="N31" s="17"/>
      <c r="O31" s="266">
        <f>SUM(O14:O26)</f>
        <v>172320</v>
      </c>
      <c r="P31" s="960"/>
      <c r="Q31" s="960"/>
      <c r="R31" s="960"/>
      <c r="S31" s="960"/>
      <c r="T31" s="960"/>
      <c r="U31" s="960"/>
      <c r="V31" s="960"/>
      <c r="W31" s="960"/>
      <c r="X31" s="960"/>
      <c r="Y31" s="960"/>
      <c r="Z31" s="960"/>
    </row>
    <row r="32" ht="12.0" customHeight="1">
      <c r="B32" s="119"/>
      <c r="C32" s="17"/>
      <c r="D32" s="16"/>
      <c r="E32" s="16"/>
      <c r="F32" s="16"/>
      <c r="G32" s="430"/>
      <c r="H32" s="430"/>
      <c r="I32" s="430"/>
      <c r="J32" s="430"/>
      <c r="K32" s="430"/>
      <c r="L32" s="117"/>
      <c r="M32" s="961"/>
      <c r="N32" s="17"/>
      <c r="O32" s="433"/>
    </row>
    <row r="33" ht="12.0" customHeight="1">
      <c r="B33" s="1"/>
      <c r="D33" s="161"/>
      <c r="E33" s="161"/>
      <c r="F33" s="161"/>
      <c r="G33" s="348"/>
      <c r="H33" s="348"/>
      <c r="I33" s="348"/>
      <c r="J33" s="348"/>
      <c r="K33" s="348"/>
      <c r="L33" s="3"/>
      <c r="M33" s="928"/>
      <c r="O33" s="151"/>
    </row>
    <row r="34" ht="12.0" customHeight="1">
      <c r="B34" s="1"/>
      <c r="D34" s="161"/>
      <c r="E34" s="161"/>
      <c r="F34" s="161"/>
      <c r="G34" s="348"/>
      <c r="H34" s="348"/>
      <c r="I34" s="348"/>
      <c r="J34" s="348"/>
      <c r="K34" s="348"/>
      <c r="L34" s="3"/>
      <c r="M34" s="928"/>
      <c r="O34" s="151"/>
    </row>
    <row r="35" ht="12.0" customHeight="1">
      <c r="B35" s="1"/>
      <c r="D35" s="161"/>
      <c r="E35" s="161"/>
      <c r="F35" s="161"/>
      <c r="G35" s="348"/>
      <c r="H35" s="348"/>
      <c r="I35" s="348"/>
      <c r="J35" s="348"/>
      <c r="K35" s="348"/>
      <c r="L35" s="3"/>
      <c r="M35" s="928"/>
      <c r="O35" s="151"/>
    </row>
    <row r="36" ht="12.0" customHeight="1">
      <c r="B36" s="1"/>
      <c r="D36" s="161"/>
      <c r="E36" s="161"/>
      <c r="F36" s="161"/>
      <c r="G36" s="348"/>
      <c r="H36" s="348"/>
      <c r="I36" s="348"/>
      <c r="J36" s="348"/>
      <c r="K36" s="348"/>
      <c r="L36" s="3"/>
      <c r="M36" s="928"/>
      <c r="O36" s="151"/>
    </row>
    <row r="37" ht="12.0" customHeight="1">
      <c r="B37" s="1"/>
      <c r="D37" s="161"/>
      <c r="E37" s="161"/>
      <c r="F37" s="161"/>
      <c r="G37" s="348"/>
      <c r="H37" s="348"/>
      <c r="I37" s="348"/>
      <c r="J37" s="348"/>
      <c r="K37" s="348"/>
      <c r="L37" s="3"/>
      <c r="M37" s="928"/>
      <c r="O37" s="151"/>
    </row>
    <row r="38" ht="12.0" customHeight="1">
      <c r="B38" s="1"/>
      <c r="D38" s="161"/>
      <c r="E38" s="161"/>
      <c r="F38" s="161"/>
      <c r="G38" s="348"/>
      <c r="H38" s="348"/>
      <c r="I38" s="348"/>
      <c r="J38" s="348"/>
      <c r="K38" s="348"/>
      <c r="L38" s="3"/>
      <c r="M38" s="928"/>
      <c r="O38" s="151"/>
    </row>
    <row r="39" ht="12.0" customHeight="1">
      <c r="B39" s="1"/>
      <c r="D39" s="161"/>
      <c r="E39" s="161"/>
      <c r="F39" s="161"/>
      <c r="G39" s="348"/>
      <c r="H39" s="348"/>
      <c r="I39" s="348"/>
      <c r="J39" s="348"/>
      <c r="K39" s="348"/>
      <c r="L39" s="3"/>
      <c r="M39" s="928"/>
      <c r="O39" s="151"/>
    </row>
    <row r="40" ht="12.0" customHeight="1">
      <c r="B40" s="1"/>
      <c r="D40" s="161"/>
      <c r="E40" s="161"/>
      <c r="F40" s="161"/>
      <c r="G40" s="348"/>
      <c r="H40" s="348"/>
      <c r="I40" s="348"/>
      <c r="J40" s="348"/>
      <c r="K40" s="348"/>
      <c r="L40" s="3"/>
      <c r="M40" s="928"/>
      <c r="O40" s="151"/>
    </row>
    <row r="41" ht="12.0" customHeight="1">
      <c r="B41" s="1"/>
      <c r="D41" s="161"/>
      <c r="E41" s="161"/>
      <c r="F41" s="161"/>
      <c r="G41" s="348"/>
      <c r="H41" s="348"/>
      <c r="I41" s="348"/>
      <c r="J41" s="348"/>
      <c r="K41" s="348"/>
      <c r="L41" s="3"/>
      <c r="M41" s="928"/>
      <c r="O41" s="151"/>
      <c r="P41" s="962"/>
    </row>
    <row r="42" ht="12.0" customHeight="1">
      <c r="B42" s="1"/>
      <c r="D42" s="161"/>
      <c r="E42" s="161"/>
      <c r="F42" s="161"/>
      <c r="G42" s="348"/>
      <c r="H42" s="348"/>
      <c r="I42" s="348"/>
      <c r="J42" s="348"/>
      <c r="K42" s="348"/>
      <c r="L42" s="3"/>
      <c r="M42" s="928"/>
      <c r="O42" s="151"/>
    </row>
    <row r="43" ht="12.0" customHeight="1">
      <c r="B43" s="1"/>
      <c r="D43" s="161"/>
      <c r="E43" s="161"/>
      <c r="F43" s="161"/>
      <c r="G43" s="348"/>
      <c r="H43" s="348"/>
      <c r="I43" s="348"/>
      <c r="J43" s="348"/>
      <c r="K43" s="348"/>
      <c r="L43" s="3"/>
      <c r="M43" s="928"/>
      <c r="O43" s="151"/>
    </row>
    <row r="44" ht="12.0" customHeight="1">
      <c r="B44" s="1"/>
      <c r="D44" s="161"/>
      <c r="E44" s="161"/>
      <c r="F44" s="161"/>
      <c r="G44" s="348"/>
      <c r="H44" s="348"/>
      <c r="I44" s="348"/>
      <c r="J44" s="348"/>
      <c r="K44" s="348"/>
      <c r="L44" s="3"/>
      <c r="M44" s="928"/>
      <c r="O44" s="151"/>
    </row>
    <row r="45" ht="12.0" customHeight="1">
      <c r="B45" s="1"/>
      <c r="D45" s="161"/>
      <c r="E45" s="161"/>
      <c r="F45" s="161"/>
      <c r="G45" s="348"/>
      <c r="H45" s="348"/>
      <c r="I45" s="348"/>
      <c r="J45" s="348"/>
      <c r="K45" s="348"/>
      <c r="L45" s="3"/>
      <c r="M45" s="928"/>
      <c r="O45" s="151"/>
    </row>
    <row r="46" ht="12.0" customHeight="1">
      <c r="B46" s="1"/>
      <c r="D46" s="161"/>
      <c r="E46" s="161"/>
      <c r="F46" s="161"/>
      <c r="G46" s="348"/>
      <c r="H46" s="348"/>
      <c r="I46" s="348"/>
      <c r="J46" s="348"/>
      <c r="K46" s="348"/>
      <c r="L46" s="3"/>
      <c r="M46" s="928"/>
      <c r="O46" s="151"/>
    </row>
    <row r="47" ht="12.0" customHeight="1">
      <c r="B47" s="1"/>
      <c r="D47" s="161"/>
      <c r="E47" s="161"/>
      <c r="F47" s="161"/>
      <c r="G47" s="348"/>
      <c r="H47" s="348"/>
      <c r="I47" s="348"/>
      <c r="J47" s="348"/>
      <c r="K47" s="348"/>
      <c r="L47" s="3"/>
      <c r="M47" s="928"/>
      <c r="O47" s="151"/>
    </row>
    <row r="48" ht="12.0" customHeight="1">
      <c r="B48" s="1"/>
      <c r="D48" s="161"/>
      <c r="E48" s="161"/>
      <c r="F48" s="161"/>
      <c r="G48" s="348"/>
      <c r="H48" s="348"/>
      <c r="I48" s="348"/>
      <c r="J48" s="348"/>
      <c r="K48" s="348"/>
      <c r="L48" s="3"/>
      <c r="M48" s="928"/>
      <c r="O48" s="151"/>
    </row>
    <row r="49" ht="12.0" customHeight="1">
      <c r="B49" s="1"/>
      <c r="D49" s="161"/>
      <c r="E49" s="161"/>
      <c r="F49" s="161"/>
      <c r="G49" s="348"/>
      <c r="H49" s="348"/>
      <c r="I49" s="348"/>
      <c r="J49" s="348"/>
      <c r="K49" s="348"/>
      <c r="L49" s="3"/>
      <c r="M49" s="928"/>
      <c r="O49" s="151"/>
    </row>
    <row r="50" ht="12.0" customHeight="1">
      <c r="B50" s="1"/>
      <c r="D50" s="161"/>
      <c r="E50" s="161"/>
      <c r="F50" s="161"/>
      <c r="G50" s="348"/>
      <c r="H50" s="348"/>
      <c r="I50" s="348"/>
      <c r="J50" s="348"/>
      <c r="K50" s="348"/>
      <c r="L50" s="3"/>
      <c r="M50" s="928"/>
      <c r="O50" s="151"/>
    </row>
    <row r="51" ht="12.0" customHeight="1">
      <c r="B51" s="1"/>
      <c r="D51" s="161"/>
      <c r="E51" s="161"/>
      <c r="F51" s="161"/>
      <c r="G51" s="348"/>
      <c r="H51" s="348"/>
      <c r="I51" s="348"/>
      <c r="J51" s="348"/>
      <c r="K51" s="348"/>
      <c r="L51" s="3"/>
      <c r="M51" s="928"/>
      <c r="O51" s="151"/>
    </row>
    <row r="52" ht="12.0" customHeight="1">
      <c r="B52" s="1"/>
      <c r="D52" s="161"/>
      <c r="E52" s="161"/>
      <c r="F52" s="161"/>
      <c r="G52" s="348"/>
      <c r="H52" s="348"/>
      <c r="I52" s="348"/>
      <c r="J52" s="348"/>
      <c r="K52" s="348"/>
      <c r="L52" s="3"/>
      <c r="M52" s="928"/>
      <c r="O52" s="151"/>
    </row>
    <row r="53" ht="12.0" customHeight="1">
      <c r="B53" s="1"/>
      <c r="D53" s="161"/>
      <c r="E53" s="161"/>
      <c r="F53" s="161"/>
      <c r="G53" s="348"/>
      <c r="H53" s="348"/>
      <c r="I53" s="348"/>
      <c r="J53" s="348"/>
      <c r="K53" s="348"/>
      <c r="L53" s="3"/>
      <c r="M53" s="928"/>
      <c r="O53" s="151"/>
    </row>
    <row r="54" ht="12.0" customHeight="1">
      <c r="B54" s="1"/>
      <c r="D54" s="161"/>
      <c r="E54" s="161"/>
      <c r="F54" s="161"/>
      <c r="G54" s="348"/>
      <c r="H54" s="348"/>
      <c r="I54" s="348"/>
      <c r="J54" s="348"/>
      <c r="K54" s="348"/>
      <c r="L54" s="3"/>
      <c r="M54" s="928"/>
      <c r="O54" s="151"/>
    </row>
    <row r="55" ht="12.0" customHeight="1">
      <c r="B55" s="1"/>
      <c r="D55" s="161"/>
      <c r="E55" s="161"/>
      <c r="F55" s="161"/>
      <c r="G55" s="348"/>
      <c r="H55" s="348"/>
      <c r="I55" s="348"/>
      <c r="J55" s="348"/>
      <c r="K55" s="348"/>
      <c r="L55" s="3"/>
      <c r="M55" s="928"/>
      <c r="O55" s="151"/>
    </row>
    <row r="56" ht="12.0" customHeight="1">
      <c r="B56" s="1"/>
      <c r="D56" s="161"/>
      <c r="E56" s="161"/>
      <c r="F56" s="161"/>
      <c r="G56" s="348"/>
      <c r="H56" s="348"/>
      <c r="I56" s="348"/>
      <c r="J56" s="348"/>
      <c r="K56" s="348"/>
      <c r="L56" s="3"/>
      <c r="M56" s="928"/>
      <c r="O56" s="151"/>
    </row>
    <row r="57" ht="12.0" customHeight="1">
      <c r="B57" s="1"/>
      <c r="D57" s="161"/>
      <c r="E57" s="161"/>
      <c r="F57" s="161"/>
      <c r="G57" s="348"/>
      <c r="H57" s="348"/>
      <c r="I57" s="348"/>
      <c r="J57" s="348"/>
      <c r="K57" s="348"/>
      <c r="L57" s="3"/>
      <c r="M57" s="928"/>
      <c r="O57" s="151"/>
    </row>
    <row r="58" ht="12.0" customHeight="1">
      <c r="B58" s="1"/>
      <c r="D58" s="161"/>
      <c r="E58" s="161"/>
      <c r="F58" s="161"/>
      <c r="G58" s="348"/>
      <c r="H58" s="348"/>
      <c r="I58" s="348"/>
      <c r="J58" s="348"/>
      <c r="K58" s="348"/>
      <c r="L58" s="3"/>
      <c r="M58" s="928"/>
      <c r="O58" s="151"/>
    </row>
    <row r="59" ht="12.0" customHeight="1">
      <c r="B59" s="1"/>
      <c r="D59" s="161"/>
      <c r="E59" s="161"/>
      <c r="F59" s="161"/>
      <c r="G59" s="348"/>
      <c r="H59" s="348"/>
      <c r="I59" s="348"/>
      <c r="J59" s="348"/>
      <c r="K59" s="348"/>
      <c r="L59" s="3"/>
      <c r="M59" s="928"/>
      <c r="O59" s="151"/>
    </row>
    <row r="60" ht="12.0" customHeight="1">
      <c r="B60" s="1"/>
      <c r="D60" s="161"/>
      <c r="E60" s="161"/>
      <c r="F60" s="161"/>
      <c r="G60" s="348"/>
      <c r="H60" s="348"/>
      <c r="I60" s="348"/>
      <c r="J60" s="348"/>
      <c r="K60" s="348"/>
      <c r="L60" s="3"/>
      <c r="M60" s="928"/>
      <c r="O60" s="151"/>
    </row>
    <row r="61" ht="12.0" customHeight="1">
      <c r="B61" s="1"/>
      <c r="D61" s="161"/>
      <c r="E61" s="161"/>
      <c r="F61" s="161"/>
      <c r="G61" s="348"/>
      <c r="H61" s="348"/>
      <c r="I61" s="348"/>
      <c r="J61" s="348"/>
      <c r="K61" s="348"/>
      <c r="L61" s="3"/>
      <c r="M61" s="928"/>
      <c r="O61" s="151"/>
    </row>
    <row r="62" ht="12.0" customHeight="1">
      <c r="B62" s="1"/>
      <c r="D62" s="161"/>
      <c r="E62" s="161"/>
      <c r="F62" s="161"/>
      <c r="G62" s="348"/>
      <c r="H62" s="348"/>
      <c r="I62" s="348"/>
      <c r="J62" s="348"/>
      <c r="K62" s="348"/>
      <c r="L62" s="3"/>
      <c r="M62" s="928"/>
      <c r="O62" s="151"/>
    </row>
    <row r="63" ht="12.0" customHeight="1">
      <c r="B63" s="1"/>
      <c r="D63" s="161"/>
      <c r="E63" s="161"/>
      <c r="F63" s="161"/>
      <c r="G63" s="348"/>
      <c r="H63" s="348"/>
      <c r="I63" s="348"/>
      <c r="J63" s="348"/>
      <c r="K63" s="348"/>
      <c r="L63" s="3"/>
      <c r="M63" s="928"/>
      <c r="O63" s="151"/>
    </row>
    <row r="64" ht="12.0" customHeight="1">
      <c r="B64" s="1"/>
      <c r="D64" s="161"/>
      <c r="E64" s="161"/>
      <c r="F64" s="161"/>
      <c r="G64" s="348"/>
      <c r="H64" s="348"/>
      <c r="I64" s="348"/>
      <c r="J64" s="348"/>
      <c r="K64" s="348"/>
      <c r="L64" s="3"/>
      <c r="M64" s="928"/>
      <c r="O64" s="151"/>
    </row>
    <row r="65" ht="12.0" customHeight="1">
      <c r="B65" s="1"/>
      <c r="D65" s="161"/>
      <c r="E65" s="161"/>
      <c r="F65" s="161"/>
      <c r="G65" s="348"/>
      <c r="H65" s="348"/>
      <c r="I65" s="348"/>
      <c r="J65" s="348"/>
      <c r="K65" s="348"/>
      <c r="L65" s="3"/>
      <c r="M65" s="928"/>
      <c r="O65" s="151"/>
    </row>
    <row r="66" ht="12.0" customHeight="1">
      <c r="B66" s="1"/>
      <c r="D66" s="161"/>
      <c r="E66" s="161"/>
      <c r="F66" s="161"/>
      <c r="G66" s="348"/>
      <c r="H66" s="348"/>
      <c r="I66" s="348"/>
      <c r="J66" s="348"/>
      <c r="K66" s="348"/>
      <c r="L66" s="3"/>
      <c r="M66" s="928"/>
      <c r="O66" s="151"/>
    </row>
    <row r="67" ht="12.0" customHeight="1">
      <c r="B67" s="1"/>
      <c r="D67" s="161"/>
      <c r="E67" s="161"/>
      <c r="F67" s="161"/>
      <c r="G67" s="348"/>
      <c r="H67" s="348"/>
      <c r="I67" s="348"/>
      <c r="J67" s="348"/>
      <c r="K67" s="348"/>
      <c r="L67" s="3"/>
      <c r="M67" s="928"/>
      <c r="O67" s="151"/>
    </row>
    <row r="68" ht="12.0" customHeight="1">
      <c r="B68" s="1"/>
      <c r="D68" s="161"/>
      <c r="E68" s="161"/>
      <c r="F68" s="161"/>
      <c r="G68" s="348"/>
      <c r="H68" s="348"/>
      <c r="I68" s="348"/>
      <c r="J68" s="348"/>
      <c r="K68" s="348"/>
      <c r="L68" s="3"/>
      <c r="M68" s="928"/>
      <c r="O68" s="151"/>
    </row>
    <row r="69" ht="12.0" customHeight="1">
      <c r="B69" s="1"/>
      <c r="D69" s="161"/>
      <c r="E69" s="161"/>
      <c r="F69" s="161"/>
      <c r="G69" s="348"/>
      <c r="H69" s="348"/>
      <c r="I69" s="348"/>
      <c r="J69" s="348"/>
      <c r="K69" s="348"/>
      <c r="L69" s="3"/>
      <c r="M69" s="928"/>
      <c r="O69" s="151"/>
    </row>
    <row r="70" ht="12.0" customHeight="1">
      <c r="B70" s="1"/>
      <c r="D70" s="161"/>
      <c r="E70" s="161"/>
      <c r="F70" s="161"/>
      <c r="G70" s="348"/>
      <c r="H70" s="348"/>
      <c r="I70" s="348"/>
      <c r="J70" s="348"/>
      <c r="K70" s="348"/>
      <c r="L70" s="3"/>
      <c r="M70" s="928"/>
      <c r="O70" s="151"/>
    </row>
    <row r="71" ht="12.0" customHeight="1">
      <c r="B71" s="1"/>
      <c r="D71" s="161"/>
      <c r="E71" s="161"/>
      <c r="F71" s="161"/>
      <c r="G71" s="348"/>
      <c r="H71" s="348"/>
      <c r="I71" s="348"/>
      <c r="J71" s="348"/>
      <c r="K71" s="348"/>
      <c r="L71" s="3"/>
      <c r="M71" s="928"/>
      <c r="O71" s="151"/>
    </row>
    <row r="72" ht="12.0" customHeight="1">
      <c r="B72" s="1"/>
      <c r="D72" s="161"/>
      <c r="E72" s="161"/>
      <c r="F72" s="161"/>
      <c r="G72" s="348"/>
      <c r="H72" s="348"/>
      <c r="I72" s="348"/>
      <c r="J72" s="348"/>
      <c r="K72" s="348"/>
      <c r="L72" s="3"/>
      <c r="M72" s="928"/>
      <c r="O72" s="151"/>
    </row>
    <row r="73" ht="12.0" customHeight="1">
      <c r="B73" s="1"/>
      <c r="D73" s="161"/>
      <c r="E73" s="161"/>
      <c r="F73" s="161"/>
      <c r="G73" s="348"/>
      <c r="H73" s="348"/>
      <c r="I73" s="348"/>
      <c r="J73" s="348"/>
      <c r="K73" s="348"/>
      <c r="L73" s="3"/>
      <c r="M73" s="928"/>
      <c r="O73" s="151"/>
    </row>
    <row r="74" ht="12.0" customHeight="1">
      <c r="B74" s="1"/>
      <c r="D74" s="161"/>
      <c r="E74" s="161"/>
      <c r="F74" s="161"/>
      <c r="G74" s="348"/>
      <c r="H74" s="348"/>
      <c r="I74" s="348"/>
      <c r="J74" s="348"/>
      <c r="K74" s="348"/>
      <c r="L74" s="3"/>
      <c r="M74" s="928"/>
      <c r="O74" s="151"/>
    </row>
    <row r="75" ht="12.0" customHeight="1">
      <c r="B75" s="1"/>
      <c r="D75" s="161"/>
      <c r="E75" s="161"/>
      <c r="F75" s="161"/>
      <c r="G75" s="348"/>
      <c r="H75" s="348"/>
      <c r="I75" s="348"/>
      <c r="J75" s="348"/>
      <c r="K75" s="348"/>
      <c r="L75" s="3"/>
      <c r="M75" s="928"/>
      <c r="O75" s="151"/>
    </row>
    <row r="76" ht="12.0" customHeight="1">
      <c r="B76" s="1"/>
      <c r="D76" s="161"/>
      <c r="E76" s="161"/>
      <c r="F76" s="161"/>
      <c r="G76" s="348"/>
      <c r="H76" s="348"/>
      <c r="I76" s="348"/>
      <c r="J76" s="348"/>
      <c r="K76" s="348"/>
      <c r="L76" s="3"/>
      <c r="M76" s="928"/>
      <c r="O76" s="151"/>
    </row>
    <row r="77" ht="12.0" customHeight="1">
      <c r="B77" s="1"/>
      <c r="D77" s="161"/>
      <c r="E77" s="161"/>
      <c r="F77" s="161"/>
      <c r="G77" s="348"/>
      <c r="H77" s="348"/>
      <c r="I77" s="348"/>
      <c r="J77" s="348"/>
      <c r="K77" s="348"/>
      <c r="L77" s="3"/>
      <c r="M77" s="928"/>
      <c r="O77" s="151"/>
    </row>
    <row r="78" ht="12.0" customHeight="1">
      <c r="B78" s="1"/>
      <c r="D78" s="161"/>
      <c r="E78" s="161"/>
      <c r="F78" s="161"/>
      <c r="G78" s="348"/>
      <c r="H78" s="348"/>
      <c r="I78" s="348"/>
      <c r="J78" s="348"/>
      <c r="K78" s="348"/>
      <c r="L78" s="3"/>
      <c r="M78" s="928"/>
      <c r="O78" s="151"/>
    </row>
    <row r="79" ht="12.0" customHeight="1">
      <c r="B79" s="1"/>
      <c r="D79" s="161"/>
      <c r="E79" s="161"/>
      <c r="F79" s="161"/>
      <c r="G79" s="348"/>
      <c r="H79" s="348"/>
      <c r="I79" s="348"/>
      <c r="J79" s="348"/>
      <c r="K79" s="348"/>
      <c r="L79" s="3"/>
      <c r="M79" s="928"/>
      <c r="O79" s="151"/>
    </row>
    <row r="80" ht="12.0" customHeight="1">
      <c r="B80" s="1"/>
      <c r="D80" s="161"/>
      <c r="E80" s="161"/>
      <c r="F80" s="161"/>
      <c r="G80" s="348"/>
      <c r="H80" s="348"/>
      <c r="I80" s="348"/>
      <c r="J80" s="348"/>
      <c r="K80" s="348"/>
      <c r="L80" s="3"/>
      <c r="M80" s="928"/>
      <c r="O80" s="151"/>
    </row>
    <row r="81" ht="12.0" customHeight="1">
      <c r="B81" s="1"/>
      <c r="D81" s="161"/>
      <c r="E81" s="161"/>
      <c r="F81" s="161"/>
      <c r="G81" s="348"/>
      <c r="H81" s="348"/>
      <c r="I81" s="348"/>
      <c r="J81" s="348"/>
      <c r="K81" s="348"/>
      <c r="L81" s="3"/>
      <c r="M81" s="928"/>
      <c r="O81" s="151"/>
    </row>
    <row r="82" ht="12.0" customHeight="1">
      <c r="B82" s="1"/>
      <c r="D82" s="161"/>
      <c r="E82" s="161"/>
      <c r="F82" s="161"/>
      <c r="G82" s="348"/>
      <c r="H82" s="348"/>
      <c r="I82" s="348"/>
      <c r="J82" s="348"/>
      <c r="K82" s="348"/>
      <c r="L82" s="3"/>
      <c r="M82" s="928"/>
      <c r="O82" s="151"/>
    </row>
    <row r="83" ht="12.0" customHeight="1">
      <c r="B83" s="1"/>
      <c r="D83" s="161"/>
      <c r="E83" s="161"/>
      <c r="F83" s="161"/>
      <c r="G83" s="348"/>
      <c r="H83" s="348"/>
      <c r="I83" s="348"/>
      <c r="J83" s="348"/>
      <c r="K83" s="348"/>
      <c r="L83" s="3"/>
      <c r="M83" s="928"/>
      <c r="O83" s="151"/>
    </row>
    <row r="84" ht="12.0" customHeight="1">
      <c r="B84" s="1"/>
      <c r="D84" s="161"/>
      <c r="E84" s="161"/>
      <c r="F84" s="161"/>
      <c r="G84" s="348"/>
      <c r="H84" s="348"/>
      <c r="I84" s="348"/>
      <c r="J84" s="348"/>
      <c r="K84" s="348"/>
      <c r="L84" s="3"/>
      <c r="M84" s="928"/>
      <c r="O84" s="151"/>
    </row>
    <row r="85" ht="12.0" customHeight="1">
      <c r="B85" s="1"/>
      <c r="D85" s="161"/>
      <c r="E85" s="161"/>
      <c r="F85" s="161"/>
      <c r="G85" s="348"/>
      <c r="H85" s="348"/>
      <c r="I85" s="348"/>
      <c r="J85" s="348"/>
      <c r="K85" s="348"/>
      <c r="L85" s="3"/>
      <c r="M85" s="928"/>
      <c r="O85" s="151"/>
    </row>
    <row r="86" ht="12.0" customHeight="1">
      <c r="B86" s="1"/>
      <c r="D86" s="161"/>
      <c r="E86" s="161"/>
      <c r="F86" s="161"/>
      <c r="G86" s="348"/>
      <c r="H86" s="348"/>
      <c r="I86" s="348"/>
      <c r="J86" s="348"/>
      <c r="K86" s="348"/>
      <c r="L86" s="3"/>
      <c r="M86" s="928"/>
      <c r="O86" s="151"/>
    </row>
    <row r="87" ht="12.0" customHeight="1">
      <c r="B87" s="1"/>
      <c r="D87" s="161"/>
      <c r="E87" s="161"/>
      <c r="F87" s="161"/>
      <c r="G87" s="348"/>
      <c r="H87" s="348"/>
      <c r="I87" s="348"/>
      <c r="J87" s="348"/>
      <c r="K87" s="348"/>
      <c r="L87" s="3"/>
      <c r="M87" s="928"/>
      <c r="O87" s="151"/>
    </row>
    <row r="88" ht="12.0" customHeight="1">
      <c r="B88" s="1"/>
      <c r="D88" s="161"/>
      <c r="E88" s="161"/>
      <c r="F88" s="161"/>
      <c r="G88" s="348"/>
      <c r="H88" s="348"/>
      <c r="I88" s="348"/>
      <c r="J88" s="348"/>
      <c r="K88" s="348"/>
      <c r="L88" s="3"/>
      <c r="M88" s="928"/>
      <c r="O88" s="151"/>
    </row>
    <row r="89" ht="12.0" customHeight="1">
      <c r="B89" s="1"/>
      <c r="D89" s="161"/>
      <c r="E89" s="161"/>
      <c r="F89" s="161"/>
      <c r="G89" s="348"/>
      <c r="H89" s="348"/>
      <c r="I89" s="348"/>
      <c r="J89" s="348"/>
      <c r="K89" s="348"/>
      <c r="L89" s="3"/>
      <c r="M89" s="928"/>
      <c r="O89" s="151"/>
    </row>
    <row r="90" ht="12.0" customHeight="1">
      <c r="B90" s="1"/>
      <c r="D90" s="161"/>
      <c r="E90" s="161"/>
      <c r="F90" s="161"/>
      <c r="G90" s="348"/>
      <c r="H90" s="348"/>
      <c r="I90" s="348"/>
      <c r="J90" s="348"/>
      <c r="K90" s="348"/>
      <c r="L90" s="3"/>
      <c r="M90" s="928"/>
      <c r="O90" s="151"/>
    </row>
    <row r="91" ht="12.0" customHeight="1">
      <c r="B91" s="1"/>
      <c r="D91" s="161"/>
      <c r="E91" s="161"/>
      <c r="F91" s="161"/>
      <c r="G91" s="348"/>
      <c r="H91" s="348"/>
      <c r="I91" s="348"/>
      <c r="J91" s="348"/>
      <c r="K91" s="348"/>
      <c r="L91" s="3"/>
      <c r="M91" s="928"/>
      <c r="O91" s="151"/>
    </row>
    <row r="92" ht="12.0" customHeight="1">
      <c r="B92" s="1"/>
      <c r="D92" s="161"/>
      <c r="E92" s="161"/>
      <c r="F92" s="161"/>
      <c r="G92" s="348"/>
      <c r="H92" s="348"/>
      <c r="I92" s="348"/>
      <c r="J92" s="348"/>
      <c r="K92" s="348"/>
      <c r="L92" s="3"/>
      <c r="M92" s="928"/>
      <c r="O92" s="151"/>
    </row>
    <row r="93" ht="12.0" customHeight="1">
      <c r="B93" s="1"/>
      <c r="D93" s="161"/>
      <c r="E93" s="161"/>
      <c r="F93" s="161"/>
      <c r="G93" s="348"/>
      <c r="H93" s="348"/>
      <c r="I93" s="348"/>
      <c r="J93" s="348"/>
      <c r="K93" s="348"/>
      <c r="L93" s="3"/>
      <c r="M93" s="928"/>
      <c r="O93" s="151"/>
    </row>
    <row r="94" ht="12.0" customHeight="1">
      <c r="B94" s="1"/>
      <c r="D94" s="161"/>
      <c r="E94" s="161"/>
      <c r="F94" s="161"/>
      <c r="G94" s="348"/>
      <c r="H94" s="348"/>
      <c r="I94" s="348"/>
      <c r="J94" s="348"/>
      <c r="K94" s="348"/>
      <c r="L94" s="3"/>
      <c r="M94" s="928"/>
      <c r="O94" s="151"/>
    </row>
    <row r="95" ht="12.0" customHeight="1">
      <c r="B95" s="1"/>
      <c r="D95" s="161"/>
      <c r="E95" s="161"/>
      <c r="F95" s="161"/>
      <c r="G95" s="348"/>
      <c r="H95" s="348"/>
      <c r="I95" s="348"/>
      <c r="J95" s="348"/>
      <c r="K95" s="348"/>
      <c r="L95" s="3"/>
      <c r="M95" s="928"/>
      <c r="O95" s="151"/>
    </row>
    <row r="96" ht="12.0" customHeight="1">
      <c r="B96" s="1"/>
      <c r="D96" s="161"/>
      <c r="E96" s="161"/>
      <c r="F96" s="161"/>
      <c r="G96" s="348"/>
      <c r="H96" s="348"/>
      <c r="I96" s="348"/>
      <c r="J96" s="348"/>
      <c r="K96" s="348"/>
      <c r="L96" s="3"/>
      <c r="M96" s="928"/>
      <c r="O96" s="151"/>
    </row>
    <row r="97" ht="12.0" customHeight="1">
      <c r="B97" s="1"/>
      <c r="D97" s="161"/>
      <c r="E97" s="161"/>
      <c r="F97" s="161"/>
      <c r="G97" s="348"/>
      <c r="H97" s="348"/>
      <c r="I97" s="348"/>
      <c r="J97" s="348"/>
      <c r="K97" s="348"/>
      <c r="L97" s="3"/>
      <c r="M97" s="928"/>
      <c r="O97" s="151"/>
    </row>
    <row r="98" ht="12.0" customHeight="1">
      <c r="B98" s="1"/>
      <c r="D98" s="161"/>
      <c r="E98" s="161"/>
      <c r="F98" s="161"/>
      <c r="G98" s="348"/>
      <c r="H98" s="348"/>
      <c r="I98" s="348"/>
      <c r="J98" s="348"/>
      <c r="K98" s="348"/>
      <c r="L98" s="3"/>
      <c r="M98" s="928"/>
      <c r="O98" s="151"/>
    </row>
    <row r="99" ht="12.0" customHeight="1">
      <c r="B99" s="1"/>
      <c r="D99" s="161"/>
      <c r="E99" s="161"/>
      <c r="F99" s="161"/>
      <c r="G99" s="348"/>
      <c r="H99" s="348"/>
      <c r="I99" s="348"/>
      <c r="J99" s="348"/>
      <c r="K99" s="348"/>
      <c r="L99" s="3"/>
      <c r="M99" s="928"/>
      <c r="O99" s="151"/>
    </row>
    <row r="100" ht="12.0" customHeight="1">
      <c r="B100" s="1"/>
      <c r="D100" s="161"/>
      <c r="E100" s="161"/>
      <c r="F100" s="161"/>
      <c r="G100" s="348"/>
      <c r="H100" s="348"/>
      <c r="I100" s="348"/>
      <c r="J100" s="348"/>
      <c r="K100" s="348"/>
      <c r="L100" s="3"/>
      <c r="M100" s="928"/>
      <c r="O100" s="151"/>
    </row>
    <row r="101" ht="12.0" customHeight="1">
      <c r="B101" s="1"/>
      <c r="D101" s="161"/>
      <c r="E101" s="161"/>
      <c r="F101" s="161"/>
      <c r="G101" s="348"/>
      <c r="H101" s="348"/>
      <c r="I101" s="348"/>
      <c r="J101" s="348"/>
      <c r="K101" s="348"/>
      <c r="L101" s="3"/>
      <c r="M101" s="928"/>
      <c r="O101" s="151"/>
    </row>
    <row r="102" ht="12.0" customHeight="1">
      <c r="B102" s="1"/>
      <c r="D102" s="161"/>
      <c r="E102" s="161"/>
      <c r="F102" s="161"/>
      <c r="G102" s="348"/>
      <c r="H102" s="348"/>
      <c r="I102" s="348"/>
      <c r="J102" s="348"/>
      <c r="K102" s="348"/>
      <c r="L102" s="3"/>
      <c r="M102" s="928"/>
      <c r="O102" s="151"/>
    </row>
    <row r="103" ht="12.0" customHeight="1">
      <c r="B103" s="1"/>
      <c r="D103" s="161"/>
      <c r="E103" s="161"/>
      <c r="F103" s="161"/>
      <c r="G103" s="348"/>
      <c r="H103" s="348"/>
      <c r="I103" s="348"/>
      <c r="J103" s="348"/>
      <c r="K103" s="348"/>
      <c r="L103" s="3"/>
      <c r="M103" s="928"/>
      <c r="O103" s="151"/>
    </row>
    <row r="104" ht="12.0" customHeight="1">
      <c r="B104" s="1"/>
      <c r="D104" s="161"/>
      <c r="E104" s="161"/>
      <c r="F104" s="161"/>
      <c r="G104" s="348"/>
      <c r="H104" s="348"/>
      <c r="I104" s="348"/>
      <c r="J104" s="348"/>
      <c r="K104" s="348"/>
      <c r="L104" s="3"/>
      <c r="M104" s="928"/>
      <c r="O104" s="151"/>
    </row>
    <row r="105" ht="12.0" customHeight="1">
      <c r="B105" s="1"/>
      <c r="D105" s="161"/>
      <c r="E105" s="161"/>
      <c r="F105" s="161"/>
      <c r="G105" s="348"/>
      <c r="H105" s="348"/>
      <c r="I105" s="348"/>
      <c r="J105" s="348"/>
      <c r="K105" s="348"/>
      <c r="L105" s="3"/>
      <c r="M105" s="928"/>
      <c r="O105" s="151"/>
    </row>
    <row r="106" ht="12.0" customHeight="1">
      <c r="B106" s="1"/>
      <c r="D106" s="161"/>
      <c r="E106" s="161"/>
      <c r="F106" s="161"/>
      <c r="G106" s="348"/>
      <c r="H106" s="348"/>
      <c r="I106" s="348"/>
      <c r="J106" s="348"/>
      <c r="K106" s="348"/>
      <c r="L106" s="3"/>
      <c r="M106" s="928"/>
      <c r="O106" s="151"/>
    </row>
    <row r="107" ht="12.0" customHeight="1">
      <c r="B107" s="1"/>
      <c r="D107" s="161"/>
      <c r="E107" s="161"/>
      <c r="F107" s="161"/>
      <c r="G107" s="348"/>
      <c r="H107" s="348"/>
      <c r="I107" s="348"/>
      <c r="J107" s="348"/>
      <c r="K107" s="348"/>
      <c r="L107" s="3"/>
      <c r="M107" s="928"/>
      <c r="O107" s="151"/>
    </row>
    <row r="108" ht="12.0" customHeight="1">
      <c r="B108" s="1"/>
      <c r="D108" s="161"/>
      <c r="E108" s="161"/>
      <c r="F108" s="161"/>
      <c r="G108" s="348"/>
      <c r="H108" s="348"/>
      <c r="I108" s="348"/>
      <c r="J108" s="348"/>
      <c r="K108" s="348"/>
      <c r="L108" s="3"/>
      <c r="M108" s="928"/>
      <c r="O108" s="151"/>
    </row>
    <row r="109" ht="12.0" customHeight="1">
      <c r="B109" s="1"/>
      <c r="D109" s="161"/>
      <c r="E109" s="161"/>
      <c r="F109" s="161"/>
      <c r="G109" s="348"/>
      <c r="H109" s="348"/>
      <c r="I109" s="348"/>
      <c r="J109" s="348"/>
      <c r="K109" s="348"/>
      <c r="L109" s="3"/>
      <c r="M109" s="928"/>
      <c r="O109" s="151"/>
    </row>
    <row r="110" ht="12.0" customHeight="1">
      <c r="B110" s="1"/>
      <c r="D110" s="161"/>
      <c r="E110" s="161"/>
      <c r="F110" s="161"/>
      <c r="G110" s="348"/>
      <c r="H110" s="348"/>
      <c r="I110" s="348"/>
      <c r="J110" s="348"/>
      <c r="K110" s="348"/>
      <c r="L110" s="3"/>
      <c r="M110" s="928"/>
      <c r="O110" s="151"/>
    </row>
    <row r="111" ht="12.0" customHeight="1">
      <c r="B111" s="1"/>
      <c r="D111" s="161"/>
      <c r="E111" s="161"/>
      <c r="F111" s="161"/>
      <c r="G111" s="348"/>
      <c r="H111" s="348"/>
      <c r="I111" s="348"/>
      <c r="J111" s="348"/>
      <c r="K111" s="348"/>
      <c r="L111" s="3"/>
      <c r="M111" s="928"/>
      <c r="O111" s="151"/>
    </row>
    <row r="112" ht="12.0" customHeight="1">
      <c r="B112" s="1"/>
      <c r="D112" s="161"/>
      <c r="E112" s="161"/>
      <c r="F112" s="161"/>
      <c r="G112" s="348"/>
      <c r="H112" s="348"/>
      <c r="I112" s="348"/>
      <c r="J112" s="348"/>
      <c r="K112" s="348"/>
      <c r="L112" s="3"/>
      <c r="M112" s="928"/>
      <c r="O112" s="151"/>
    </row>
    <row r="113" ht="12.0" customHeight="1">
      <c r="B113" s="1"/>
      <c r="D113" s="161"/>
      <c r="E113" s="161"/>
      <c r="F113" s="161"/>
      <c r="G113" s="348"/>
      <c r="H113" s="348"/>
      <c r="I113" s="348"/>
      <c r="J113" s="348"/>
      <c r="K113" s="348"/>
      <c r="L113" s="3"/>
      <c r="M113" s="928"/>
      <c r="O113" s="151"/>
    </row>
    <row r="114" ht="12.0" customHeight="1">
      <c r="B114" s="1"/>
      <c r="D114" s="161"/>
      <c r="E114" s="161"/>
      <c r="F114" s="161"/>
      <c r="G114" s="348"/>
      <c r="H114" s="348"/>
      <c r="I114" s="348"/>
      <c r="J114" s="348"/>
      <c r="K114" s="348"/>
      <c r="L114" s="3"/>
      <c r="M114" s="928"/>
      <c r="O114" s="151"/>
    </row>
    <row r="115" ht="12.0" customHeight="1">
      <c r="B115" s="1"/>
      <c r="D115" s="161"/>
      <c r="E115" s="161"/>
      <c r="F115" s="161"/>
      <c r="G115" s="348"/>
      <c r="H115" s="348"/>
      <c r="I115" s="348"/>
      <c r="J115" s="348"/>
      <c r="K115" s="348"/>
      <c r="L115" s="3"/>
      <c r="M115" s="928"/>
      <c r="O115" s="151"/>
    </row>
    <row r="116" ht="12.0" customHeight="1">
      <c r="B116" s="1"/>
      <c r="D116" s="161"/>
      <c r="E116" s="161"/>
      <c r="F116" s="161"/>
      <c r="G116" s="348"/>
      <c r="H116" s="348"/>
      <c r="I116" s="348"/>
      <c r="J116" s="348"/>
      <c r="K116" s="348"/>
      <c r="L116" s="3"/>
      <c r="M116" s="928"/>
      <c r="O116" s="151"/>
    </row>
    <row r="117" ht="12.0" customHeight="1">
      <c r="B117" s="1"/>
      <c r="D117" s="161"/>
      <c r="E117" s="161"/>
      <c r="F117" s="161"/>
      <c r="G117" s="348"/>
      <c r="H117" s="348"/>
      <c r="I117" s="348"/>
      <c r="J117" s="348"/>
      <c r="K117" s="348"/>
      <c r="L117" s="3"/>
      <c r="M117" s="928"/>
      <c r="O117" s="151"/>
    </row>
    <row r="118" ht="12.0" customHeight="1">
      <c r="B118" s="1"/>
      <c r="D118" s="161"/>
      <c r="E118" s="161"/>
      <c r="F118" s="161"/>
      <c r="G118" s="348"/>
      <c r="H118" s="348"/>
      <c r="I118" s="348"/>
      <c r="J118" s="348"/>
      <c r="K118" s="348"/>
      <c r="L118" s="3"/>
      <c r="M118" s="928"/>
      <c r="O118" s="151"/>
    </row>
    <row r="119" ht="12.0" customHeight="1">
      <c r="B119" s="1"/>
      <c r="D119" s="161"/>
      <c r="E119" s="161"/>
      <c r="F119" s="161"/>
      <c r="G119" s="348"/>
      <c r="H119" s="348"/>
      <c r="I119" s="348"/>
      <c r="J119" s="348"/>
      <c r="K119" s="348"/>
      <c r="L119" s="3"/>
      <c r="M119" s="928"/>
      <c r="O119" s="151"/>
    </row>
    <row r="120" ht="12.0" customHeight="1">
      <c r="B120" s="1"/>
      <c r="D120" s="161"/>
      <c r="E120" s="161"/>
      <c r="F120" s="161"/>
      <c r="G120" s="348"/>
      <c r="H120" s="348"/>
      <c r="I120" s="348"/>
      <c r="J120" s="348"/>
      <c r="K120" s="348"/>
      <c r="L120" s="3"/>
      <c r="M120" s="928"/>
      <c r="O120" s="151"/>
    </row>
    <row r="121" ht="12.0" customHeight="1">
      <c r="B121" s="1"/>
      <c r="D121" s="161"/>
      <c r="E121" s="161"/>
      <c r="F121" s="161"/>
      <c r="G121" s="348"/>
      <c r="H121" s="348"/>
      <c r="I121" s="348"/>
      <c r="J121" s="348"/>
      <c r="K121" s="348"/>
      <c r="L121" s="3"/>
      <c r="M121" s="928"/>
      <c r="O121" s="151"/>
    </row>
    <row r="122" ht="12.0" customHeight="1">
      <c r="B122" s="1"/>
      <c r="D122" s="161"/>
      <c r="E122" s="161"/>
      <c r="F122" s="161"/>
      <c r="G122" s="348"/>
      <c r="H122" s="348"/>
      <c r="I122" s="348"/>
      <c r="J122" s="348"/>
      <c r="K122" s="348"/>
      <c r="L122" s="3"/>
      <c r="M122" s="928"/>
      <c r="O122" s="151"/>
    </row>
    <row r="123" ht="12.0" customHeight="1">
      <c r="B123" s="1"/>
      <c r="D123" s="161"/>
      <c r="E123" s="161"/>
      <c r="F123" s="161"/>
      <c r="G123" s="348"/>
      <c r="H123" s="348"/>
      <c r="I123" s="348"/>
      <c r="J123" s="348"/>
      <c r="K123" s="348"/>
      <c r="L123" s="3"/>
      <c r="M123" s="928"/>
      <c r="O123" s="151"/>
    </row>
    <row r="124" ht="12.0" customHeight="1">
      <c r="B124" s="1"/>
      <c r="D124" s="161"/>
      <c r="E124" s="161"/>
      <c r="F124" s="161"/>
      <c r="G124" s="348"/>
      <c r="H124" s="348"/>
      <c r="I124" s="348"/>
      <c r="J124" s="348"/>
      <c r="K124" s="348"/>
      <c r="L124" s="3"/>
      <c r="M124" s="928"/>
      <c r="O124" s="151"/>
    </row>
    <row r="125" ht="12.0" customHeight="1">
      <c r="B125" s="1"/>
      <c r="D125" s="161"/>
      <c r="E125" s="161"/>
      <c r="F125" s="161"/>
      <c r="G125" s="348"/>
      <c r="H125" s="348"/>
      <c r="I125" s="348"/>
      <c r="J125" s="348"/>
      <c r="K125" s="348"/>
      <c r="L125" s="3"/>
      <c r="M125" s="928"/>
      <c r="O125" s="151"/>
    </row>
    <row r="126" ht="12.0" customHeight="1">
      <c r="B126" s="1"/>
      <c r="D126" s="161"/>
      <c r="E126" s="161"/>
      <c r="F126" s="161"/>
      <c r="G126" s="348"/>
      <c r="H126" s="348"/>
      <c r="I126" s="348"/>
      <c r="J126" s="348"/>
      <c r="K126" s="348"/>
      <c r="L126" s="3"/>
      <c r="M126" s="928"/>
      <c r="O126" s="151"/>
    </row>
    <row r="127" ht="12.0" customHeight="1">
      <c r="B127" s="1"/>
      <c r="D127" s="161"/>
      <c r="E127" s="161"/>
      <c r="F127" s="161"/>
      <c r="G127" s="348"/>
      <c r="H127" s="348"/>
      <c r="I127" s="348"/>
      <c r="J127" s="348"/>
      <c r="K127" s="348"/>
      <c r="L127" s="3"/>
      <c r="M127" s="928"/>
      <c r="O127" s="151"/>
    </row>
    <row r="128" ht="12.0" customHeight="1">
      <c r="B128" s="1"/>
      <c r="D128" s="161"/>
      <c r="E128" s="161"/>
      <c r="F128" s="161"/>
      <c r="G128" s="348"/>
      <c r="H128" s="348"/>
      <c r="I128" s="348"/>
      <c r="J128" s="348"/>
      <c r="K128" s="348"/>
      <c r="L128" s="3"/>
      <c r="M128" s="928"/>
      <c r="O128" s="151"/>
    </row>
    <row r="129" ht="12.0" customHeight="1">
      <c r="B129" s="1"/>
      <c r="D129" s="161"/>
      <c r="E129" s="161"/>
      <c r="F129" s="161"/>
      <c r="G129" s="348"/>
      <c r="H129" s="348"/>
      <c r="I129" s="348"/>
      <c r="J129" s="348"/>
      <c r="K129" s="348"/>
      <c r="L129" s="3"/>
      <c r="M129" s="928"/>
      <c r="O129" s="151"/>
    </row>
    <row r="130" ht="12.0" customHeight="1">
      <c r="B130" s="1"/>
      <c r="D130" s="161"/>
      <c r="E130" s="161"/>
      <c r="F130" s="161"/>
      <c r="G130" s="348"/>
      <c r="H130" s="348"/>
      <c r="I130" s="348"/>
      <c r="J130" s="348"/>
      <c r="K130" s="348"/>
      <c r="L130" s="3"/>
      <c r="M130" s="928"/>
      <c r="O130" s="151"/>
    </row>
    <row r="131" ht="12.0" customHeight="1">
      <c r="B131" s="1"/>
      <c r="D131" s="161"/>
      <c r="E131" s="161"/>
      <c r="F131" s="161"/>
      <c r="G131" s="348"/>
      <c r="H131" s="348"/>
      <c r="I131" s="348"/>
      <c r="J131" s="348"/>
      <c r="K131" s="348"/>
      <c r="L131" s="3"/>
      <c r="M131" s="928"/>
      <c r="O131" s="151"/>
    </row>
    <row r="132" ht="12.0" customHeight="1">
      <c r="B132" s="1"/>
      <c r="D132" s="161"/>
      <c r="E132" s="161"/>
      <c r="F132" s="161"/>
      <c r="G132" s="348"/>
      <c r="H132" s="348"/>
      <c r="I132" s="348"/>
      <c r="J132" s="348"/>
      <c r="K132" s="348"/>
      <c r="L132" s="3"/>
      <c r="M132" s="928"/>
      <c r="O132" s="151"/>
    </row>
    <row r="133" ht="12.0" customHeight="1">
      <c r="B133" s="1"/>
      <c r="D133" s="161"/>
      <c r="E133" s="161"/>
      <c r="F133" s="161"/>
      <c r="G133" s="348"/>
      <c r="H133" s="348"/>
      <c r="I133" s="348"/>
      <c r="J133" s="348"/>
      <c r="K133" s="348"/>
      <c r="L133" s="3"/>
      <c r="M133" s="928"/>
      <c r="O133" s="151"/>
    </row>
    <row r="134" ht="12.0" customHeight="1">
      <c r="B134" s="1"/>
      <c r="D134" s="161"/>
      <c r="E134" s="161"/>
      <c r="F134" s="161"/>
      <c r="G134" s="348"/>
      <c r="H134" s="348"/>
      <c r="I134" s="348"/>
      <c r="J134" s="348"/>
      <c r="K134" s="348"/>
      <c r="L134" s="3"/>
      <c r="M134" s="928"/>
      <c r="O134" s="151"/>
    </row>
    <row r="135" ht="12.0" customHeight="1">
      <c r="B135" s="1"/>
      <c r="D135" s="161"/>
      <c r="E135" s="161"/>
      <c r="F135" s="161"/>
      <c r="G135" s="348"/>
      <c r="H135" s="348"/>
      <c r="I135" s="348"/>
      <c r="J135" s="348"/>
      <c r="K135" s="348"/>
      <c r="L135" s="3"/>
      <c r="M135" s="928"/>
      <c r="O135" s="151"/>
    </row>
    <row r="136" ht="12.0" customHeight="1">
      <c r="B136" s="1"/>
      <c r="D136" s="161"/>
      <c r="E136" s="161"/>
      <c r="F136" s="161"/>
      <c r="G136" s="348"/>
      <c r="H136" s="348"/>
      <c r="I136" s="348"/>
      <c r="J136" s="348"/>
      <c r="K136" s="348"/>
      <c r="L136" s="3"/>
      <c r="M136" s="928"/>
      <c r="O136" s="151"/>
    </row>
    <row r="137" ht="12.0" customHeight="1">
      <c r="B137" s="1"/>
      <c r="D137" s="161"/>
      <c r="E137" s="161"/>
      <c r="F137" s="161"/>
      <c r="G137" s="348"/>
      <c r="H137" s="348"/>
      <c r="I137" s="348"/>
      <c r="J137" s="348"/>
      <c r="K137" s="348"/>
      <c r="L137" s="3"/>
      <c r="M137" s="928"/>
      <c r="O137" s="151"/>
    </row>
    <row r="138" ht="12.0" customHeight="1">
      <c r="B138" s="1"/>
      <c r="D138" s="161"/>
      <c r="E138" s="161"/>
      <c r="F138" s="161"/>
      <c r="G138" s="348"/>
      <c r="H138" s="348"/>
      <c r="I138" s="348"/>
      <c r="J138" s="348"/>
      <c r="K138" s="348"/>
      <c r="L138" s="3"/>
      <c r="M138" s="928"/>
      <c r="O138" s="151"/>
    </row>
    <row r="139" ht="12.0" customHeight="1">
      <c r="B139" s="1"/>
      <c r="D139" s="161"/>
      <c r="E139" s="161"/>
      <c r="F139" s="161"/>
      <c r="G139" s="348"/>
      <c r="H139" s="348"/>
      <c r="I139" s="348"/>
      <c r="J139" s="348"/>
      <c r="K139" s="348"/>
      <c r="L139" s="3"/>
      <c r="M139" s="928"/>
      <c r="O139" s="151"/>
    </row>
    <row r="140" ht="12.0" customHeight="1">
      <c r="B140" s="1"/>
      <c r="D140" s="161"/>
      <c r="E140" s="161"/>
      <c r="F140" s="161"/>
      <c r="G140" s="348"/>
      <c r="H140" s="348"/>
      <c r="I140" s="348"/>
      <c r="J140" s="348"/>
      <c r="K140" s="348"/>
      <c r="L140" s="3"/>
      <c r="M140" s="928"/>
      <c r="O140" s="151"/>
    </row>
    <row r="141" ht="12.0" customHeight="1">
      <c r="B141" s="1"/>
      <c r="D141" s="161"/>
      <c r="E141" s="161"/>
      <c r="F141" s="161"/>
      <c r="G141" s="348"/>
      <c r="H141" s="348"/>
      <c r="I141" s="348"/>
      <c r="J141" s="348"/>
      <c r="K141" s="348"/>
      <c r="L141" s="3"/>
      <c r="M141" s="928"/>
      <c r="O141" s="151"/>
    </row>
    <row r="142" ht="12.0" customHeight="1">
      <c r="B142" s="1"/>
      <c r="D142" s="161"/>
      <c r="E142" s="161"/>
      <c r="F142" s="161"/>
      <c r="G142" s="348"/>
      <c r="H142" s="348"/>
      <c r="I142" s="348"/>
      <c r="J142" s="348"/>
      <c r="K142" s="348"/>
      <c r="L142" s="3"/>
      <c r="M142" s="928"/>
      <c r="O142" s="151"/>
    </row>
    <row r="143" ht="12.0" customHeight="1">
      <c r="B143" s="1"/>
      <c r="D143" s="161"/>
      <c r="E143" s="161"/>
      <c r="F143" s="161"/>
      <c r="G143" s="348"/>
      <c r="H143" s="348"/>
      <c r="I143" s="348"/>
      <c r="J143" s="348"/>
      <c r="K143" s="348"/>
      <c r="L143" s="3"/>
      <c r="M143" s="928"/>
      <c r="O143" s="151"/>
    </row>
    <row r="144" ht="12.0" customHeight="1">
      <c r="B144" s="1"/>
      <c r="D144" s="161"/>
      <c r="E144" s="161"/>
      <c r="F144" s="161"/>
      <c r="G144" s="348"/>
      <c r="H144" s="348"/>
      <c r="I144" s="348"/>
      <c r="J144" s="348"/>
      <c r="K144" s="348"/>
      <c r="L144" s="3"/>
      <c r="M144" s="928"/>
      <c r="O144" s="151"/>
    </row>
    <row r="145" ht="12.0" customHeight="1">
      <c r="B145" s="1"/>
      <c r="D145" s="161"/>
      <c r="E145" s="161"/>
      <c r="F145" s="161"/>
      <c r="G145" s="348"/>
      <c r="H145" s="348"/>
      <c r="I145" s="348"/>
      <c r="J145" s="348"/>
      <c r="K145" s="348"/>
      <c r="L145" s="3"/>
      <c r="M145" s="928"/>
      <c r="O145" s="151"/>
    </row>
    <row r="146" ht="12.0" customHeight="1">
      <c r="B146" s="1"/>
      <c r="D146" s="161"/>
      <c r="E146" s="161"/>
      <c r="F146" s="161"/>
      <c r="G146" s="348"/>
      <c r="H146" s="348"/>
      <c r="I146" s="348"/>
      <c r="J146" s="348"/>
      <c r="K146" s="348"/>
      <c r="L146" s="3"/>
      <c r="M146" s="928"/>
      <c r="O146" s="151"/>
    </row>
    <row r="147" ht="12.0" customHeight="1">
      <c r="B147" s="1"/>
      <c r="D147" s="161"/>
      <c r="E147" s="161"/>
      <c r="F147" s="161"/>
      <c r="G147" s="348"/>
      <c r="H147" s="348"/>
      <c r="I147" s="348"/>
      <c r="J147" s="348"/>
      <c r="K147" s="348"/>
      <c r="L147" s="3"/>
      <c r="M147" s="928"/>
      <c r="O147" s="151"/>
    </row>
    <row r="148" ht="12.0" customHeight="1">
      <c r="B148" s="1"/>
      <c r="D148" s="161"/>
      <c r="E148" s="161"/>
      <c r="F148" s="161"/>
      <c r="G148" s="348"/>
      <c r="H148" s="348"/>
      <c r="I148" s="348"/>
      <c r="J148" s="348"/>
      <c r="K148" s="348"/>
      <c r="L148" s="3"/>
      <c r="M148" s="928"/>
      <c r="O148" s="151"/>
    </row>
    <row r="149" ht="12.0" customHeight="1">
      <c r="B149" s="1"/>
      <c r="D149" s="161"/>
      <c r="E149" s="161"/>
      <c r="F149" s="161"/>
      <c r="G149" s="348"/>
      <c r="H149" s="348"/>
      <c r="I149" s="348"/>
      <c r="J149" s="348"/>
      <c r="K149" s="348"/>
      <c r="L149" s="3"/>
      <c r="M149" s="928"/>
      <c r="O149" s="151"/>
    </row>
    <row r="150" ht="12.0" customHeight="1">
      <c r="B150" s="1"/>
      <c r="D150" s="161"/>
      <c r="E150" s="161"/>
      <c r="F150" s="161"/>
      <c r="G150" s="348"/>
      <c r="H150" s="348"/>
      <c r="I150" s="348"/>
      <c r="J150" s="348"/>
      <c r="K150" s="348"/>
      <c r="L150" s="3"/>
      <c r="M150" s="928"/>
      <c r="O150" s="151"/>
    </row>
    <row r="151" ht="12.0" customHeight="1">
      <c r="B151" s="1"/>
      <c r="D151" s="161"/>
      <c r="E151" s="161"/>
      <c r="F151" s="161"/>
      <c r="G151" s="348"/>
      <c r="H151" s="348"/>
      <c r="I151" s="348"/>
      <c r="J151" s="348"/>
      <c r="K151" s="348"/>
      <c r="L151" s="3"/>
      <c r="M151" s="928"/>
      <c r="O151" s="151"/>
    </row>
    <row r="152" ht="12.0" customHeight="1">
      <c r="B152" s="1"/>
      <c r="D152" s="161"/>
      <c r="E152" s="161"/>
      <c r="F152" s="161"/>
      <c r="G152" s="348"/>
      <c r="H152" s="348"/>
      <c r="I152" s="348"/>
      <c r="J152" s="348"/>
      <c r="K152" s="348"/>
      <c r="L152" s="3"/>
      <c r="M152" s="928"/>
      <c r="O152" s="151"/>
    </row>
    <row r="153" ht="12.0" customHeight="1">
      <c r="B153" s="1"/>
      <c r="D153" s="161"/>
      <c r="E153" s="161"/>
      <c r="F153" s="161"/>
      <c r="G153" s="348"/>
      <c r="H153" s="348"/>
      <c r="I153" s="348"/>
      <c r="J153" s="348"/>
      <c r="K153" s="348"/>
      <c r="L153" s="3"/>
      <c r="M153" s="928"/>
      <c r="O153" s="151"/>
    </row>
    <row r="154" ht="12.0" customHeight="1">
      <c r="B154" s="1"/>
      <c r="D154" s="161"/>
      <c r="E154" s="161"/>
      <c r="F154" s="161"/>
      <c r="G154" s="348"/>
      <c r="H154" s="348"/>
      <c r="I154" s="348"/>
      <c r="J154" s="348"/>
      <c r="K154" s="348"/>
      <c r="L154" s="3"/>
      <c r="M154" s="928"/>
      <c r="O154" s="151"/>
    </row>
    <row r="155" ht="12.0" customHeight="1">
      <c r="B155" s="1"/>
      <c r="D155" s="161"/>
      <c r="E155" s="161"/>
      <c r="F155" s="161"/>
      <c r="G155" s="348"/>
      <c r="H155" s="348"/>
      <c r="I155" s="348"/>
      <c r="J155" s="348"/>
      <c r="K155" s="348"/>
      <c r="L155" s="3"/>
      <c r="M155" s="928"/>
      <c r="O155" s="151"/>
    </row>
    <row r="156" ht="12.0" customHeight="1">
      <c r="B156" s="1"/>
      <c r="D156" s="161"/>
      <c r="E156" s="161"/>
      <c r="F156" s="161"/>
      <c r="G156" s="348"/>
      <c r="H156" s="348"/>
      <c r="I156" s="348"/>
      <c r="J156" s="348"/>
      <c r="K156" s="348"/>
      <c r="L156" s="3"/>
      <c r="M156" s="928"/>
      <c r="O156" s="151"/>
    </row>
    <row r="157" ht="12.0" customHeight="1">
      <c r="B157" s="1"/>
      <c r="D157" s="161"/>
      <c r="E157" s="161"/>
      <c r="F157" s="161"/>
      <c r="G157" s="348"/>
      <c r="H157" s="348"/>
      <c r="I157" s="348"/>
      <c r="J157" s="348"/>
      <c r="K157" s="348"/>
      <c r="L157" s="3"/>
      <c r="M157" s="928"/>
      <c r="O157" s="151"/>
    </row>
    <row r="158" ht="12.0" customHeight="1">
      <c r="B158" s="1"/>
      <c r="D158" s="161"/>
      <c r="E158" s="161"/>
      <c r="F158" s="161"/>
      <c r="G158" s="348"/>
      <c r="H158" s="348"/>
      <c r="I158" s="348"/>
      <c r="J158" s="348"/>
      <c r="K158" s="348"/>
      <c r="L158" s="3"/>
      <c r="M158" s="928"/>
      <c r="O158" s="151"/>
    </row>
    <row r="159" ht="12.0" customHeight="1">
      <c r="B159" s="1"/>
      <c r="D159" s="161"/>
      <c r="E159" s="161"/>
      <c r="F159" s="161"/>
      <c r="G159" s="348"/>
      <c r="H159" s="348"/>
      <c r="I159" s="348"/>
      <c r="J159" s="348"/>
      <c r="K159" s="348"/>
      <c r="L159" s="3"/>
      <c r="M159" s="928"/>
      <c r="O159" s="151"/>
    </row>
    <row r="160" ht="12.0" customHeight="1">
      <c r="B160" s="1"/>
      <c r="D160" s="161"/>
      <c r="E160" s="161"/>
      <c r="F160" s="161"/>
      <c r="G160" s="348"/>
      <c r="H160" s="348"/>
      <c r="I160" s="348"/>
      <c r="J160" s="348"/>
      <c r="K160" s="348"/>
      <c r="L160" s="3"/>
      <c r="M160" s="928"/>
      <c r="O160" s="151"/>
    </row>
    <row r="161" ht="12.0" customHeight="1">
      <c r="B161" s="1"/>
      <c r="D161" s="161"/>
      <c r="E161" s="161"/>
      <c r="F161" s="161"/>
      <c r="G161" s="348"/>
      <c r="H161" s="348"/>
      <c r="I161" s="348"/>
      <c r="J161" s="348"/>
      <c r="K161" s="348"/>
      <c r="L161" s="3"/>
      <c r="M161" s="928"/>
      <c r="O161" s="151"/>
    </row>
    <row r="162" ht="12.0" customHeight="1">
      <c r="B162" s="1"/>
      <c r="D162" s="161"/>
      <c r="E162" s="161"/>
      <c r="F162" s="161"/>
      <c r="G162" s="348"/>
      <c r="H162" s="348"/>
      <c r="I162" s="348"/>
      <c r="J162" s="348"/>
      <c r="K162" s="348"/>
      <c r="L162" s="3"/>
      <c r="M162" s="928"/>
      <c r="O162" s="151"/>
    </row>
    <row r="163" ht="12.0" customHeight="1">
      <c r="B163" s="1"/>
      <c r="D163" s="161"/>
      <c r="E163" s="161"/>
      <c r="F163" s="161"/>
      <c r="G163" s="348"/>
      <c r="H163" s="348"/>
      <c r="I163" s="348"/>
      <c r="J163" s="348"/>
      <c r="K163" s="348"/>
      <c r="L163" s="3"/>
      <c r="M163" s="928"/>
      <c r="O163" s="151"/>
    </row>
    <row r="164" ht="12.0" customHeight="1">
      <c r="B164" s="1"/>
      <c r="D164" s="161"/>
      <c r="E164" s="161"/>
      <c r="F164" s="161"/>
      <c r="G164" s="348"/>
      <c r="H164" s="348"/>
      <c r="I164" s="348"/>
      <c r="J164" s="348"/>
      <c r="K164" s="348"/>
      <c r="L164" s="3"/>
      <c r="M164" s="928"/>
      <c r="O164" s="151"/>
    </row>
    <row r="165" ht="12.0" customHeight="1">
      <c r="B165" s="1"/>
      <c r="D165" s="161"/>
      <c r="E165" s="161"/>
      <c r="F165" s="161"/>
      <c r="G165" s="348"/>
      <c r="H165" s="348"/>
      <c r="I165" s="348"/>
      <c r="J165" s="348"/>
      <c r="K165" s="348"/>
      <c r="L165" s="3"/>
      <c r="M165" s="928"/>
      <c r="O165" s="151"/>
    </row>
    <row r="166" ht="12.0" customHeight="1">
      <c r="B166" s="1"/>
      <c r="D166" s="161"/>
      <c r="E166" s="161"/>
      <c r="F166" s="161"/>
      <c r="G166" s="348"/>
      <c r="H166" s="348"/>
      <c r="I166" s="348"/>
      <c r="J166" s="348"/>
      <c r="K166" s="348"/>
      <c r="L166" s="3"/>
      <c r="M166" s="928"/>
      <c r="O166" s="151"/>
    </row>
    <row r="167" ht="12.0" customHeight="1">
      <c r="B167" s="1"/>
      <c r="D167" s="161"/>
      <c r="E167" s="161"/>
      <c r="F167" s="161"/>
      <c r="G167" s="348"/>
      <c r="H167" s="348"/>
      <c r="I167" s="348"/>
      <c r="J167" s="348"/>
      <c r="K167" s="348"/>
      <c r="L167" s="3"/>
      <c r="M167" s="928"/>
      <c r="O167" s="151"/>
    </row>
    <row r="168" ht="12.0" customHeight="1">
      <c r="B168" s="1"/>
      <c r="D168" s="161"/>
      <c r="E168" s="161"/>
      <c r="F168" s="161"/>
      <c r="G168" s="348"/>
      <c r="H168" s="348"/>
      <c r="I168" s="348"/>
      <c r="J168" s="348"/>
      <c r="K168" s="348"/>
      <c r="L168" s="3"/>
      <c r="M168" s="928"/>
      <c r="O168" s="151"/>
    </row>
    <row r="169" ht="12.0" customHeight="1">
      <c r="B169" s="1"/>
      <c r="D169" s="161"/>
      <c r="E169" s="161"/>
      <c r="F169" s="161"/>
      <c r="G169" s="348"/>
      <c r="H169" s="348"/>
      <c r="I169" s="348"/>
      <c r="J169" s="348"/>
      <c r="K169" s="348"/>
      <c r="L169" s="3"/>
      <c r="M169" s="928"/>
      <c r="O169" s="151"/>
    </row>
    <row r="170" ht="12.0" customHeight="1">
      <c r="B170" s="1"/>
      <c r="D170" s="161"/>
      <c r="E170" s="161"/>
      <c r="F170" s="161"/>
      <c r="G170" s="348"/>
      <c r="H170" s="348"/>
      <c r="I170" s="348"/>
      <c r="J170" s="348"/>
      <c r="K170" s="348"/>
      <c r="L170" s="3"/>
      <c r="M170" s="928"/>
      <c r="O170" s="151"/>
    </row>
    <row r="171" ht="12.0" customHeight="1">
      <c r="B171" s="1"/>
      <c r="D171" s="161"/>
      <c r="E171" s="161"/>
      <c r="F171" s="161"/>
      <c r="G171" s="348"/>
      <c r="H171" s="348"/>
      <c r="I171" s="348"/>
      <c r="J171" s="348"/>
      <c r="K171" s="348"/>
      <c r="L171" s="3"/>
      <c r="M171" s="928"/>
      <c r="O171" s="151"/>
    </row>
    <row r="172" ht="12.0" customHeight="1">
      <c r="B172" s="1"/>
      <c r="D172" s="161"/>
      <c r="E172" s="161"/>
      <c r="F172" s="161"/>
      <c r="G172" s="348"/>
      <c r="H172" s="348"/>
      <c r="I172" s="348"/>
      <c r="J172" s="348"/>
      <c r="K172" s="348"/>
      <c r="L172" s="3"/>
      <c r="M172" s="928"/>
      <c r="O172" s="151"/>
    </row>
    <row r="173" ht="12.0" customHeight="1">
      <c r="B173" s="1"/>
      <c r="D173" s="161"/>
      <c r="E173" s="161"/>
      <c r="F173" s="161"/>
      <c r="G173" s="348"/>
      <c r="H173" s="348"/>
      <c r="I173" s="348"/>
      <c r="J173" s="348"/>
      <c r="K173" s="348"/>
      <c r="L173" s="3"/>
      <c r="M173" s="928"/>
      <c r="O173" s="151"/>
    </row>
    <row r="174" ht="12.0" customHeight="1">
      <c r="B174" s="1"/>
      <c r="D174" s="161"/>
      <c r="E174" s="161"/>
      <c r="F174" s="161"/>
      <c r="G174" s="348"/>
      <c r="H174" s="348"/>
      <c r="I174" s="348"/>
      <c r="J174" s="348"/>
      <c r="K174" s="348"/>
      <c r="L174" s="3"/>
      <c r="M174" s="928"/>
      <c r="O174" s="151"/>
    </row>
    <row r="175" ht="12.0" customHeight="1">
      <c r="B175" s="1"/>
      <c r="D175" s="161"/>
      <c r="E175" s="161"/>
      <c r="F175" s="161"/>
      <c r="G175" s="348"/>
      <c r="H175" s="348"/>
      <c r="I175" s="348"/>
      <c r="J175" s="348"/>
      <c r="K175" s="348"/>
      <c r="L175" s="3"/>
      <c r="M175" s="928"/>
      <c r="O175" s="151"/>
    </row>
    <row r="176" ht="12.0" customHeight="1">
      <c r="B176" s="1"/>
      <c r="D176" s="161"/>
      <c r="E176" s="161"/>
      <c r="F176" s="161"/>
      <c r="G176" s="348"/>
      <c r="H176" s="348"/>
      <c r="I176" s="348"/>
      <c r="J176" s="348"/>
      <c r="K176" s="348"/>
      <c r="L176" s="3"/>
      <c r="M176" s="928"/>
      <c r="O176" s="151"/>
    </row>
    <row r="177" ht="12.0" customHeight="1">
      <c r="B177" s="1"/>
      <c r="D177" s="161"/>
      <c r="E177" s="161"/>
      <c r="F177" s="161"/>
      <c r="G177" s="348"/>
      <c r="H177" s="348"/>
      <c r="I177" s="348"/>
      <c r="J177" s="348"/>
      <c r="K177" s="348"/>
      <c r="L177" s="3"/>
      <c r="M177" s="928"/>
      <c r="O177" s="151"/>
    </row>
    <row r="178" ht="12.0" customHeight="1">
      <c r="B178" s="1"/>
      <c r="D178" s="161"/>
      <c r="E178" s="161"/>
      <c r="F178" s="161"/>
      <c r="G178" s="348"/>
      <c r="H178" s="348"/>
      <c r="I178" s="348"/>
      <c r="J178" s="348"/>
      <c r="K178" s="348"/>
      <c r="L178" s="3"/>
      <c r="M178" s="928"/>
      <c r="O178" s="151"/>
    </row>
    <row r="179" ht="12.0" customHeight="1">
      <c r="B179" s="1"/>
      <c r="D179" s="161"/>
      <c r="E179" s="161"/>
      <c r="F179" s="161"/>
      <c r="G179" s="348"/>
      <c r="H179" s="348"/>
      <c r="I179" s="348"/>
      <c r="J179" s="348"/>
      <c r="K179" s="348"/>
      <c r="L179" s="3"/>
      <c r="M179" s="928"/>
      <c r="O179" s="151"/>
    </row>
    <row r="180" ht="12.0" customHeight="1">
      <c r="B180" s="1"/>
      <c r="D180" s="161"/>
      <c r="E180" s="161"/>
      <c r="F180" s="161"/>
      <c r="G180" s="348"/>
      <c r="H180" s="348"/>
      <c r="I180" s="348"/>
      <c r="J180" s="348"/>
      <c r="K180" s="348"/>
      <c r="L180" s="3"/>
      <c r="M180" s="928"/>
      <c r="O180" s="151"/>
    </row>
    <row r="181" ht="12.0" customHeight="1">
      <c r="B181" s="1"/>
      <c r="D181" s="161"/>
      <c r="E181" s="161"/>
      <c r="F181" s="161"/>
      <c r="G181" s="348"/>
      <c r="H181" s="348"/>
      <c r="I181" s="348"/>
      <c r="J181" s="348"/>
      <c r="K181" s="348"/>
      <c r="L181" s="3"/>
      <c r="M181" s="928"/>
      <c r="O181" s="151"/>
    </row>
    <row r="182" ht="12.0" customHeight="1">
      <c r="B182" s="1"/>
      <c r="D182" s="161"/>
      <c r="E182" s="161"/>
      <c r="F182" s="161"/>
      <c r="G182" s="348"/>
      <c r="H182" s="348"/>
      <c r="I182" s="348"/>
      <c r="J182" s="348"/>
      <c r="K182" s="348"/>
      <c r="L182" s="3"/>
      <c r="M182" s="928"/>
      <c r="O182" s="151"/>
    </row>
    <row r="183" ht="12.0" customHeight="1">
      <c r="B183" s="1"/>
      <c r="D183" s="161"/>
      <c r="E183" s="161"/>
      <c r="F183" s="161"/>
      <c r="G183" s="348"/>
      <c r="H183" s="348"/>
      <c r="I183" s="348"/>
      <c r="J183" s="348"/>
      <c r="K183" s="348"/>
      <c r="L183" s="3"/>
      <c r="M183" s="928"/>
      <c r="O183" s="151"/>
    </row>
    <row r="184" ht="12.0" customHeight="1">
      <c r="B184" s="1"/>
      <c r="D184" s="161"/>
      <c r="E184" s="161"/>
      <c r="F184" s="161"/>
      <c r="G184" s="348"/>
      <c r="H184" s="348"/>
      <c r="I184" s="348"/>
      <c r="J184" s="348"/>
      <c r="K184" s="348"/>
      <c r="L184" s="3"/>
      <c r="M184" s="928"/>
      <c r="O184" s="151"/>
    </row>
    <row r="185" ht="12.0" customHeight="1">
      <c r="B185" s="1"/>
      <c r="D185" s="161"/>
      <c r="E185" s="161"/>
      <c r="F185" s="161"/>
      <c r="G185" s="348"/>
      <c r="H185" s="348"/>
      <c r="I185" s="348"/>
      <c r="J185" s="348"/>
      <c r="K185" s="348"/>
      <c r="L185" s="3"/>
      <c r="M185" s="928"/>
      <c r="O185" s="151"/>
    </row>
    <row r="186" ht="12.0" customHeight="1">
      <c r="B186" s="1"/>
      <c r="D186" s="161"/>
      <c r="E186" s="161"/>
      <c r="F186" s="161"/>
      <c r="G186" s="348"/>
      <c r="H186" s="348"/>
      <c r="I186" s="348"/>
      <c r="J186" s="348"/>
      <c r="K186" s="348"/>
      <c r="L186" s="3"/>
      <c r="M186" s="928"/>
      <c r="O186" s="151"/>
    </row>
    <row r="187" ht="12.0" customHeight="1">
      <c r="B187" s="1"/>
      <c r="D187" s="161"/>
      <c r="E187" s="161"/>
      <c r="F187" s="161"/>
      <c r="G187" s="348"/>
      <c r="H187" s="348"/>
      <c r="I187" s="348"/>
      <c r="J187" s="348"/>
      <c r="K187" s="348"/>
      <c r="L187" s="3"/>
      <c r="M187" s="928"/>
      <c r="O187" s="151"/>
    </row>
    <row r="188" ht="12.0" customHeight="1">
      <c r="B188" s="1"/>
      <c r="D188" s="161"/>
      <c r="E188" s="161"/>
      <c r="F188" s="161"/>
      <c r="G188" s="348"/>
      <c r="H188" s="348"/>
      <c r="I188" s="348"/>
      <c r="J188" s="348"/>
      <c r="K188" s="348"/>
      <c r="L188" s="3"/>
      <c r="M188" s="928"/>
      <c r="O188" s="151"/>
    </row>
    <row r="189" ht="12.0" customHeight="1">
      <c r="B189" s="1"/>
      <c r="D189" s="161"/>
      <c r="E189" s="161"/>
      <c r="F189" s="161"/>
      <c r="G189" s="348"/>
      <c r="H189" s="348"/>
      <c r="I189" s="348"/>
      <c r="J189" s="348"/>
      <c r="K189" s="348"/>
      <c r="L189" s="3"/>
      <c r="M189" s="928"/>
      <c r="O189" s="151"/>
    </row>
    <row r="190" ht="12.0" customHeight="1">
      <c r="B190" s="1"/>
      <c r="D190" s="161"/>
      <c r="E190" s="161"/>
      <c r="F190" s="161"/>
      <c r="G190" s="348"/>
      <c r="H190" s="348"/>
      <c r="I190" s="348"/>
      <c r="J190" s="348"/>
      <c r="K190" s="348"/>
      <c r="L190" s="3"/>
      <c r="M190" s="928"/>
      <c r="O190" s="151"/>
    </row>
    <row r="191" ht="12.0" customHeight="1">
      <c r="B191" s="1"/>
      <c r="D191" s="161"/>
      <c r="E191" s="161"/>
      <c r="F191" s="161"/>
      <c r="G191" s="348"/>
      <c r="H191" s="348"/>
      <c r="I191" s="348"/>
      <c r="J191" s="348"/>
      <c r="K191" s="348"/>
      <c r="L191" s="3"/>
      <c r="M191" s="928"/>
      <c r="O191" s="151"/>
    </row>
    <row r="192" ht="12.0" customHeight="1">
      <c r="B192" s="1"/>
      <c r="D192" s="161"/>
      <c r="E192" s="161"/>
      <c r="F192" s="161"/>
      <c r="G192" s="348"/>
      <c r="H192" s="348"/>
      <c r="I192" s="348"/>
      <c r="J192" s="348"/>
      <c r="K192" s="348"/>
      <c r="L192" s="3"/>
      <c r="M192" s="928"/>
      <c r="O192" s="151"/>
    </row>
    <row r="193" ht="12.0" customHeight="1">
      <c r="B193" s="1"/>
      <c r="D193" s="161"/>
      <c r="E193" s="161"/>
      <c r="F193" s="161"/>
      <c r="G193" s="348"/>
      <c r="H193" s="348"/>
      <c r="I193" s="348"/>
      <c r="J193" s="348"/>
      <c r="K193" s="348"/>
      <c r="L193" s="3"/>
      <c r="M193" s="928"/>
      <c r="O193" s="151"/>
    </row>
    <row r="194" ht="12.0" customHeight="1">
      <c r="B194" s="1"/>
      <c r="D194" s="161"/>
      <c r="E194" s="161"/>
      <c r="F194" s="161"/>
      <c r="G194" s="348"/>
      <c r="H194" s="348"/>
      <c r="I194" s="348"/>
      <c r="J194" s="348"/>
      <c r="K194" s="348"/>
      <c r="L194" s="3"/>
      <c r="M194" s="928"/>
      <c r="O194" s="151"/>
    </row>
    <row r="195" ht="12.0" customHeight="1">
      <c r="B195" s="1"/>
      <c r="D195" s="161"/>
      <c r="E195" s="161"/>
      <c r="F195" s="161"/>
      <c r="G195" s="348"/>
      <c r="H195" s="348"/>
      <c r="I195" s="348"/>
      <c r="J195" s="348"/>
      <c r="K195" s="348"/>
      <c r="L195" s="3"/>
      <c r="M195" s="928"/>
      <c r="O195" s="151"/>
    </row>
    <row r="196" ht="12.0" customHeight="1">
      <c r="B196" s="1"/>
      <c r="D196" s="161"/>
      <c r="E196" s="161"/>
      <c r="F196" s="161"/>
      <c r="G196" s="348"/>
      <c r="H196" s="348"/>
      <c r="I196" s="348"/>
      <c r="J196" s="348"/>
      <c r="K196" s="348"/>
      <c r="L196" s="3"/>
      <c r="M196" s="928"/>
      <c r="O196" s="151"/>
    </row>
    <row r="197" ht="12.0" customHeight="1">
      <c r="B197" s="1"/>
      <c r="D197" s="161"/>
      <c r="E197" s="161"/>
      <c r="F197" s="161"/>
      <c r="G197" s="348"/>
      <c r="H197" s="348"/>
      <c r="I197" s="348"/>
      <c r="J197" s="348"/>
      <c r="K197" s="348"/>
      <c r="L197" s="3"/>
      <c r="M197" s="928"/>
      <c r="O197" s="151"/>
    </row>
    <row r="198" ht="12.0" customHeight="1">
      <c r="B198" s="1"/>
      <c r="D198" s="161"/>
      <c r="E198" s="161"/>
      <c r="F198" s="161"/>
      <c r="G198" s="348"/>
      <c r="H198" s="348"/>
      <c r="I198" s="348"/>
      <c r="J198" s="348"/>
      <c r="K198" s="348"/>
      <c r="L198" s="3"/>
      <c r="M198" s="928"/>
      <c r="O198" s="151"/>
    </row>
    <row r="199" ht="12.0" customHeight="1">
      <c r="B199" s="1"/>
      <c r="D199" s="161"/>
      <c r="E199" s="161"/>
      <c r="F199" s="161"/>
      <c r="G199" s="348"/>
      <c r="H199" s="348"/>
      <c r="I199" s="348"/>
      <c r="J199" s="348"/>
      <c r="K199" s="348"/>
      <c r="L199" s="3"/>
      <c r="M199" s="928"/>
      <c r="O199" s="151"/>
    </row>
    <row r="200" ht="12.0" customHeight="1">
      <c r="B200" s="1"/>
      <c r="D200" s="161"/>
      <c r="E200" s="161"/>
      <c r="F200" s="161"/>
      <c r="G200" s="348"/>
      <c r="H200" s="348"/>
      <c r="I200" s="348"/>
      <c r="J200" s="348"/>
      <c r="K200" s="348"/>
      <c r="L200" s="3"/>
      <c r="M200" s="928"/>
      <c r="O200" s="151"/>
    </row>
    <row r="201" ht="12.0" customHeight="1">
      <c r="B201" s="1"/>
      <c r="D201" s="161"/>
      <c r="E201" s="161"/>
      <c r="F201" s="161"/>
      <c r="G201" s="348"/>
      <c r="H201" s="348"/>
      <c r="I201" s="348"/>
      <c r="J201" s="348"/>
      <c r="K201" s="348"/>
      <c r="L201" s="3"/>
      <c r="M201" s="928"/>
      <c r="O201" s="151"/>
    </row>
    <row r="202" ht="12.0" customHeight="1">
      <c r="B202" s="1"/>
      <c r="D202" s="161"/>
      <c r="E202" s="161"/>
      <c r="F202" s="161"/>
      <c r="G202" s="348"/>
      <c r="H202" s="348"/>
      <c r="I202" s="348"/>
      <c r="J202" s="348"/>
      <c r="K202" s="348"/>
      <c r="L202" s="3"/>
      <c r="M202" s="928"/>
      <c r="O202" s="151"/>
    </row>
    <row r="203" ht="12.0" customHeight="1">
      <c r="B203" s="1"/>
      <c r="D203" s="161"/>
      <c r="E203" s="161"/>
      <c r="F203" s="161"/>
      <c r="G203" s="348"/>
      <c r="H203" s="348"/>
      <c r="I203" s="348"/>
      <c r="J203" s="348"/>
      <c r="K203" s="348"/>
      <c r="L203" s="3"/>
      <c r="M203" s="928"/>
      <c r="O203" s="151"/>
    </row>
    <row r="204" ht="12.0" customHeight="1">
      <c r="B204" s="1"/>
      <c r="D204" s="161"/>
      <c r="E204" s="161"/>
      <c r="F204" s="161"/>
      <c r="G204" s="348"/>
      <c r="H204" s="348"/>
      <c r="I204" s="348"/>
      <c r="J204" s="348"/>
      <c r="K204" s="348"/>
      <c r="L204" s="3"/>
      <c r="M204" s="928"/>
      <c r="O204" s="151"/>
    </row>
    <row r="205" ht="12.0" customHeight="1">
      <c r="B205" s="1"/>
      <c r="D205" s="161"/>
      <c r="E205" s="161"/>
      <c r="F205" s="161"/>
      <c r="G205" s="348"/>
      <c r="H205" s="348"/>
      <c r="I205" s="348"/>
      <c r="J205" s="348"/>
      <c r="K205" s="348"/>
      <c r="L205" s="3"/>
      <c r="M205" s="928"/>
      <c r="O205" s="151"/>
    </row>
    <row r="206" ht="12.0" customHeight="1">
      <c r="B206" s="1"/>
      <c r="D206" s="161"/>
      <c r="E206" s="161"/>
      <c r="F206" s="161"/>
      <c r="G206" s="348"/>
      <c r="H206" s="348"/>
      <c r="I206" s="348"/>
      <c r="J206" s="348"/>
      <c r="K206" s="348"/>
      <c r="L206" s="3"/>
      <c r="M206" s="928"/>
      <c r="O206" s="151"/>
    </row>
    <row r="207" ht="12.0" customHeight="1">
      <c r="B207" s="1"/>
      <c r="D207" s="161"/>
      <c r="E207" s="161"/>
      <c r="F207" s="161"/>
      <c r="G207" s="348"/>
      <c r="H207" s="348"/>
      <c r="I207" s="348"/>
      <c r="J207" s="348"/>
      <c r="K207" s="348"/>
      <c r="L207" s="3"/>
      <c r="M207" s="928"/>
      <c r="O207" s="151"/>
    </row>
    <row r="208" ht="12.0" customHeight="1">
      <c r="B208" s="1"/>
      <c r="D208" s="161"/>
      <c r="E208" s="161"/>
      <c r="F208" s="161"/>
      <c r="G208" s="348"/>
      <c r="H208" s="348"/>
      <c r="I208" s="348"/>
      <c r="J208" s="348"/>
      <c r="K208" s="348"/>
      <c r="L208" s="3"/>
      <c r="M208" s="928"/>
      <c r="O208" s="151"/>
    </row>
    <row r="209" ht="12.0" customHeight="1">
      <c r="B209" s="1"/>
      <c r="D209" s="161"/>
      <c r="E209" s="161"/>
      <c r="F209" s="161"/>
      <c r="G209" s="348"/>
      <c r="H209" s="348"/>
      <c r="I209" s="348"/>
      <c r="J209" s="348"/>
      <c r="K209" s="348"/>
      <c r="L209" s="3"/>
      <c r="M209" s="928"/>
      <c r="O209" s="151"/>
    </row>
    <row r="210" ht="12.0" customHeight="1">
      <c r="B210" s="1"/>
      <c r="D210" s="161"/>
      <c r="E210" s="161"/>
      <c r="F210" s="161"/>
      <c r="G210" s="348"/>
      <c r="H210" s="348"/>
      <c r="I210" s="348"/>
      <c r="J210" s="348"/>
      <c r="K210" s="348"/>
      <c r="L210" s="3"/>
      <c r="M210" s="928"/>
      <c r="O210" s="151"/>
    </row>
    <row r="211" ht="12.0" customHeight="1">
      <c r="B211" s="1"/>
      <c r="D211" s="161"/>
      <c r="E211" s="161"/>
      <c r="F211" s="161"/>
      <c r="G211" s="348"/>
      <c r="H211" s="348"/>
      <c r="I211" s="348"/>
      <c r="J211" s="348"/>
      <c r="K211" s="348"/>
      <c r="L211" s="3"/>
      <c r="M211" s="928"/>
      <c r="O211" s="151"/>
    </row>
    <row r="212" ht="12.0" customHeight="1">
      <c r="B212" s="1"/>
      <c r="D212" s="161"/>
      <c r="E212" s="161"/>
      <c r="F212" s="161"/>
      <c r="G212" s="348"/>
      <c r="H212" s="348"/>
      <c r="I212" s="348"/>
      <c r="J212" s="348"/>
      <c r="K212" s="348"/>
      <c r="L212" s="3"/>
      <c r="M212" s="928"/>
      <c r="O212" s="151"/>
    </row>
    <row r="213" ht="12.0" customHeight="1">
      <c r="B213" s="1"/>
      <c r="D213" s="161"/>
      <c r="E213" s="161"/>
      <c r="F213" s="161"/>
      <c r="G213" s="348"/>
      <c r="H213" s="348"/>
      <c r="I213" s="348"/>
      <c r="J213" s="348"/>
      <c r="K213" s="348"/>
      <c r="L213" s="3"/>
      <c r="M213" s="928"/>
      <c r="O213" s="151"/>
    </row>
    <row r="214" ht="12.0" customHeight="1">
      <c r="B214" s="1"/>
      <c r="D214" s="161"/>
      <c r="E214" s="161"/>
      <c r="F214" s="161"/>
      <c r="G214" s="348"/>
      <c r="H214" s="348"/>
      <c r="I214" s="348"/>
      <c r="J214" s="348"/>
      <c r="K214" s="348"/>
      <c r="L214" s="3"/>
      <c r="M214" s="928"/>
      <c r="O214" s="151"/>
    </row>
    <row r="215" ht="12.0" customHeight="1">
      <c r="B215" s="1"/>
      <c r="D215" s="161"/>
      <c r="E215" s="161"/>
      <c r="F215" s="161"/>
      <c r="G215" s="348"/>
      <c r="H215" s="348"/>
      <c r="I215" s="348"/>
      <c r="J215" s="348"/>
      <c r="K215" s="348"/>
      <c r="L215" s="3"/>
      <c r="M215" s="928"/>
      <c r="O215" s="151"/>
    </row>
    <row r="216" ht="12.0" customHeight="1">
      <c r="B216" s="1"/>
      <c r="D216" s="161"/>
      <c r="E216" s="161"/>
      <c r="F216" s="161"/>
      <c r="G216" s="348"/>
      <c r="H216" s="348"/>
      <c r="I216" s="348"/>
      <c r="J216" s="348"/>
      <c r="K216" s="348"/>
      <c r="L216" s="3"/>
      <c r="M216" s="928"/>
      <c r="O216" s="151"/>
    </row>
    <row r="217" ht="12.0" customHeight="1">
      <c r="B217" s="1"/>
      <c r="D217" s="161"/>
      <c r="E217" s="161"/>
      <c r="F217" s="161"/>
      <c r="G217" s="348"/>
      <c r="H217" s="348"/>
      <c r="I217" s="348"/>
      <c r="J217" s="348"/>
      <c r="K217" s="348"/>
      <c r="L217" s="3"/>
      <c r="M217" s="928"/>
      <c r="O217" s="151"/>
    </row>
    <row r="218" ht="12.0" customHeight="1">
      <c r="B218" s="1"/>
      <c r="D218" s="161"/>
      <c r="E218" s="161"/>
      <c r="F218" s="161"/>
      <c r="G218" s="348"/>
      <c r="H218" s="348"/>
      <c r="I218" s="348"/>
      <c r="J218" s="348"/>
      <c r="K218" s="348"/>
      <c r="L218" s="3"/>
      <c r="M218" s="928"/>
      <c r="O218" s="151"/>
    </row>
    <row r="219" ht="12.0" customHeight="1">
      <c r="B219" s="1"/>
      <c r="D219" s="161"/>
      <c r="E219" s="161"/>
      <c r="F219" s="161"/>
      <c r="G219" s="348"/>
      <c r="H219" s="348"/>
      <c r="I219" s="348"/>
      <c r="J219" s="348"/>
      <c r="K219" s="348"/>
      <c r="L219" s="3"/>
      <c r="M219" s="928"/>
      <c r="O219" s="151"/>
    </row>
    <row r="220" ht="12.0" customHeight="1">
      <c r="B220" s="1"/>
      <c r="D220" s="161"/>
      <c r="E220" s="161"/>
      <c r="F220" s="161"/>
      <c r="G220" s="348"/>
      <c r="H220" s="348"/>
      <c r="I220" s="348"/>
      <c r="J220" s="348"/>
      <c r="K220" s="348"/>
      <c r="L220" s="3"/>
      <c r="M220" s="928"/>
      <c r="O220" s="151"/>
    </row>
    <row r="221" ht="12.0" customHeight="1">
      <c r="B221" s="1"/>
      <c r="D221" s="161"/>
      <c r="E221" s="161"/>
      <c r="F221" s="161"/>
      <c r="G221" s="348"/>
      <c r="H221" s="348"/>
      <c r="I221" s="348"/>
      <c r="J221" s="348"/>
      <c r="K221" s="348"/>
      <c r="L221" s="3"/>
      <c r="M221" s="928"/>
      <c r="O221" s="151"/>
    </row>
    <row r="222" ht="12.0" customHeight="1">
      <c r="B222" s="1"/>
      <c r="D222" s="161"/>
      <c r="E222" s="161"/>
      <c r="F222" s="161"/>
      <c r="G222" s="348"/>
      <c r="H222" s="348"/>
      <c r="I222" s="348"/>
      <c r="J222" s="348"/>
      <c r="K222" s="348"/>
      <c r="L222" s="3"/>
      <c r="M222" s="928"/>
      <c r="O222" s="151"/>
    </row>
    <row r="223" ht="12.0" customHeight="1">
      <c r="B223" s="1"/>
      <c r="D223" s="161"/>
      <c r="E223" s="161"/>
      <c r="F223" s="161"/>
      <c r="G223" s="348"/>
      <c r="H223" s="348"/>
      <c r="I223" s="348"/>
      <c r="J223" s="348"/>
      <c r="K223" s="348"/>
      <c r="L223" s="3"/>
      <c r="M223" s="928"/>
      <c r="O223" s="151"/>
    </row>
    <row r="224" ht="12.0" customHeight="1">
      <c r="B224" s="1"/>
      <c r="D224" s="161"/>
      <c r="E224" s="161"/>
      <c r="F224" s="161"/>
      <c r="G224" s="348"/>
      <c r="H224" s="348"/>
      <c r="I224" s="348"/>
      <c r="J224" s="348"/>
      <c r="K224" s="348"/>
      <c r="L224" s="3"/>
      <c r="M224" s="928"/>
      <c r="O224" s="151"/>
    </row>
    <row r="225" ht="12.0" customHeight="1">
      <c r="B225" s="1"/>
      <c r="D225" s="161"/>
      <c r="E225" s="161"/>
      <c r="F225" s="161"/>
      <c r="G225" s="348"/>
      <c r="H225" s="348"/>
      <c r="I225" s="348"/>
      <c r="J225" s="348"/>
      <c r="K225" s="348"/>
      <c r="L225" s="3"/>
      <c r="M225" s="928"/>
      <c r="O225" s="151"/>
    </row>
    <row r="226" ht="12.0" customHeight="1">
      <c r="B226" s="1"/>
      <c r="D226" s="161"/>
      <c r="E226" s="161"/>
      <c r="F226" s="161"/>
      <c r="G226" s="348"/>
      <c r="H226" s="348"/>
      <c r="I226" s="348"/>
      <c r="J226" s="348"/>
      <c r="K226" s="348"/>
      <c r="L226" s="3"/>
      <c r="M226" s="928"/>
      <c r="O226" s="151"/>
    </row>
    <row r="227" ht="12.0" customHeight="1">
      <c r="B227" s="1"/>
      <c r="D227" s="161"/>
      <c r="E227" s="161"/>
      <c r="F227" s="161"/>
      <c r="G227" s="348"/>
      <c r="H227" s="348"/>
      <c r="I227" s="348"/>
      <c r="J227" s="348"/>
      <c r="K227" s="348"/>
      <c r="L227" s="3"/>
      <c r="M227" s="928"/>
      <c r="O227" s="151"/>
    </row>
    <row r="228" ht="12.0" customHeight="1">
      <c r="B228" s="1"/>
      <c r="D228" s="161"/>
      <c r="E228" s="161"/>
      <c r="F228" s="161"/>
      <c r="G228" s="348"/>
      <c r="H228" s="348"/>
      <c r="I228" s="348"/>
      <c r="J228" s="348"/>
      <c r="K228" s="348"/>
      <c r="L228" s="3"/>
      <c r="M228" s="928"/>
      <c r="O228" s="151"/>
    </row>
    <row r="229" ht="12.0" customHeight="1">
      <c r="B229" s="1"/>
      <c r="D229" s="161"/>
      <c r="E229" s="161"/>
      <c r="F229" s="161"/>
      <c r="G229" s="348"/>
      <c r="H229" s="348"/>
      <c r="I229" s="348"/>
      <c r="J229" s="348"/>
      <c r="K229" s="348"/>
      <c r="L229" s="3"/>
      <c r="M229" s="928"/>
      <c r="O229" s="151"/>
    </row>
    <row r="230" ht="12.0" customHeight="1">
      <c r="B230" s="1"/>
      <c r="D230" s="161"/>
      <c r="E230" s="161"/>
      <c r="F230" s="161"/>
      <c r="G230" s="348"/>
      <c r="H230" s="348"/>
      <c r="I230" s="348"/>
      <c r="J230" s="348"/>
      <c r="K230" s="348"/>
      <c r="L230" s="3"/>
      <c r="M230" s="928"/>
      <c r="O230" s="151"/>
    </row>
    <row r="231" ht="12.0" customHeight="1">
      <c r="B231" s="1"/>
      <c r="D231" s="161"/>
      <c r="E231" s="161"/>
      <c r="F231" s="161"/>
      <c r="G231" s="348"/>
      <c r="H231" s="348"/>
      <c r="I231" s="348"/>
      <c r="J231" s="348"/>
      <c r="K231" s="348"/>
      <c r="L231" s="3"/>
      <c r="M231" s="928"/>
      <c r="O231" s="151"/>
    </row>
    <row r="232" ht="12.0" customHeight="1">
      <c r="B232" s="1"/>
      <c r="D232" s="161"/>
      <c r="E232" s="161"/>
      <c r="F232" s="161"/>
      <c r="G232" s="348"/>
      <c r="H232" s="348"/>
      <c r="I232" s="348"/>
      <c r="J232" s="348"/>
      <c r="K232" s="348"/>
      <c r="L232" s="3"/>
      <c r="M232" s="928"/>
      <c r="O232" s="151"/>
    </row>
    <row r="233" ht="12.0" customHeight="1">
      <c r="B233" s="1"/>
      <c r="D233" s="161"/>
      <c r="E233" s="161"/>
      <c r="F233" s="161"/>
      <c r="G233" s="348"/>
      <c r="H233" s="348"/>
      <c r="I233" s="348"/>
      <c r="J233" s="348"/>
      <c r="K233" s="348"/>
      <c r="L233" s="3"/>
      <c r="M233" s="928"/>
      <c r="O233" s="151"/>
    </row>
    <row r="234" ht="12.0" customHeight="1">
      <c r="B234" s="1"/>
      <c r="D234" s="161"/>
      <c r="E234" s="161"/>
      <c r="F234" s="161"/>
      <c r="G234" s="348"/>
      <c r="H234" s="348"/>
      <c r="I234" s="348"/>
      <c r="J234" s="348"/>
      <c r="K234" s="348"/>
      <c r="L234" s="3"/>
      <c r="M234" s="928"/>
      <c r="O234" s="151"/>
    </row>
    <row r="235" ht="12.0" customHeight="1">
      <c r="B235" s="1"/>
      <c r="D235" s="161"/>
      <c r="E235" s="161"/>
      <c r="F235" s="161"/>
      <c r="G235" s="348"/>
      <c r="H235" s="348"/>
      <c r="I235" s="348"/>
      <c r="J235" s="348"/>
      <c r="K235" s="348"/>
      <c r="L235" s="3"/>
      <c r="M235" s="928"/>
      <c r="O235" s="151"/>
    </row>
    <row r="236" ht="12.0" customHeight="1">
      <c r="B236" s="1"/>
      <c r="D236" s="161"/>
      <c r="E236" s="161"/>
      <c r="F236" s="161"/>
      <c r="G236" s="348"/>
      <c r="H236" s="348"/>
      <c r="I236" s="348"/>
      <c r="J236" s="348"/>
      <c r="K236" s="348"/>
      <c r="L236" s="3"/>
      <c r="M236" s="928"/>
      <c r="O236" s="151"/>
    </row>
    <row r="237" ht="12.0" customHeight="1">
      <c r="B237" s="1"/>
      <c r="D237" s="161"/>
      <c r="E237" s="161"/>
      <c r="F237" s="161"/>
      <c r="G237" s="348"/>
      <c r="H237" s="348"/>
      <c r="I237" s="348"/>
      <c r="J237" s="348"/>
      <c r="K237" s="348"/>
      <c r="L237" s="3"/>
      <c r="M237" s="928"/>
      <c r="O237" s="151"/>
    </row>
    <row r="238" ht="12.0" customHeight="1">
      <c r="B238" s="1"/>
      <c r="D238" s="161"/>
      <c r="E238" s="161"/>
      <c r="F238" s="161"/>
      <c r="G238" s="348"/>
      <c r="H238" s="348"/>
      <c r="I238" s="348"/>
      <c r="J238" s="348"/>
      <c r="K238" s="348"/>
      <c r="L238" s="3"/>
      <c r="M238" s="928"/>
      <c r="O238" s="151"/>
    </row>
    <row r="239" ht="12.0" customHeight="1">
      <c r="B239" s="1"/>
      <c r="D239" s="161"/>
      <c r="E239" s="161"/>
      <c r="F239" s="161"/>
      <c r="G239" s="348"/>
      <c r="H239" s="348"/>
      <c r="I239" s="348"/>
      <c r="J239" s="348"/>
      <c r="K239" s="348"/>
      <c r="L239" s="3"/>
      <c r="M239" s="928"/>
      <c r="O239" s="151"/>
    </row>
    <row r="240" ht="12.0" customHeight="1">
      <c r="B240" s="1"/>
      <c r="D240" s="161"/>
      <c r="E240" s="161"/>
      <c r="F240" s="161"/>
      <c r="G240" s="348"/>
      <c r="H240" s="348"/>
      <c r="I240" s="348"/>
      <c r="J240" s="348"/>
      <c r="K240" s="348"/>
      <c r="L240" s="3"/>
      <c r="M240" s="928"/>
      <c r="O240" s="151"/>
    </row>
    <row r="241" ht="12.0" customHeight="1">
      <c r="B241" s="1"/>
      <c r="D241" s="161"/>
      <c r="E241" s="161"/>
      <c r="F241" s="161"/>
      <c r="G241" s="348"/>
      <c r="H241" s="348"/>
      <c r="I241" s="348"/>
      <c r="J241" s="348"/>
      <c r="K241" s="348"/>
      <c r="L241" s="3"/>
      <c r="M241" s="928"/>
      <c r="O241" s="151"/>
    </row>
    <row r="242" ht="12.0" customHeight="1">
      <c r="B242" s="1"/>
      <c r="D242" s="161"/>
      <c r="E242" s="161"/>
      <c r="F242" s="161"/>
      <c r="G242" s="348"/>
      <c r="H242" s="348"/>
      <c r="I242" s="348"/>
      <c r="J242" s="348"/>
      <c r="K242" s="348"/>
      <c r="L242" s="3"/>
      <c r="M242" s="928"/>
      <c r="O242" s="151"/>
    </row>
    <row r="243" ht="12.0" customHeight="1">
      <c r="B243" s="1"/>
      <c r="D243" s="161"/>
      <c r="E243" s="161"/>
      <c r="F243" s="161"/>
      <c r="G243" s="348"/>
      <c r="H243" s="348"/>
      <c r="I243" s="348"/>
      <c r="J243" s="348"/>
      <c r="K243" s="348"/>
      <c r="L243" s="3"/>
      <c r="M243" s="928"/>
      <c r="O243" s="151"/>
    </row>
    <row r="244" ht="12.0" customHeight="1">
      <c r="B244" s="1"/>
      <c r="D244" s="161"/>
      <c r="E244" s="161"/>
      <c r="F244" s="161"/>
      <c r="G244" s="348"/>
      <c r="H244" s="348"/>
      <c r="I244" s="348"/>
      <c r="J244" s="348"/>
      <c r="K244" s="348"/>
      <c r="L244" s="3"/>
      <c r="M244" s="928"/>
      <c r="O244" s="151"/>
    </row>
    <row r="245" ht="12.0" customHeight="1">
      <c r="B245" s="1"/>
      <c r="D245" s="161"/>
      <c r="E245" s="161"/>
      <c r="F245" s="161"/>
      <c r="G245" s="348"/>
      <c r="H245" s="348"/>
      <c r="I245" s="348"/>
      <c r="J245" s="348"/>
      <c r="K245" s="348"/>
      <c r="L245" s="3"/>
      <c r="M245" s="928"/>
      <c r="O245" s="151"/>
    </row>
    <row r="246" ht="12.0" customHeight="1">
      <c r="B246" s="1"/>
      <c r="D246" s="161"/>
      <c r="E246" s="161"/>
      <c r="F246" s="161"/>
      <c r="G246" s="348"/>
      <c r="H246" s="348"/>
      <c r="I246" s="348"/>
      <c r="J246" s="348"/>
      <c r="K246" s="348"/>
      <c r="L246" s="3"/>
      <c r="M246" s="928"/>
      <c r="O246" s="151"/>
    </row>
    <row r="247" ht="12.0" customHeight="1">
      <c r="B247" s="1"/>
      <c r="D247" s="161"/>
      <c r="E247" s="161"/>
      <c r="F247" s="161"/>
      <c r="G247" s="348"/>
      <c r="H247" s="348"/>
      <c r="I247" s="348"/>
      <c r="J247" s="348"/>
      <c r="K247" s="348"/>
      <c r="L247" s="3"/>
      <c r="M247" s="928"/>
      <c r="O247" s="151"/>
    </row>
    <row r="248" ht="12.0" customHeight="1">
      <c r="B248" s="1"/>
      <c r="D248" s="161"/>
      <c r="E248" s="161"/>
      <c r="F248" s="161"/>
      <c r="G248" s="348"/>
      <c r="H248" s="348"/>
      <c r="I248" s="348"/>
      <c r="J248" s="348"/>
      <c r="K248" s="348"/>
      <c r="L248" s="3"/>
      <c r="M248" s="928"/>
      <c r="O248" s="151"/>
    </row>
    <row r="249" ht="12.0" customHeight="1">
      <c r="B249" s="1"/>
      <c r="D249" s="161"/>
      <c r="E249" s="161"/>
      <c r="F249" s="161"/>
      <c r="G249" s="348"/>
      <c r="H249" s="348"/>
      <c r="I249" s="348"/>
      <c r="J249" s="348"/>
      <c r="K249" s="348"/>
      <c r="L249" s="3"/>
      <c r="M249" s="928"/>
      <c r="O249" s="151"/>
    </row>
    <row r="250" ht="12.0" customHeight="1">
      <c r="B250" s="1"/>
      <c r="D250" s="161"/>
      <c r="E250" s="161"/>
      <c r="F250" s="161"/>
      <c r="G250" s="348"/>
      <c r="H250" s="348"/>
      <c r="I250" s="348"/>
      <c r="J250" s="348"/>
      <c r="K250" s="348"/>
      <c r="L250" s="3"/>
      <c r="M250" s="928"/>
      <c r="O250" s="151"/>
    </row>
    <row r="251" ht="12.0" customHeight="1">
      <c r="B251" s="1"/>
      <c r="D251" s="161"/>
      <c r="E251" s="161"/>
      <c r="F251" s="161"/>
      <c r="G251" s="348"/>
      <c r="H251" s="348"/>
      <c r="I251" s="348"/>
      <c r="J251" s="348"/>
      <c r="K251" s="348"/>
      <c r="L251" s="3"/>
      <c r="M251" s="928"/>
      <c r="O251" s="151"/>
    </row>
    <row r="252" ht="12.0" customHeight="1">
      <c r="B252" s="1"/>
      <c r="D252" s="161"/>
      <c r="E252" s="161"/>
      <c r="F252" s="161"/>
      <c r="G252" s="348"/>
      <c r="H252" s="348"/>
      <c r="I252" s="348"/>
      <c r="J252" s="348"/>
      <c r="K252" s="348"/>
      <c r="L252" s="3"/>
      <c r="M252" s="928"/>
      <c r="O252" s="151"/>
    </row>
    <row r="253" ht="12.0" customHeight="1">
      <c r="B253" s="1"/>
      <c r="D253" s="161"/>
      <c r="E253" s="161"/>
      <c r="F253" s="161"/>
      <c r="G253" s="348"/>
      <c r="H253" s="348"/>
      <c r="I253" s="348"/>
      <c r="J253" s="348"/>
      <c r="K253" s="348"/>
      <c r="L253" s="3"/>
      <c r="M253" s="928"/>
      <c r="O253" s="151"/>
    </row>
    <row r="254" ht="12.0" customHeight="1">
      <c r="B254" s="1"/>
      <c r="D254" s="161"/>
      <c r="E254" s="161"/>
      <c r="F254" s="161"/>
      <c r="G254" s="348"/>
      <c r="H254" s="348"/>
      <c r="I254" s="348"/>
      <c r="J254" s="348"/>
      <c r="K254" s="348"/>
      <c r="L254" s="3"/>
      <c r="M254" s="928"/>
      <c r="O254" s="151"/>
    </row>
    <row r="255" ht="12.0" customHeight="1">
      <c r="B255" s="1"/>
      <c r="D255" s="161"/>
      <c r="E255" s="161"/>
      <c r="F255" s="161"/>
      <c r="G255" s="348"/>
      <c r="H255" s="348"/>
      <c r="I255" s="348"/>
      <c r="J255" s="348"/>
      <c r="K255" s="348"/>
      <c r="L255" s="3"/>
      <c r="M255" s="928"/>
      <c r="O255" s="151"/>
    </row>
    <row r="256" ht="12.0" customHeight="1">
      <c r="B256" s="1"/>
      <c r="D256" s="161"/>
      <c r="E256" s="161"/>
      <c r="F256" s="161"/>
      <c r="G256" s="348"/>
      <c r="H256" s="348"/>
      <c r="I256" s="348"/>
      <c r="J256" s="348"/>
      <c r="K256" s="348"/>
      <c r="L256" s="3"/>
      <c r="M256" s="928"/>
      <c r="O256" s="151"/>
    </row>
    <row r="257" ht="12.0" customHeight="1">
      <c r="B257" s="1"/>
      <c r="D257" s="161"/>
      <c r="E257" s="161"/>
      <c r="F257" s="161"/>
      <c r="G257" s="348"/>
      <c r="H257" s="348"/>
      <c r="I257" s="348"/>
      <c r="J257" s="348"/>
      <c r="K257" s="348"/>
      <c r="L257" s="3"/>
      <c r="M257" s="928"/>
      <c r="O257" s="151"/>
    </row>
    <row r="258" ht="12.0" customHeight="1">
      <c r="B258" s="1"/>
      <c r="D258" s="161"/>
      <c r="E258" s="161"/>
      <c r="F258" s="161"/>
      <c r="G258" s="348"/>
      <c r="H258" s="348"/>
      <c r="I258" s="348"/>
      <c r="J258" s="348"/>
      <c r="K258" s="348"/>
      <c r="L258" s="3"/>
      <c r="M258" s="928"/>
      <c r="O258" s="151"/>
    </row>
    <row r="259" ht="12.0" customHeight="1">
      <c r="B259" s="1"/>
      <c r="D259" s="161"/>
      <c r="E259" s="161"/>
      <c r="F259" s="161"/>
      <c r="G259" s="348"/>
      <c r="H259" s="348"/>
      <c r="I259" s="348"/>
      <c r="J259" s="348"/>
      <c r="K259" s="348"/>
      <c r="L259" s="3"/>
      <c r="M259" s="928"/>
      <c r="O259" s="151"/>
    </row>
    <row r="260" ht="12.0" customHeight="1">
      <c r="B260" s="1"/>
      <c r="D260" s="161"/>
      <c r="E260" s="161"/>
      <c r="F260" s="161"/>
      <c r="G260" s="348"/>
      <c r="H260" s="348"/>
      <c r="I260" s="348"/>
      <c r="J260" s="348"/>
      <c r="K260" s="348"/>
      <c r="L260" s="3"/>
      <c r="M260" s="928"/>
      <c r="O260" s="151"/>
    </row>
    <row r="261" ht="12.0" customHeight="1">
      <c r="B261" s="1"/>
      <c r="D261" s="161"/>
      <c r="E261" s="161"/>
      <c r="F261" s="161"/>
      <c r="G261" s="348"/>
      <c r="H261" s="348"/>
      <c r="I261" s="348"/>
      <c r="J261" s="348"/>
      <c r="K261" s="348"/>
      <c r="L261" s="3"/>
      <c r="M261" s="928"/>
      <c r="O261" s="151"/>
    </row>
    <row r="262" ht="12.0" customHeight="1">
      <c r="B262" s="1"/>
      <c r="D262" s="161"/>
      <c r="E262" s="161"/>
      <c r="F262" s="161"/>
      <c r="G262" s="348"/>
      <c r="H262" s="348"/>
      <c r="I262" s="348"/>
      <c r="J262" s="348"/>
      <c r="K262" s="348"/>
      <c r="L262" s="3"/>
      <c r="M262" s="928"/>
      <c r="O262" s="151"/>
    </row>
    <row r="263" ht="12.0" customHeight="1">
      <c r="B263" s="1"/>
      <c r="D263" s="161"/>
      <c r="E263" s="161"/>
      <c r="F263" s="161"/>
      <c r="G263" s="348"/>
      <c r="H263" s="348"/>
      <c r="I263" s="348"/>
      <c r="J263" s="348"/>
      <c r="K263" s="348"/>
      <c r="L263" s="3"/>
      <c r="M263" s="928"/>
      <c r="O263" s="151"/>
    </row>
    <row r="264" ht="12.0" customHeight="1">
      <c r="B264" s="1"/>
      <c r="D264" s="161"/>
      <c r="E264" s="161"/>
      <c r="F264" s="161"/>
      <c r="G264" s="348"/>
      <c r="H264" s="348"/>
      <c r="I264" s="348"/>
      <c r="J264" s="348"/>
      <c r="K264" s="348"/>
      <c r="L264" s="3"/>
      <c r="M264" s="928"/>
      <c r="O264" s="151"/>
    </row>
    <row r="265" ht="12.0" customHeight="1">
      <c r="B265" s="1"/>
      <c r="D265" s="161"/>
      <c r="E265" s="161"/>
      <c r="F265" s="161"/>
      <c r="G265" s="348"/>
      <c r="H265" s="348"/>
      <c r="I265" s="348"/>
      <c r="J265" s="348"/>
      <c r="K265" s="348"/>
      <c r="L265" s="3"/>
      <c r="M265" s="928"/>
      <c r="O265" s="151"/>
    </row>
    <row r="266" ht="12.0" customHeight="1">
      <c r="B266" s="1"/>
      <c r="D266" s="161"/>
      <c r="E266" s="161"/>
      <c r="F266" s="161"/>
      <c r="G266" s="348"/>
      <c r="H266" s="348"/>
      <c r="I266" s="348"/>
      <c r="J266" s="348"/>
      <c r="K266" s="348"/>
      <c r="L266" s="3"/>
      <c r="M266" s="928"/>
      <c r="O266" s="151"/>
    </row>
    <row r="267" ht="12.0" customHeight="1">
      <c r="B267" s="1"/>
      <c r="D267" s="161"/>
      <c r="E267" s="161"/>
      <c r="F267" s="161"/>
      <c r="G267" s="348"/>
      <c r="H267" s="348"/>
      <c r="I267" s="348"/>
      <c r="J267" s="348"/>
      <c r="K267" s="348"/>
      <c r="L267" s="3"/>
      <c r="M267" s="928"/>
      <c r="O267" s="151"/>
    </row>
    <row r="268" ht="12.0" customHeight="1">
      <c r="B268" s="1"/>
      <c r="D268" s="161"/>
      <c r="E268" s="161"/>
      <c r="F268" s="161"/>
      <c r="G268" s="348"/>
      <c r="H268" s="348"/>
      <c r="I268" s="348"/>
      <c r="J268" s="348"/>
      <c r="K268" s="348"/>
      <c r="L268" s="3"/>
      <c r="M268" s="928"/>
      <c r="O268" s="151"/>
    </row>
    <row r="269" ht="12.0" customHeight="1">
      <c r="B269" s="1"/>
      <c r="D269" s="161"/>
      <c r="E269" s="161"/>
      <c r="F269" s="161"/>
      <c r="G269" s="348"/>
      <c r="H269" s="348"/>
      <c r="I269" s="348"/>
      <c r="J269" s="348"/>
      <c r="K269" s="348"/>
      <c r="L269" s="3"/>
      <c r="M269" s="928"/>
      <c r="O269" s="151"/>
    </row>
    <row r="270" ht="12.0" customHeight="1">
      <c r="B270" s="1"/>
      <c r="D270" s="161"/>
      <c r="E270" s="161"/>
      <c r="F270" s="161"/>
      <c r="G270" s="348"/>
      <c r="H270" s="348"/>
      <c r="I270" s="348"/>
      <c r="J270" s="348"/>
      <c r="K270" s="348"/>
      <c r="L270" s="3"/>
      <c r="M270" s="928"/>
      <c r="O270" s="151"/>
    </row>
    <row r="271" ht="12.0" customHeight="1">
      <c r="B271" s="1"/>
      <c r="D271" s="161"/>
      <c r="E271" s="161"/>
      <c r="F271" s="161"/>
      <c r="G271" s="348"/>
      <c r="H271" s="348"/>
      <c r="I271" s="348"/>
      <c r="J271" s="348"/>
      <c r="K271" s="348"/>
      <c r="L271" s="3"/>
      <c r="M271" s="928"/>
      <c r="O271" s="151"/>
    </row>
    <row r="272" ht="12.0" customHeight="1">
      <c r="B272" s="1"/>
      <c r="D272" s="161"/>
      <c r="E272" s="161"/>
      <c r="F272" s="161"/>
      <c r="G272" s="348"/>
      <c r="H272" s="348"/>
      <c r="I272" s="348"/>
      <c r="J272" s="348"/>
      <c r="K272" s="348"/>
      <c r="L272" s="3"/>
      <c r="M272" s="928"/>
      <c r="O272" s="151"/>
    </row>
    <row r="273" ht="12.0" customHeight="1">
      <c r="B273" s="1"/>
      <c r="D273" s="161"/>
      <c r="E273" s="161"/>
      <c r="F273" s="161"/>
      <c r="G273" s="348"/>
      <c r="H273" s="348"/>
      <c r="I273" s="348"/>
      <c r="J273" s="348"/>
      <c r="K273" s="348"/>
      <c r="L273" s="3"/>
      <c r="M273" s="928"/>
      <c r="O273" s="151"/>
    </row>
    <row r="274" ht="12.0" customHeight="1">
      <c r="B274" s="1"/>
      <c r="D274" s="161"/>
      <c r="E274" s="161"/>
      <c r="F274" s="161"/>
      <c r="G274" s="348"/>
      <c r="H274" s="348"/>
      <c r="I274" s="348"/>
      <c r="J274" s="348"/>
      <c r="K274" s="348"/>
      <c r="L274" s="3"/>
      <c r="M274" s="928"/>
      <c r="O274" s="151"/>
    </row>
    <row r="275" ht="12.0" customHeight="1">
      <c r="B275" s="1"/>
      <c r="D275" s="161"/>
      <c r="E275" s="161"/>
      <c r="F275" s="161"/>
      <c r="G275" s="348"/>
      <c r="H275" s="348"/>
      <c r="I275" s="348"/>
      <c r="J275" s="348"/>
      <c r="K275" s="348"/>
      <c r="L275" s="3"/>
      <c r="M275" s="928"/>
      <c r="O275" s="151"/>
    </row>
    <row r="276" ht="12.0" customHeight="1">
      <c r="B276" s="1"/>
      <c r="D276" s="161"/>
      <c r="E276" s="161"/>
      <c r="F276" s="161"/>
      <c r="G276" s="348"/>
      <c r="H276" s="348"/>
      <c r="I276" s="348"/>
      <c r="J276" s="348"/>
      <c r="K276" s="348"/>
      <c r="L276" s="3"/>
      <c r="M276" s="928"/>
      <c r="O276" s="151"/>
    </row>
    <row r="277" ht="12.0" customHeight="1">
      <c r="B277" s="1"/>
      <c r="D277" s="161"/>
      <c r="E277" s="161"/>
      <c r="F277" s="161"/>
      <c r="G277" s="348"/>
      <c r="H277" s="348"/>
      <c r="I277" s="348"/>
      <c r="J277" s="348"/>
      <c r="K277" s="348"/>
      <c r="L277" s="3"/>
      <c r="M277" s="928"/>
      <c r="O277" s="151"/>
    </row>
    <row r="278" ht="12.0" customHeight="1">
      <c r="B278" s="1"/>
      <c r="D278" s="161"/>
      <c r="E278" s="161"/>
      <c r="F278" s="161"/>
      <c r="G278" s="348"/>
      <c r="H278" s="348"/>
      <c r="I278" s="348"/>
      <c r="J278" s="348"/>
      <c r="K278" s="348"/>
      <c r="L278" s="3"/>
      <c r="M278" s="928"/>
      <c r="O278" s="151"/>
    </row>
    <row r="279" ht="12.0" customHeight="1">
      <c r="B279" s="1"/>
      <c r="D279" s="161"/>
      <c r="E279" s="161"/>
      <c r="F279" s="161"/>
      <c r="G279" s="348"/>
      <c r="H279" s="348"/>
      <c r="I279" s="348"/>
      <c r="J279" s="348"/>
      <c r="K279" s="348"/>
      <c r="L279" s="3"/>
      <c r="M279" s="928"/>
      <c r="O279" s="151"/>
    </row>
    <row r="280" ht="12.0" customHeight="1">
      <c r="B280" s="1"/>
      <c r="D280" s="161"/>
      <c r="E280" s="161"/>
      <c r="F280" s="161"/>
      <c r="G280" s="348"/>
      <c r="H280" s="348"/>
      <c r="I280" s="348"/>
      <c r="J280" s="348"/>
      <c r="K280" s="348"/>
      <c r="L280" s="3"/>
      <c r="M280" s="928"/>
      <c r="O280" s="151"/>
    </row>
    <row r="281" ht="12.0" customHeight="1">
      <c r="B281" s="1"/>
      <c r="D281" s="161"/>
      <c r="E281" s="161"/>
      <c r="F281" s="161"/>
      <c r="G281" s="348"/>
      <c r="H281" s="348"/>
      <c r="I281" s="348"/>
      <c r="J281" s="348"/>
      <c r="K281" s="348"/>
      <c r="L281" s="3"/>
      <c r="M281" s="928"/>
      <c r="O281" s="151"/>
    </row>
    <row r="282" ht="12.0" customHeight="1">
      <c r="B282" s="1"/>
      <c r="D282" s="161"/>
      <c r="E282" s="161"/>
      <c r="F282" s="161"/>
      <c r="G282" s="348"/>
      <c r="H282" s="348"/>
      <c r="I282" s="348"/>
      <c r="J282" s="348"/>
      <c r="K282" s="348"/>
      <c r="L282" s="3"/>
      <c r="M282" s="928"/>
      <c r="O282" s="151"/>
    </row>
    <row r="283" ht="12.0" customHeight="1">
      <c r="B283" s="1"/>
      <c r="D283" s="161"/>
      <c r="E283" s="161"/>
      <c r="F283" s="161"/>
      <c r="G283" s="348"/>
      <c r="H283" s="348"/>
      <c r="I283" s="348"/>
      <c r="J283" s="348"/>
      <c r="K283" s="348"/>
      <c r="L283" s="3"/>
      <c r="M283" s="928"/>
      <c r="O283" s="151"/>
    </row>
    <row r="284" ht="12.0" customHeight="1">
      <c r="B284" s="1"/>
      <c r="D284" s="161"/>
      <c r="E284" s="161"/>
      <c r="F284" s="161"/>
      <c r="G284" s="348"/>
      <c r="H284" s="348"/>
      <c r="I284" s="348"/>
      <c r="J284" s="348"/>
      <c r="K284" s="348"/>
      <c r="L284" s="3"/>
      <c r="M284" s="928"/>
      <c r="O284" s="151"/>
    </row>
    <row r="285" ht="12.0" customHeight="1">
      <c r="B285" s="1"/>
      <c r="D285" s="161"/>
      <c r="E285" s="161"/>
      <c r="F285" s="161"/>
      <c r="G285" s="348"/>
      <c r="H285" s="348"/>
      <c r="I285" s="348"/>
      <c r="J285" s="348"/>
      <c r="K285" s="348"/>
      <c r="L285" s="3"/>
      <c r="M285" s="928"/>
      <c r="O285" s="151"/>
    </row>
    <row r="286" ht="12.0" customHeight="1">
      <c r="B286" s="1"/>
      <c r="D286" s="161"/>
      <c r="E286" s="161"/>
      <c r="F286" s="161"/>
      <c r="G286" s="348"/>
      <c r="H286" s="348"/>
      <c r="I286" s="348"/>
      <c r="J286" s="348"/>
      <c r="K286" s="348"/>
      <c r="L286" s="3"/>
      <c r="M286" s="928"/>
      <c r="O286" s="151"/>
    </row>
    <row r="287" ht="12.0" customHeight="1">
      <c r="B287" s="1"/>
      <c r="D287" s="161"/>
      <c r="E287" s="161"/>
      <c r="F287" s="161"/>
      <c r="G287" s="348"/>
      <c r="H287" s="348"/>
      <c r="I287" s="348"/>
      <c r="J287" s="348"/>
      <c r="K287" s="348"/>
      <c r="L287" s="3"/>
      <c r="M287" s="928"/>
      <c r="O287" s="151"/>
    </row>
    <row r="288" ht="12.0" customHeight="1">
      <c r="B288" s="1"/>
      <c r="D288" s="161"/>
      <c r="E288" s="161"/>
      <c r="F288" s="161"/>
      <c r="G288" s="348"/>
      <c r="H288" s="348"/>
      <c r="I288" s="348"/>
      <c r="J288" s="348"/>
      <c r="K288" s="348"/>
      <c r="L288" s="3"/>
      <c r="M288" s="928"/>
      <c r="O288" s="151"/>
    </row>
    <row r="289" ht="12.0" customHeight="1">
      <c r="B289" s="1"/>
      <c r="D289" s="161"/>
      <c r="E289" s="161"/>
      <c r="F289" s="161"/>
      <c r="G289" s="348"/>
      <c r="H289" s="348"/>
      <c r="I289" s="348"/>
      <c r="J289" s="348"/>
      <c r="K289" s="348"/>
      <c r="L289" s="3"/>
      <c r="M289" s="928"/>
      <c r="O289" s="151"/>
    </row>
    <row r="290" ht="12.0" customHeight="1">
      <c r="B290" s="1"/>
      <c r="D290" s="161"/>
      <c r="E290" s="161"/>
      <c r="F290" s="161"/>
      <c r="G290" s="348"/>
      <c r="H290" s="348"/>
      <c r="I290" s="348"/>
      <c r="J290" s="348"/>
      <c r="K290" s="348"/>
      <c r="L290" s="3"/>
      <c r="M290" s="928"/>
      <c r="O290" s="151"/>
    </row>
    <row r="291" ht="12.0" customHeight="1">
      <c r="B291" s="1"/>
      <c r="D291" s="161"/>
      <c r="E291" s="161"/>
      <c r="F291" s="161"/>
      <c r="G291" s="348"/>
      <c r="H291" s="348"/>
      <c r="I291" s="348"/>
      <c r="J291" s="348"/>
      <c r="K291" s="348"/>
      <c r="L291" s="3"/>
      <c r="M291" s="928"/>
      <c r="O291" s="151"/>
    </row>
    <row r="292" ht="12.0" customHeight="1">
      <c r="B292" s="1"/>
      <c r="D292" s="161"/>
      <c r="E292" s="161"/>
      <c r="F292" s="161"/>
      <c r="G292" s="348"/>
      <c r="H292" s="348"/>
      <c r="I292" s="348"/>
      <c r="J292" s="348"/>
      <c r="K292" s="348"/>
      <c r="L292" s="3"/>
      <c r="M292" s="928"/>
      <c r="O292" s="151"/>
    </row>
    <row r="293" ht="12.0" customHeight="1">
      <c r="B293" s="1"/>
      <c r="D293" s="161"/>
      <c r="E293" s="161"/>
      <c r="F293" s="161"/>
      <c r="G293" s="348"/>
      <c r="H293" s="348"/>
      <c r="I293" s="348"/>
      <c r="J293" s="348"/>
      <c r="K293" s="348"/>
      <c r="L293" s="3"/>
      <c r="M293" s="928"/>
      <c r="O293" s="151"/>
    </row>
    <row r="294" ht="12.0" customHeight="1">
      <c r="B294" s="1"/>
      <c r="D294" s="161"/>
      <c r="E294" s="161"/>
      <c r="F294" s="161"/>
      <c r="G294" s="348"/>
      <c r="H294" s="348"/>
      <c r="I294" s="348"/>
      <c r="J294" s="348"/>
      <c r="K294" s="348"/>
      <c r="L294" s="3"/>
      <c r="M294" s="928"/>
      <c r="O294" s="151"/>
    </row>
    <row r="295" ht="12.0" customHeight="1">
      <c r="B295" s="1"/>
      <c r="D295" s="161"/>
      <c r="E295" s="161"/>
      <c r="F295" s="161"/>
      <c r="G295" s="348"/>
      <c r="H295" s="348"/>
      <c r="I295" s="348"/>
      <c r="J295" s="348"/>
      <c r="K295" s="348"/>
      <c r="L295" s="3"/>
      <c r="M295" s="928"/>
      <c r="O295" s="151"/>
    </row>
    <row r="296" ht="12.0" customHeight="1">
      <c r="B296" s="1"/>
      <c r="D296" s="161"/>
      <c r="E296" s="161"/>
      <c r="F296" s="161"/>
      <c r="G296" s="348"/>
      <c r="H296" s="348"/>
      <c r="I296" s="348"/>
      <c r="J296" s="348"/>
      <c r="K296" s="348"/>
      <c r="L296" s="3"/>
      <c r="M296" s="928"/>
      <c r="O296" s="151"/>
    </row>
    <row r="297" ht="12.0" customHeight="1">
      <c r="B297" s="1"/>
      <c r="D297" s="161"/>
      <c r="E297" s="161"/>
      <c r="F297" s="161"/>
      <c r="G297" s="348"/>
      <c r="H297" s="348"/>
      <c r="I297" s="348"/>
      <c r="J297" s="348"/>
      <c r="K297" s="348"/>
      <c r="L297" s="3"/>
      <c r="M297" s="928"/>
      <c r="O297" s="151"/>
    </row>
    <row r="298" ht="12.0" customHeight="1">
      <c r="B298" s="1"/>
      <c r="D298" s="161"/>
      <c r="E298" s="161"/>
      <c r="F298" s="161"/>
      <c r="G298" s="348"/>
      <c r="H298" s="348"/>
      <c r="I298" s="348"/>
      <c r="J298" s="348"/>
      <c r="K298" s="348"/>
      <c r="L298" s="3"/>
      <c r="M298" s="928"/>
      <c r="O298" s="151"/>
    </row>
    <row r="299" ht="12.0" customHeight="1">
      <c r="B299" s="1"/>
      <c r="D299" s="161"/>
      <c r="E299" s="161"/>
      <c r="F299" s="161"/>
      <c r="G299" s="348"/>
      <c r="H299" s="348"/>
      <c r="I299" s="348"/>
      <c r="J299" s="348"/>
      <c r="K299" s="348"/>
      <c r="L299" s="3"/>
      <c r="M299" s="928"/>
      <c r="O299" s="151"/>
    </row>
    <row r="300" ht="12.0" customHeight="1">
      <c r="B300" s="1"/>
      <c r="D300" s="161"/>
      <c r="E300" s="161"/>
      <c r="F300" s="161"/>
      <c r="G300" s="348"/>
      <c r="H300" s="348"/>
      <c r="I300" s="348"/>
      <c r="J300" s="348"/>
      <c r="K300" s="348"/>
      <c r="L300" s="3"/>
      <c r="M300" s="928"/>
      <c r="O300" s="151"/>
    </row>
    <row r="301" ht="12.0" customHeight="1">
      <c r="B301" s="1"/>
      <c r="D301" s="161"/>
      <c r="E301" s="161"/>
      <c r="F301" s="161"/>
      <c r="G301" s="348"/>
      <c r="H301" s="348"/>
      <c r="I301" s="348"/>
      <c r="J301" s="348"/>
      <c r="K301" s="348"/>
      <c r="L301" s="3"/>
      <c r="M301" s="928"/>
      <c r="O301" s="151"/>
    </row>
    <row r="302" ht="12.0" customHeight="1">
      <c r="B302" s="1"/>
      <c r="D302" s="161"/>
      <c r="E302" s="161"/>
      <c r="F302" s="161"/>
      <c r="G302" s="348"/>
      <c r="H302" s="348"/>
      <c r="I302" s="348"/>
      <c r="J302" s="348"/>
      <c r="K302" s="348"/>
      <c r="L302" s="3"/>
      <c r="M302" s="928"/>
      <c r="O302" s="151"/>
    </row>
    <row r="303" ht="12.0" customHeight="1">
      <c r="B303" s="1"/>
      <c r="D303" s="161"/>
      <c r="E303" s="161"/>
      <c r="F303" s="161"/>
      <c r="G303" s="348"/>
      <c r="H303" s="348"/>
      <c r="I303" s="348"/>
      <c r="J303" s="348"/>
      <c r="K303" s="348"/>
      <c r="L303" s="3"/>
      <c r="M303" s="928"/>
      <c r="O303" s="151"/>
    </row>
    <row r="304" ht="12.0" customHeight="1">
      <c r="B304" s="1"/>
      <c r="D304" s="161"/>
      <c r="E304" s="161"/>
      <c r="F304" s="161"/>
      <c r="G304" s="348"/>
      <c r="H304" s="348"/>
      <c r="I304" s="348"/>
      <c r="J304" s="348"/>
      <c r="K304" s="348"/>
      <c r="L304" s="3"/>
      <c r="M304" s="928"/>
      <c r="O304" s="151"/>
    </row>
    <row r="305" ht="12.0" customHeight="1">
      <c r="B305" s="1"/>
      <c r="D305" s="161"/>
      <c r="E305" s="161"/>
      <c r="F305" s="161"/>
      <c r="G305" s="348"/>
      <c r="H305" s="348"/>
      <c r="I305" s="348"/>
      <c r="J305" s="348"/>
      <c r="K305" s="348"/>
      <c r="L305" s="3"/>
      <c r="M305" s="928"/>
      <c r="O305" s="151"/>
    </row>
    <row r="306" ht="12.0" customHeight="1">
      <c r="B306" s="1"/>
      <c r="D306" s="161"/>
      <c r="E306" s="161"/>
      <c r="F306" s="161"/>
      <c r="G306" s="348"/>
      <c r="H306" s="348"/>
      <c r="I306" s="348"/>
      <c r="J306" s="348"/>
      <c r="K306" s="348"/>
      <c r="L306" s="3"/>
      <c r="M306" s="928"/>
      <c r="O306" s="151"/>
    </row>
    <row r="307" ht="12.0" customHeight="1">
      <c r="B307" s="1"/>
      <c r="D307" s="161"/>
      <c r="E307" s="161"/>
      <c r="F307" s="161"/>
      <c r="G307" s="348"/>
      <c r="H307" s="348"/>
      <c r="I307" s="348"/>
      <c r="J307" s="348"/>
      <c r="K307" s="348"/>
      <c r="L307" s="3"/>
      <c r="M307" s="928"/>
      <c r="O307" s="151"/>
    </row>
    <row r="308" ht="12.0" customHeight="1">
      <c r="B308" s="1"/>
      <c r="D308" s="161"/>
      <c r="E308" s="161"/>
      <c r="F308" s="161"/>
      <c r="G308" s="348"/>
      <c r="H308" s="348"/>
      <c r="I308" s="348"/>
      <c r="J308" s="348"/>
      <c r="K308" s="348"/>
      <c r="L308" s="3"/>
      <c r="M308" s="928"/>
      <c r="O308" s="151"/>
    </row>
    <row r="309" ht="12.0" customHeight="1">
      <c r="B309" s="1"/>
      <c r="D309" s="161"/>
      <c r="E309" s="161"/>
      <c r="F309" s="161"/>
      <c r="G309" s="348"/>
      <c r="H309" s="348"/>
      <c r="I309" s="348"/>
      <c r="J309" s="348"/>
      <c r="K309" s="348"/>
      <c r="L309" s="3"/>
      <c r="M309" s="928"/>
      <c r="O309" s="151"/>
    </row>
    <row r="310" ht="12.0" customHeight="1">
      <c r="B310" s="1"/>
      <c r="D310" s="161"/>
      <c r="E310" s="161"/>
      <c r="F310" s="161"/>
      <c r="G310" s="348"/>
      <c r="H310" s="348"/>
      <c r="I310" s="348"/>
      <c r="J310" s="348"/>
      <c r="K310" s="348"/>
      <c r="L310" s="3"/>
      <c r="M310" s="928"/>
      <c r="O310" s="151"/>
    </row>
    <row r="311" ht="12.0" customHeight="1">
      <c r="B311" s="1"/>
      <c r="D311" s="161"/>
      <c r="E311" s="161"/>
      <c r="F311" s="161"/>
      <c r="G311" s="348"/>
      <c r="H311" s="348"/>
      <c r="I311" s="348"/>
      <c r="J311" s="348"/>
      <c r="K311" s="348"/>
      <c r="L311" s="3"/>
      <c r="M311" s="928"/>
      <c r="O311" s="151"/>
    </row>
    <row r="312" ht="12.0" customHeight="1">
      <c r="B312" s="1"/>
      <c r="D312" s="161"/>
      <c r="E312" s="161"/>
      <c r="F312" s="161"/>
      <c r="G312" s="348"/>
      <c r="H312" s="348"/>
      <c r="I312" s="348"/>
      <c r="J312" s="348"/>
      <c r="K312" s="348"/>
      <c r="L312" s="3"/>
      <c r="M312" s="928"/>
      <c r="O312" s="151"/>
    </row>
    <row r="313" ht="12.0" customHeight="1">
      <c r="B313" s="1"/>
      <c r="D313" s="161"/>
      <c r="E313" s="161"/>
      <c r="F313" s="161"/>
      <c r="G313" s="348"/>
      <c r="H313" s="348"/>
      <c r="I313" s="348"/>
      <c r="J313" s="348"/>
      <c r="K313" s="348"/>
      <c r="L313" s="3"/>
      <c r="M313" s="928"/>
      <c r="O313" s="151"/>
    </row>
    <row r="314" ht="12.0" customHeight="1">
      <c r="B314" s="1"/>
      <c r="D314" s="161"/>
      <c r="E314" s="161"/>
      <c r="F314" s="161"/>
      <c r="G314" s="348"/>
      <c r="H314" s="348"/>
      <c r="I314" s="348"/>
      <c r="J314" s="348"/>
      <c r="K314" s="348"/>
      <c r="L314" s="3"/>
      <c r="M314" s="928"/>
      <c r="O314" s="151"/>
    </row>
    <row r="315" ht="12.0" customHeight="1">
      <c r="B315" s="1"/>
      <c r="D315" s="161"/>
      <c r="E315" s="161"/>
      <c r="F315" s="161"/>
      <c r="G315" s="348"/>
      <c r="H315" s="348"/>
      <c r="I315" s="348"/>
      <c r="J315" s="348"/>
      <c r="K315" s="348"/>
      <c r="L315" s="3"/>
      <c r="M315" s="928"/>
      <c r="O315" s="151"/>
    </row>
    <row r="316" ht="12.0" customHeight="1">
      <c r="B316" s="1"/>
      <c r="D316" s="161"/>
      <c r="E316" s="161"/>
      <c r="F316" s="161"/>
      <c r="G316" s="348"/>
      <c r="H316" s="348"/>
      <c r="I316" s="348"/>
      <c r="J316" s="348"/>
      <c r="K316" s="348"/>
      <c r="L316" s="3"/>
      <c r="M316" s="928"/>
      <c r="O316" s="151"/>
    </row>
    <row r="317" ht="12.0" customHeight="1">
      <c r="B317" s="1"/>
      <c r="D317" s="161"/>
      <c r="E317" s="161"/>
      <c r="F317" s="161"/>
      <c r="G317" s="348"/>
      <c r="H317" s="348"/>
      <c r="I317" s="348"/>
      <c r="J317" s="348"/>
      <c r="K317" s="348"/>
      <c r="L317" s="3"/>
      <c r="M317" s="928"/>
      <c r="O317" s="151"/>
    </row>
    <row r="318" ht="12.0" customHeight="1">
      <c r="B318" s="1"/>
      <c r="D318" s="161"/>
      <c r="E318" s="161"/>
      <c r="F318" s="161"/>
      <c r="G318" s="348"/>
      <c r="H318" s="348"/>
      <c r="I318" s="348"/>
      <c r="J318" s="348"/>
      <c r="K318" s="348"/>
      <c r="L318" s="3"/>
      <c r="M318" s="928"/>
      <c r="O318" s="151"/>
    </row>
    <row r="319" ht="12.0" customHeight="1">
      <c r="B319" s="1"/>
      <c r="D319" s="161"/>
      <c r="E319" s="161"/>
      <c r="F319" s="161"/>
      <c r="G319" s="348"/>
      <c r="H319" s="348"/>
      <c r="I319" s="348"/>
      <c r="J319" s="348"/>
      <c r="K319" s="348"/>
      <c r="L319" s="3"/>
      <c r="M319" s="928"/>
      <c r="O319" s="151"/>
    </row>
    <row r="320" ht="12.0" customHeight="1">
      <c r="B320" s="1"/>
      <c r="D320" s="161"/>
      <c r="E320" s="161"/>
      <c r="F320" s="161"/>
      <c r="G320" s="348"/>
      <c r="H320" s="348"/>
      <c r="I320" s="348"/>
      <c r="J320" s="348"/>
      <c r="K320" s="348"/>
      <c r="L320" s="3"/>
      <c r="M320" s="928"/>
      <c r="O320" s="151"/>
    </row>
    <row r="321" ht="12.0" customHeight="1">
      <c r="B321" s="1"/>
      <c r="D321" s="161"/>
      <c r="E321" s="161"/>
      <c r="F321" s="161"/>
      <c r="G321" s="348"/>
      <c r="H321" s="348"/>
      <c r="I321" s="348"/>
      <c r="J321" s="348"/>
      <c r="K321" s="348"/>
      <c r="L321" s="3"/>
      <c r="M321" s="928"/>
      <c r="O321" s="151"/>
    </row>
    <row r="322" ht="12.0" customHeight="1">
      <c r="B322" s="1"/>
      <c r="D322" s="161"/>
      <c r="E322" s="161"/>
      <c r="F322" s="161"/>
      <c r="G322" s="348"/>
      <c r="H322" s="348"/>
      <c r="I322" s="348"/>
      <c r="J322" s="348"/>
      <c r="K322" s="348"/>
      <c r="L322" s="3"/>
      <c r="M322" s="928"/>
      <c r="O322" s="151"/>
    </row>
    <row r="323" ht="12.0" customHeight="1">
      <c r="B323" s="1"/>
      <c r="D323" s="161"/>
      <c r="E323" s="161"/>
      <c r="F323" s="161"/>
      <c r="G323" s="348"/>
      <c r="H323" s="348"/>
      <c r="I323" s="348"/>
      <c r="J323" s="348"/>
      <c r="K323" s="348"/>
      <c r="L323" s="3"/>
      <c r="M323" s="928"/>
      <c r="O323" s="151"/>
    </row>
    <row r="324" ht="12.0" customHeight="1">
      <c r="B324" s="1"/>
      <c r="D324" s="161"/>
      <c r="E324" s="161"/>
      <c r="F324" s="161"/>
      <c r="G324" s="348"/>
      <c r="H324" s="348"/>
      <c r="I324" s="348"/>
      <c r="J324" s="348"/>
      <c r="K324" s="348"/>
      <c r="L324" s="3"/>
      <c r="M324" s="928"/>
      <c r="O324" s="151"/>
    </row>
    <row r="325" ht="12.0" customHeight="1">
      <c r="B325" s="1"/>
      <c r="D325" s="161"/>
      <c r="E325" s="161"/>
      <c r="F325" s="161"/>
      <c r="G325" s="348"/>
      <c r="H325" s="348"/>
      <c r="I325" s="348"/>
      <c r="J325" s="348"/>
      <c r="K325" s="348"/>
      <c r="L325" s="3"/>
      <c r="M325" s="928"/>
      <c r="O325" s="151"/>
    </row>
    <row r="326" ht="12.0" customHeight="1">
      <c r="B326" s="1"/>
      <c r="D326" s="161"/>
      <c r="E326" s="161"/>
      <c r="F326" s="161"/>
      <c r="G326" s="348"/>
      <c r="H326" s="348"/>
      <c r="I326" s="348"/>
      <c r="J326" s="348"/>
      <c r="K326" s="348"/>
      <c r="L326" s="3"/>
      <c r="M326" s="928"/>
      <c r="O326" s="151"/>
    </row>
    <row r="327" ht="12.0" customHeight="1">
      <c r="B327" s="1"/>
      <c r="D327" s="161"/>
      <c r="E327" s="161"/>
      <c r="F327" s="161"/>
      <c r="G327" s="348"/>
      <c r="H327" s="348"/>
      <c r="I327" s="348"/>
      <c r="J327" s="348"/>
      <c r="K327" s="348"/>
      <c r="L327" s="3"/>
      <c r="M327" s="928"/>
      <c r="O327" s="151"/>
    </row>
    <row r="328" ht="12.0" customHeight="1">
      <c r="B328" s="1"/>
      <c r="D328" s="161"/>
      <c r="E328" s="161"/>
      <c r="F328" s="161"/>
      <c r="G328" s="348"/>
      <c r="H328" s="348"/>
      <c r="I328" s="348"/>
      <c r="J328" s="348"/>
      <c r="K328" s="348"/>
      <c r="L328" s="3"/>
      <c r="M328" s="928"/>
      <c r="O328" s="151"/>
    </row>
    <row r="329" ht="12.0" customHeight="1">
      <c r="B329" s="1"/>
      <c r="D329" s="161"/>
      <c r="E329" s="161"/>
      <c r="F329" s="161"/>
      <c r="G329" s="348"/>
      <c r="H329" s="348"/>
      <c r="I329" s="348"/>
      <c r="J329" s="348"/>
      <c r="K329" s="348"/>
      <c r="L329" s="3"/>
      <c r="M329" s="928"/>
      <c r="O329" s="151"/>
    </row>
    <row r="330" ht="12.0" customHeight="1">
      <c r="B330" s="1"/>
      <c r="D330" s="161"/>
      <c r="E330" s="161"/>
      <c r="F330" s="161"/>
      <c r="G330" s="348"/>
      <c r="H330" s="348"/>
      <c r="I330" s="348"/>
      <c r="J330" s="348"/>
      <c r="K330" s="348"/>
      <c r="L330" s="3"/>
      <c r="M330" s="928"/>
      <c r="O330" s="151"/>
    </row>
    <row r="331" ht="12.0" customHeight="1">
      <c r="B331" s="1"/>
      <c r="D331" s="161"/>
      <c r="E331" s="161"/>
      <c r="F331" s="161"/>
      <c r="G331" s="348"/>
      <c r="H331" s="348"/>
      <c r="I331" s="348"/>
      <c r="J331" s="348"/>
      <c r="K331" s="348"/>
      <c r="L331" s="3"/>
      <c r="M331" s="928"/>
      <c r="O331" s="151"/>
    </row>
    <row r="332" ht="12.0" customHeight="1">
      <c r="B332" s="1"/>
      <c r="D332" s="161"/>
      <c r="E332" s="161"/>
      <c r="F332" s="161"/>
      <c r="G332" s="348"/>
      <c r="H332" s="348"/>
      <c r="I332" s="348"/>
      <c r="J332" s="348"/>
      <c r="K332" s="348"/>
      <c r="L332" s="3"/>
      <c r="M332" s="928"/>
      <c r="O332" s="151"/>
    </row>
    <row r="333" ht="12.0" customHeight="1">
      <c r="B333" s="1"/>
      <c r="D333" s="161"/>
      <c r="E333" s="161"/>
      <c r="F333" s="161"/>
      <c r="G333" s="348"/>
      <c r="H333" s="348"/>
      <c r="I333" s="348"/>
      <c r="J333" s="348"/>
      <c r="K333" s="348"/>
      <c r="L333" s="3"/>
      <c r="M333" s="928"/>
      <c r="O333" s="151"/>
    </row>
    <row r="334" ht="12.0" customHeight="1">
      <c r="B334" s="1"/>
      <c r="D334" s="161"/>
      <c r="E334" s="161"/>
      <c r="F334" s="161"/>
      <c r="G334" s="348"/>
      <c r="H334" s="348"/>
      <c r="I334" s="348"/>
      <c r="J334" s="348"/>
      <c r="K334" s="348"/>
      <c r="L334" s="3"/>
      <c r="M334" s="928"/>
      <c r="O334" s="151"/>
    </row>
    <row r="335" ht="12.0" customHeight="1">
      <c r="B335" s="1"/>
      <c r="D335" s="161"/>
      <c r="E335" s="161"/>
      <c r="F335" s="161"/>
      <c r="G335" s="348"/>
      <c r="H335" s="348"/>
      <c r="I335" s="348"/>
      <c r="J335" s="348"/>
      <c r="K335" s="348"/>
      <c r="L335" s="3"/>
      <c r="M335" s="928"/>
      <c r="O335" s="151"/>
    </row>
    <row r="336" ht="12.0" customHeight="1">
      <c r="B336" s="1"/>
      <c r="D336" s="161"/>
      <c r="E336" s="161"/>
      <c r="F336" s="161"/>
      <c r="G336" s="348"/>
      <c r="H336" s="348"/>
      <c r="I336" s="348"/>
      <c r="J336" s="348"/>
      <c r="K336" s="348"/>
      <c r="L336" s="3"/>
      <c r="M336" s="928"/>
      <c r="O336" s="151"/>
    </row>
    <row r="337" ht="12.0" customHeight="1">
      <c r="B337" s="1"/>
      <c r="D337" s="161"/>
      <c r="E337" s="161"/>
      <c r="F337" s="161"/>
      <c r="G337" s="348"/>
      <c r="H337" s="348"/>
      <c r="I337" s="348"/>
      <c r="J337" s="348"/>
      <c r="K337" s="348"/>
      <c r="L337" s="3"/>
      <c r="M337" s="928"/>
      <c r="O337" s="151"/>
    </row>
    <row r="338" ht="12.0" customHeight="1">
      <c r="B338" s="1"/>
      <c r="D338" s="161"/>
      <c r="E338" s="161"/>
      <c r="F338" s="161"/>
      <c r="G338" s="348"/>
      <c r="H338" s="348"/>
      <c r="I338" s="348"/>
      <c r="J338" s="348"/>
      <c r="K338" s="348"/>
      <c r="L338" s="3"/>
      <c r="M338" s="928"/>
      <c r="O338" s="151"/>
    </row>
    <row r="339" ht="12.0" customHeight="1">
      <c r="B339" s="1"/>
      <c r="D339" s="161"/>
      <c r="E339" s="161"/>
      <c r="F339" s="161"/>
      <c r="G339" s="348"/>
      <c r="H339" s="348"/>
      <c r="I339" s="348"/>
      <c r="J339" s="348"/>
      <c r="K339" s="348"/>
      <c r="L339" s="3"/>
      <c r="M339" s="928"/>
      <c r="O339" s="151"/>
    </row>
    <row r="340" ht="12.0" customHeight="1">
      <c r="B340" s="1"/>
      <c r="D340" s="161"/>
      <c r="E340" s="161"/>
      <c r="F340" s="161"/>
      <c r="G340" s="348"/>
      <c r="H340" s="348"/>
      <c r="I340" s="348"/>
      <c r="J340" s="348"/>
      <c r="K340" s="348"/>
      <c r="L340" s="3"/>
      <c r="M340" s="928"/>
      <c r="O340" s="151"/>
    </row>
    <row r="341" ht="12.0" customHeight="1">
      <c r="B341" s="1"/>
      <c r="D341" s="161"/>
      <c r="E341" s="161"/>
      <c r="F341" s="161"/>
      <c r="G341" s="348"/>
      <c r="H341" s="348"/>
      <c r="I341" s="348"/>
      <c r="J341" s="348"/>
      <c r="K341" s="348"/>
      <c r="L341" s="3"/>
      <c r="M341" s="928"/>
      <c r="O341" s="151"/>
    </row>
    <row r="342" ht="12.0" customHeight="1">
      <c r="B342" s="1"/>
      <c r="D342" s="161"/>
      <c r="E342" s="161"/>
      <c r="F342" s="161"/>
      <c r="G342" s="348"/>
      <c r="H342" s="348"/>
      <c r="I342" s="348"/>
      <c r="J342" s="348"/>
      <c r="K342" s="348"/>
      <c r="L342" s="3"/>
      <c r="M342" s="928"/>
      <c r="O342" s="151"/>
    </row>
    <row r="343" ht="12.0" customHeight="1">
      <c r="B343" s="1"/>
      <c r="D343" s="161"/>
      <c r="E343" s="161"/>
      <c r="F343" s="161"/>
      <c r="G343" s="348"/>
      <c r="H343" s="348"/>
      <c r="I343" s="348"/>
      <c r="J343" s="348"/>
      <c r="K343" s="348"/>
      <c r="L343" s="3"/>
      <c r="M343" s="928"/>
      <c r="O343" s="151"/>
    </row>
    <row r="344" ht="12.0" customHeight="1">
      <c r="B344" s="1"/>
      <c r="D344" s="161"/>
      <c r="E344" s="161"/>
      <c r="F344" s="161"/>
      <c r="G344" s="348"/>
      <c r="H344" s="348"/>
      <c r="I344" s="348"/>
      <c r="J344" s="348"/>
      <c r="K344" s="348"/>
      <c r="L344" s="3"/>
      <c r="M344" s="928"/>
      <c r="O344" s="151"/>
    </row>
    <row r="345" ht="12.0" customHeight="1">
      <c r="B345" s="1"/>
      <c r="D345" s="161"/>
      <c r="E345" s="161"/>
      <c r="F345" s="161"/>
      <c r="G345" s="348"/>
      <c r="H345" s="348"/>
      <c r="I345" s="348"/>
      <c r="J345" s="348"/>
      <c r="K345" s="348"/>
      <c r="L345" s="3"/>
      <c r="M345" s="928"/>
      <c r="O345" s="151"/>
    </row>
    <row r="346" ht="12.0" customHeight="1">
      <c r="B346" s="1"/>
      <c r="D346" s="161"/>
      <c r="E346" s="161"/>
      <c r="F346" s="161"/>
      <c r="G346" s="348"/>
      <c r="H346" s="348"/>
      <c r="I346" s="348"/>
      <c r="J346" s="348"/>
      <c r="K346" s="348"/>
      <c r="L346" s="3"/>
      <c r="M346" s="928"/>
      <c r="O346" s="151"/>
    </row>
    <row r="347" ht="12.0" customHeight="1">
      <c r="B347" s="1"/>
      <c r="D347" s="161"/>
      <c r="E347" s="161"/>
      <c r="F347" s="161"/>
      <c r="G347" s="348"/>
      <c r="H347" s="348"/>
      <c r="I347" s="348"/>
      <c r="J347" s="348"/>
      <c r="K347" s="348"/>
      <c r="L347" s="3"/>
      <c r="M347" s="928"/>
      <c r="O347" s="151"/>
    </row>
    <row r="348" ht="12.0" customHeight="1">
      <c r="B348" s="1"/>
      <c r="D348" s="161"/>
      <c r="E348" s="161"/>
      <c r="F348" s="161"/>
      <c r="G348" s="348"/>
      <c r="H348" s="348"/>
      <c r="I348" s="348"/>
      <c r="J348" s="348"/>
      <c r="K348" s="348"/>
      <c r="L348" s="3"/>
      <c r="M348" s="928"/>
      <c r="O348" s="151"/>
    </row>
    <row r="349" ht="12.0" customHeight="1">
      <c r="B349" s="1"/>
      <c r="D349" s="161"/>
      <c r="E349" s="161"/>
      <c r="F349" s="161"/>
      <c r="G349" s="348"/>
      <c r="H349" s="348"/>
      <c r="I349" s="348"/>
      <c r="J349" s="348"/>
      <c r="K349" s="348"/>
      <c r="L349" s="3"/>
      <c r="M349" s="928"/>
      <c r="O349" s="151"/>
    </row>
    <row r="350" ht="12.0" customHeight="1">
      <c r="B350" s="1"/>
      <c r="D350" s="161"/>
      <c r="E350" s="161"/>
      <c r="F350" s="161"/>
      <c r="G350" s="348"/>
      <c r="H350" s="348"/>
      <c r="I350" s="348"/>
      <c r="J350" s="348"/>
      <c r="K350" s="348"/>
      <c r="L350" s="3"/>
      <c r="M350" s="928"/>
      <c r="O350" s="151"/>
    </row>
    <row r="351" ht="12.0" customHeight="1">
      <c r="B351" s="1"/>
      <c r="D351" s="161"/>
      <c r="E351" s="161"/>
      <c r="F351" s="161"/>
      <c r="G351" s="348"/>
      <c r="H351" s="348"/>
      <c r="I351" s="348"/>
      <c r="J351" s="348"/>
      <c r="K351" s="348"/>
      <c r="L351" s="3"/>
      <c r="M351" s="928"/>
      <c r="O351" s="151"/>
    </row>
    <row r="352" ht="12.0" customHeight="1">
      <c r="B352" s="1"/>
      <c r="D352" s="161"/>
      <c r="E352" s="161"/>
      <c r="F352" s="161"/>
      <c r="G352" s="348"/>
      <c r="H352" s="348"/>
      <c r="I352" s="348"/>
      <c r="J352" s="348"/>
      <c r="K352" s="348"/>
      <c r="L352" s="3"/>
      <c r="M352" s="928"/>
      <c r="O352" s="151"/>
    </row>
    <row r="353" ht="12.0" customHeight="1">
      <c r="B353" s="1"/>
      <c r="D353" s="161"/>
      <c r="E353" s="161"/>
      <c r="F353" s="161"/>
      <c r="G353" s="348"/>
      <c r="H353" s="348"/>
      <c r="I353" s="348"/>
      <c r="J353" s="348"/>
      <c r="K353" s="348"/>
      <c r="L353" s="3"/>
      <c r="M353" s="928"/>
      <c r="O353" s="151"/>
    </row>
    <row r="354" ht="12.0" customHeight="1">
      <c r="B354" s="1"/>
      <c r="D354" s="161"/>
      <c r="E354" s="161"/>
      <c r="F354" s="161"/>
      <c r="G354" s="348"/>
      <c r="H354" s="348"/>
      <c r="I354" s="348"/>
      <c r="J354" s="348"/>
      <c r="K354" s="348"/>
      <c r="L354" s="3"/>
      <c r="M354" s="928"/>
      <c r="O354" s="151"/>
    </row>
    <row r="355" ht="12.0" customHeight="1">
      <c r="B355" s="1"/>
      <c r="D355" s="161"/>
      <c r="E355" s="161"/>
      <c r="F355" s="161"/>
      <c r="G355" s="348"/>
      <c r="H355" s="348"/>
      <c r="I355" s="348"/>
      <c r="J355" s="348"/>
      <c r="K355" s="348"/>
      <c r="L355" s="3"/>
      <c r="M355" s="928"/>
      <c r="O355" s="151"/>
    </row>
    <row r="356" ht="12.0" customHeight="1">
      <c r="B356" s="1"/>
      <c r="D356" s="161"/>
      <c r="E356" s="161"/>
      <c r="F356" s="161"/>
      <c r="G356" s="348"/>
      <c r="H356" s="348"/>
      <c r="I356" s="348"/>
      <c r="J356" s="348"/>
      <c r="K356" s="348"/>
      <c r="L356" s="3"/>
      <c r="M356" s="928"/>
      <c r="O356" s="151"/>
    </row>
    <row r="357" ht="12.0" customHeight="1">
      <c r="B357" s="1"/>
      <c r="D357" s="161"/>
      <c r="E357" s="161"/>
      <c r="F357" s="161"/>
      <c r="G357" s="348"/>
      <c r="H357" s="348"/>
      <c r="I357" s="348"/>
      <c r="J357" s="348"/>
      <c r="K357" s="348"/>
      <c r="L357" s="3"/>
      <c r="M357" s="928"/>
      <c r="O357" s="151"/>
    </row>
    <row r="358" ht="12.0" customHeight="1">
      <c r="B358" s="1"/>
      <c r="D358" s="161"/>
      <c r="E358" s="161"/>
      <c r="F358" s="161"/>
      <c r="G358" s="348"/>
      <c r="H358" s="348"/>
      <c r="I358" s="348"/>
      <c r="J358" s="348"/>
      <c r="K358" s="348"/>
      <c r="L358" s="3"/>
      <c r="M358" s="928"/>
      <c r="O358" s="151"/>
    </row>
    <row r="359" ht="12.0" customHeight="1">
      <c r="B359" s="1"/>
      <c r="D359" s="161"/>
      <c r="E359" s="161"/>
      <c r="F359" s="161"/>
      <c r="G359" s="348"/>
      <c r="H359" s="348"/>
      <c r="I359" s="348"/>
      <c r="J359" s="348"/>
      <c r="K359" s="348"/>
      <c r="L359" s="3"/>
      <c r="M359" s="928"/>
      <c r="O359" s="151"/>
    </row>
    <row r="360" ht="12.0" customHeight="1">
      <c r="B360" s="1"/>
      <c r="D360" s="161"/>
      <c r="E360" s="161"/>
      <c r="F360" s="161"/>
      <c r="G360" s="348"/>
      <c r="H360" s="348"/>
      <c r="I360" s="348"/>
      <c r="J360" s="348"/>
      <c r="K360" s="348"/>
      <c r="L360" s="3"/>
      <c r="M360" s="928"/>
      <c r="O360" s="151"/>
    </row>
    <row r="361" ht="12.0" customHeight="1">
      <c r="B361" s="1"/>
      <c r="D361" s="161"/>
      <c r="E361" s="161"/>
      <c r="F361" s="161"/>
      <c r="G361" s="348"/>
      <c r="H361" s="348"/>
      <c r="I361" s="348"/>
      <c r="J361" s="348"/>
      <c r="K361" s="348"/>
      <c r="L361" s="3"/>
      <c r="M361" s="928"/>
      <c r="O361" s="151"/>
    </row>
    <row r="362" ht="12.0" customHeight="1">
      <c r="B362" s="1"/>
      <c r="D362" s="161"/>
      <c r="E362" s="161"/>
      <c r="F362" s="161"/>
      <c r="G362" s="348"/>
      <c r="H362" s="348"/>
      <c r="I362" s="348"/>
      <c r="J362" s="348"/>
      <c r="K362" s="348"/>
      <c r="L362" s="3"/>
      <c r="M362" s="928"/>
      <c r="O362" s="151"/>
    </row>
    <row r="363" ht="12.0" customHeight="1">
      <c r="B363" s="1"/>
      <c r="D363" s="161"/>
      <c r="E363" s="161"/>
      <c r="F363" s="161"/>
      <c r="G363" s="348"/>
      <c r="H363" s="348"/>
      <c r="I363" s="348"/>
      <c r="J363" s="348"/>
      <c r="K363" s="348"/>
      <c r="L363" s="3"/>
      <c r="M363" s="928"/>
      <c r="O363" s="151"/>
    </row>
    <row r="364" ht="12.0" customHeight="1">
      <c r="B364" s="1"/>
      <c r="D364" s="161"/>
      <c r="E364" s="161"/>
      <c r="F364" s="161"/>
      <c r="G364" s="348"/>
      <c r="H364" s="348"/>
      <c r="I364" s="348"/>
      <c r="J364" s="348"/>
      <c r="K364" s="348"/>
      <c r="L364" s="3"/>
      <c r="M364" s="928"/>
      <c r="O364" s="151"/>
    </row>
    <row r="365" ht="12.0" customHeight="1">
      <c r="B365" s="1"/>
      <c r="D365" s="161"/>
      <c r="E365" s="161"/>
      <c r="F365" s="161"/>
      <c r="G365" s="348"/>
      <c r="H365" s="348"/>
      <c r="I365" s="348"/>
      <c r="J365" s="348"/>
      <c r="K365" s="348"/>
      <c r="L365" s="3"/>
      <c r="M365" s="928"/>
      <c r="O365" s="151"/>
    </row>
    <row r="366" ht="12.0" customHeight="1">
      <c r="B366" s="1"/>
      <c r="D366" s="161"/>
      <c r="E366" s="161"/>
      <c r="F366" s="161"/>
      <c r="G366" s="348"/>
      <c r="H366" s="348"/>
      <c r="I366" s="348"/>
      <c r="J366" s="348"/>
      <c r="K366" s="348"/>
      <c r="L366" s="3"/>
      <c r="M366" s="928"/>
      <c r="O366" s="151"/>
    </row>
    <row r="367" ht="12.0" customHeight="1">
      <c r="B367" s="1"/>
      <c r="D367" s="161"/>
      <c r="E367" s="161"/>
      <c r="F367" s="161"/>
      <c r="G367" s="348"/>
      <c r="H367" s="348"/>
      <c r="I367" s="348"/>
      <c r="J367" s="348"/>
      <c r="K367" s="348"/>
      <c r="L367" s="3"/>
      <c r="M367" s="928"/>
      <c r="O367" s="151"/>
    </row>
    <row r="368" ht="12.0" customHeight="1">
      <c r="B368" s="1"/>
      <c r="D368" s="161"/>
      <c r="E368" s="161"/>
      <c r="F368" s="161"/>
      <c r="G368" s="348"/>
      <c r="H368" s="348"/>
      <c r="I368" s="348"/>
      <c r="J368" s="348"/>
      <c r="K368" s="348"/>
      <c r="L368" s="3"/>
      <c r="M368" s="928"/>
      <c r="O368" s="151"/>
    </row>
    <row r="369" ht="12.0" customHeight="1">
      <c r="B369" s="1"/>
      <c r="D369" s="161"/>
      <c r="E369" s="161"/>
      <c r="F369" s="161"/>
      <c r="G369" s="348"/>
      <c r="H369" s="348"/>
      <c r="I369" s="348"/>
      <c r="J369" s="348"/>
      <c r="K369" s="348"/>
      <c r="L369" s="3"/>
      <c r="M369" s="928"/>
      <c r="O369" s="151"/>
    </row>
    <row r="370" ht="12.0" customHeight="1">
      <c r="B370" s="1"/>
      <c r="D370" s="161"/>
      <c r="E370" s="161"/>
      <c r="F370" s="161"/>
      <c r="G370" s="348"/>
      <c r="H370" s="348"/>
      <c r="I370" s="348"/>
      <c r="J370" s="348"/>
      <c r="K370" s="348"/>
      <c r="L370" s="3"/>
      <c r="M370" s="928"/>
      <c r="O370" s="151"/>
    </row>
    <row r="371" ht="12.0" customHeight="1">
      <c r="B371" s="1"/>
      <c r="D371" s="161"/>
      <c r="E371" s="161"/>
      <c r="F371" s="161"/>
      <c r="G371" s="348"/>
      <c r="H371" s="348"/>
      <c r="I371" s="348"/>
      <c r="J371" s="348"/>
      <c r="K371" s="348"/>
      <c r="L371" s="3"/>
      <c r="M371" s="928"/>
      <c r="O371" s="151"/>
    </row>
    <row r="372" ht="12.0" customHeight="1">
      <c r="B372" s="1"/>
      <c r="D372" s="161"/>
      <c r="E372" s="161"/>
      <c r="F372" s="161"/>
      <c r="G372" s="348"/>
      <c r="H372" s="348"/>
      <c r="I372" s="348"/>
      <c r="J372" s="348"/>
      <c r="K372" s="348"/>
      <c r="L372" s="3"/>
      <c r="M372" s="928"/>
      <c r="O372" s="151"/>
    </row>
    <row r="373" ht="12.0" customHeight="1">
      <c r="B373" s="1"/>
      <c r="D373" s="161"/>
      <c r="E373" s="161"/>
      <c r="F373" s="161"/>
      <c r="G373" s="348"/>
      <c r="H373" s="348"/>
      <c r="I373" s="348"/>
      <c r="J373" s="348"/>
      <c r="K373" s="348"/>
      <c r="L373" s="3"/>
      <c r="M373" s="928"/>
      <c r="O373" s="151"/>
    </row>
    <row r="374" ht="12.0" customHeight="1">
      <c r="B374" s="1"/>
      <c r="D374" s="161"/>
      <c r="E374" s="161"/>
      <c r="F374" s="161"/>
      <c r="G374" s="348"/>
      <c r="H374" s="348"/>
      <c r="I374" s="348"/>
      <c r="J374" s="348"/>
      <c r="K374" s="348"/>
      <c r="L374" s="3"/>
      <c r="M374" s="928"/>
      <c r="O374" s="151"/>
    </row>
    <row r="375" ht="12.0" customHeight="1">
      <c r="B375" s="1"/>
      <c r="D375" s="161"/>
      <c r="E375" s="161"/>
      <c r="F375" s="161"/>
      <c r="G375" s="348"/>
      <c r="H375" s="348"/>
      <c r="I375" s="348"/>
      <c r="J375" s="348"/>
      <c r="K375" s="348"/>
      <c r="L375" s="3"/>
      <c r="M375" s="928"/>
      <c r="O375" s="151"/>
    </row>
    <row r="376" ht="12.0" customHeight="1">
      <c r="B376" s="1"/>
      <c r="D376" s="161"/>
      <c r="E376" s="161"/>
      <c r="F376" s="161"/>
      <c r="G376" s="348"/>
      <c r="H376" s="348"/>
      <c r="I376" s="348"/>
      <c r="J376" s="348"/>
      <c r="K376" s="348"/>
      <c r="L376" s="3"/>
      <c r="M376" s="928"/>
      <c r="O376" s="151"/>
    </row>
    <row r="377" ht="12.0" customHeight="1">
      <c r="B377" s="1"/>
      <c r="D377" s="161"/>
      <c r="E377" s="161"/>
      <c r="F377" s="161"/>
      <c r="G377" s="348"/>
      <c r="H377" s="348"/>
      <c r="I377" s="348"/>
      <c r="J377" s="348"/>
      <c r="K377" s="348"/>
      <c r="L377" s="3"/>
      <c r="M377" s="928"/>
      <c r="O377" s="151"/>
    </row>
    <row r="378" ht="12.0" customHeight="1">
      <c r="B378" s="1"/>
      <c r="D378" s="161"/>
      <c r="E378" s="161"/>
      <c r="F378" s="161"/>
      <c r="G378" s="348"/>
      <c r="H378" s="348"/>
      <c r="I378" s="348"/>
      <c r="J378" s="348"/>
      <c r="K378" s="348"/>
      <c r="L378" s="3"/>
      <c r="M378" s="928"/>
      <c r="O378" s="151"/>
    </row>
    <row r="379" ht="12.0" customHeight="1">
      <c r="B379" s="1"/>
      <c r="D379" s="161"/>
      <c r="E379" s="161"/>
      <c r="F379" s="161"/>
      <c r="G379" s="348"/>
      <c r="H379" s="348"/>
      <c r="I379" s="348"/>
      <c r="J379" s="348"/>
      <c r="K379" s="348"/>
      <c r="L379" s="3"/>
      <c r="M379" s="928"/>
      <c r="O379" s="151"/>
    </row>
    <row r="380" ht="12.0" customHeight="1">
      <c r="B380" s="1"/>
      <c r="D380" s="161"/>
      <c r="E380" s="161"/>
      <c r="F380" s="161"/>
      <c r="G380" s="348"/>
      <c r="H380" s="348"/>
      <c r="I380" s="348"/>
      <c r="J380" s="348"/>
      <c r="K380" s="348"/>
      <c r="L380" s="3"/>
      <c r="M380" s="928"/>
      <c r="O380" s="151"/>
    </row>
    <row r="381" ht="12.0" customHeight="1">
      <c r="B381" s="1"/>
      <c r="D381" s="161"/>
      <c r="E381" s="161"/>
      <c r="F381" s="161"/>
      <c r="G381" s="348"/>
      <c r="H381" s="348"/>
      <c r="I381" s="348"/>
      <c r="J381" s="348"/>
      <c r="K381" s="348"/>
      <c r="L381" s="3"/>
      <c r="M381" s="928"/>
      <c r="O381" s="151"/>
    </row>
    <row r="382" ht="12.0" customHeight="1">
      <c r="B382" s="1"/>
      <c r="D382" s="161"/>
      <c r="E382" s="161"/>
      <c r="F382" s="161"/>
      <c r="G382" s="348"/>
      <c r="H382" s="348"/>
      <c r="I382" s="348"/>
      <c r="J382" s="348"/>
      <c r="K382" s="348"/>
      <c r="L382" s="3"/>
      <c r="M382" s="928"/>
      <c r="O382" s="151"/>
    </row>
    <row r="383" ht="12.0" customHeight="1">
      <c r="B383" s="1"/>
      <c r="D383" s="161"/>
      <c r="E383" s="161"/>
      <c r="F383" s="161"/>
      <c r="G383" s="348"/>
      <c r="H383" s="348"/>
      <c r="I383" s="348"/>
      <c r="J383" s="348"/>
      <c r="K383" s="348"/>
      <c r="L383" s="3"/>
      <c r="M383" s="928"/>
      <c r="O383" s="151"/>
    </row>
    <row r="384" ht="12.0" customHeight="1">
      <c r="B384" s="1"/>
      <c r="D384" s="161"/>
      <c r="E384" s="161"/>
      <c r="F384" s="161"/>
      <c r="G384" s="348"/>
      <c r="H384" s="348"/>
      <c r="I384" s="348"/>
      <c r="J384" s="348"/>
      <c r="K384" s="348"/>
      <c r="L384" s="3"/>
      <c r="M384" s="928"/>
      <c r="O384" s="151"/>
    </row>
    <row r="385" ht="12.0" customHeight="1">
      <c r="B385" s="1"/>
      <c r="D385" s="161"/>
      <c r="E385" s="161"/>
      <c r="F385" s="161"/>
      <c r="G385" s="348"/>
      <c r="H385" s="348"/>
      <c r="I385" s="348"/>
      <c r="J385" s="348"/>
      <c r="K385" s="348"/>
      <c r="L385" s="3"/>
      <c r="M385" s="928"/>
      <c r="O385" s="151"/>
    </row>
    <row r="386" ht="12.0" customHeight="1">
      <c r="B386" s="1"/>
      <c r="D386" s="161"/>
      <c r="E386" s="161"/>
      <c r="F386" s="161"/>
      <c r="G386" s="348"/>
      <c r="H386" s="348"/>
      <c r="I386" s="348"/>
      <c r="J386" s="348"/>
      <c r="K386" s="348"/>
      <c r="L386" s="3"/>
      <c r="M386" s="928"/>
      <c r="O386" s="151"/>
    </row>
    <row r="387" ht="12.0" customHeight="1">
      <c r="B387" s="1"/>
      <c r="D387" s="161"/>
      <c r="E387" s="161"/>
      <c r="F387" s="161"/>
      <c r="G387" s="348"/>
      <c r="H387" s="348"/>
      <c r="I387" s="348"/>
      <c r="J387" s="348"/>
      <c r="K387" s="348"/>
      <c r="L387" s="3"/>
      <c r="M387" s="928"/>
      <c r="O387" s="151"/>
    </row>
    <row r="388" ht="12.0" customHeight="1">
      <c r="B388" s="1"/>
      <c r="D388" s="161"/>
      <c r="E388" s="161"/>
      <c r="F388" s="161"/>
      <c r="G388" s="348"/>
      <c r="H388" s="348"/>
      <c r="I388" s="348"/>
      <c r="J388" s="348"/>
      <c r="K388" s="348"/>
      <c r="L388" s="3"/>
      <c r="M388" s="928"/>
      <c r="O388" s="151"/>
    </row>
    <row r="389" ht="12.0" customHeight="1">
      <c r="B389" s="1"/>
      <c r="D389" s="161"/>
      <c r="E389" s="161"/>
      <c r="F389" s="161"/>
      <c r="G389" s="348"/>
      <c r="H389" s="348"/>
      <c r="I389" s="348"/>
      <c r="J389" s="348"/>
      <c r="K389" s="348"/>
      <c r="L389" s="3"/>
      <c r="M389" s="928"/>
      <c r="O389" s="151"/>
    </row>
    <row r="390" ht="12.0" customHeight="1">
      <c r="B390" s="1"/>
      <c r="D390" s="161"/>
      <c r="E390" s="161"/>
      <c r="F390" s="161"/>
      <c r="G390" s="348"/>
      <c r="H390" s="348"/>
      <c r="I390" s="348"/>
      <c r="J390" s="348"/>
      <c r="K390" s="348"/>
      <c r="L390" s="3"/>
      <c r="M390" s="928"/>
      <c r="O390" s="151"/>
    </row>
    <row r="391" ht="12.0" customHeight="1">
      <c r="B391" s="1"/>
      <c r="D391" s="161"/>
      <c r="E391" s="161"/>
      <c r="F391" s="161"/>
      <c r="G391" s="348"/>
      <c r="H391" s="348"/>
      <c r="I391" s="348"/>
      <c r="J391" s="348"/>
      <c r="K391" s="348"/>
      <c r="L391" s="3"/>
      <c r="M391" s="928"/>
      <c r="O391" s="151"/>
    </row>
    <row r="392" ht="12.0" customHeight="1">
      <c r="B392" s="1"/>
      <c r="D392" s="161"/>
      <c r="E392" s="161"/>
      <c r="F392" s="161"/>
      <c r="G392" s="348"/>
      <c r="H392" s="348"/>
      <c r="I392" s="348"/>
      <c r="J392" s="348"/>
      <c r="K392" s="348"/>
      <c r="L392" s="3"/>
      <c r="M392" s="928"/>
      <c r="O392" s="151"/>
    </row>
    <row r="393" ht="12.0" customHeight="1">
      <c r="B393" s="1"/>
      <c r="D393" s="161"/>
      <c r="E393" s="161"/>
      <c r="F393" s="161"/>
      <c r="G393" s="348"/>
      <c r="H393" s="348"/>
      <c r="I393" s="348"/>
      <c r="J393" s="348"/>
      <c r="K393" s="348"/>
      <c r="L393" s="3"/>
      <c r="M393" s="928"/>
      <c r="O393" s="151"/>
    </row>
    <row r="394" ht="12.0" customHeight="1">
      <c r="B394" s="1"/>
      <c r="D394" s="161"/>
      <c r="E394" s="161"/>
      <c r="F394" s="161"/>
      <c r="G394" s="348"/>
      <c r="H394" s="348"/>
      <c r="I394" s="348"/>
      <c r="J394" s="348"/>
      <c r="K394" s="348"/>
      <c r="L394" s="3"/>
      <c r="M394" s="928"/>
      <c r="O394" s="151"/>
    </row>
    <row r="395" ht="12.0" customHeight="1">
      <c r="B395" s="1"/>
      <c r="D395" s="161"/>
      <c r="E395" s="161"/>
      <c r="F395" s="161"/>
      <c r="G395" s="348"/>
      <c r="H395" s="348"/>
      <c r="I395" s="348"/>
      <c r="J395" s="348"/>
      <c r="K395" s="348"/>
      <c r="L395" s="3"/>
      <c r="M395" s="928"/>
      <c r="O395" s="151"/>
    </row>
    <row r="396" ht="12.0" customHeight="1">
      <c r="B396" s="1"/>
      <c r="D396" s="161"/>
      <c r="E396" s="161"/>
      <c r="F396" s="161"/>
      <c r="G396" s="348"/>
      <c r="H396" s="348"/>
      <c r="I396" s="348"/>
      <c r="J396" s="348"/>
      <c r="K396" s="348"/>
      <c r="L396" s="3"/>
      <c r="M396" s="928"/>
      <c r="O396" s="151"/>
    </row>
    <row r="397" ht="12.0" customHeight="1">
      <c r="B397" s="1"/>
      <c r="D397" s="161"/>
      <c r="E397" s="161"/>
      <c r="F397" s="161"/>
      <c r="G397" s="348"/>
      <c r="H397" s="348"/>
      <c r="I397" s="348"/>
      <c r="J397" s="348"/>
      <c r="K397" s="348"/>
      <c r="L397" s="3"/>
      <c r="M397" s="928"/>
      <c r="O397" s="151"/>
    </row>
    <row r="398" ht="12.0" customHeight="1">
      <c r="B398" s="1"/>
      <c r="D398" s="161"/>
      <c r="E398" s="161"/>
      <c r="F398" s="161"/>
      <c r="G398" s="348"/>
      <c r="H398" s="348"/>
      <c r="I398" s="348"/>
      <c r="J398" s="348"/>
      <c r="K398" s="348"/>
      <c r="L398" s="3"/>
      <c r="M398" s="928"/>
      <c r="O398" s="151"/>
    </row>
    <row r="399" ht="12.0" customHeight="1">
      <c r="B399" s="1"/>
      <c r="D399" s="161"/>
      <c r="E399" s="161"/>
      <c r="F399" s="161"/>
      <c r="G399" s="348"/>
      <c r="H399" s="348"/>
      <c r="I399" s="348"/>
      <c r="J399" s="348"/>
      <c r="K399" s="348"/>
      <c r="L399" s="3"/>
      <c r="M399" s="928"/>
      <c r="O399" s="151"/>
    </row>
    <row r="400" ht="12.0" customHeight="1">
      <c r="B400" s="1"/>
      <c r="D400" s="161"/>
      <c r="E400" s="161"/>
      <c r="F400" s="161"/>
      <c r="G400" s="348"/>
      <c r="H400" s="348"/>
      <c r="I400" s="348"/>
      <c r="J400" s="348"/>
      <c r="K400" s="348"/>
      <c r="L400" s="3"/>
      <c r="M400" s="928"/>
      <c r="O400" s="151"/>
    </row>
    <row r="401" ht="12.0" customHeight="1">
      <c r="B401" s="1"/>
      <c r="D401" s="161"/>
      <c r="E401" s="161"/>
      <c r="F401" s="161"/>
      <c r="G401" s="348"/>
      <c r="H401" s="348"/>
      <c r="I401" s="348"/>
      <c r="J401" s="348"/>
      <c r="K401" s="348"/>
      <c r="L401" s="3"/>
      <c r="M401" s="928"/>
      <c r="O401" s="151"/>
    </row>
    <row r="402" ht="12.0" customHeight="1">
      <c r="B402" s="1"/>
      <c r="D402" s="161"/>
      <c r="E402" s="161"/>
      <c r="F402" s="161"/>
      <c r="G402" s="348"/>
      <c r="H402" s="348"/>
      <c r="I402" s="348"/>
      <c r="J402" s="348"/>
      <c r="K402" s="348"/>
      <c r="L402" s="3"/>
      <c r="M402" s="928"/>
      <c r="O402" s="151"/>
    </row>
    <row r="403" ht="12.0" customHeight="1">
      <c r="B403" s="1"/>
      <c r="D403" s="161"/>
      <c r="E403" s="161"/>
      <c r="F403" s="161"/>
      <c r="G403" s="348"/>
      <c r="H403" s="348"/>
      <c r="I403" s="348"/>
      <c r="J403" s="348"/>
      <c r="K403" s="348"/>
      <c r="L403" s="3"/>
      <c r="M403" s="928"/>
      <c r="O403" s="151"/>
    </row>
    <row r="404" ht="12.0" customHeight="1">
      <c r="B404" s="1"/>
      <c r="D404" s="161"/>
      <c r="E404" s="161"/>
      <c r="F404" s="161"/>
      <c r="G404" s="348"/>
      <c r="H404" s="348"/>
      <c r="I404" s="348"/>
      <c r="J404" s="348"/>
      <c r="K404" s="348"/>
      <c r="L404" s="3"/>
      <c r="M404" s="928"/>
      <c r="O404" s="151"/>
    </row>
    <row r="405" ht="12.0" customHeight="1">
      <c r="B405" s="1"/>
      <c r="D405" s="161"/>
      <c r="E405" s="161"/>
      <c r="F405" s="161"/>
      <c r="G405" s="348"/>
      <c r="H405" s="348"/>
      <c r="I405" s="348"/>
      <c r="J405" s="348"/>
      <c r="K405" s="348"/>
      <c r="L405" s="3"/>
      <c r="M405" s="928"/>
      <c r="O405" s="151"/>
    </row>
    <row r="406" ht="12.0" customHeight="1">
      <c r="B406" s="1"/>
      <c r="D406" s="161"/>
      <c r="E406" s="161"/>
      <c r="F406" s="161"/>
      <c r="G406" s="348"/>
      <c r="H406" s="348"/>
      <c r="I406" s="348"/>
      <c r="J406" s="348"/>
      <c r="K406" s="348"/>
      <c r="L406" s="3"/>
      <c r="M406" s="928"/>
      <c r="O406" s="151"/>
    </row>
    <row r="407" ht="12.0" customHeight="1">
      <c r="B407" s="1"/>
      <c r="D407" s="161"/>
      <c r="E407" s="161"/>
      <c r="F407" s="161"/>
      <c r="G407" s="348"/>
      <c r="H407" s="348"/>
      <c r="I407" s="348"/>
      <c r="J407" s="348"/>
      <c r="K407" s="348"/>
      <c r="L407" s="3"/>
      <c r="M407" s="928"/>
      <c r="O407" s="151"/>
    </row>
    <row r="408" ht="12.0" customHeight="1">
      <c r="B408" s="1"/>
      <c r="D408" s="161"/>
      <c r="E408" s="161"/>
      <c r="F408" s="161"/>
      <c r="G408" s="348"/>
      <c r="H408" s="348"/>
      <c r="I408" s="348"/>
      <c r="J408" s="348"/>
      <c r="K408" s="348"/>
      <c r="L408" s="3"/>
      <c r="M408" s="928"/>
      <c r="O408" s="151"/>
    </row>
    <row r="409" ht="12.0" customHeight="1">
      <c r="B409" s="1"/>
      <c r="D409" s="161"/>
      <c r="E409" s="161"/>
      <c r="F409" s="161"/>
      <c r="G409" s="348"/>
      <c r="H409" s="348"/>
      <c r="I409" s="348"/>
      <c r="J409" s="348"/>
      <c r="K409" s="348"/>
      <c r="L409" s="3"/>
      <c r="M409" s="928"/>
      <c r="O409" s="151"/>
    </row>
    <row r="410" ht="12.0" customHeight="1">
      <c r="B410" s="1"/>
      <c r="D410" s="161"/>
      <c r="E410" s="161"/>
      <c r="F410" s="161"/>
      <c r="G410" s="348"/>
      <c r="H410" s="348"/>
      <c r="I410" s="348"/>
      <c r="J410" s="348"/>
      <c r="K410" s="348"/>
      <c r="L410" s="3"/>
      <c r="M410" s="928"/>
      <c r="O410" s="151"/>
    </row>
    <row r="411" ht="12.0" customHeight="1">
      <c r="B411" s="1"/>
      <c r="D411" s="161"/>
      <c r="E411" s="161"/>
      <c r="F411" s="161"/>
      <c r="G411" s="348"/>
      <c r="H411" s="348"/>
      <c r="I411" s="348"/>
      <c r="J411" s="348"/>
      <c r="K411" s="348"/>
      <c r="L411" s="3"/>
      <c r="M411" s="928"/>
      <c r="O411" s="151"/>
    </row>
    <row r="412" ht="12.0" customHeight="1">
      <c r="B412" s="1"/>
      <c r="D412" s="161"/>
      <c r="E412" s="161"/>
      <c r="F412" s="161"/>
      <c r="G412" s="348"/>
      <c r="H412" s="348"/>
      <c r="I412" s="348"/>
      <c r="J412" s="348"/>
      <c r="K412" s="348"/>
      <c r="L412" s="3"/>
      <c r="M412" s="928"/>
      <c r="O412" s="151"/>
    </row>
    <row r="413" ht="12.0" customHeight="1">
      <c r="B413" s="1"/>
      <c r="D413" s="161"/>
      <c r="E413" s="161"/>
      <c r="F413" s="161"/>
      <c r="G413" s="348"/>
      <c r="H413" s="348"/>
      <c r="I413" s="348"/>
      <c r="J413" s="348"/>
      <c r="K413" s="348"/>
      <c r="L413" s="3"/>
      <c r="M413" s="928"/>
      <c r="O413" s="151"/>
    </row>
    <row r="414" ht="12.0" customHeight="1">
      <c r="B414" s="1"/>
      <c r="D414" s="161"/>
      <c r="E414" s="161"/>
      <c r="F414" s="161"/>
      <c r="G414" s="348"/>
      <c r="H414" s="348"/>
      <c r="I414" s="348"/>
      <c r="J414" s="348"/>
      <c r="K414" s="348"/>
      <c r="L414" s="3"/>
      <c r="M414" s="928"/>
      <c r="O414" s="151"/>
    </row>
    <row r="415" ht="12.0" customHeight="1">
      <c r="B415" s="1"/>
      <c r="D415" s="161"/>
      <c r="E415" s="161"/>
      <c r="F415" s="161"/>
      <c r="G415" s="348"/>
      <c r="H415" s="348"/>
      <c r="I415" s="348"/>
      <c r="J415" s="348"/>
      <c r="K415" s="348"/>
      <c r="L415" s="3"/>
      <c r="M415" s="928"/>
      <c r="O415" s="151"/>
    </row>
    <row r="416" ht="12.0" customHeight="1">
      <c r="B416" s="1"/>
      <c r="D416" s="161"/>
      <c r="E416" s="161"/>
      <c r="F416" s="161"/>
      <c r="G416" s="348"/>
      <c r="H416" s="348"/>
      <c r="I416" s="348"/>
      <c r="J416" s="348"/>
      <c r="K416" s="348"/>
      <c r="L416" s="3"/>
      <c r="M416" s="928"/>
      <c r="O416" s="151"/>
    </row>
    <row r="417" ht="12.0" customHeight="1">
      <c r="B417" s="1"/>
      <c r="D417" s="161"/>
      <c r="E417" s="161"/>
      <c r="F417" s="161"/>
      <c r="G417" s="348"/>
      <c r="H417" s="348"/>
      <c r="I417" s="348"/>
      <c r="J417" s="348"/>
      <c r="K417" s="348"/>
      <c r="L417" s="3"/>
      <c r="M417" s="928"/>
      <c r="O417" s="151"/>
    </row>
    <row r="418" ht="12.0" customHeight="1">
      <c r="B418" s="1"/>
      <c r="D418" s="161"/>
      <c r="E418" s="161"/>
      <c r="F418" s="161"/>
      <c r="G418" s="348"/>
      <c r="H418" s="348"/>
      <c r="I418" s="348"/>
      <c r="J418" s="348"/>
      <c r="K418" s="348"/>
      <c r="L418" s="3"/>
      <c r="M418" s="928"/>
      <c r="O418" s="151"/>
    </row>
    <row r="419" ht="12.0" customHeight="1">
      <c r="B419" s="1"/>
      <c r="D419" s="161"/>
      <c r="E419" s="161"/>
      <c r="F419" s="161"/>
      <c r="G419" s="348"/>
      <c r="H419" s="348"/>
      <c r="I419" s="348"/>
      <c r="J419" s="348"/>
      <c r="K419" s="348"/>
      <c r="L419" s="3"/>
      <c r="M419" s="928"/>
      <c r="O419" s="151"/>
    </row>
    <row r="420" ht="12.0" customHeight="1">
      <c r="B420" s="1"/>
      <c r="D420" s="161"/>
      <c r="E420" s="161"/>
      <c r="F420" s="161"/>
      <c r="G420" s="348"/>
      <c r="H420" s="348"/>
      <c r="I420" s="348"/>
      <c r="J420" s="348"/>
      <c r="K420" s="348"/>
      <c r="L420" s="3"/>
      <c r="M420" s="928"/>
      <c r="O420" s="151"/>
    </row>
    <row r="421" ht="12.0" customHeight="1">
      <c r="B421" s="1"/>
      <c r="D421" s="161"/>
      <c r="E421" s="161"/>
      <c r="F421" s="161"/>
      <c r="G421" s="348"/>
      <c r="H421" s="348"/>
      <c r="I421" s="348"/>
      <c r="J421" s="348"/>
      <c r="K421" s="348"/>
      <c r="L421" s="3"/>
      <c r="M421" s="928"/>
      <c r="O421" s="151"/>
    </row>
    <row r="422" ht="12.0" customHeight="1">
      <c r="B422" s="1"/>
      <c r="D422" s="161"/>
      <c r="E422" s="161"/>
      <c r="F422" s="161"/>
      <c r="G422" s="348"/>
      <c r="H422" s="348"/>
      <c r="I422" s="348"/>
      <c r="J422" s="348"/>
      <c r="K422" s="348"/>
      <c r="L422" s="3"/>
      <c r="M422" s="928"/>
      <c r="O422" s="151"/>
    </row>
    <row r="423" ht="12.0" customHeight="1">
      <c r="B423" s="1"/>
      <c r="D423" s="161"/>
      <c r="E423" s="161"/>
      <c r="F423" s="161"/>
      <c r="G423" s="348"/>
      <c r="H423" s="348"/>
      <c r="I423" s="348"/>
      <c r="J423" s="348"/>
      <c r="K423" s="348"/>
      <c r="L423" s="3"/>
      <c r="M423" s="928"/>
      <c r="O423" s="151"/>
    </row>
    <row r="424" ht="12.0" customHeight="1">
      <c r="B424" s="1"/>
      <c r="D424" s="161"/>
      <c r="E424" s="161"/>
      <c r="F424" s="161"/>
      <c r="G424" s="348"/>
      <c r="H424" s="348"/>
      <c r="I424" s="348"/>
      <c r="J424" s="348"/>
      <c r="K424" s="348"/>
      <c r="L424" s="3"/>
      <c r="M424" s="928"/>
      <c r="O424" s="151"/>
    </row>
    <row r="425" ht="12.0" customHeight="1">
      <c r="B425" s="1"/>
      <c r="D425" s="161"/>
      <c r="E425" s="161"/>
      <c r="F425" s="161"/>
      <c r="G425" s="348"/>
      <c r="H425" s="348"/>
      <c r="I425" s="348"/>
      <c r="J425" s="348"/>
      <c r="K425" s="348"/>
      <c r="L425" s="3"/>
      <c r="M425" s="928"/>
      <c r="O425" s="151"/>
    </row>
    <row r="426" ht="12.0" customHeight="1">
      <c r="B426" s="1"/>
      <c r="D426" s="161"/>
      <c r="E426" s="161"/>
      <c r="F426" s="161"/>
      <c r="G426" s="348"/>
      <c r="H426" s="348"/>
      <c r="I426" s="348"/>
      <c r="J426" s="348"/>
      <c r="K426" s="348"/>
      <c r="L426" s="3"/>
      <c r="M426" s="928"/>
      <c r="O426" s="151"/>
    </row>
    <row r="427" ht="12.0" customHeight="1">
      <c r="B427" s="1"/>
      <c r="D427" s="161"/>
      <c r="E427" s="161"/>
      <c r="F427" s="161"/>
      <c r="G427" s="348"/>
      <c r="H427" s="348"/>
      <c r="I427" s="348"/>
      <c r="J427" s="348"/>
      <c r="K427" s="348"/>
      <c r="L427" s="3"/>
      <c r="M427" s="928"/>
      <c r="O427" s="151"/>
    </row>
    <row r="428" ht="12.0" customHeight="1">
      <c r="B428" s="1"/>
      <c r="D428" s="161"/>
      <c r="E428" s="161"/>
      <c r="F428" s="161"/>
      <c r="G428" s="348"/>
      <c r="H428" s="348"/>
      <c r="I428" s="348"/>
      <c r="J428" s="348"/>
      <c r="K428" s="348"/>
      <c r="L428" s="3"/>
      <c r="M428" s="928"/>
      <c r="O428" s="151"/>
    </row>
    <row r="429" ht="12.0" customHeight="1">
      <c r="B429" s="1"/>
      <c r="D429" s="161"/>
      <c r="E429" s="161"/>
      <c r="F429" s="161"/>
      <c r="G429" s="348"/>
      <c r="H429" s="348"/>
      <c r="I429" s="348"/>
      <c r="J429" s="348"/>
      <c r="K429" s="348"/>
      <c r="L429" s="3"/>
      <c r="M429" s="928"/>
      <c r="O429" s="151"/>
    </row>
    <row r="430" ht="12.0" customHeight="1">
      <c r="B430" s="1"/>
      <c r="D430" s="161"/>
      <c r="E430" s="161"/>
      <c r="F430" s="161"/>
      <c r="G430" s="348"/>
      <c r="H430" s="348"/>
      <c r="I430" s="348"/>
      <c r="J430" s="348"/>
      <c r="K430" s="348"/>
      <c r="L430" s="3"/>
      <c r="M430" s="928"/>
      <c r="O430" s="151"/>
    </row>
    <row r="431" ht="12.0" customHeight="1">
      <c r="B431" s="1"/>
      <c r="D431" s="161"/>
      <c r="E431" s="161"/>
      <c r="F431" s="161"/>
      <c r="G431" s="348"/>
      <c r="H431" s="348"/>
      <c r="I431" s="348"/>
      <c r="J431" s="348"/>
      <c r="K431" s="348"/>
      <c r="L431" s="3"/>
      <c r="M431" s="928"/>
      <c r="O431" s="151"/>
    </row>
    <row r="432" ht="12.0" customHeight="1">
      <c r="B432" s="1"/>
      <c r="D432" s="161"/>
      <c r="E432" s="161"/>
      <c r="F432" s="161"/>
      <c r="G432" s="348"/>
      <c r="H432" s="348"/>
      <c r="I432" s="348"/>
      <c r="J432" s="348"/>
      <c r="K432" s="348"/>
      <c r="L432" s="3"/>
      <c r="M432" s="928"/>
      <c r="O432" s="151"/>
    </row>
    <row r="433" ht="12.0" customHeight="1">
      <c r="B433" s="1"/>
      <c r="D433" s="161"/>
      <c r="E433" s="161"/>
      <c r="F433" s="161"/>
      <c r="G433" s="348"/>
      <c r="H433" s="348"/>
      <c r="I433" s="348"/>
      <c r="J433" s="348"/>
      <c r="K433" s="348"/>
      <c r="L433" s="3"/>
      <c r="M433" s="928"/>
      <c r="O433" s="151"/>
    </row>
    <row r="434" ht="12.0" customHeight="1">
      <c r="B434" s="1"/>
      <c r="D434" s="161"/>
      <c r="E434" s="161"/>
      <c r="F434" s="161"/>
      <c r="G434" s="348"/>
      <c r="H434" s="348"/>
      <c r="I434" s="348"/>
      <c r="J434" s="348"/>
      <c r="K434" s="348"/>
      <c r="L434" s="3"/>
      <c r="M434" s="928"/>
      <c r="O434" s="151"/>
    </row>
    <row r="435" ht="12.0" customHeight="1">
      <c r="B435" s="1"/>
      <c r="D435" s="161"/>
      <c r="E435" s="161"/>
      <c r="F435" s="161"/>
      <c r="G435" s="348"/>
      <c r="H435" s="348"/>
      <c r="I435" s="348"/>
      <c r="J435" s="348"/>
      <c r="K435" s="348"/>
      <c r="L435" s="3"/>
      <c r="M435" s="928"/>
      <c r="O435" s="151"/>
    </row>
    <row r="436" ht="12.0" customHeight="1">
      <c r="B436" s="1"/>
      <c r="D436" s="161"/>
      <c r="E436" s="161"/>
      <c r="F436" s="161"/>
      <c r="G436" s="348"/>
      <c r="H436" s="348"/>
      <c r="I436" s="348"/>
      <c r="J436" s="348"/>
      <c r="K436" s="348"/>
      <c r="L436" s="3"/>
      <c r="M436" s="928"/>
      <c r="O436" s="151"/>
    </row>
    <row r="437" ht="12.0" customHeight="1">
      <c r="B437" s="1"/>
      <c r="D437" s="161"/>
      <c r="E437" s="161"/>
      <c r="F437" s="161"/>
      <c r="G437" s="348"/>
      <c r="H437" s="348"/>
      <c r="I437" s="348"/>
      <c r="J437" s="348"/>
      <c r="K437" s="348"/>
      <c r="L437" s="3"/>
      <c r="M437" s="928"/>
      <c r="O437" s="151"/>
    </row>
    <row r="438" ht="12.0" customHeight="1">
      <c r="B438" s="1"/>
      <c r="D438" s="161"/>
      <c r="E438" s="161"/>
      <c r="F438" s="161"/>
      <c r="G438" s="348"/>
      <c r="H438" s="348"/>
      <c r="I438" s="348"/>
      <c r="J438" s="348"/>
      <c r="K438" s="348"/>
      <c r="L438" s="3"/>
      <c r="M438" s="928"/>
      <c r="O438" s="151"/>
    </row>
    <row r="439" ht="12.0" customHeight="1">
      <c r="B439" s="1"/>
      <c r="D439" s="161"/>
      <c r="E439" s="161"/>
      <c r="F439" s="161"/>
      <c r="G439" s="348"/>
      <c r="H439" s="348"/>
      <c r="I439" s="348"/>
      <c r="J439" s="348"/>
      <c r="K439" s="348"/>
      <c r="L439" s="3"/>
      <c r="M439" s="928"/>
      <c r="O439" s="151"/>
    </row>
    <row r="440" ht="12.0" customHeight="1">
      <c r="B440" s="1"/>
      <c r="D440" s="161"/>
      <c r="E440" s="161"/>
      <c r="F440" s="161"/>
      <c r="G440" s="348"/>
      <c r="H440" s="348"/>
      <c r="I440" s="348"/>
      <c r="J440" s="348"/>
      <c r="K440" s="348"/>
      <c r="L440" s="3"/>
      <c r="M440" s="928"/>
      <c r="O440" s="151"/>
    </row>
    <row r="441" ht="12.0" customHeight="1">
      <c r="B441" s="1"/>
      <c r="D441" s="161"/>
      <c r="E441" s="161"/>
      <c r="F441" s="161"/>
      <c r="G441" s="348"/>
      <c r="H441" s="348"/>
      <c r="I441" s="348"/>
      <c r="J441" s="348"/>
      <c r="K441" s="348"/>
      <c r="L441" s="3"/>
      <c r="M441" s="928"/>
      <c r="O441" s="151"/>
    </row>
    <row r="442" ht="12.0" customHeight="1">
      <c r="B442" s="1"/>
      <c r="D442" s="161"/>
      <c r="E442" s="161"/>
      <c r="F442" s="161"/>
      <c r="G442" s="348"/>
      <c r="H442" s="348"/>
      <c r="I442" s="348"/>
      <c r="J442" s="348"/>
      <c r="K442" s="348"/>
      <c r="L442" s="3"/>
      <c r="M442" s="928"/>
      <c r="O442" s="151"/>
    </row>
    <row r="443" ht="12.0" customHeight="1">
      <c r="B443" s="1"/>
      <c r="D443" s="161"/>
      <c r="E443" s="161"/>
      <c r="F443" s="161"/>
      <c r="G443" s="348"/>
      <c r="H443" s="348"/>
      <c r="I443" s="348"/>
      <c r="J443" s="348"/>
      <c r="K443" s="348"/>
      <c r="L443" s="3"/>
      <c r="M443" s="928"/>
      <c r="O443" s="151"/>
    </row>
    <row r="444" ht="12.0" customHeight="1">
      <c r="B444" s="1"/>
      <c r="D444" s="161"/>
      <c r="E444" s="161"/>
      <c r="F444" s="161"/>
      <c r="G444" s="348"/>
      <c r="H444" s="348"/>
      <c r="I444" s="348"/>
      <c r="J444" s="348"/>
      <c r="K444" s="348"/>
      <c r="L444" s="3"/>
      <c r="M444" s="928"/>
      <c r="O444" s="151"/>
    </row>
    <row r="445" ht="12.0" customHeight="1">
      <c r="B445" s="1"/>
      <c r="D445" s="161"/>
      <c r="E445" s="161"/>
      <c r="F445" s="161"/>
      <c r="G445" s="348"/>
      <c r="H445" s="348"/>
      <c r="I445" s="348"/>
      <c r="J445" s="348"/>
      <c r="K445" s="348"/>
      <c r="L445" s="3"/>
      <c r="M445" s="928"/>
      <c r="O445" s="151"/>
    </row>
    <row r="446" ht="12.0" customHeight="1">
      <c r="B446" s="1"/>
      <c r="D446" s="161"/>
      <c r="E446" s="161"/>
      <c r="F446" s="161"/>
      <c r="G446" s="348"/>
      <c r="H446" s="348"/>
      <c r="I446" s="348"/>
      <c r="J446" s="348"/>
      <c r="K446" s="348"/>
      <c r="L446" s="3"/>
      <c r="M446" s="928"/>
      <c r="O446" s="151"/>
    </row>
    <row r="447" ht="12.0" customHeight="1">
      <c r="B447" s="1"/>
      <c r="D447" s="161"/>
      <c r="E447" s="161"/>
      <c r="F447" s="161"/>
      <c r="G447" s="348"/>
      <c r="H447" s="348"/>
      <c r="I447" s="348"/>
      <c r="J447" s="348"/>
      <c r="K447" s="348"/>
      <c r="L447" s="3"/>
      <c r="M447" s="928"/>
      <c r="O447" s="151"/>
    </row>
    <row r="448" ht="12.0" customHeight="1">
      <c r="B448" s="1"/>
      <c r="D448" s="161"/>
      <c r="E448" s="161"/>
      <c r="F448" s="161"/>
      <c r="G448" s="348"/>
      <c r="H448" s="348"/>
      <c r="I448" s="348"/>
      <c r="J448" s="348"/>
      <c r="K448" s="348"/>
      <c r="L448" s="3"/>
      <c r="M448" s="928"/>
      <c r="O448" s="151"/>
    </row>
    <row r="449" ht="12.0" customHeight="1">
      <c r="B449" s="1"/>
      <c r="D449" s="161"/>
      <c r="E449" s="161"/>
      <c r="F449" s="161"/>
      <c r="G449" s="348"/>
      <c r="H449" s="348"/>
      <c r="I449" s="348"/>
      <c r="J449" s="348"/>
      <c r="K449" s="348"/>
      <c r="L449" s="3"/>
      <c r="M449" s="928"/>
      <c r="O449" s="151"/>
    </row>
    <row r="450" ht="12.0" customHeight="1">
      <c r="B450" s="1"/>
      <c r="D450" s="161"/>
      <c r="E450" s="161"/>
      <c r="F450" s="161"/>
      <c r="G450" s="348"/>
      <c r="H450" s="348"/>
      <c r="I450" s="348"/>
      <c r="J450" s="348"/>
      <c r="K450" s="348"/>
      <c r="L450" s="3"/>
      <c r="M450" s="928"/>
      <c r="O450" s="151"/>
    </row>
    <row r="451" ht="12.0" customHeight="1">
      <c r="B451" s="1"/>
      <c r="D451" s="161"/>
      <c r="E451" s="161"/>
      <c r="F451" s="161"/>
      <c r="G451" s="348"/>
      <c r="H451" s="348"/>
      <c r="I451" s="348"/>
      <c r="J451" s="348"/>
      <c r="K451" s="348"/>
      <c r="L451" s="3"/>
      <c r="M451" s="928"/>
      <c r="O451" s="151"/>
    </row>
    <row r="452" ht="12.0" customHeight="1">
      <c r="B452" s="1"/>
      <c r="D452" s="161"/>
      <c r="E452" s="161"/>
      <c r="F452" s="161"/>
      <c r="G452" s="348"/>
      <c r="H452" s="348"/>
      <c r="I452" s="348"/>
      <c r="J452" s="348"/>
      <c r="K452" s="348"/>
      <c r="L452" s="3"/>
      <c r="M452" s="928"/>
      <c r="O452" s="151"/>
    </row>
    <row r="453" ht="12.0" customHeight="1">
      <c r="B453" s="1"/>
      <c r="D453" s="161"/>
      <c r="E453" s="161"/>
      <c r="F453" s="161"/>
      <c r="G453" s="348"/>
      <c r="H453" s="348"/>
      <c r="I453" s="348"/>
      <c r="J453" s="348"/>
      <c r="K453" s="348"/>
      <c r="L453" s="3"/>
      <c r="M453" s="928"/>
      <c r="O453" s="151"/>
    </row>
    <row r="454" ht="12.0" customHeight="1">
      <c r="B454" s="1"/>
      <c r="D454" s="161"/>
      <c r="E454" s="161"/>
      <c r="F454" s="161"/>
      <c r="G454" s="348"/>
      <c r="H454" s="348"/>
      <c r="I454" s="348"/>
      <c r="J454" s="348"/>
      <c r="K454" s="348"/>
      <c r="L454" s="3"/>
      <c r="M454" s="928"/>
      <c r="O454" s="151"/>
    </row>
    <row r="455" ht="12.0" customHeight="1">
      <c r="B455" s="1"/>
      <c r="D455" s="161"/>
      <c r="E455" s="161"/>
      <c r="F455" s="161"/>
      <c r="G455" s="348"/>
      <c r="H455" s="348"/>
      <c r="I455" s="348"/>
      <c r="J455" s="348"/>
      <c r="K455" s="348"/>
      <c r="L455" s="3"/>
      <c r="M455" s="928"/>
      <c r="O455" s="151"/>
    </row>
    <row r="456" ht="12.0" customHeight="1">
      <c r="B456" s="1"/>
      <c r="D456" s="161"/>
      <c r="E456" s="161"/>
      <c r="F456" s="161"/>
      <c r="G456" s="348"/>
      <c r="H456" s="348"/>
      <c r="I456" s="348"/>
      <c r="J456" s="348"/>
      <c r="K456" s="348"/>
      <c r="L456" s="3"/>
      <c r="M456" s="928"/>
      <c r="O456" s="151"/>
    </row>
    <row r="457" ht="12.0" customHeight="1">
      <c r="B457" s="1"/>
      <c r="D457" s="161"/>
      <c r="E457" s="161"/>
      <c r="F457" s="161"/>
      <c r="G457" s="348"/>
      <c r="H457" s="348"/>
      <c r="I457" s="348"/>
      <c r="J457" s="348"/>
      <c r="K457" s="348"/>
      <c r="L457" s="3"/>
      <c r="M457" s="928"/>
      <c r="O457" s="151"/>
    </row>
    <row r="458" ht="12.0" customHeight="1">
      <c r="B458" s="1"/>
      <c r="D458" s="161"/>
      <c r="E458" s="161"/>
      <c r="F458" s="161"/>
      <c r="G458" s="348"/>
      <c r="H458" s="348"/>
      <c r="I458" s="348"/>
      <c r="J458" s="348"/>
      <c r="K458" s="348"/>
      <c r="L458" s="3"/>
      <c r="M458" s="928"/>
      <c r="O458" s="151"/>
    </row>
    <row r="459" ht="12.0" customHeight="1">
      <c r="B459" s="1"/>
      <c r="D459" s="161"/>
      <c r="E459" s="161"/>
      <c r="F459" s="161"/>
      <c r="G459" s="348"/>
      <c r="H459" s="348"/>
      <c r="I459" s="348"/>
      <c r="J459" s="348"/>
      <c r="K459" s="348"/>
      <c r="L459" s="3"/>
      <c r="M459" s="928"/>
      <c r="O459" s="151"/>
    </row>
    <row r="460" ht="12.0" customHeight="1">
      <c r="B460" s="1"/>
      <c r="D460" s="161"/>
      <c r="E460" s="161"/>
      <c r="F460" s="161"/>
      <c r="G460" s="348"/>
      <c r="H460" s="348"/>
      <c r="I460" s="348"/>
      <c r="J460" s="348"/>
      <c r="K460" s="348"/>
      <c r="L460" s="3"/>
      <c r="M460" s="928"/>
      <c r="O460" s="151"/>
    </row>
    <row r="461" ht="12.0" customHeight="1">
      <c r="B461" s="1"/>
      <c r="D461" s="161"/>
      <c r="E461" s="161"/>
      <c r="F461" s="161"/>
      <c r="G461" s="348"/>
      <c r="H461" s="348"/>
      <c r="I461" s="348"/>
      <c r="J461" s="348"/>
      <c r="K461" s="348"/>
      <c r="L461" s="3"/>
      <c r="M461" s="928"/>
      <c r="O461" s="151"/>
    </row>
    <row r="462" ht="12.0" customHeight="1">
      <c r="B462" s="1"/>
      <c r="D462" s="161"/>
      <c r="E462" s="161"/>
      <c r="F462" s="161"/>
      <c r="G462" s="348"/>
      <c r="H462" s="348"/>
      <c r="I462" s="348"/>
      <c r="J462" s="348"/>
      <c r="K462" s="348"/>
      <c r="L462" s="3"/>
      <c r="M462" s="928"/>
      <c r="O462" s="151"/>
    </row>
    <row r="463" ht="12.0" customHeight="1">
      <c r="B463" s="1"/>
      <c r="D463" s="161"/>
      <c r="E463" s="161"/>
      <c r="F463" s="161"/>
      <c r="G463" s="348"/>
      <c r="H463" s="348"/>
      <c r="I463" s="348"/>
      <c r="J463" s="348"/>
      <c r="K463" s="348"/>
      <c r="L463" s="3"/>
      <c r="M463" s="928"/>
      <c r="O463" s="151"/>
    </row>
    <row r="464" ht="12.0" customHeight="1">
      <c r="B464" s="1"/>
      <c r="D464" s="161"/>
      <c r="E464" s="161"/>
      <c r="F464" s="161"/>
      <c r="G464" s="348"/>
      <c r="H464" s="348"/>
      <c r="I464" s="348"/>
      <c r="J464" s="348"/>
      <c r="K464" s="348"/>
      <c r="L464" s="3"/>
      <c r="M464" s="928"/>
      <c r="O464" s="151"/>
    </row>
    <row r="465" ht="12.0" customHeight="1">
      <c r="B465" s="1"/>
      <c r="D465" s="161"/>
      <c r="E465" s="161"/>
      <c r="F465" s="161"/>
      <c r="G465" s="348"/>
      <c r="H465" s="348"/>
      <c r="I465" s="348"/>
      <c r="J465" s="348"/>
      <c r="K465" s="348"/>
      <c r="L465" s="3"/>
      <c r="M465" s="928"/>
      <c r="O465" s="151"/>
    </row>
    <row r="466" ht="12.0" customHeight="1">
      <c r="B466" s="1"/>
      <c r="D466" s="161"/>
      <c r="E466" s="161"/>
      <c r="F466" s="161"/>
      <c r="G466" s="348"/>
      <c r="H466" s="348"/>
      <c r="I466" s="348"/>
      <c r="J466" s="348"/>
      <c r="K466" s="348"/>
      <c r="L466" s="3"/>
      <c r="M466" s="928"/>
      <c r="O466" s="151"/>
    </row>
    <row r="467" ht="12.0" customHeight="1">
      <c r="B467" s="1"/>
      <c r="D467" s="161"/>
      <c r="E467" s="161"/>
      <c r="F467" s="161"/>
      <c r="G467" s="348"/>
      <c r="H467" s="348"/>
      <c r="I467" s="348"/>
      <c r="J467" s="348"/>
      <c r="K467" s="348"/>
      <c r="L467" s="3"/>
      <c r="M467" s="928"/>
      <c r="O467" s="151"/>
    </row>
    <row r="468" ht="12.0" customHeight="1">
      <c r="B468" s="1"/>
      <c r="D468" s="161"/>
      <c r="E468" s="161"/>
      <c r="F468" s="161"/>
      <c r="G468" s="348"/>
      <c r="H468" s="348"/>
      <c r="I468" s="348"/>
      <c r="J468" s="348"/>
      <c r="K468" s="348"/>
      <c r="L468" s="3"/>
      <c r="M468" s="928"/>
      <c r="O468" s="151"/>
    </row>
    <row r="469" ht="12.0" customHeight="1">
      <c r="B469" s="1"/>
      <c r="D469" s="161"/>
      <c r="E469" s="161"/>
      <c r="F469" s="161"/>
      <c r="G469" s="348"/>
      <c r="H469" s="348"/>
      <c r="I469" s="348"/>
      <c r="J469" s="348"/>
      <c r="K469" s="348"/>
      <c r="L469" s="3"/>
      <c r="M469" s="928"/>
      <c r="O469" s="151"/>
    </row>
    <row r="470" ht="12.0" customHeight="1">
      <c r="B470" s="1"/>
      <c r="D470" s="161"/>
      <c r="E470" s="161"/>
      <c r="F470" s="161"/>
      <c r="G470" s="348"/>
      <c r="H470" s="348"/>
      <c r="I470" s="348"/>
      <c r="J470" s="348"/>
      <c r="K470" s="348"/>
      <c r="L470" s="3"/>
      <c r="M470" s="928"/>
      <c r="O470" s="151"/>
    </row>
    <row r="471" ht="12.0" customHeight="1">
      <c r="B471" s="1"/>
      <c r="D471" s="161"/>
      <c r="E471" s="161"/>
      <c r="F471" s="161"/>
      <c r="G471" s="348"/>
      <c r="H471" s="348"/>
      <c r="I471" s="348"/>
      <c r="J471" s="348"/>
      <c r="K471" s="348"/>
      <c r="L471" s="3"/>
      <c r="M471" s="928"/>
      <c r="O471" s="151"/>
    </row>
    <row r="472" ht="12.0" customHeight="1">
      <c r="B472" s="1"/>
      <c r="D472" s="161"/>
      <c r="E472" s="161"/>
      <c r="F472" s="161"/>
      <c r="G472" s="348"/>
      <c r="H472" s="348"/>
      <c r="I472" s="348"/>
      <c r="J472" s="348"/>
      <c r="K472" s="348"/>
      <c r="L472" s="3"/>
      <c r="M472" s="928"/>
      <c r="O472" s="151"/>
    </row>
    <row r="473" ht="12.0" customHeight="1">
      <c r="B473" s="1"/>
      <c r="D473" s="161"/>
      <c r="E473" s="161"/>
      <c r="F473" s="161"/>
      <c r="G473" s="348"/>
      <c r="H473" s="348"/>
      <c r="I473" s="348"/>
      <c r="J473" s="348"/>
      <c r="K473" s="348"/>
      <c r="L473" s="3"/>
      <c r="M473" s="928"/>
      <c r="O473" s="151"/>
    </row>
    <row r="474" ht="12.0" customHeight="1">
      <c r="B474" s="1"/>
      <c r="D474" s="161"/>
      <c r="E474" s="161"/>
      <c r="F474" s="161"/>
      <c r="G474" s="348"/>
      <c r="H474" s="348"/>
      <c r="I474" s="348"/>
      <c r="J474" s="348"/>
      <c r="K474" s="348"/>
      <c r="L474" s="3"/>
      <c r="M474" s="928"/>
      <c r="O474" s="151"/>
    </row>
    <row r="475" ht="12.0" customHeight="1">
      <c r="B475" s="1"/>
      <c r="D475" s="161"/>
      <c r="E475" s="161"/>
      <c r="F475" s="161"/>
      <c r="G475" s="348"/>
      <c r="H475" s="348"/>
      <c r="I475" s="348"/>
      <c r="J475" s="348"/>
      <c r="K475" s="348"/>
      <c r="L475" s="3"/>
      <c r="M475" s="928"/>
      <c r="O475" s="151"/>
    </row>
    <row r="476" ht="12.0" customHeight="1">
      <c r="B476" s="1"/>
      <c r="D476" s="161"/>
      <c r="E476" s="161"/>
      <c r="F476" s="161"/>
      <c r="G476" s="348"/>
      <c r="H476" s="348"/>
      <c r="I476" s="348"/>
      <c r="J476" s="348"/>
      <c r="K476" s="348"/>
      <c r="L476" s="3"/>
      <c r="M476" s="928"/>
      <c r="O476" s="151"/>
    </row>
    <row r="477" ht="12.0" customHeight="1">
      <c r="B477" s="1"/>
      <c r="D477" s="161"/>
      <c r="E477" s="161"/>
      <c r="F477" s="161"/>
      <c r="G477" s="348"/>
      <c r="H477" s="348"/>
      <c r="I477" s="348"/>
      <c r="J477" s="348"/>
      <c r="K477" s="348"/>
      <c r="L477" s="3"/>
      <c r="M477" s="928"/>
      <c r="O477" s="151"/>
    </row>
    <row r="478" ht="12.0" customHeight="1">
      <c r="B478" s="1"/>
      <c r="D478" s="161"/>
      <c r="E478" s="161"/>
      <c r="F478" s="161"/>
      <c r="G478" s="348"/>
      <c r="H478" s="348"/>
      <c r="I478" s="348"/>
      <c r="J478" s="348"/>
      <c r="K478" s="348"/>
      <c r="L478" s="3"/>
      <c r="M478" s="928"/>
      <c r="O478" s="151"/>
    </row>
    <row r="479" ht="12.0" customHeight="1">
      <c r="B479" s="1"/>
      <c r="D479" s="161"/>
      <c r="E479" s="161"/>
      <c r="F479" s="161"/>
      <c r="G479" s="348"/>
      <c r="H479" s="348"/>
      <c r="I479" s="348"/>
      <c r="J479" s="348"/>
      <c r="K479" s="348"/>
      <c r="L479" s="3"/>
      <c r="M479" s="928"/>
      <c r="O479" s="151"/>
    </row>
    <row r="480" ht="12.0" customHeight="1">
      <c r="B480" s="1"/>
      <c r="D480" s="161"/>
      <c r="E480" s="161"/>
      <c r="F480" s="161"/>
      <c r="G480" s="348"/>
      <c r="H480" s="348"/>
      <c r="I480" s="348"/>
      <c r="J480" s="348"/>
      <c r="K480" s="348"/>
      <c r="L480" s="3"/>
      <c r="M480" s="928"/>
      <c r="O480" s="151"/>
    </row>
    <row r="481" ht="12.0" customHeight="1">
      <c r="B481" s="1"/>
      <c r="D481" s="161"/>
      <c r="E481" s="161"/>
      <c r="F481" s="161"/>
      <c r="G481" s="348"/>
      <c r="H481" s="348"/>
      <c r="I481" s="348"/>
      <c r="J481" s="348"/>
      <c r="K481" s="348"/>
      <c r="L481" s="3"/>
      <c r="M481" s="928"/>
      <c r="O481" s="151"/>
    </row>
    <row r="482" ht="12.0" customHeight="1">
      <c r="B482" s="1"/>
      <c r="D482" s="161"/>
      <c r="E482" s="161"/>
      <c r="F482" s="161"/>
      <c r="G482" s="348"/>
      <c r="H482" s="348"/>
      <c r="I482" s="348"/>
      <c r="J482" s="348"/>
      <c r="K482" s="348"/>
      <c r="L482" s="3"/>
      <c r="M482" s="928"/>
      <c r="O482" s="151"/>
    </row>
    <row r="483" ht="12.0" customHeight="1">
      <c r="B483" s="1"/>
      <c r="D483" s="161"/>
      <c r="E483" s="161"/>
      <c r="F483" s="161"/>
      <c r="G483" s="348"/>
      <c r="H483" s="348"/>
      <c r="I483" s="348"/>
      <c r="J483" s="348"/>
      <c r="K483" s="348"/>
      <c r="L483" s="3"/>
      <c r="M483" s="928"/>
      <c r="O483" s="151"/>
    </row>
    <row r="484" ht="12.0" customHeight="1">
      <c r="B484" s="1"/>
      <c r="D484" s="161"/>
      <c r="E484" s="161"/>
      <c r="F484" s="161"/>
      <c r="G484" s="348"/>
      <c r="H484" s="348"/>
      <c r="I484" s="348"/>
      <c r="J484" s="348"/>
      <c r="K484" s="348"/>
      <c r="L484" s="3"/>
      <c r="M484" s="928"/>
      <c r="O484" s="151"/>
    </row>
    <row r="485" ht="12.0" customHeight="1">
      <c r="B485" s="1"/>
      <c r="D485" s="161"/>
      <c r="E485" s="161"/>
      <c r="F485" s="161"/>
      <c r="G485" s="348"/>
      <c r="H485" s="348"/>
      <c r="I485" s="348"/>
      <c r="J485" s="348"/>
      <c r="K485" s="348"/>
      <c r="L485" s="3"/>
      <c r="M485" s="928"/>
      <c r="O485" s="151"/>
    </row>
    <row r="486" ht="12.0" customHeight="1">
      <c r="B486" s="1"/>
      <c r="D486" s="161"/>
      <c r="E486" s="161"/>
      <c r="F486" s="161"/>
      <c r="G486" s="348"/>
      <c r="H486" s="348"/>
      <c r="I486" s="348"/>
      <c r="J486" s="348"/>
      <c r="K486" s="348"/>
      <c r="L486" s="3"/>
      <c r="M486" s="928"/>
      <c r="O486" s="151"/>
    </row>
    <row r="487" ht="12.0" customHeight="1">
      <c r="B487" s="1"/>
      <c r="D487" s="161"/>
      <c r="E487" s="161"/>
      <c r="F487" s="161"/>
      <c r="G487" s="348"/>
      <c r="H487" s="348"/>
      <c r="I487" s="348"/>
      <c r="J487" s="348"/>
      <c r="K487" s="348"/>
      <c r="L487" s="3"/>
      <c r="M487" s="928"/>
      <c r="O487" s="151"/>
    </row>
    <row r="488" ht="12.0" customHeight="1">
      <c r="B488" s="1"/>
      <c r="D488" s="161"/>
      <c r="E488" s="161"/>
      <c r="F488" s="161"/>
      <c r="G488" s="348"/>
      <c r="H488" s="348"/>
      <c r="I488" s="348"/>
      <c r="J488" s="348"/>
      <c r="K488" s="348"/>
      <c r="L488" s="3"/>
      <c r="M488" s="928"/>
      <c r="O488" s="151"/>
    </row>
    <row r="489" ht="12.0" customHeight="1">
      <c r="B489" s="1"/>
      <c r="D489" s="161"/>
      <c r="E489" s="161"/>
      <c r="F489" s="161"/>
      <c r="G489" s="348"/>
      <c r="H489" s="348"/>
      <c r="I489" s="348"/>
      <c r="J489" s="348"/>
      <c r="K489" s="348"/>
      <c r="L489" s="3"/>
      <c r="M489" s="928"/>
      <c r="O489" s="151"/>
    </row>
    <row r="490" ht="12.0" customHeight="1">
      <c r="B490" s="1"/>
      <c r="D490" s="161"/>
      <c r="E490" s="161"/>
      <c r="F490" s="161"/>
      <c r="G490" s="348"/>
      <c r="H490" s="348"/>
      <c r="I490" s="348"/>
      <c r="J490" s="348"/>
      <c r="K490" s="348"/>
      <c r="L490" s="3"/>
      <c r="M490" s="928"/>
      <c r="O490" s="151"/>
    </row>
    <row r="491" ht="12.0" customHeight="1">
      <c r="B491" s="1"/>
      <c r="D491" s="161"/>
      <c r="E491" s="161"/>
      <c r="F491" s="161"/>
      <c r="G491" s="348"/>
      <c r="H491" s="348"/>
      <c r="I491" s="348"/>
      <c r="J491" s="348"/>
      <c r="K491" s="348"/>
      <c r="L491" s="3"/>
      <c r="M491" s="928"/>
      <c r="O491" s="151"/>
    </row>
    <row r="492" ht="12.0" customHeight="1">
      <c r="B492" s="1"/>
      <c r="D492" s="161"/>
      <c r="E492" s="161"/>
      <c r="F492" s="161"/>
      <c r="G492" s="348"/>
      <c r="H492" s="348"/>
      <c r="I492" s="348"/>
      <c r="J492" s="348"/>
      <c r="K492" s="348"/>
      <c r="L492" s="3"/>
      <c r="M492" s="928"/>
      <c r="O492" s="151"/>
    </row>
    <row r="493" ht="12.0" customHeight="1">
      <c r="B493" s="1"/>
      <c r="D493" s="161"/>
      <c r="E493" s="161"/>
      <c r="F493" s="161"/>
      <c r="G493" s="348"/>
      <c r="H493" s="348"/>
      <c r="I493" s="348"/>
      <c r="J493" s="348"/>
      <c r="K493" s="348"/>
      <c r="L493" s="3"/>
      <c r="M493" s="928"/>
      <c r="O493" s="151"/>
    </row>
    <row r="494" ht="12.0" customHeight="1">
      <c r="B494" s="1"/>
      <c r="D494" s="161"/>
      <c r="E494" s="161"/>
      <c r="F494" s="161"/>
      <c r="G494" s="348"/>
      <c r="H494" s="348"/>
      <c r="I494" s="348"/>
      <c r="J494" s="348"/>
      <c r="K494" s="348"/>
      <c r="L494" s="3"/>
      <c r="M494" s="928"/>
      <c r="O494" s="151"/>
    </row>
    <row r="495" ht="12.0" customHeight="1">
      <c r="B495" s="1"/>
      <c r="D495" s="161"/>
      <c r="E495" s="161"/>
      <c r="F495" s="161"/>
      <c r="G495" s="348"/>
      <c r="H495" s="348"/>
      <c r="I495" s="348"/>
      <c r="J495" s="348"/>
      <c r="K495" s="348"/>
      <c r="L495" s="3"/>
      <c r="M495" s="928"/>
      <c r="O495" s="151"/>
    </row>
    <row r="496" ht="12.0" customHeight="1">
      <c r="B496" s="1"/>
      <c r="D496" s="161"/>
      <c r="E496" s="161"/>
      <c r="F496" s="161"/>
      <c r="G496" s="348"/>
      <c r="H496" s="348"/>
      <c r="I496" s="348"/>
      <c r="J496" s="348"/>
      <c r="K496" s="348"/>
      <c r="L496" s="3"/>
      <c r="M496" s="928"/>
      <c r="O496" s="151"/>
    </row>
    <row r="497" ht="12.0" customHeight="1">
      <c r="B497" s="1"/>
      <c r="D497" s="161"/>
      <c r="E497" s="161"/>
      <c r="F497" s="161"/>
      <c r="G497" s="348"/>
      <c r="H497" s="348"/>
      <c r="I497" s="348"/>
      <c r="J497" s="348"/>
      <c r="K497" s="348"/>
      <c r="L497" s="3"/>
      <c r="M497" s="928"/>
      <c r="O497" s="151"/>
    </row>
    <row r="498" ht="12.0" customHeight="1">
      <c r="B498" s="1"/>
      <c r="D498" s="161"/>
      <c r="E498" s="161"/>
      <c r="F498" s="161"/>
      <c r="G498" s="348"/>
      <c r="H498" s="348"/>
      <c r="I498" s="348"/>
      <c r="J498" s="348"/>
      <c r="K498" s="348"/>
      <c r="L498" s="3"/>
      <c r="M498" s="928"/>
      <c r="O498" s="151"/>
    </row>
    <row r="499" ht="12.0" customHeight="1">
      <c r="B499" s="1"/>
      <c r="D499" s="161"/>
      <c r="E499" s="161"/>
      <c r="F499" s="161"/>
      <c r="G499" s="348"/>
      <c r="H499" s="348"/>
      <c r="I499" s="348"/>
      <c r="J499" s="348"/>
      <c r="K499" s="348"/>
      <c r="L499" s="3"/>
      <c r="M499" s="928"/>
      <c r="O499" s="151"/>
    </row>
    <row r="500" ht="12.0" customHeight="1">
      <c r="B500" s="1"/>
      <c r="D500" s="161"/>
      <c r="E500" s="161"/>
      <c r="F500" s="161"/>
      <c r="G500" s="348"/>
      <c r="H500" s="348"/>
      <c r="I500" s="348"/>
      <c r="J500" s="348"/>
      <c r="K500" s="348"/>
      <c r="L500" s="3"/>
      <c r="M500" s="928"/>
      <c r="O500" s="151"/>
    </row>
    <row r="501" ht="12.0" customHeight="1">
      <c r="B501" s="1"/>
      <c r="D501" s="161"/>
      <c r="E501" s="161"/>
      <c r="F501" s="161"/>
      <c r="G501" s="348"/>
      <c r="H501" s="348"/>
      <c r="I501" s="348"/>
      <c r="J501" s="348"/>
      <c r="K501" s="348"/>
      <c r="L501" s="3"/>
      <c r="M501" s="928"/>
      <c r="O501" s="151"/>
    </row>
    <row r="502" ht="12.0" customHeight="1">
      <c r="B502" s="1"/>
      <c r="D502" s="161"/>
      <c r="E502" s="161"/>
      <c r="F502" s="161"/>
      <c r="G502" s="348"/>
      <c r="H502" s="348"/>
      <c r="I502" s="348"/>
      <c r="J502" s="348"/>
      <c r="K502" s="348"/>
      <c r="L502" s="3"/>
      <c r="M502" s="928"/>
      <c r="O502" s="151"/>
    </row>
    <row r="503" ht="12.0" customHeight="1">
      <c r="B503" s="1"/>
      <c r="D503" s="161"/>
      <c r="E503" s="161"/>
      <c r="F503" s="161"/>
      <c r="G503" s="348"/>
      <c r="H503" s="348"/>
      <c r="I503" s="348"/>
      <c r="J503" s="348"/>
      <c r="K503" s="348"/>
      <c r="L503" s="3"/>
      <c r="M503" s="928"/>
      <c r="O503" s="151"/>
    </row>
    <row r="504" ht="12.0" customHeight="1">
      <c r="B504" s="1"/>
      <c r="D504" s="161"/>
      <c r="E504" s="161"/>
      <c r="F504" s="161"/>
      <c r="G504" s="348"/>
      <c r="H504" s="348"/>
      <c r="I504" s="348"/>
      <c r="J504" s="348"/>
      <c r="K504" s="348"/>
      <c r="L504" s="3"/>
      <c r="M504" s="928"/>
      <c r="O504" s="151"/>
    </row>
    <row r="505" ht="12.0" customHeight="1">
      <c r="B505" s="1"/>
      <c r="D505" s="161"/>
      <c r="E505" s="161"/>
      <c r="F505" s="161"/>
      <c r="G505" s="348"/>
      <c r="H505" s="348"/>
      <c r="I505" s="348"/>
      <c r="J505" s="348"/>
      <c r="K505" s="348"/>
      <c r="L505" s="3"/>
      <c r="M505" s="928"/>
      <c r="O505" s="151"/>
    </row>
    <row r="506" ht="12.0" customHeight="1">
      <c r="B506" s="1"/>
      <c r="D506" s="161"/>
      <c r="E506" s="161"/>
      <c r="F506" s="161"/>
      <c r="G506" s="348"/>
      <c r="H506" s="348"/>
      <c r="I506" s="348"/>
      <c r="J506" s="348"/>
      <c r="K506" s="348"/>
      <c r="L506" s="3"/>
      <c r="M506" s="928"/>
      <c r="O506" s="151"/>
    </row>
    <row r="507" ht="12.0" customHeight="1">
      <c r="B507" s="1"/>
      <c r="D507" s="161"/>
      <c r="E507" s="161"/>
      <c r="F507" s="161"/>
      <c r="G507" s="348"/>
      <c r="H507" s="348"/>
      <c r="I507" s="348"/>
      <c r="J507" s="348"/>
      <c r="K507" s="348"/>
      <c r="L507" s="3"/>
      <c r="M507" s="928"/>
      <c r="O507" s="151"/>
    </row>
    <row r="508" ht="12.0" customHeight="1">
      <c r="B508" s="1"/>
      <c r="D508" s="161"/>
      <c r="E508" s="161"/>
      <c r="F508" s="161"/>
      <c r="G508" s="348"/>
      <c r="H508" s="348"/>
      <c r="I508" s="348"/>
      <c r="J508" s="348"/>
      <c r="K508" s="348"/>
      <c r="L508" s="3"/>
      <c r="M508" s="928"/>
      <c r="O508" s="151"/>
    </row>
    <row r="509" ht="12.0" customHeight="1">
      <c r="B509" s="1"/>
      <c r="D509" s="161"/>
      <c r="E509" s="161"/>
      <c r="F509" s="161"/>
      <c r="G509" s="348"/>
      <c r="H509" s="348"/>
      <c r="I509" s="348"/>
      <c r="J509" s="348"/>
      <c r="K509" s="348"/>
      <c r="L509" s="3"/>
      <c r="M509" s="928"/>
      <c r="O509" s="151"/>
    </row>
    <row r="510" ht="12.0" customHeight="1">
      <c r="B510" s="1"/>
      <c r="D510" s="161"/>
      <c r="E510" s="161"/>
      <c r="F510" s="161"/>
      <c r="G510" s="348"/>
      <c r="H510" s="348"/>
      <c r="I510" s="348"/>
      <c r="J510" s="348"/>
      <c r="K510" s="348"/>
      <c r="L510" s="3"/>
      <c r="M510" s="928"/>
      <c r="O510" s="151"/>
    </row>
    <row r="511" ht="12.0" customHeight="1">
      <c r="B511" s="1"/>
      <c r="D511" s="161"/>
      <c r="E511" s="161"/>
      <c r="F511" s="161"/>
      <c r="G511" s="348"/>
      <c r="H511" s="348"/>
      <c r="I511" s="348"/>
      <c r="J511" s="348"/>
      <c r="K511" s="348"/>
      <c r="L511" s="3"/>
      <c r="M511" s="928"/>
      <c r="O511" s="151"/>
    </row>
    <row r="512" ht="12.0" customHeight="1">
      <c r="B512" s="1"/>
      <c r="D512" s="161"/>
      <c r="E512" s="161"/>
      <c r="F512" s="161"/>
      <c r="G512" s="348"/>
      <c r="H512" s="348"/>
      <c r="I512" s="348"/>
      <c r="J512" s="348"/>
      <c r="K512" s="348"/>
      <c r="L512" s="3"/>
      <c r="M512" s="928"/>
      <c r="O512" s="151"/>
    </row>
    <row r="513" ht="12.0" customHeight="1">
      <c r="B513" s="1"/>
      <c r="D513" s="161"/>
      <c r="E513" s="161"/>
      <c r="F513" s="161"/>
      <c r="G513" s="348"/>
      <c r="H513" s="348"/>
      <c r="I513" s="348"/>
      <c r="J513" s="348"/>
      <c r="K513" s="348"/>
      <c r="L513" s="3"/>
      <c r="M513" s="928"/>
      <c r="O513" s="151"/>
    </row>
    <row r="514" ht="12.0" customHeight="1">
      <c r="B514" s="1"/>
      <c r="D514" s="161"/>
      <c r="E514" s="161"/>
      <c r="F514" s="161"/>
      <c r="G514" s="348"/>
      <c r="H514" s="348"/>
      <c r="I514" s="348"/>
      <c r="J514" s="348"/>
      <c r="K514" s="348"/>
      <c r="L514" s="3"/>
      <c r="M514" s="928"/>
      <c r="O514" s="151"/>
    </row>
    <row r="515" ht="12.0" customHeight="1">
      <c r="B515" s="1"/>
      <c r="D515" s="161"/>
      <c r="E515" s="161"/>
      <c r="F515" s="161"/>
      <c r="G515" s="348"/>
      <c r="H515" s="348"/>
      <c r="I515" s="348"/>
      <c r="J515" s="348"/>
      <c r="K515" s="348"/>
      <c r="L515" s="3"/>
      <c r="M515" s="928"/>
      <c r="O515" s="151"/>
    </row>
    <row r="516" ht="12.0" customHeight="1">
      <c r="B516" s="1"/>
      <c r="D516" s="161"/>
      <c r="E516" s="161"/>
      <c r="F516" s="161"/>
      <c r="G516" s="348"/>
      <c r="H516" s="348"/>
      <c r="I516" s="348"/>
      <c r="J516" s="348"/>
      <c r="K516" s="348"/>
      <c r="L516" s="3"/>
      <c r="M516" s="928"/>
      <c r="O516" s="151"/>
    </row>
    <row r="517" ht="12.0" customHeight="1">
      <c r="B517" s="1"/>
      <c r="D517" s="161"/>
      <c r="E517" s="161"/>
      <c r="F517" s="161"/>
      <c r="G517" s="348"/>
      <c r="H517" s="348"/>
      <c r="I517" s="348"/>
      <c r="J517" s="348"/>
      <c r="K517" s="348"/>
      <c r="L517" s="3"/>
      <c r="M517" s="928"/>
      <c r="O517" s="151"/>
    </row>
    <row r="518" ht="12.0" customHeight="1">
      <c r="B518" s="1"/>
      <c r="D518" s="161"/>
      <c r="E518" s="161"/>
      <c r="F518" s="161"/>
      <c r="G518" s="348"/>
      <c r="H518" s="348"/>
      <c r="I518" s="348"/>
      <c r="J518" s="348"/>
      <c r="K518" s="348"/>
      <c r="L518" s="3"/>
      <c r="M518" s="928"/>
      <c r="O518" s="151"/>
    </row>
    <row r="519" ht="12.0" customHeight="1">
      <c r="B519" s="1"/>
      <c r="D519" s="161"/>
      <c r="E519" s="161"/>
      <c r="F519" s="161"/>
      <c r="G519" s="348"/>
      <c r="H519" s="348"/>
      <c r="I519" s="348"/>
      <c r="J519" s="348"/>
      <c r="K519" s="348"/>
      <c r="L519" s="3"/>
      <c r="M519" s="928"/>
      <c r="O519" s="151"/>
    </row>
    <row r="520" ht="12.0" customHeight="1">
      <c r="B520" s="1"/>
      <c r="D520" s="161"/>
      <c r="E520" s="161"/>
      <c r="F520" s="161"/>
      <c r="G520" s="348"/>
      <c r="H520" s="348"/>
      <c r="I520" s="348"/>
      <c r="J520" s="348"/>
      <c r="K520" s="348"/>
      <c r="L520" s="3"/>
      <c r="M520" s="928"/>
      <c r="O520" s="151"/>
    </row>
    <row r="521" ht="12.0" customHeight="1">
      <c r="B521" s="1"/>
      <c r="D521" s="161"/>
      <c r="E521" s="161"/>
      <c r="F521" s="161"/>
      <c r="G521" s="348"/>
      <c r="H521" s="348"/>
      <c r="I521" s="348"/>
      <c r="J521" s="348"/>
      <c r="K521" s="348"/>
      <c r="L521" s="3"/>
      <c r="M521" s="928"/>
      <c r="O521" s="151"/>
    </row>
    <row r="522" ht="12.0" customHeight="1">
      <c r="B522" s="1"/>
      <c r="D522" s="161"/>
      <c r="E522" s="161"/>
      <c r="F522" s="161"/>
      <c r="G522" s="348"/>
      <c r="H522" s="348"/>
      <c r="I522" s="348"/>
      <c r="J522" s="348"/>
      <c r="K522" s="348"/>
      <c r="L522" s="3"/>
      <c r="M522" s="928"/>
      <c r="O522" s="151"/>
    </row>
    <row r="523" ht="12.0" customHeight="1">
      <c r="B523" s="1"/>
      <c r="D523" s="161"/>
      <c r="E523" s="161"/>
      <c r="F523" s="161"/>
      <c r="G523" s="348"/>
      <c r="H523" s="348"/>
      <c r="I523" s="348"/>
      <c r="J523" s="348"/>
      <c r="K523" s="348"/>
      <c r="L523" s="3"/>
      <c r="M523" s="928"/>
      <c r="O523" s="151"/>
    </row>
    <row r="524" ht="12.0" customHeight="1">
      <c r="B524" s="1"/>
      <c r="D524" s="161"/>
      <c r="E524" s="161"/>
      <c r="F524" s="161"/>
      <c r="G524" s="348"/>
      <c r="H524" s="348"/>
      <c r="I524" s="348"/>
      <c r="J524" s="348"/>
      <c r="K524" s="348"/>
      <c r="L524" s="3"/>
      <c r="M524" s="928"/>
      <c r="O524" s="151"/>
    </row>
    <row r="525" ht="12.0" customHeight="1">
      <c r="B525" s="1"/>
      <c r="D525" s="161"/>
      <c r="E525" s="161"/>
      <c r="F525" s="161"/>
      <c r="G525" s="348"/>
      <c r="H525" s="348"/>
      <c r="I525" s="348"/>
      <c r="J525" s="348"/>
      <c r="K525" s="348"/>
      <c r="L525" s="3"/>
      <c r="M525" s="928"/>
      <c r="O525" s="151"/>
    </row>
    <row r="526" ht="12.0" customHeight="1">
      <c r="B526" s="1"/>
      <c r="D526" s="161"/>
      <c r="E526" s="161"/>
      <c r="F526" s="161"/>
      <c r="G526" s="348"/>
      <c r="H526" s="348"/>
      <c r="I526" s="348"/>
      <c r="J526" s="348"/>
      <c r="K526" s="348"/>
      <c r="L526" s="3"/>
      <c r="M526" s="928"/>
      <c r="O526" s="151"/>
    </row>
    <row r="527" ht="12.0" customHeight="1">
      <c r="B527" s="1"/>
      <c r="D527" s="161"/>
      <c r="E527" s="161"/>
      <c r="F527" s="161"/>
      <c r="G527" s="348"/>
      <c r="H527" s="348"/>
      <c r="I527" s="348"/>
      <c r="J527" s="348"/>
      <c r="K527" s="348"/>
      <c r="L527" s="3"/>
      <c r="M527" s="928"/>
      <c r="O527" s="151"/>
    </row>
    <row r="528" ht="12.0" customHeight="1">
      <c r="B528" s="1"/>
      <c r="D528" s="161"/>
      <c r="E528" s="161"/>
      <c r="F528" s="161"/>
      <c r="G528" s="348"/>
      <c r="H528" s="348"/>
      <c r="I528" s="348"/>
      <c r="J528" s="348"/>
      <c r="K528" s="348"/>
      <c r="L528" s="3"/>
      <c r="M528" s="928"/>
      <c r="O528" s="151"/>
    </row>
    <row r="529" ht="12.0" customHeight="1">
      <c r="B529" s="1"/>
      <c r="D529" s="161"/>
      <c r="E529" s="161"/>
      <c r="F529" s="161"/>
      <c r="G529" s="348"/>
      <c r="H529" s="348"/>
      <c r="I529" s="348"/>
      <c r="J529" s="348"/>
      <c r="K529" s="348"/>
      <c r="L529" s="3"/>
      <c r="M529" s="928"/>
      <c r="O529" s="151"/>
    </row>
    <row r="530" ht="12.0" customHeight="1">
      <c r="B530" s="1"/>
      <c r="D530" s="161"/>
      <c r="E530" s="161"/>
      <c r="F530" s="161"/>
      <c r="G530" s="348"/>
      <c r="H530" s="348"/>
      <c r="I530" s="348"/>
      <c r="J530" s="348"/>
      <c r="K530" s="348"/>
      <c r="L530" s="3"/>
      <c r="M530" s="928"/>
      <c r="O530" s="151"/>
    </row>
    <row r="531" ht="12.0" customHeight="1">
      <c r="B531" s="1"/>
      <c r="D531" s="161"/>
      <c r="E531" s="161"/>
      <c r="F531" s="161"/>
      <c r="G531" s="348"/>
      <c r="H531" s="348"/>
      <c r="I531" s="348"/>
      <c r="J531" s="348"/>
      <c r="K531" s="348"/>
      <c r="L531" s="3"/>
      <c r="M531" s="928"/>
      <c r="O531" s="151"/>
    </row>
    <row r="532" ht="12.0" customHeight="1">
      <c r="B532" s="1"/>
      <c r="D532" s="161"/>
      <c r="E532" s="161"/>
      <c r="F532" s="161"/>
      <c r="G532" s="348"/>
      <c r="H532" s="348"/>
      <c r="I532" s="348"/>
      <c r="J532" s="348"/>
      <c r="K532" s="348"/>
      <c r="L532" s="3"/>
      <c r="M532" s="928"/>
      <c r="O532" s="151"/>
    </row>
    <row r="533" ht="12.0" customHeight="1">
      <c r="B533" s="1"/>
      <c r="D533" s="161"/>
      <c r="E533" s="161"/>
      <c r="F533" s="161"/>
      <c r="G533" s="348"/>
      <c r="H533" s="348"/>
      <c r="I533" s="348"/>
      <c r="J533" s="348"/>
      <c r="K533" s="348"/>
      <c r="L533" s="3"/>
      <c r="M533" s="928"/>
      <c r="O533" s="151"/>
    </row>
    <row r="534" ht="12.0" customHeight="1">
      <c r="B534" s="1"/>
      <c r="D534" s="161"/>
      <c r="E534" s="161"/>
      <c r="F534" s="161"/>
      <c r="G534" s="348"/>
      <c r="H534" s="348"/>
      <c r="I534" s="348"/>
      <c r="J534" s="348"/>
      <c r="K534" s="348"/>
      <c r="L534" s="3"/>
      <c r="M534" s="928"/>
      <c r="O534" s="151"/>
    </row>
    <row r="535" ht="12.0" customHeight="1">
      <c r="B535" s="1"/>
      <c r="D535" s="161"/>
      <c r="E535" s="161"/>
      <c r="F535" s="161"/>
      <c r="G535" s="348"/>
      <c r="H535" s="348"/>
      <c r="I535" s="348"/>
      <c r="J535" s="348"/>
      <c r="K535" s="348"/>
      <c r="L535" s="3"/>
      <c r="M535" s="928"/>
      <c r="O535" s="151"/>
    </row>
    <row r="536" ht="12.0" customHeight="1">
      <c r="B536" s="1"/>
      <c r="D536" s="161"/>
      <c r="E536" s="161"/>
      <c r="F536" s="161"/>
      <c r="G536" s="348"/>
      <c r="H536" s="348"/>
      <c r="I536" s="348"/>
      <c r="J536" s="348"/>
      <c r="K536" s="348"/>
      <c r="L536" s="3"/>
      <c r="M536" s="928"/>
      <c r="O536" s="151"/>
    </row>
    <row r="537" ht="12.0" customHeight="1">
      <c r="B537" s="1"/>
      <c r="D537" s="161"/>
      <c r="E537" s="161"/>
      <c r="F537" s="161"/>
      <c r="G537" s="348"/>
      <c r="H537" s="348"/>
      <c r="I537" s="348"/>
      <c r="J537" s="348"/>
      <c r="K537" s="348"/>
      <c r="L537" s="3"/>
      <c r="M537" s="928"/>
      <c r="O537" s="151"/>
    </row>
    <row r="538" ht="12.0" customHeight="1">
      <c r="B538" s="1"/>
      <c r="D538" s="161"/>
      <c r="E538" s="161"/>
      <c r="F538" s="161"/>
      <c r="G538" s="348"/>
      <c r="H538" s="348"/>
      <c r="I538" s="348"/>
      <c r="J538" s="348"/>
      <c r="K538" s="348"/>
      <c r="L538" s="3"/>
      <c r="M538" s="928"/>
      <c r="O538" s="151"/>
    </row>
    <row r="539" ht="12.0" customHeight="1">
      <c r="B539" s="1"/>
      <c r="D539" s="161"/>
      <c r="E539" s="161"/>
      <c r="F539" s="161"/>
      <c r="G539" s="348"/>
      <c r="H539" s="348"/>
      <c r="I539" s="348"/>
      <c r="J539" s="348"/>
      <c r="K539" s="348"/>
      <c r="L539" s="3"/>
      <c r="M539" s="928"/>
      <c r="O539" s="151"/>
    </row>
    <row r="540" ht="12.0" customHeight="1">
      <c r="B540" s="1"/>
      <c r="D540" s="161"/>
      <c r="E540" s="161"/>
      <c r="F540" s="161"/>
      <c r="G540" s="348"/>
      <c r="H540" s="348"/>
      <c r="I540" s="348"/>
      <c r="J540" s="348"/>
      <c r="K540" s="348"/>
      <c r="L540" s="3"/>
      <c r="M540" s="928"/>
      <c r="O540" s="151"/>
    </row>
    <row r="541" ht="12.0" customHeight="1">
      <c r="B541" s="1"/>
      <c r="D541" s="161"/>
      <c r="E541" s="161"/>
      <c r="F541" s="161"/>
      <c r="G541" s="348"/>
      <c r="H541" s="348"/>
      <c r="I541" s="348"/>
      <c r="J541" s="348"/>
      <c r="K541" s="348"/>
      <c r="L541" s="3"/>
      <c r="M541" s="928"/>
      <c r="O541" s="151"/>
    </row>
    <row r="542" ht="12.0" customHeight="1">
      <c r="B542" s="1"/>
      <c r="D542" s="161"/>
      <c r="E542" s="161"/>
      <c r="F542" s="161"/>
      <c r="G542" s="348"/>
      <c r="H542" s="348"/>
      <c r="I542" s="348"/>
      <c r="J542" s="348"/>
      <c r="K542" s="348"/>
      <c r="L542" s="3"/>
      <c r="M542" s="928"/>
      <c r="O542" s="151"/>
    </row>
    <row r="543" ht="12.0" customHeight="1">
      <c r="B543" s="1"/>
      <c r="D543" s="161"/>
      <c r="E543" s="161"/>
      <c r="F543" s="161"/>
      <c r="G543" s="348"/>
      <c r="H543" s="348"/>
      <c r="I543" s="348"/>
      <c r="J543" s="348"/>
      <c r="K543" s="348"/>
      <c r="L543" s="3"/>
      <c r="M543" s="928"/>
      <c r="O543" s="151"/>
    </row>
    <row r="544" ht="12.0" customHeight="1">
      <c r="B544" s="1"/>
      <c r="D544" s="161"/>
      <c r="E544" s="161"/>
      <c r="F544" s="161"/>
      <c r="G544" s="348"/>
      <c r="H544" s="348"/>
      <c r="I544" s="348"/>
      <c r="J544" s="348"/>
      <c r="K544" s="348"/>
      <c r="L544" s="3"/>
      <c r="M544" s="928"/>
      <c r="O544" s="151"/>
    </row>
    <row r="545" ht="12.0" customHeight="1">
      <c r="B545" s="1"/>
      <c r="D545" s="161"/>
      <c r="E545" s="161"/>
      <c r="F545" s="161"/>
      <c r="G545" s="348"/>
      <c r="H545" s="348"/>
      <c r="I545" s="348"/>
      <c r="J545" s="348"/>
      <c r="K545" s="348"/>
      <c r="L545" s="3"/>
      <c r="M545" s="928"/>
      <c r="O545" s="151"/>
    </row>
    <row r="546" ht="12.0" customHeight="1">
      <c r="B546" s="1"/>
      <c r="D546" s="161"/>
      <c r="E546" s="161"/>
      <c r="F546" s="161"/>
      <c r="G546" s="348"/>
      <c r="H546" s="348"/>
      <c r="I546" s="348"/>
      <c r="J546" s="348"/>
      <c r="K546" s="348"/>
      <c r="L546" s="3"/>
      <c r="M546" s="928"/>
      <c r="O546" s="151"/>
    </row>
    <row r="547" ht="12.0" customHeight="1">
      <c r="B547" s="1"/>
      <c r="D547" s="161"/>
      <c r="E547" s="161"/>
      <c r="F547" s="161"/>
      <c r="G547" s="348"/>
      <c r="H547" s="348"/>
      <c r="I547" s="348"/>
      <c r="J547" s="348"/>
      <c r="K547" s="348"/>
      <c r="L547" s="3"/>
      <c r="M547" s="928"/>
      <c r="O547" s="151"/>
    </row>
    <row r="548" ht="12.0" customHeight="1">
      <c r="B548" s="1"/>
      <c r="D548" s="161"/>
      <c r="E548" s="161"/>
      <c r="F548" s="161"/>
      <c r="G548" s="348"/>
      <c r="H548" s="348"/>
      <c r="I548" s="348"/>
      <c r="J548" s="348"/>
      <c r="K548" s="348"/>
      <c r="L548" s="3"/>
      <c r="M548" s="928"/>
      <c r="O548" s="151"/>
    </row>
    <row r="549" ht="12.0" customHeight="1">
      <c r="B549" s="1"/>
      <c r="D549" s="161"/>
      <c r="E549" s="161"/>
      <c r="F549" s="161"/>
      <c r="G549" s="348"/>
      <c r="H549" s="348"/>
      <c r="I549" s="348"/>
      <c r="J549" s="348"/>
      <c r="K549" s="348"/>
      <c r="L549" s="3"/>
      <c r="M549" s="928"/>
      <c r="O549" s="151"/>
    </row>
    <row r="550" ht="12.0" customHeight="1">
      <c r="B550" s="1"/>
      <c r="D550" s="161"/>
      <c r="E550" s="161"/>
      <c r="F550" s="161"/>
      <c r="G550" s="348"/>
      <c r="H550" s="348"/>
      <c r="I550" s="348"/>
      <c r="J550" s="348"/>
      <c r="K550" s="348"/>
      <c r="L550" s="3"/>
      <c r="M550" s="928"/>
      <c r="O550" s="151"/>
    </row>
    <row r="551" ht="12.0" customHeight="1">
      <c r="B551" s="1"/>
      <c r="D551" s="161"/>
      <c r="E551" s="161"/>
      <c r="F551" s="161"/>
      <c r="G551" s="348"/>
      <c r="H551" s="348"/>
      <c r="I551" s="348"/>
      <c r="J551" s="348"/>
      <c r="K551" s="348"/>
      <c r="L551" s="3"/>
      <c r="M551" s="928"/>
      <c r="O551" s="151"/>
    </row>
    <row r="552" ht="12.0" customHeight="1">
      <c r="B552" s="1"/>
      <c r="D552" s="161"/>
      <c r="E552" s="161"/>
      <c r="F552" s="161"/>
      <c r="G552" s="348"/>
      <c r="H552" s="348"/>
      <c r="I552" s="348"/>
      <c r="J552" s="348"/>
      <c r="K552" s="348"/>
      <c r="L552" s="3"/>
      <c r="M552" s="928"/>
      <c r="O552" s="151"/>
    </row>
    <row r="553" ht="12.0" customHeight="1">
      <c r="B553" s="1"/>
      <c r="D553" s="161"/>
      <c r="E553" s="161"/>
      <c r="F553" s="161"/>
      <c r="G553" s="348"/>
      <c r="H553" s="348"/>
      <c r="I553" s="348"/>
      <c r="J553" s="348"/>
      <c r="K553" s="348"/>
      <c r="L553" s="3"/>
      <c r="M553" s="928"/>
      <c r="O553" s="151"/>
    </row>
    <row r="554" ht="12.0" customHeight="1">
      <c r="B554" s="1"/>
      <c r="D554" s="161"/>
      <c r="E554" s="161"/>
      <c r="F554" s="161"/>
      <c r="G554" s="348"/>
      <c r="H554" s="348"/>
      <c r="I554" s="348"/>
      <c r="J554" s="348"/>
      <c r="K554" s="348"/>
      <c r="L554" s="3"/>
      <c r="M554" s="928"/>
      <c r="O554" s="151"/>
    </row>
    <row r="555" ht="12.0" customHeight="1">
      <c r="B555" s="1"/>
      <c r="D555" s="161"/>
      <c r="E555" s="161"/>
      <c r="F555" s="161"/>
      <c r="G555" s="348"/>
      <c r="H555" s="348"/>
      <c r="I555" s="348"/>
      <c r="J555" s="348"/>
      <c r="K555" s="348"/>
      <c r="L555" s="3"/>
      <c r="M555" s="928"/>
      <c r="O555" s="151"/>
    </row>
    <row r="556" ht="12.0" customHeight="1">
      <c r="B556" s="1"/>
      <c r="D556" s="161"/>
      <c r="E556" s="161"/>
      <c r="F556" s="161"/>
      <c r="G556" s="348"/>
      <c r="H556" s="348"/>
      <c r="I556" s="348"/>
      <c r="J556" s="348"/>
      <c r="K556" s="348"/>
      <c r="L556" s="3"/>
      <c r="M556" s="928"/>
      <c r="O556" s="151"/>
    </row>
    <row r="557" ht="12.0" customHeight="1">
      <c r="B557" s="1"/>
      <c r="D557" s="161"/>
      <c r="E557" s="161"/>
      <c r="F557" s="161"/>
      <c r="G557" s="348"/>
      <c r="H557" s="348"/>
      <c r="I557" s="348"/>
      <c r="J557" s="348"/>
      <c r="K557" s="348"/>
      <c r="L557" s="3"/>
      <c r="M557" s="928"/>
      <c r="O557" s="151"/>
    </row>
    <row r="558" ht="12.0" customHeight="1">
      <c r="B558" s="1"/>
      <c r="D558" s="161"/>
      <c r="E558" s="161"/>
      <c r="F558" s="161"/>
      <c r="G558" s="348"/>
      <c r="H558" s="348"/>
      <c r="I558" s="348"/>
      <c r="J558" s="348"/>
      <c r="K558" s="348"/>
      <c r="L558" s="3"/>
      <c r="M558" s="928"/>
      <c r="O558" s="151"/>
    </row>
    <row r="559" ht="12.0" customHeight="1">
      <c r="B559" s="1"/>
      <c r="D559" s="161"/>
      <c r="E559" s="161"/>
      <c r="F559" s="161"/>
      <c r="G559" s="348"/>
      <c r="H559" s="348"/>
      <c r="I559" s="348"/>
      <c r="J559" s="348"/>
      <c r="K559" s="348"/>
      <c r="L559" s="3"/>
      <c r="M559" s="928"/>
      <c r="O559" s="151"/>
    </row>
    <row r="560" ht="12.0" customHeight="1">
      <c r="B560" s="1"/>
      <c r="D560" s="161"/>
      <c r="E560" s="161"/>
      <c r="F560" s="161"/>
      <c r="G560" s="348"/>
      <c r="H560" s="348"/>
      <c r="I560" s="348"/>
      <c r="J560" s="348"/>
      <c r="K560" s="348"/>
      <c r="L560" s="3"/>
      <c r="M560" s="928"/>
      <c r="O560" s="151"/>
    </row>
    <row r="561" ht="12.0" customHeight="1">
      <c r="B561" s="1"/>
      <c r="D561" s="161"/>
      <c r="E561" s="161"/>
      <c r="F561" s="161"/>
      <c r="G561" s="348"/>
      <c r="H561" s="348"/>
      <c r="I561" s="348"/>
      <c r="J561" s="348"/>
      <c r="K561" s="348"/>
      <c r="L561" s="3"/>
      <c r="M561" s="928"/>
      <c r="O561" s="151"/>
    </row>
    <row r="562" ht="12.0" customHeight="1">
      <c r="B562" s="1"/>
      <c r="D562" s="161"/>
      <c r="E562" s="161"/>
      <c r="F562" s="161"/>
      <c r="G562" s="348"/>
      <c r="H562" s="348"/>
      <c r="I562" s="348"/>
      <c r="J562" s="348"/>
      <c r="K562" s="348"/>
      <c r="L562" s="3"/>
      <c r="M562" s="928"/>
      <c r="O562" s="151"/>
    </row>
    <row r="563" ht="12.0" customHeight="1">
      <c r="B563" s="1"/>
      <c r="D563" s="161"/>
      <c r="E563" s="161"/>
      <c r="F563" s="161"/>
      <c r="G563" s="348"/>
      <c r="H563" s="348"/>
      <c r="I563" s="348"/>
      <c r="J563" s="348"/>
      <c r="K563" s="348"/>
      <c r="L563" s="3"/>
      <c r="M563" s="928"/>
      <c r="O563" s="151"/>
    </row>
    <row r="564" ht="12.0" customHeight="1">
      <c r="B564" s="1"/>
      <c r="D564" s="161"/>
      <c r="E564" s="161"/>
      <c r="F564" s="161"/>
      <c r="G564" s="348"/>
      <c r="H564" s="348"/>
      <c r="I564" s="348"/>
      <c r="J564" s="348"/>
      <c r="K564" s="348"/>
      <c r="L564" s="3"/>
      <c r="M564" s="928"/>
      <c r="O564" s="151"/>
    </row>
    <row r="565" ht="12.0" customHeight="1">
      <c r="B565" s="1"/>
      <c r="D565" s="161"/>
      <c r="E565" s="161"/>
      <c r="F565" s="161"/>
      <c r="G565" s="348"/>
      <c r="H565" s="348"/>
      <c r="I565" s="348"/>
      <c r="J565" s="348"/>
      <c r="K565" s="348"/>
      <c r="L565" s="3"/>
      <c r="M565" s="928"/>
      <c r="O565" s="151"/>
    </row>
    <row r="566" ht="12.0" customHeight="1">
      <c r="B566" s="1"/>
      <c r="D566" s="161"/>
      <c r="E566" s="161"/>
      <c r="F566" s="161"/>
      <c r="G566" s="348"/>
      <c r="H566" s="348"/>
      <c r="I566" s="348"/>
      <c r="J566" s="348"/>
      <c r="K566" s="348"/>
      <c r="L566" s="3"/>
      <c r="M566" s="928"/>
      <c r="O566" s="151"/>
    </row>
    <row r="567" ht="12.0" customHeight="1">
      <c r="B567" s="1"/>
      <c r="D567" s="161"/>
      <c r="E567" s="161"/>
      <c r="F567" s="161"/>
      <c r="G567" s="348"/>
      <c r="H567" s="348"/>
      <c r="I567" s="348"/>
      <c r="J567" s="348"/>
      <c r="K567" s="348"/>
      <c r="L567" s="3"/>
      <c r="M567" s="928"/>
      <c r="O567" s="151"/>
    </row>
    <row r="568" ht="12.0" customHeight="1">
      <c r="B568" s="1"/>
      <c r="D568" s="161"/>
      <c r="E568" s="161"/>
      <c r="F568" s="161"/>
      <c r="G568" s="348"/>
      <c r="H568" s="348"/>
      <c r="I568" s="348"/>
      <c r="J568" s="348"/>
      <c r="K568" s="348"/>
      <c r="L568" s="3"/>
      <c r="M568" s="928"/>
      <c r="O568" s="151"/>
    </row>
    <row r="569" ht="12.0" customHeight="1">
      <c r="B569" s="1"/>
      <c r="D569" s="161"/>
      <c r="E569" s="161"/>
      <c r="F569" s="161"/>
      <c r="G569" s="348"/>
      <c r="H569" s="348"/>
      <c r="I569" s="348"/>
      <c r="J569" s="348"/>
      <c r="K569" s="348"/>
      <c r="L569" s="3"/>
      <c r="M569" s="928"/>
      <c r="O569" s="151"/>
    </row>
    <row r="570" ht="12.0" customHeight="1">
      <c r="B570" s="1"/>
      <c r="D570" s="161"/>
      <c r="E570" s="161"/>
      <c r="F570" s="161"/>
      <c r="G570" s="348"/>
      <c r="H570" s="348"/>
      <c r="I570" s="348"/>
      <c r="J570" s="348"/>
      <c r="K570" s="348"/>
      <c r="L570" s="3"/>
      <c r="M570" s="928"/>
      <c r="O570" s="151"/>
    </row>
    <row r="571" ht="12.0" customHeight="1">
      <c r="B571" s="1"/>
      <c r="D571" s="161"/>
      <c r="E571" s="161"/>
      <c r="F571" s="161"/>
      <c r="G571" s="348"/>
      <c r="H571" s="348"/>
      <c r="I571" s="348"/>
      <c r="J571" s="348"/>
      <c r="K571" s="348"/>
      <c r="L571" s="3"/>
      <c r="M571" s="928"/>
      <c r="O571" s="151"/>
    </row>
    <row r="572" ht="12.0" customHeight="1">
      <c r="B572" s="1"/>
      <c r="D572" s="161"/>
      <c r="E572" s="161"/>
      <c r="F572" s="161"/>
      <c r="G572" s="348"/>
      <c r="H572" s="348"/>
      <c r="I572" s="348"/>
      <c r="J572" s="348"/>
      <c r="K572" s="348"/>
      <c r="L572" s="3"/>
      <c r="M572" s="928"/>
      <c r="O572" s="151"/>
    </row>
    <row r="573" ht="12.0" customHeight="1">
      <c r="B573" s="1"/>
      <c r="D573" s="161"/>
      <c r="E573" s="161"/>
      <c r="F573" s="161"/>
      <c r="G573" s="348"/>
      <c r="H573" s="348"/>
      <c r="I573" s="348"/>
      <c r="J573" s="348"/>
      <c r="K573" s="348"/>
      <c r="L573" s="3"/>
      <c r="M573" s="928"/>
      <c r="O573" s="151"/>
    </row>
    <row r="574" ht="12.0" customHeight="1">
      <c r="B574" s="1"/>
      <c r="D574" s="161"/>
      <c r="E574" s="161"/>
      <c r="F574" s="161"/>
      <c r="G574" s="348"/>
      <c r="H574" s="348"/>
      <c r="I574" s="348"/>
      <c r="J574" s="348"/>
      <c r="K574" s="348"/>
      <c r="L574" s="3"/>
      <c r="M574" s="928"/>
      <c r="O574" s="151"/>
    </row>
    <row r="575" ht="12.0" customHeight="1">
      <c r="B575" s="1"/>
      <c r="D575" s="161"/>
      <c r="E575" s="161"/>
      <c r="F575" s="161"/>
      <c r="G575" s="348"/>
      <c r="H575" s="348"/>
      <c r="I575" s="348"/>
      <c r="J575" s="348"/>
      <c r="K575" s="348"/>
      <c r="L575" s="3"/>
      <c r="M575" s="928"/>
      <c r="O575" s="151"/>
    </row>
    <row r="576" ht="12.0" customHeight="1">
      <c r="B576" s="1"/>
      <c r="D576" s="161"/>
      <c r="E576" s="161"/>
      <c r="F576" s="161"/>
      <c r="G576" s="348"/>
      <c r="H576" s="348"/>
      <c r="I576" s="348"/>
      <c r="J576" s="348"/>
      <c r="K576" s="348"/>
      <c r="L576" s="3"/>
      <c r="M576" s="928"/>
      <c r="O576" s="151"/>
    </row>
    <row r="577" ht="12.0" customHeight="1">
      <c r="B577" s="1"/>
      <c r="D577" s="161"/>
      <c r="E577" s="161"/>
      <c r="F577" s="161"/>
      <c r="G577" s="348"/>
      <c r="H577" s="348"/>
      <c r="I577" s="348"/>
      <c r="J577" s="348"/>
      <c r="K577" s="348"/>
      <c r="L577" s="3"/>
      <c r="M577" s="928"/>
      <c r="O577" s="151"/>
    </row>
    <row r="578" ht="12.0" customHeight="1">
      <c r="B578" s="1"/>
      <c r="D578" s="161"/>
      <c r="E578" s="161"/>
      <c r="F578" s="161"/>
      <c r="G578" s="348"/>
      <c r="H578" s="348"/>
      <c r="I578" s="348"/>
      <c r="J578" s="348"/>
      <c r="K578" s="348"/>
      <c r="L578" s="3"/>
      <c r="M578" s="928"/>
      <c r="O578" s="151"/>
    </row>
    <row r="579" ht="12.0" customHeight="1">
      <c r="B579" s="1"/>
      <c r="D579" s="161"/>
      <c r="E579" s="161"/>
      <c r="F579" s="161"/>
      <c r="G579" s="348"/>
      <c r="H579" s="348"/>
      <c r="I579" s="348"/>
      <c r="J579" s="348"/>
      <c r="K579" s="348"/>
      <c r="L579" s="3"/>
      <c r="M579" s="928"/>
      <c r="O579" s="151"/>
    </row>
    <row r="580" ht="12.0" customHeight="1">
      <c r="B580" s="1"/>
      <c r="D580" s="161"/>
      <c r="E580" s="161"/>
      <c r="F580" s="161"/>
      <c r="G580" s="348"/>
      <c r="H580" s="348"/>
      <c r="I580" s="348"/>
      <c r="J580" s="348"/>
      <c r="K580" s="348"/>
      <c r="L580" s="3"/>
      <c r="M580" s="928"/>
      <c r="O580" s="151"/>
    </row>
    <row r="581" ht="12.0" customHeight="1">
      <c r="B581" s="1"/>
      <c r="D581" s="161"/>
      <c r="E581" s="161"/>
      <c r="F581" s="161"/>
      <c r="G581" s="348"/>
      <c r="H581" s="348"/>
      <c r="I581" s="348"/>
      <c r="J581" s="348"/>
      <c r="K581" s="348"/>
      <c r="L581" s="3"/>
      <c r="M581" s="928"/>
      <c r="O581" s="151"/>
    </row>
    <row r="582" ht="12.0" customHeight="1">
      <c r="B582" s="1"/>
      <c r="D582" s="161"/>
      <c r="E582" s="161"/>
      <c r="F582" s="161"/>
      <c r="G582" s="348"/>
      <c r="H582" s="348"/>
      <c r="I582" s="348"/>
      <c r="J582" s="348"/>
      <c r="K582" s="348"/>
      <c r="L582" s="3"/>
      <c r="M582" s="928"/>
      <c r="O582" s="151"/>
    </row>
    <row r="583" ht="12.0" customHeight="1">
      <c r="B583" s="1"/>
      <c r="D583" s="161"/>
      <c r="E583" s="161"/>
      <c r="F583" s="161"/>
      <c r="G583" s="348"/>
      <c r="H583" s="348"/>
      <c r="I583" s="348"/>
      <c r="J583" s="348"/>
      <c r="K583" s="348"/>
      <c r="L583" s="3"/>
      <c r="M583" s="928"/>
      <c r="O583" s="151"/>
    </row>
    <row r="584" ht="12.0" customHeight="1">
      <c r="B584" s="1"/>
      <c r="D584" s="161"/>
      <c r="E584" s="161"/>
      <c r="F584" s="161"/>
      <c r="G584" s="348"/>
      <c r="H584" s="348"/>
      <c r="I584" s="348"/>
      <c r="J584" s="348"/>
      <c r="K584" s="348"/>
      <c r="L584" s="3"/>
      <c r="M584" s="928"/>
      <c r="O584" s="151"/>
    </row>
    <row r="585" ht="12.0" customHeight="1">
      <c r="B585" s="1"/>
      <c r="D585" s="161"/>
      <c r="E585" s="161"/>
      <c r="F585" s="161"/>
      <c r="G585" s="348"/>
      <c r="H585" s="348"/>
      <c r="I585" s="348"/>
      <c r="J585" s="348"/>
      <c r="K585" s="348"/>
      <c r="L585" s="3"/>
      <c r="M585" s="928"/>
      <c r="O585" s="151"/>
    </row>
    <row r="586" ht="12.0" customHeight="1">
      <c r="B586" s="1"/>
      <c r="D586" s="161"/>
      <c r="E586" s="161"/>
      <c r="F586" s="161"/>
      <c r="G586" s="348"/>
      <c r="H586" s="348"/>
      <c r="I586" s="348"/>
      <c r="J586" s="348"/>
      <c r="K586" s="348"/>
      <c r="L586" s="3"/>
      <c r="M586" s="928"/>
      <c r="O586" s="151"/>
    </row>
    <row r="587" ht="12.0" customHeight="1">
      <c r="B587" s="1"/>
      <c r="D587" s="161"/>
      <c r="E587" s="161"/>
      <c r="F587" s="161"/>
      <c r="G587" s="348"/>
      <c r="H587" s="348"/>
      <c r="I587" s="348"/>
      <c r="J587" s="348"/>
      <c r="K587" s="348"/>
      <c r="L587" s="3"/>
      <c r="M587" s="928"/>
      <c r="O587" s="151"/>
    </row>
    <row r="588" ht="12.0" customHeight="1">
      <c r="B588" s="1"/>
      <c r="D588" s="161"/>
      <c r="E588" s="161"/>
      <c r="F588" s="161"/>
      <c r="G588" s="348"/>
      <c r="H588" s="348"/>
      <c r="I588" s="348"/>
      <c r="J588" s="348"/>
      <c r="K588" s="348"/>
      <c r="L588" s="3"/>
      <c r="M588" s="928"/>
      <c r="O588" s="151"/>
    </row>
    <row r="589" ht="12.0" customHeight="1">
      <c r="B589" s="1"/>
      <c r="D589" s="161"/>
      <c r="E589" s="161"/>
      <c r="F589" s="161"/>
      <c r="G589" s="348"/>
      <c r="H589" s="348"/>
      <c r="I589" s="348"/>
      <c r="J589" s="348"/>
      <c r="K589" s="348"/>
      <c r="L589" s="3"/>
      <c r="M589" s="928"/>
      <c r="O589" s="151"/>
    </row>
    <row r="590" ht="12.0" customHeight="1">
      <c r="B590" s="1"/>
      <c r="D590" s="161"/>
      <c r="E590" s="161"/>
      <c r="F590" s="161"/>
      <c r="G590" s="348"/>
      <c r="H590" s="348"/>
      <c r="I590" s="348"/>
      <c r="J590" s="348"/>
      <c r="K590" s="348"/>
      <c r="L590" s="3"/>
      <c r="M590" s="928"/>
      <c r="O590" s="151"/>
    </row>
    <row r="591" ht="12.0" customHeight="1">
      <c r="B591" s="1"/>
      <c r="D591" s="161"/>
      <c r="E591" s="161"/>
      <c r="F591" s="161"/>
      <c r="G591" s="348"/>
      <c r="H591" s="348"/>
      <c r="I591" s="348"/>
      <c r="J591" s="348"/>
      <c r="K591" s="348"/>
      <c r="L591" s="3"/>
      <c r="M591" s="928"/>
      <c r="O591" s="151"/>
    </row>
    <row r="592" ht="12.0" customHeight="1">
      <c r="B592" s="1"/>
      <c r="D592" s="161"/>
      <c r="E592" s="161"/>
      <c r="F592" s="161"/>
      <c r="G592" s="348"/>
      <c r="H592" s="348"/>
      <c r="I592" s="348"/>
      <c r="J592" s="348"/>
      <c r="K592" s="348"/>
      <c r="L592" s="3"/>
      <c r="M592" s="928"/>
      <c r="O592" s="151"/>
    </row>
    <row r="593" ht="12.0" customHeight="1">
      <c r="B593" s="1"/>
      <c r="D593" s="161"/>
      <c r="E593" s="161"/>
      <c r="F593" s="161"/>
      <c r="G593" s="348"/>
      <c r="H593" s="348"/>
      <c r="I593" s="348"/>
      <c r="J593" s="348"/>
      <c r="K593" s="348"/>
      <c r="L593" s="3"/>
      <c r="M593" s="928"/>
      <c r="O593" s="151"/>
    </row>
    <row r="594" ht="12.0" customHeight="1">
      <c r="B594" s="1"/>
      <c r="D594" s="161"/>
      <c r="E594" s="161"/>
      <c r="F594" s="161"/>
      <c r="G594" s="348"/>
      <c r="H594" s="348"/>
      <c r="I594" s="348"/>
      <c r="J594" s="348"/>
      <c r="K594" s="348"/>
      <c r="L594" s="3"/>
      <c r="M594" s="928"/>
      <c r="O594" s="151"/>
    </row>
    <row r="595" ht="12.0" customHeight="1">
      <c r="B595" s="1"/>
      <c r="D595" s="161"/>
      <c r="E595" s="161"/>
      <c r="F595" s="161"/>
      <c r="G595" s="348"/>
      <c r="H595" s="348"/>
      <c r="I595" s="348"/>
      <c r="J595" s="348"/>
      <c r="K595" s="348"/>
      <c r="L595" s="3"/>
      <c r="M595" s="928"/>
      <c r="O595" s="151"/>
    </row>
    <row r="596" ht="12.0" customHeight="1">
      <c r="B596" s="1"/>
      <c r="D596" s="161"/>
      <c r="E596" s="161"/>
      <c r="F596" s="161"/>
      <c r="G596" s="348"/>
      <c r="H596" s="348"/>
      <c r="I596" s="348"/>
      <c r="J596" s="348"/>
      <c r="K596" s="348"/>
      <c r="L596" s="3"/>
      <c r="M596" s="928"/>
      <c r="O596" s="151"/>
    </row>
    <row r="597" ht="12.0" customHeight="1">
      <c r="B597" s="1"/>
      <c r="D597" s="161"/>
      <c r="E597" s="161"/>
      <c r="F597" s="161"/>
      <c r="G597" s="348"/>
      <c r="H597" s="348"/>
      <c r="I597" s="348"/>
      <c r="J597" s="348"/>
      <c r="K597" s="348"/>
      <c r="L597" s="3"/>
      <c r="M597" s="928"/>
      <c r="O597" s="151"/>
    </row>
    <row r="598" ht="12.0" customHeight="1">
      <c r="B598" s="1"/>
      <c r="D598" s="161"/>
      <c r="E598" s="161"/>
      <c r="F598" s="161"/>
      <c r="G598" s="348"/>
      <c r="H598" s="348"/>
      <c r="I598" s="348"/>
      <c r="J598" s="348"/>
      <c r="K598" s="348"/>
      <c r="L598" s="3"/>
      <c r="M598" s="928"/>
      <c r="O598" s="151"/>
    </row>
    <row r="599" ht="12.0" customHeight="1">
      <c r="B599" s="1"/>
      <c r="D599" s="161"/>
      <c r="E599" s="161"/>
      <c r="F599" s="161"/>
      <c r="G599" s="348"/>
      <c r="H599" s="348"/>
      <c r="I599" s="348"/>
      <c r="J599" s="348"/>
      <c r="K599" s="348"/>
      <c r="L599" s="3"/>
      <c r="M599" s="928"/>
      <c r="O599" s="151"/>
    </row>
    <row r="600" ht="12.0" customHeight="1">
      <c r="B600" s="1"/>
      <c r="D600" s="161"/>
      <c r="E600" s="161"/>
      <c r="F600" s="161"/>
      <c r="G600" s="348"/>
      <c r="H600" s="348"/>
      <c r="I600" s="348"/>
      <c r="J600" s="348"/>
      <c r="K600" s="348"/>
      <c r="L600" s="3"/>
      <c r="M600" s="928"/>
      <c r="O600" s="151"/>
    </row>
    <row r="601" ht="12.0" customHeight="1">
      <c r="B601" s="1"/>
      <c r="D601" s="161"/>
      <c r="E601" s="161"/>
      <c r="F601" s="161"/>
      <c r="G601" s="348"/>
      <c r="H601" s="348"/>
      <c r="I601" s="348"/>
      <c r="J601" s="348"/>
      <c r="K601" s="348"/>
      <c r="L601" s="3"/>
      <c r="M601" s="928"/>
      <c r="O601" s="151"/>
    </row>
    <row r="602" ht="12.0" customHeight="1">
      <c r="B602" s="1"/>
      <c r="D602" s="161"/>
      <c r="E602" s="161"/>
      <c r="F602" s="161"/>
      <c r="G602" s="348"/>
      <c r="H602" s="348"/>
      <c r="I602" s="348"/>
      <c r="J602" s="348"/>
      <c r="K602" s="348"/>
      <c r="L602" s="3"/>
      <c r="M602" s="928"/>
      <c r="O602" s="151"/>
    </row>
    <row r="603" ht="12.0" customHeight="1">
      <c r="B603" s="1"/>
      <c r="D603" s="161"/>
      <c r="E603" s="161"/>
      <c r="F603" s="161"/>
      <c r="G603" s="348"/>
      <c r="H603" s="348"/>
      <c r="I603" s="348"/>
      <c r="J603" s="348"/>
      <c r="K603" s="348"/>
      <c r="L603" s="3"/>
      <c r="M603" s="928"/>
      <c r="O603" s="151"/>
    </row>
    <row r="604" ht="12.0" customHeight="1">
      <c r="B604" s="1"/>
      <c r="D604" s="161"/>
      <c r="E604" s="161"/>
      <c r="F604" s="161"/>
      <c r="G604" s="348"/>
      <c r="H604" s="348"/>
      <c r="I604" s="348"/>
      <c r="J604" s="348"/>
      <c r="K604" s="348"/>
      <c r="L604" s="3"/>
      <c r="M604" s="928"/>
      <c r="O604" s="151"/>
    </row>
    <row r="605" ht="12.0" customHeight="1">
      <c r="B605" s="1"/>
      <c r="D605" s="161"/>
      <c r="E605" s="161"/>
      <c r="F605" s="161"/>
      <c r="G605" s="348"/>
      <c r="H605" s="348"/>
      <c r="I605" s="348"/>
      <c r="J605" s="348"/>
      <c r="K605" s="348"/>
      <c r="L605" s="3"/>
      <c r="M605" s="928"/>
      <c r="O605" s="151"/>
    </row>
    <row r="606" ht="12.0" customHeight="1">
      <c r="B606" s="1"/>
      <c r="D606" s="161"/>
      <c r="E606" s="161"/>
      <c r="F606" s="161"/>
      <c r="G606" s="348"/>
      <c r="H606" s="348"/>
      <c r="I606" s="348"/>
      <c r="J606" s="348"/>
      <c r="K606" s="348"/>
      <c r="L606" s="3"/>
      <c r="M606" s="928"/>
      <c r="O606" s="151"/>
    </row>
    <row r="607" ht="12.0" customHeight="1">
      <c r="B607" s="1"/>
      <c r="D607" s="161"/>
      <c r="E607" s="161"/>
      <c r="F607" s="161"/>
      <c r="G607" s="348"/>
      <c r="H607" s="348"/>
      <c r="I607" s="348"/>
      <c r="J607" s="348"/>
      <c r="K607" s="348"/>
      <c r="L607" s="3"/>
      <c r="M607" s="928"/>
      <c r="O607" s="151"/>
    </row>
    <row r="608" ht="12.0" customHeight="1">
      <c r="B608" s="1"/>
      <c r="D608" s="161"/>
      <c r="E608" s="161"/>
      <c r="F608" s="161"/>
      <c r="G608" s="348"/>
      <c r="H608" s="348"/>
      <c r="I608" s="348"/>
      <c r="J608" s="348"/>
      <c r="K608" s="348"/>
      <c r="L608" s="3"/>
      <c r="M608" s="928"/>
      <c r="O608" s="151"/>
    </row>
    <row r="609" ht="12.0" customHeight="1">
      <c r="B609" s="1"/>
      <c r="D609" s="161"/>
      <c r="E609" s="161"/>
      <c r="F609" s="161"/>
      <c r="G609" s="348"/>
      <c r="H609" s="348"/>
      <c r="I609" s="348"/>
      <c r="J609" s="348"/>
      <c r="K609" s="348"/>
      <c r="L609" s="3"/>
      <c r="M609" s="928"/>
      <c r="O609" s="151"/>
    </row>
    <row r="610" ht="12.0" customHeight="1">
      <c r="B610" s="1"/>
      <c r="D610" s="161"/>
      <c r="E610" s="161"/>
      <c r="F610" s="161"/>
      <c r="G610" s="348"/>
      <c r="H610" s="348"/>
      <c r="I610" s="348"/>
      <c r="J610" s="348"/>
      <c r="K610" s="348"/>
      <c r="L610" s="3"/>
      <c r="M610" s="928"/>
      <c r="O610" s="151"/>
    </row>
    <row r="611" ht="12.0" customHeight="1">
      <c r="B611" s="1"/>
      <c r="D611" s="161"/>
      <c r="E611" s="161"/>
      <c r="F611" s="161"/>
      <c r="G611" s="348"/>
      <c r="H611" s="348"/>
      <c r="I611" s="348"/>
      <c r="J611" s="348"/>
      <c r="K611" s="348"/>
      <c r="L611" s="3"/>
      <c r="M611" s="928"/>
      <c r="O611" s="151"/>
    </row>
    <row r="612" ht="12.0" customHeight="1">
      <c r="B612" s="1"/>
      <c r="D612" s="161"/>
      <c r="E612" s="161"/>
      <c r="F612" s="161"/>
      <c r="G612" s="348"/>
      <c r="H612" s="348"/>
      <c r="I612" s="348"/>
      <c r="J612" s="348"/>
      <c r="K612" s="348"/>
      <c r="L612" s="3"/>
      <c r="M612" s="928"/>
      <c r="O612" s="151"/>
    </row>
    <row r="613" ht="12.0" customHeight="1">
      <c r="B613" s="1"/>
      <c r="D613" s="161"/>
      <c r="E613" s="161"/>
      <c r="F613" s="161"/>
      <c r="G613" s="348"/>
      <c r="H613" s="348"/>
      <c r="I613" s="348"/>
      <c r="J613" s="348"/>
      <c r="K613" s="348"/>
      <c r="L613" s="3"/>
      <c r="M613" s="928"/>
      <c r="O613" s="151"/>
    </row>
    <row r="614" ht="12.0" customHeight="1">
      <c r="B614" s="1"/>
      <c r="D614" s="161"/>
      <c r="E614" s="161"/>
      <c r="F614" s="161"/>
      <c r="G614" s="348"/>
      <c r="H614" s="348"/>
      <c r="I614" s="348"/>
      <c r="J614" s="348"/>
      <c r="K614" s="348"/>
      <c r="L614" s="3"/>
      <c r="M614" s="928"/>
      <c r="O614" s="151"/>
    </row>
    <row r="615" ht="12.0" customHeight="1">
      <c r="B615" s="1"/>
      <c r="D615" s="161"/>
      <c r="E615" s="161"/>
      <c r="F615" s="161"/>
      <c r="G615" s="348"/>
      <c r="H615" s="348"/>
      <c r="I615" s="348"/>
      <c r="J615" s="348"/>
      <c r="K615" s="348"/>
      <c r="L615" s="3"/>
      <c r="M615" s="928"/>
      <c r="O615" s="151"/>
    </row>
    <row r="616" ht="12.0" customHeight="1">
      <c r="B616" s="1"/>
      <c r="D616" s="161"/>
      <c r="E616" s="161"/>
      <c r="F616" s="161"/>
      <c r="G616" s="348"/>
      <c r="H616" s="348"/>
      <c r="I616" s="348"/>
      <c r="J616" s="348"/>
      <c r="K616" s="348"/>
      <c r="L616" s="3"/>
      <c r="M616" s="928"/>
      <c r="O616" s="151"/>
    </row>
    <row r="617" ht="12.0" customHeight="1">
      <c r="B617" s="1"/>
      <c r="D617" s="161"/>
      <c r="E617" s="161"/>
      <c r="F617" s="161"/>
      <c r="G617" s="348"/>
      <c r="H617" s="348"/>
      <c r="I617" s="348"/>
      <c r="J617" s="348"/>
      <c r="K617" s="348"/>
      <c r="L617" s="3"/>
      <c r="M617" s="928"/>
      <c r="O617" s="151"/>
    </row>
    <row r="618" ht="12.0" customHeight="1">
      <c r="B618" s="1"/>
      <c r="D618" s="161"/>
      <c r="E618" s="161"/>
      <c r="F618" s="161"/>
      <c r="G618" s="348"/>
      <c r="H618" s="348"/>
      <c r="I618" s="348"/>
      <c r="J618" s="348"/>
      <c r="K618" s="348"/>
      <c r="L618" s="3"/>
      <c r="M618" s="928"/>
      <c r="O618" s="151"/>
    </row>
    <row r="619" ht="12.0" customHeight="1">
      <c r="B619" s="1"/>
      <c r="D619" s="161"/>
      <c r="E619" s="161"/>
      <c r="F619" s="161"/>
      <c r="G619" s="348"/>
      <c r="H619" s="348"/>
      <c r="I619" s="348"/>
      <c r="J619" s="348"/>
      <c r="K619" s="348"/>
      <c r="L619" s="3"/>
      <c r="M619" s="928"/>
      <c r="O619" s="151"/>
    </row>
    <row r="620" ht="12.0" customHeight="1">
      <c r="B620" s="1"/>
      <c r="D620" s="161"/>
      <c r="E620" s="161"/>
      <c r="F620" s="161"/>
      <c r="G620" s="348"/>
      <c r="H620" s="348"/>
      <c r="I620" s="348"/>
      <c r="J620" s="348"/>
      <c r="K620" s="348"/>
      <c r="L620" s="3"/>
      <c r="M620" s="928"/>
      <c r="O620" s="151"/>
    </row>
    <row r="621" ht="12.0" customHeight="1">
      <c r="B621" s="1"/>
      <c r="D621" s="161"/>
      <c r="E621" s="161"/>
      <c r="F621" s="161"/>
      <c r="G621" s="348"/>
      <c r="H621" s="348"/>
      <c r="I621" s="348"/>
      <c r="J621" s="348"/>
      <c r="K621" s="348"/>
      <c r="L621" s="3"/>
      <c r="M621" s="928"/>
      <c r="O621" s="151"/>
    </row>
    <row r="622" ht="12.0" customHeight="1">
      <c r="B622" s="1"/>
      <c r="D622" s="161"/>
      <c r="E622" s="161"/>
      <c r="F622" s="161"/>
      <c r="G622" s="348"/>
      <c r="H622" s="348"/>
      <c r="I622" s="348"/>
      <c r="J622" s="348"/>
      <c r="K622" s="348"/>
      <c r="L622" s="3"/>
      <c r="M622" s="928"/>
      <c r="O622" s="151"/>
    </row>
    <row r="623" ht="12.0" customHeight="1">
      <c r="B623" s="1"/>
      <c r="D623" s="161"/>
      <c r="E623" s="161"/>
      <c r="F623" s="161"/>
      <c r="G623" s="348"/>
      <c r="H623" s="348"/>
      <c r="I623" s="348"/>
      <c r="J623" s="348"/>
      <c r="K623" s="348"/>
      <c r="L623" s="3"/>
      <c r="M623" s="928"/>
      <c r="O623" s="151"/>
    </row>
    <row r="624" ht="12.0" customHeight="1">
      <c r="B624" s="1"/>
      <c r="D624" s="161"/>
      <c r="E624" s="161"/>
      <c r="F624" s="161"/>
      <c r="G624" s="348"/>
      <c r="H624" s="348"/>
      <c r="I624" s="348"/>
      <c r="J624" s="348"/>
      <c r="K624" s="348"/>
      <c r="L624" s="3"/>
      <c r="M624" s="928"/>
      <c r="O624" s="151"/>
    </row>
    <row r="625" ht="12.0" customHeight="1">
      <c r="B625" s="1"/>
      <c r="D625" s="161"/>
      <c r="E625" s="161"/>
      <c r="F625" s="161"/>
      <c r="G625" s="348"/>
      <c r="H625" s="348"/>
      <c r="I625" s="348"/>
      <c r="J625" s="348"/>
      <c r="K625" s="348"/>
      <c r="L625" s="3"/>
      <c r="M625" s="928"/>
      <c r="O625" s="151"/>
    </row>
    <row r="626" ht="12.0" customHeight="1">
      <c r="B626" s="1"/>
      <c r="D626" s="161"/>
      <c r="E626" s="161"/>
      <c r="F626" s="161"/>
      <c r="G626" s="348"/>
      <c r="H626" s="348"/>
      <c r="I626" s="348"/>
      <c r="J626" s="348"/>
      <c r="K626" s="348"/>
      <c r="L626" s="3"/>
      <c r="M626" s="928"/>
      <c r="O626" s="151"/>
    </row>
    <row r="627" ht="12.0" customHeight="1">
      <c r="B627" s="1"/>
      <c r="D627" s="161"/>
      <c r="E627" s="161"/>
      <c r="F627" s="161"/>
      <c r="G627" s="348"/>
      <c r="H627" s="348"/>
      <c r="I627" s="348"/>
      <c r="J627" s="348"/>
      <c r="K627" s="348"/>
      <c r="L627" s="3"/>
      <c r="M627" s="928"/>
      <c r="O627" s="151"/>
    </row>
    <row r="628" ht="12.0" customHeight="1">
      <c r="B628" s="1"/>
      <c r="D628" s="161"/>
      <c r="E628" s="161"/>
      <c r="F628" s="161"/>
      <c r="G628" s="348"/>
      <c r="H628" s="348"/>
      <c r="I628" s="348"/>
      <c r="J628" s="348"/>
      <c r="K628" s="348"/>
      <c r="L628" s="3"/>
      <c r="M628" s="928"/>
      <c r="O628" s="151"/>
    </row>
    <row r="629" ht="12.0" customHeight="1">
      <c r="B629" s="1"/>
      <c r="D629" s="161"/>
      <c r="E629" s="161"/>
      <c r="F629" s="161"/>
      <c r="G629" s="348"/>
      <c r="H629" s="348"/>
      <c r="I629" s="348"/>
      <c r="J629" s="348"/>
      <c r="K629" s="348"/>
      <c r="L629" s="3"/>
      <c r="M629" s="928"/>
      <c r="O629" s="151"/>
    </row>
    <row r="630" ht="12.0" customHeight="1">
      <c r="B630" s="1"/>
      <c r="D630" s="161"/>
      <c r="E630" s="161"/>
      <c r="F630" s="161"/>
      <c r="G630" s="348"/>
      <c r="H630" s="348"/>
      <c r="I630" s="348"/>
      <c r="J630" s="348"/>
      <c r="K630" s="348"/>
      <c r="L630" s="3"/>
      <c r="M630" s="928"/>
      <c r="O630" s="151"/>
    </row>
    <row r="631" ht="12.0" customHeight="1">
      <c r="B631" s="1"/>
      <c r="D631" s="161"/>
      <c r="E631" s="161"/>
      <c r="F631" s="161"/>
      <c r="G631" s="348"/>
      <c r="H631" s="348"/>
      <c r="I631" s="348"/>
      <c r="J631" s="348"/>
      <c r="K631" s="348"/>
      <c r="L631" s="3"/>
      <c r="M631" s="928"/>
      <c r="O631" s="151"/>
    </row>
    <row r="632" ht="12.0" customHeight="1">
      <c r="B632" s="1"/>
      <c r="D632" s="161"/>
      <c r="E632" s="161"/>
      <c r="F632" s="161"/>
      <c r="G632" s="348"/>
      <c r="H632" s="348"/>
      <c r="I632" s="348"/>
      <c r="J632" s="348"/>
      <c r="K632" s="348"/>
      <c r="L632" s="3"/>
      <c r="M632" s="928"/>
      <c r="O632" s="151"/>
    </row>
    <row r="633" ht="12.0" customHeight="1">
      <c r="B633" s="1"/>
      <c r="D633" s="161"/>
      <c r="E633" s="161"/>
      <c r="F633" s="161"/>
      <c r="G633" s="348"/>
      <c r="H633" s="348"/>
      <c r="I633" s="348"/>
      <c r="J633" s="348"/>
      <c r="K633" s="348"/>
      <c r="L633" s="3"/>
      <c r="M633" s="928"/>
      <c r="O633" s="151"/>
    </row>
    <row r="634" ht="12.0" customHeight="1">
      <c r="B634" s="1"/>
      <c r="D634" s="161"/>
      <c r="E634" s="161"/>
      <c r="F634" s="161"/>
      <c r="G634" s="348"/>
      <c r="H634" s="348"/>
      <c r="I634" s="348"/>
      <c r="J634" s="348"/>
      <c r="K634" s="348"/>
      <c r="L634" s="3"/>
      <c r="M634" s="928"/>
      <c r="O634" s="151"/>
    </row>
    <row r="635" ht="12.0" customHeight="1">
      <c r="B635" s="1"/>
      <c r="D635" s="161"/>
      <c r="E635" s="161"/>
      <c r="F635" s="161"/>
      <c r="G635" s="348"/>
      <c r="H635" s="348"/>
      <c r="I635" s="348"/>
      <c r="J635" s="348"/>
      <c r="K635" s="348"/>
      <c r="L635" s="3"/>
      <c r="M635" s="928"/>
      <c r="O635" s="151"/>
    </row>
    <row r="636" ht="12.0" customHeight="1">
      <c r="B636" s="1"/>
      <c r="D636" s="161"/>
      <c r="E636" s="161"/>
      <c r="F636" s="161"/>
      <c r="G636" s="348"/>
      <c r="H636" s="348"/>
      <c r="I636" s="348"/>
      <c r="J636" s="348"/>
      <c r="K636" s="348"/>
      <c r="L636" s="3"/>
      <c r="M636" s="928"/>
      <c r="O636" s="151"/>
    </row>
    <row r="637" ht="12.0" customHeight="1">
      <c r="B637" s="1"/>
      <c r="D637" s="161"/>
      <c r="E637" s="161"/>
      <c r="F637" s="161"/>
      <c r="G637" s="348"/>
      <c r="H637" s="348"/>
      <c r="I637" s="348"/>
      <c r="J637" s="348"/>
      <c r="K637" s="348"/>
      <c r="L637" s="3"/>
      <c r="M637" s="928"/>
      <c r="O637" s="151"/>
    </row>
    <row r="638" ht="12.0" customHeight="1">
      <c r="B638" s="1"/>
      <c r="D638" s="161"/>
      <c r="E638" s="161"/>
      <c r="F638" s="161"/>
      <c r="G638" s="348"/>
      <c r="H638" s="348"/>
      <c r="I638" s="348"/>
      <c r="J638" s="348"/>
      <c r="K638" s="348"/>
      <c r="L638" s="3"/>
      <c r="M638" s="928"/>
      <c r="O638" s="151"/>
    </row>
    <row r="639" ht="12.0" customHeight="1">
      <c r="B639" s="1"/>
      <c r="D639" s="161"/>
      <c r="E639" s="161"/>
      <c r="F639" s="161"/>
      <c r="G639" s="348"/>
      <c r="H639" s="348"/>
      <c r="I639" s="348"/>
      <c r="J639" s="348"/>
      <c r="K639" s="348"/>
      <c r="L639" s="3"/>
      <c r="M639" s="928"/>
      <c r="O639" s="151"/>
    </row>
    <row r="640" ht="12.0" customHeight="1">
      <c r="B640" s="1"/>
      <c r="D640" s="161"/>
      <c r="E640" s="161"/>
      <c r="F640" s="161"/>
      <c r="G640" s="348"/>
      <c r="H640" s="348"/>
      <c r="I640" s="348"/>
      <c r="J640" s="348"/>
      <c r="K640" s="348"/>
      <c r="L640" s="3"/>
      <c r="M640" s="928"/>
      <c r="O640" s="151"/>
    </row>
    <row r="641" ht="12.0" customHeight="1">
      <c r="B641" s="1"/>
      <c r="D641" s="161"/>
      <c r="E641" s="161"/>
      <c r="F641" s="161"/>
      <c r="G641" s="348"/>
      <c r="H641" s="348"/>
      <c r="I641" s="348"/>
      <c r="J641" s="348"/>
      <c r="K641" s="348"/>
      <c r="L641" s="3"/>
      <c r="M641" s="928"/>
      <c r="O641" s="151"/>
    </row>
    <row r="642" ht="12.0" customHeight="1">
      <c r="B642" s="1"/>
      <c r="D642" s="161"/>
      <c r="E642" s="161"/>
      <c r="F642" s="161"/>
      <c r="G642" s="348"/>
      <c r="H642" s="348"/>
      <c r="I642" s="348"/>
      <c r="J642" s="348"/>
      <c r="K642" s="348"/>
      <c r="L642" s="3"/>
      <c r="M642" s="928"/>
      <c r="O642" s="151"/>
    </row>
    <row r="643" ht="12.0" customHeight="1">
      <c r="B643" s="1"/>
      <c r="D643" s="161"/>
      <c r="E643" s="161"/>
      <c r="F643" s="161"/>
      <c r="G643" s="348"/>
      <c r="H643" s="348"/>
      <c r="I643" s="348"/>
      <c r="J643" s="348"/>
      <c r="K643" s="348"/>
      <c r="L643" s="3"/>
      <c r="M643" s="928"/>
      <c r="O643" s="151"/>
    </row>
    <row r="644" ht="12.0" customHeight="1">
      <c r="B644" s="1"/>
      <c r="D644" s="161"/>
      <c r="E644" s="161"/>
      <c r="F644" s="161"/>
      <c r="G644" s="348"/>
      <c r="H644" s="348"/>
      <c r="I644" s="348"/>
      <c r="J644" s="348"/>
      <c r="K644" s="348"/>
      <c r="L644" s="3"/>
      <c r="M644" s="928"/>
      <c r="O644" s="151"/>
    </row>
    <row r="645" ht="12.0" customHeight="1">
      <c r="B645" s="1"/>
      <c r="D645" s="161"/>
      <c r="E645" s="161"/>
      <c r="F645" s="161"/>
      <c r="G645" s="348"/>
      <c r="H645" s="348"/>
      <c r="I645" s="348"/>
      <c r="J645" s="348"/>
      <c r="K645" s="348"/>
      <c r="L645" s="3"/>
      <c r="M645" s="928"/>
      <c r="O645" s="151"/>
    </row>
    <row r="646" ht="12.0" customHeight="1">
      <c r="B646" s="1"/>
      <c r="D646" s="161"/>
      <c r="E646" s="161"/>
      <c r="F646" s="161"/>
      <c r="G646" s="348"/>
      <c r="H646" s="348"/>
      <c r="I646" s="348"/>
      <c r="J646" s="348"/>
      <c r="K646" s="348"/>
      <c r="L646" s="3"/>
      <c r="M646" s="928"/>
      <c r="O646" s="151"/>
    </row>
    <row r="647" ht="12.0" customHeight="1">
      <c r="B647" s="1"/>
      <c r="D647" s="161"/>
      <c r="E647" s="161"/>
      <c r="F647" s="161"/>
      <c r="G647" s="348"/>
      <c r="H647" s="348"/>
      <c r="I647" s="348"/>
      <c r="J647" s="348"/>
      <c r="K647" s="348"/>
      <c r="L647" s="3"/>
      <c r="M647" s="928"/>
      <c r="O647" s="151"/>
    </row>
    <row r="648" ht="12.0" customHeight="1">
      <c r="B648" s="1"/>
      <c r="D648" s="161"/>
      <c r="E648" s="161"/>
      <c r="F648" s="161"/>
      <c r="G648" s="348"/>
      <c r="H648" s="348"/>
      <c r="I648" s="348"/>
      <c r="J648" s="348"/>
      <c r="K648" s="348"/>
      <c r="L648" s="3"/>
      <c r="M648" s="928"/>
      <c r="O648" s="151"/>
    </row>
    <row r="649" ht="12.0" customHeight="1">
      <c r="B649" s="1"/>
      <c r="D649" s="161"/>
      <c r="E649" s="161"/>
      <c r="F649" s="161"/>
      <c r="G649" s="348"/>
      <c r="H649" s="348"/>
      <c r="I649" s="348"/>
      <c r="J649" s="348"/>
      <c r="K649" s="348"/>
      <c r="L649" s="3"/>
      <c r="M649" s="928"/>
      <c r="O649" s="151"/>
    </row>
    <row r="650" ht="12.0" customHeight="1">
      <c r="B650" s="1"/>
      <c r="D650" s="161"/>
      <c r="E650" s="161"/>
      <c r="F650" s="161"/>
      <c r="G650" s="348"/>
      <c r="H650" s="348"/>
      <c r="I650" s="348"/>
      <c r="J650" s="348"/>
      <c r="K650" s="348"/>
      <c r="L650" s="3"/>
      <c r="M650" s="928"/>
      <c r="O650" s="151"/>
    </row>
    <row r="651" ht="12.0" customHeight="1">
      <c r="B651" s="1"/>
      <c r="D651" s="161"/>
      <c r="E651" s="161"/>
      <c r="F651" s="161"/>
      <c r="G651" s="348"/>
      <c r="H651" s="348"/>
      <c r="I651" s="348"/>
      <c r="J651" s="348"/>
      <c r="K651" s="348"/>
      <c r="L651" s="3"/>
      <c r="M651" s="928"/>
      <c r="O651" s="151"/>
    </row>
    <row r="652" ht="12.0" customHeight="1">
      <c r="B652" s="1"/>
      <c r="D652" s="161"/>
      <c r="E652" s="161"/>
      <c r="F652" s="161"/>
      <c r="G652" s="348"/>
      <c r="H652" s="348"/>
      <c r="I652" s="348"/>
      <c r="J652" s="348"/>
      <c r="K652" s="348"/>
      <c r="L652" s="3"/>
      <c r="M652" s="928"/>
      <c r="O652" s="151"/>
    </row>
    <row r="653" ht="12.0" customHeight="1">
      <c r="B653" s="1"/>
      <c r="D653" s="161"/>
      <c r="E653" s="161"/>
      <c r="F653" s="161"/>
      <c r="G653" s="348"/>
      <c r="H653" s="348"/>
      <c r="I653" s="348"/>
      <c r="J653" s="348"/>
      <c r="K653" s="348"/>
      <c r="L653" s="3"/>
      <c r="M653" s="928"/>
      <c r="O653" s="151"/>
    </row>
    <row r="654" ht="12.0" customHeight="1">
      <c r="B654" s="1"/>
      <c r="D654" s="161"/>
      <c r="E654" s="161"/>
      <c r="F654" s="161"/>
      <c r="G654" s="348"/>
      <c r="H654" s="348"/>
      <c r="I654" s="348"/>
      <c r="J654" s="348"/>
      <c r="K654" s="348"/>
      <c r="L654" s="3"/>
      <c r="M654" s="928"/>
      <c r="O654" s="151"/>
    </row>
    <row r="655" ht="12.0" customHeight="1">
      <c r="B655" s="1"/>
      <c r="D655" s="161"/>
      <c r="E655" s="161"/>
      <c r="F655" s="161"/>
      <c r="G655" s="348"/>
      <c r="H655" s="348"/>
      <c r="I655" s="348"/>
      <c r="J655" s="348"/>
      <c r="K655" s="348"/>
      <c r="L655" s="3"/>
      <c r="M655" s="928"/>
      <c r="O655" s="151"/>
    </row>
    <row r="656" ht="12.0" customHeight="1">
      <c r="B656" s="1"/>
      <c r="D656" s="161"/>
      <c r="E656" s="161"/>
      <c r="F656" s="161"/>
      <c r="G656" s="348"/>
      <c r="H656" s="348"/>
      <c r="I656" s="348"/>
      <c r="J656" s="348"/>
      <c r="K656" s="348"/>
      <c r="L656" s="3"/>
      <c r="M656" s="928"/>
      <c r="O656" s="151"/>
    </row>
    <row r="657" ht="12.0" customHeight="1">
      <c r="B657" s="1"/>
      <c r="D657" s="161"/>
      <c r="E657" s="161"/>
      <c r="F657" s="161"/>
      <c r="G657" s="348"/>
      <c r="H657" s="348"/>
      <c r="I657" s="348"/>
      <c r="J657" s="348"/>
      <c r="K657" s="348"/>
      <c r="L657" s="3"/>
      <c r="M657" s="928"/>
      <c r="O657" s="151"/>
    </row>
    <row r="658" ht="12.0" customHeight="1">
      <c r="B658" s="1"/>
      <c r="D658" s="161"/>
      <c r="E658" s="161"/>
      <c r="F658" s="161"/>
      <c r="G658" s="348"/>
      <c r="H658" s="348"/>
      <c r="I658" s="348"/>
      <c r="J658" s="348"/>
      <c r="K658" s="348"/>
      <c r="L658" s="3"/>
      <c r="M658" s="928"/>
      <c r="O658" s="151"/>
    </row>
    <row r="659" ht="12.0" customHeight="1">
      <c r="B659" s="1"/>
      <c r="D659" s="161"/>
      <c r="E659" s="161"/>
      <c r="F659" s="161"/>
      <c r="G659" s="348"/>
      <c r="H659" s="348"/>
      <c r="I659" s="348"/>
      <c r="J659" s="348"/>
      <c r="K659" s="348"/>
      <c r="L659" s="3"/>
      <c r="M659" s="928"/>
      <c r="O659" s="151"/>
    </row>
    <row r="660" ht="12.0" customHeight="1">
      <c r="B660" s="1"/>
      <c r="D660" s="161"/>
      <c r="E660" s="161"/>
      <c r="F660" s="161"/>
      <c r="G660" s="348"/>
      <c r="H660" s="348"/>
      <c r="I660" s="348"/>
      <c r="J660" s="348"/>
      <c r="K660" s="348"/>
      <c r="L660" s="3"/>
      <c r="M660" s="928"/>
      <c r="O660" s="151"/>
    </row>
    <row r="661" ht="12.0" customHeight="1">
      <c r="B661" s="1"/>
      <c r="D661" s="161"/>
      <c r="E661" s="161"/>
      <c r="F661" s="161"/>
      <c r="G661" s="348"/>
      <c r="H661" s="348"/>
      <c r="I661" s="348"/>
      <c r="J661" s="348"/>
      <c r="K661" s="348"/>
      <c r="L661" s="3"/>
      <c r="M661" s="928"/>
      <c r="O661" s="151"/>
    </row>
    <row r="662" ht="12.0" customHeight="1">
      <c r="B662" s="1"/>
      <c r="D662" s="161"/>
      <c r="E662" s="161"/>
      <c r="F662" s="161"/>
      <c r="G662" s="348"/>
      <c r="H662" s="348"/>
      <c r="I662" s="348"/>
      <c r="J662" s="348"/>
      <c r="K662" s="348"/>
      <c r="L662" s="3"/>
      <c r="M662" s="928"/>
      <c r="O662" s="151"/>
    </row>
    <row r="663" ht="12.0" customHeight="1">
      <c r="B663" s="1"/>
      <c r="D663" s="161"/>
      <c r="E663" s="161"/>
      <c r="F663" s="161"/>
      <c r="G663" s="348"/>
      <c r="H663" s="348"/>
      <c r="I663" s="348"/>
      <c r="J663" s="348"/>
      <c r="K663" s="348"/>
      <c r="L663" s="3"/>
      <c r="M663" s="928"/>
      <c r="O663" s="151"/>
    </row>
    <row r="664" ht="12.0" customHeight="1">
      <c r="B664" s="1"/>
      <c r="D664" s="161"/>
      <c r="E664" s="161"/>
      <c r="F664" s="161"/>
      <c r="G664" s="348"/>
      <c r="H664" s="348"/>
      <c r="I664" s="348"/>
      <c r="J664" s="348"/>
      <c r="K664" s="348"/>
      <c r="L664" s="3"/>
      <c r="M664" s="928"/>
      <c r="O664" s="151"/>
    </row>
    <row r="665" ht="12.0" customHeight="1">
      <c r="B665" s="1"/>
      <c r="D665" s="161"/>
      <c r="E665" s="161"/>
      <c r="F665" s="161"/>
      <c r="G665" s="348"/>
      <c r="H665" s="348"/>
      <c r="I665" s="348"/>
      <c r="J665" s="348"/>
      <c r="K665" s="348"/>
      <c r="L665" s="3"/>
      <c r="M665" s="928"/>
      <c r="O665" s="151"/>
    </row>
    <row r="666" ht="12.0" customHeight="1">
      <c r="B666" s="1"/>
      <c r="D666" s="161"/>
      <c r="E666" s="161"/>
      <c r="F666" s="161"/>
      <c r="G666" s="348"/>
      <c r="H666" s="348"/>
      <c r="I666" s="348"/>
      <c r="J666" s="348"/>
      <c r="K666" s="348"/>
      <c r="L666" s="3"/>
      <c r="M666" s="928"/>
      <c r="O666" s="151"/>
    </row>
    <row r="667" ht="12.0" customHeight="1">
      <c r="B667" s="1"/>
      <c r="D667" s="161"/>
      <c r="E667" s="161"/>
      <c r="F667" s="161"/>
      <c r="G667" s="348"/>
      <c r="H667" s="348"/>
      <c r="I667" s="348"/>
      <c r="J667" s="348"/>
      <c r="K667" s="348"/>
      <c r="L667" s="3"/>
      <c r="M667" s="928"/>
      <c r="O667" s="151"/>
    </row>
    <row r="668" ht="12.0" customHeight="1">
      <c r="B668" s="1"/>
      <c r="D668" s="161"/>
      <c r="E668" s="161"/>
      <c r="F668" s="161"/>
      <c r="G668" s="348"/>
      <c r="H668" s="348"/>
      <c r="I668" s="348"/>
      <c r="J668" s="348"/>
      <c r="K668" s="348"/>
      <c r="L668" s="3"/>
      <c r="M668" s="928"/>
      <c r="O668" s="151"/>
    </row>
    <row r="669" ht="12.0" customHeight="1">
      <c r="B669" s="1"/>
      <c r="D669" s="161"/>
      <c r="E669" s="161"/>
      <c r="F669" s="161"/>
      <c r="G669" s="348"/>
      <c r="H669" s="348"/>
      <c r="I669" s="348"/>
      <c r="J669" s="348"/>
      <c r="K669" s="348"/>
      <c r="L669" s="3"/>
      <c r="M669" s="928"/>
      <c r="O669" s="151"/>
    </row>
    <row r="670" ht="12.0" customHeight="1">
      <c r="B670" s="1"/>
      <c r="D670" s="161"/>
      <c r="E670" s="161"/>
      <c r="F670" s="161"/>
      <c r="G670" s="348"/>
      <c r="H670" s="348"/>
      <c r="I670" s="348"/>
      <c r="J670" s="348"/>
      <c r="K670" s="348"/>
      <c r="L670" s="3"/>
      <c r="M670" s="928"/>
      <c r="O670" s="151"/>
    </row>
    <row r="671" ht="12.0" customHeight="1">
      <c r="B671" s="1"/>
      <c r="D671" s="161"/>
      <c r="E671" s="161"/>
      <c r="F671" s="161"/>
      <c r="G671" s="348"/>
      <c r="H671" s="348"/>
      <c r="I671" s="348"/>
      <c r="J671" s="348"/>
      <c r="K671" s="348"/>
      <c r="L671" s="3"/>
      <c r="M671" s="928"/>
      <c r="O671" s="151"/>
    </row>
    <row r="672" ht="12.0" customHeight="1">
      <c r="B672" s="1"/>
      <c r="D672" s="161"/>
      <c r="E672" s="161"/>
      <c r="F672" s="161"/>
      <c r="G672" s="348"/>
      <c r="H672" s="348"/>
      <c r="I672" s="348"/>
      <c r="J672" s="348"/>
      <c r="K672" s="348"/>
      <c r="L672" s="3"/>
      <c r="M672" s="928"/>
      <c r="O672" s="151"/>
    </row>
    <row r="673" ht="12.0" customHeight="1">
      <c r="B673" s="1"/>
      <c r="D673" s="161"/>
      <c r="E673" s="161"/>
      <c r="F673" s="161"/>
      <c r="G673" s="348"/>
      <c r="H673" s="348"/>
      <c r="I673" s="348"/>
      <c r="J673" s="348"/>
      <c r="K673" s="348"/>
      <c r="L673" s="3"/>
      <c r="M673" s="928"/>
      <c r="O673" s="151"/>
    </row>
    <row r="674" ht="12.0" customHeight="1">
      <c r="B674" s="1"/>
      <c r="D674" s="161"/>
      <c r="E674" s="161"/>
      <c r="F674" s="161"/>
      <c r="G674" s="348"/>
      <c r="H674" s="348"/>
      <c r="I674" s="348"/>
      <c r="J674" s="348"/>
      <c r="K674" s="348"/>
      <c r="L674" s="3"/>
      <c r="M674" s="928"/>
      <c r="O674" s="151"/>
    </row>
    <row r="675" ht="12.0" customHeight="1">
      <c r="B675" s="1"/>
      <c r="D675" s="161"/>
      <c r="E675" s="161"/>
      <c r="F675" s="161"/>
      <c r="G675" s="348"/>
      <c r="H675" s="348"/>
      <c r="I675" s="348"/>
      <c r="J675" s="348"/>
      <c r="K675" s="348"/>
      <c r="L675" s="3"/>
      <c r="M675" s="928"/>
      <c r="O675" s="151"/>
    </row>
    <row r="676" ht="12.0" customHeight="1">
      <c r="B676" s="1"/>
      <c r="D676" s="161"/>
      <c r="E676" s="161"/>
      <c r="F676" s="161"/>
      <c r="G676" s="348"/>
      <c r="H676" s="348"/>
      <c r="I676" s="348"/>
      <c r="J676" s="348"/>
      <c r="K676" s="348"/>
      <c r="L676" s="3"/>
      <c r="M676" s="928"/>
      <c r="O676" s="151"/>
    </row>
    <row r="677" ht="12.0" customHeight="1">
      <c r="B677" s="1"/>
      <c r="D677" s="161"/>
      <c r="E677" s="161"/>
      <c r="F677" s="161"/>
      <c r="G677" s="348"/>
      <c r="H677" s="348"/>
      <c r="I677" s="348"/>
      <c r="J677" s="348"/>
      <c r="K677" s="348"/>
      <c r="L677" s="3"/>
      <c r="M677" s="928"/>
      <c r="O677" s="151"/>
    </row>
    <row r="678" ht="12.0" customHeight="1">
      <c r="B678" s="1"/>
      <c r="D678" s="161"/>
      <c r="E678" s="161"/>
      <c r="F678" s="161"/>
      <c r="G678" s="348"/>
      <c r="H678" s="348"/>
      <c r="I678" s="348"/>
      <c r="J678" s="348"/>
      <c r="K678" s="348"/>
      <c r="L678" s="3"/>
      <c r="M678" s="928"/>
      <c r="O678" s="151"/>
    </row>
    <row r="679" ht="12.0" customHeight="1">
      <c r="B679" s="1"/>
      <c r="D679" s="161"/>
      <c r="E679" s="161"/>
      <c r="F679" s="161"/>
      <c r="G679" s="348"/>
      <c r="H679" s="348"/>
      <c r="I679" s="348"/>
      <c r="J679" s="348"/>
      <c r="K679" s="348"/>
      <c r="L679" s="3"/>
      <c r="M679" s="928"/>
      <c r="O679" s="151"/>
    </row>
    <row r="680" ht="12.0" customHeight="1">
      <c r="B680" s="1"/>
      <c r="D680" s="161"/>
      <c r="E680" s="161"/>
      <c r="F680" s="161"/>
      <c r="G680" s="348"/>
      <c r="H680" s="348"/>
      <c r="I680" s="348"/>
      <c r="J680" s="348"/>
      <c r="K680" s="348"/>
      <c r="L680" s="3"/>
      <c r="M680" s="928"/>
      <c r="O680" s="151"/>
    </row>
    <row r="681" ht="12.0" customHeight="1">
      <c r="B681" s="1"/>
      <c r="D681" s="161"/>
      <c r="E681" s="161"/>
      <c r="F681" s="161"/>
      <c r="G681" s="348"/>
      <c r="H681" s="348"/>
      <c r="I681" s="348"/>
      <c r="J681" s="348"/>
      <c r="K681" s="348"/>
      <c r="L681" s="3"/>
      <c r="M681" s="928"/>
      <c r="O681" s="151"/>
    </row>
    <row r="682" ht="12.0" customHeight="1">
      <c r="B682" s="1"/>
      <c r="D682" s="161"/>
      <c r="E682" s="161"/>
      <c r="F682" s="161"/>
      <c r="G682" s="348"/>
      <c r="H682" s="348"/>
      <c r="I682" s="348"/>
      <c r="J682" s="348"/>
      <c r="K682" s="348"/>
      <c r="L682" s="3"/>
      <c r="M682" s="928"/>
      <c r="O682" s="151"/>
    </row>
    <row r="683" ht="12.0" customHeight="1">
      <c r="B683" s="1"/>
      <c r="D683" s="161"/>
      <c r="E683" s="161"/>
      <c r="F683" s="161"/>
      <c r="G683" s="348"/>
      <c r="H683" s="348"/>
      <c r="I683" s="348"/>
      <c r="J683" s="348"/>
      <c r="K683" s="348"/>
      <c r="L683" s="3"/>
      <c r="M683" s="928"/>
      <c r="O683" s="151"/>
    </row>
    <row r="684" ht="12.0" customHeight="1">
      <c r="B684" s="1"/>
      <c r="D684" s="161"/>
      <c r="E684" s="161"/>
      <c r="F684" s="161"/>
      <c r="G684" s="348"/>
      <c r="H684" s="348"/>
      <c r="I684" s="348"/>
      <c r="J684" s="348"/>
      <c r="K684" s="348"/>
      <c r="L684" s="3"/>
      <c r="M684" s="928"/>
      <c r="O684" s="151"/>
    </row>
    <row r="685" ht="12.0" customHeight="1">
      <c r="B685" s="1"/>
      <c r="D685" s="161"/>
      <c r="E685" s="161"/>
      <c r="F685" s="161"/>
      <c r="G685" s="348"/>
      <c r="H685" s="348"/>
      <c r="I685" s="348"/>
      <c r="J685" s="348"/>
      <c r="K685" s="348"/>
      <c r="L685" s="3"/>
      <c r="M685" s="928"/>
      <c r="O685" s="151"/>
    </row>
    <row r="686" ht="12.0" customHeight="1">
      <c r="B686" s="1"/>
      <c r="D686" s="161"/>
      <c r="E686" s="161"/>
      <c r="F686" s="161"/>
      <c r="G686" s="348"/>
      <c r="H686" s="348"/>
      <c r="I686" s="348"/>
      <c r="J686" s="348"/>
      <c r="K686" s="348"/>
      <c r="L686" s="3"/>
      <c r="M686" s="928"/>
      <c r="O686" s="151"/>
    </row>
    <row r="687" ht="12.0" customHeight="1">
      <c r="B687" s="1"/>
      <c r="D687" s="161"/>
      <c r="E687" s="161"/>
      <c r="F687" s="161"/>
      <c r="G687" s="348"/>
      <c r="H687" s="348"/>
      <c r="I687" s="348"/>
      <c r="J687" s="348"/>
      <c r="K687" s="348"/>
      <c r="L687" s="3"/>
      <c r="M687" s="928"/>
      <c r="O687" s="151"/>
    </row>
    <row r="688" ht="12.0" customHeight="1">
      <c r="B688" s="1"/>
      <c r="D688" s="161"/>
      <c r="E688" s="161"/>
      <c r="F688" s="161"/>
      <c r="G688" s="348"/>
      <c r="H688" s="348"/>
      <c r="I688" s="348"/>
      <c r="J688" s="348"/>
      <c r="K688" s="348"/>
      <c r="L688" s="3"/>
      <c r="M688" s="928"/>
      <c r="O688" s="151"/>
    </row>
    <row r="689" ht="12.0" customHeight="1">
      <c r="B689" s="1"/>
      <c r="D689" s="161"/>
      <c r="E689" s="161"/>
      <c r="F689" s="161"/>
      <c r="G689" s="348"/>
      <c r="H689" s="348"/>
      <c r="I689" s="348"/>
      <c r="J689" s="348"/>
      <c r="K689" s="348"/>
      <c r="L689" s="3"/>
      <c r="M689" s="928"/>
      <c r="O689" s="151"/>
    </row>
    <row r="690" ht="12.0" customHeight="1">
      <c r="B690" s="1"/>
      <c r="D690" s="161"/>
      <c r="E690" s="161"/>
      <c r="F690" s="161"/>
      <c r="G690" s="348"/>
      <c r="H690" s="348"/>
      <c r="I690" s="348"/>
      <c r="J690" s="348"/>
      <c r="K690" s="348"/>
      <c r="L690" s="3"/>
      <c r="M690" s="928"/>
      <c r="O690" s="151"/>
    </row>
    <row r="691" ht="12.0" customHeight="1">
      <c r="B691" s="1"/>
      <c r="D691" s="161"/>
      <c r="E691" s="161"/>
      <c r="F691" s="161"/>
      <c r="G691" s="348"/>
      <c r="H691" s="348"/>
      <c r="I691" s="348"/>
      <c r="J691" s="348"/>
      <c r="K691" s="348"/>
      <c r="L691" s="3"/>
      <c r="M691" s="928"/>
      <c r="O691" s="151"/>
    </row>
    <row r="692" ht="12.0" customHeight="1">
      <c r="B692" s="1"/>
      <c r="D692" s="161"/>
      <c r="E692" s="161"/>
      <c r="F692" s="161"/>
      <c r="G692" s="348"/>
      <c r="H692" s="348"/>
      <c r="I692" s="348"/>
      <c r="J692" s="348"/>
      <c r="K692" s="348"/>
      <c r="L692" s="3"/>
      <c r="M692" s="928"/>
      <c r="O692" s="151"/>
    </row>
    <row r="693" ht="12.0" customHeight="1">
      <c r="B693" s="1"/>
      <c r="D693" s="161"/>
      <c r="E693" s="161"/>
      <c r="F693" s="161"/>
      <c r="G693" s="348"/>
      <c r="H693" s="348"/>
      <c r="I693" s="348"/>
      <c r="J693" s="348"/>
      <c r="K693" s="348"/>
      <c r="L693" s="3"/>
      <c r="M693" s="928"/>
      <c r="O693" s="151"/>
    </row>
    <row r="694" ht="12.0" customHeight="1">
      <c r="B694" s="1"/>
      <c r="D694" s="161"/>
      <c r="E694" s="161"/>
      <c r="F694" s="161"/>
      <c r="G694" s="348"/>
      <c r="H694" s="348"/>
      <c r="I694" s="348"/>
      <c r="J694" s="348"/>
      <c r="K694" s="348"/>
      <c r="L694" s="3"/>
      <c r="M694" s="928"/>
      <c r="O694" s="151"/>
    </row>
    <row r="695" ht="12.0" customHeight="1">
      <c r="B695" s="1"/>
      <c r="D695" s="161"/>
      <c r="E695" s="161"/>
      <c r="F695" s="161"/>
      <c r="G695" s="348"/>
      <c r="H695" s="348"/>
      <c r="I695" s="348"/>
      <c r="J695" s="348"/>
      <c r="K695" s="348"/>
      <c r="L695" s="3"/>
      <c r="M695" s="928"/>
      <c r="O695" s="151"/>
    </row>
    <row r="696" ht="12.0" customHeight="1">
      <c r="B696" s="1"/>
      <c r="D696" s="161"/>
      <c r="E696" s="161"/>
      <c r="F696" s="161"/>
      <c r="G696" s="348"/>
      <c r="H696" s="348"/>
      <c r="I696" s="348"/>
      <c r="J696" s="348"/>
      <c r="K696" s="348"/>
      <c r="L696" s="3"/>
      <c r="M696" s="928"/>
      <c r="O696" s="151"/>
    </row>
    <row r="697" ht="12.0" customHeight="1">
      <c r="B697" s="1"/>
      <c r="D697" s="161"/>
      <c r="E697" s="161"/>
      <c r="F697" s="161"/>
      <c r="G697" s="348"/>
      <c r="H697" s="348"/>
      <c r="I697" s="348"/>
      <c r="J697" s="348"/>
      <c r="K697" s="348"/>
      <c r="L697" s="3"/>
      <c r="M697" s="928"/>
      <c r="O697" s="151"/>
    </row>
    <row r="698" ht="12.0" customHeight="1">
      <c r="B698" s="1"/>
      <c r="D698" s="161"/>
      <c r="E698" s="161"/>
      <c r="F698" s="161"/>
      <c r="G698" s="348"/>
      <c r="H698" s="348"/>
      <c r="I698" s="348"/>
      <c r="J698" s="348"/>
      <c r="K698" s="348"/>
      <c r="L698" s="3"/>
      <c r="M698" s="928"/>
      <c r="O698" s="151"/>
    </row>
    <row r="699" ht="12.0" customHeight="1">
      <c r="B699" s="1"/>
      <c r="D699" s="161"/>
      <c r="E699" s="161"/>
      <c r="F699" s="161"/>
      <c r="G699" s="348"/>
      <c r="H699" s="348"/>
      <c r="I699" s="348"/>
      <c r="J699" s="348"/>
      <c r="K699" s="348"/>
      <c r="L699" s="3"/>
      <c r="M699" s="928"/>
      <c r="O699" s="151"/>
    </row>
    <row r="700" ht="12.0" customHeight="1">
      <c r="B700" s="1"/>
      <c r="D700" s="161"/>
      <c r="E700" s="161"/>
      <c r="F700" s="161"/>
      <c r="G700" s="348"/>
      <c r="H700" s="348"/>
      <c r="I700" s="348"/>
      <c r="J700" s="348"/>
      <c r="K700" s="348"/>
      <c r="L700" s="3"/>
      <c r="M700" s="928"/>
      <c r="O700" s="151"/>
    </row>
    <row r="701" ht="12.0" customHeight="1">
      <c r="B701" s="1"/>
      <c r="D701" s="161"/>
      <c r="E701" s="161"/>
      <c r="F701" s="161"/>
      <c r="G701" s="348"/>
      <c r="H701" s="348"/>
      <c r="I701" s="348"/>
      <c r="J701" s="348"/>
      <c r="K701" s="348"/>
      <c r="L701" s="3"/>
      <c r="M701" s="928"/>
      <c r="O701" s="151"/>
    </row>
    <row r="702" ht="12.0" customHeight="1">
      <c r="B702" s="1"/>
      <c r="D702" s="161"/>
      <c r="E702" s="161"/>
      <c r="F702" s="161"/>
      <c r="G702" s="348"/>
      <c r="H702" s="348"/>
      <c r="I702" s="348"/>
      <c r="J702" s="348"/>
      <c r="K702" s="348"/>
      <c r="L702" s="3"/>
      <c r="M702" s="928"/>
      <c r="O702" s="151"/>
    </row>
    <row r="703" ht="12.0" customHeight="1">
      <c r="B703" s="1"/>
      <c r="D703" s="161"/>
      <c r="E703" s="161"/>
      <c r="F703" s="161"/>
      <c r="G703" s="348"/>
      <c r="H703" s="348"/>
      <c r="I703" s="348"/>
      <c r="J703" s="348"/>
      <c r="K703" s="348"/>
      <c r="L703" s="3"/>
      <c r="M703" s="928"/>
      <c r="O703" s="151"/>
    </row>
    <row r="704" ht="12.0" customHeight="1">
      <c r="B704" s="1"/>
      <c r="D704" s="161"/>
      <c r="E704" s="161"/>
      <c r="F704" s="161"/>
      <c r="G704" s="348"/>
      <c r="H704" s="348"/>
      <c r="I704" s="348"/>
      <c r="J704" s="348"/>
      <c r="K704" s="348"/>
      <c r="L704" s="3"/>
      <c r="M704" s="928"/>
      <c r="O704" s="151"/>
    </row>
    <row r="705" ht="12.0" customHeight="1">
      <c r="B705" s="1"/>
      <c r="D705" s="161"/>
      <c r="E705" s="161"/>
      <c r="F705" s="161"/>
      <c r="G705" s="348"/>
      <c r="H705" s="348"/>
      <c r="I705" s="348"/>
      <c r="J705" s="348"/>
      <c r="K705" s="348"/>
      <c r="L705" s="3"/>
      <c r="M705" s="928"/>
      <c r="O705" s="151"/>
    </row>
    <row r="706" ht="12.0" customHeight="1">
      <c r="B706" s="1"/>
      <c r="D706" s="161"/>
      <c r="E706" s="161"/>
      <c r="F706" s="161"/>
      <c r="G706" s="348"/>
      <c r="H706" s="348"/>
      <c r="I706" s="348"/>
      <c r="J706" s="348"/>
      <c r="K706" s="348"/>
      <c r="L706" s="3"/>
      <c r="M706" s="928"/>
      <c r="O706" s="151"/>
    </row>
    <row r="707" ht="12.0" customHeight="1">
      <c r="B707" s="1"/>
      <c r="D707" s="161"/>
      <c r="E707" s="161"/>
      <c r="F707" s="161"/>
      <c r="G707" s="348"/>
      <c r="H707" s="348"/>
      <c r="I707" s="348"/>
      <c r="J707" s="348"/>
      <c r="K707" s="348"/>
      <c r="L707" s="3"/>
      <c r="M707" s="928"/>
      <c r="O707" s="151"/>
    </row>
    <row r="708" ht="12.0" customHeight="1">
      <c r="B708" s="1"/>
      <c r="D708" s="161"/>
      <c r="E708" s="161"/>
      <c r="F708" s="161"/>
      <c r="G708" s="348"/>
      <c r="H708" s="348"/>
      <c r="I708" s="348"/>
      <c r="J708" s="348"/>
      <c r="K708" s="348"/>
      <c r="L708" s="3"/>
      <c r="M708" s="928"/>
      <c r="O708" s="151"/>
    </row>
    <row r="709" ht="12.0" customHeight="1">
      <c r="B709" s="1"/>
      <c r="D709" s="161"/>
      <c r="E709" s="161"/>
      <c r="F709" s="161"/>
      <c r="G709" s="348"/>
      <c r="H709" s="348"/>
      <c r="I709" s="348"/>
      <c r="J709" s="348"/>
      <c r="K709" s="348"/>
      <c r="L709" s="3"/>
      <c r="M709" s="928"/>
      <c r="O709" s="151"/>
    </row>
    <row r="710" ht="12.0" customHeight="1">
      <c r="B710" s="1"/>
      <c r="D710" s="161"/>
      <c r="E710" s="161"/>
      <c r="F710" s="161"/>
      <c r="G710" s="348"/>
      <c r="H710" s="348"/>
      <c r="I710" s="348"/>
      <c r="J710" s="348"/>
      <c r="K710" s="348"/>
      <c r="L710" s="3"/>
      <c r="M710" s="928"/>
      <c r="O710" s="151"/>
    </row>
    <row r="711" ht="12.0" customHeight="1">
      <c r="B711" s="1"/>
      <c r="D711" s="161"/>
      <c r="E711" s="161"/>
      <c r="F711" s="161"/>
      <c r="G711" s="348"/>
      <c r="H711" s="348"/>
      <c r="I711" s="348"/>
      <c r="J711" s="348"/>
      <c r="K711" s="348"/>
      <c r="L711" s="3"/>
      <c r="M711" s="928"/>
      <c r="O711" s="151"/>
    </row>
    <row r="712" ht="12.0" customHeight="1">
      <c r="B712" s="1"/>
      <c r="D712" s="161"/>
      <c r="E712" s="161"/>
      <c r="F712" s="161"/>
      <c r="G712" s="348"/>
      <c r="H712" s="348"/>
      <c r="I712" s="348"/>
      <c r="J712" s="348"/>
      <c r="K712" s="348"/>
      <c r="L712" s="3"/>
      <c r="M712" s="928"/>
      <c r="O712" s="151"/>
    </row>
    <row r="713" ht="12.0" customHeight="1">
      <c r="B713" s="1"/>
      <c r="D713" s="161"/>
      <c r="E713" s="161"/>
      <c r="F713" s="161"/>
      <c r="G713" s="348"/>
      <c r="H713" s="348"/>
      <c r="I713" s="348"/>
      <c r="J713" s="348"/>
      <c r="K713" s="348"/>
      <c r="L713" s="3"/>
      <c r="M713" s="928"/>
      <c r="O713" s="151"/>
    </row>
    <row r="714" ht="12.0" customHeight="1">
      <c r="B714" s="1"/>
      <c r="D714" s="161"/>
      <c r="E714" s="161"/>
      <c r="F714" s="161"/>
      <c r="G714" s="348"/>
      <c r="H714" s="348"/>
      <c r="I714" s="348"/>
      <c r="J714" s="348"/>
      <c r="K714" s="348"/>
      <c r="L714" s="3"/>
      <c r="M714" s="928"/>
      <c r="O714" s="151"/>
    </row>
    <row r="715" ht="12.0" customHeight="1">
      <c r="B715" s="1"/>
      <c r="D715" s="161"/>
      <c r="E715" s="161"/>
      <c r="F715" s="161"/>
      <c r="G715" s="348"/>
      <c r="H715" s="348"/>
      <c r="I715" s="348"/>
      <c r="J715" s="348"/>
      <c r="K715" s="348"/>
      <c r="L715" s="3"/>
      <c r="M715" s="928"/>
      <c r="O715" s="151"/>
    </row>
    <row r="716" ht="12.0" customHeight="1">
      <c r="B716" s="1"/>
      <c r="D716" s="161"/>
      <c r="E716" s="161"/>
      <c r="F716" s="161"/>
      <c r="G716" s="348"/>
      <c r="H716" s="348"/>
      <c r="I716" s="348"/>
      <c r="J716" s="348"/>
      <c r="K716" s="348"/>
      <c r="L716" s="3"/>
      <c r="M716" s="928"/>
      <c r="O716" s="151"/>
    </row>
    <row r="717" ht="12.0" customHeight="1">
      <c r="B717" s="1"/>
      <c r="D717" s="161"/>
      <c r="E717" s="161"/>
      <c r="F717" s="161"/>
      <c r="G717" s="348"/>
      <c r="H717" s="348"/>
      <c r="I717" s="348"/>
      <c r="J717" s="348"/>
      <c r="K717" s="348"/>
      <c r="L717" s="3"/>
      <c r="M717" s="928"/>
      <c r="O717" s="151"/>
    </row>
    <row r="718" ht="12.0" customHeight="1">
      <c r="B718" s="1"/>
      <c r="D718" s="161"/>
      <c r="E718" s="161"/>
      <c r="F718" s="161"/>
      <c r="G718" s="348"/>
      <c r="H718" s="348"/>
      <c r="I718" s="348"/>
      <c r="J718" s="348"/>
      <c r="K718" s="348"/>
      <c r="L718" s="3"/>
      <c r="M718" s="928"/>
      <c r="O718" s="151"/>
    </row>
    <row r="719" ht="12.0" customHeight="1">
      <c r="B719" s="1"/>
      <c r="D719" s="161"/>
      <c r="E719" s="161"/>
      <c r="F719" s="161"/>
      <c r="G719" s="348"/>
      <c r="H719" s="348"/>
      <c r="I719" s="348"/>
      <c r="J719" s="348"/>
      <c r="K719" s="348"/>
      <c r="L719" s="3"/>
      <c r="M719" s="928"/>
      <c r="O719" s="151"/>
    </row>
    <row r="720" ht="12.0" customHeight="1">
      <c r="B720" s="1"/>
      <c r="D720" s="161"/>
      <c r="E720" s="161"/>
      <c r="F720" s="161"/>
      <c r="G720" s="348"/>
      <c r="H720" s="348"/>
      <c r="I720" s="348"/>
      <c r="J720" s="348"/>
      <c r="K720" s="348"/>
      <c r="L720" s="3"/>
      <c r="M720" s="928"/>
      <c r="O720" s="151"/>
    </row>
    <row r="721" ht="12.0" customHeight="1">
      <c r="B721" s="1"/>
      <c r="D721" s="161"/>
      <c r="E721" s="161"/>
      <c r="F721" s="161"/>
      <c r="G721" s="348"/>
      <c r="H721" s="348"/>
      <c r="I721" s="348"/>
      <c r="J721" s="348"/>
      <c r="K721" s="348"/>
      <c r="L721" s="3"/>
      <c r="M721" s="928"/>
      <c r="O721" s="151"/>
    </row>
    <row r="722" ht="12.0" customHeight="1">
      <c r="B722" s="1"/>
      <c r="D722" s="161"/>
      <c r="E722" s="161"/>
      <c r="F722" s="161"/>
      <c r="G722" s="348"/>
      <c r="H722" s="348"/>
      <c r="I722" s="348"/>
      <c r="J722" s="348"/>
      <c r="K722" s="348"/>
      <c r="L722" s="3"/>
      <c r="M722" s="928"/>
      <c r="O722" s="151"/>
    </row>
    <row r="723" ht="12.0" customHeight="1">
      <c r="B723" s="1"/>
      <c r="D723" s="161"/>
      <c r="E723" s="161"/>
      <c r="F723" s="161"/>
      <c r="G723" s="348"/>
      <c r="H723" s="348"/>
      <c r="I723" s="348"/>
      <c r="J723" s="348"/>
      <c r="K723" s="348"/>
      <c r="L723" s="3"/>
      <c r="M723" s="928"/>
      <c r="O723" s="151"/>
    </row>
    <row r="724" ht="12.0" customHeight="1">
      <c r="B724" s="1"/>
      <c r="D724" s="161"/>
      <c r="E724" s="161"/>
      <c r="F724" s="161"/>
      <c r="G724" s="348"/>
      <c r="H724" s="348"/>
      <c r="I724" s="348"/>
      <c r="J724" s="348"/>
      <c r="K724" s="348"/>
      <c r="L724" s="3"/>
      <c r="M724" s="928"/>
      <c r="O724" s="151"/>
    </row>
    <row r="725" ht="12.0" customHeight="1">
      <c r="B725" s="1"/>
      <c r="D725" s="161"/>
      <c r="E725" s="161"/>
      <c r="F725" s="161"/>
      <c r="G725" s="348"/>
      <c r="H725" s="348"/>
      <c r="I725" s="348"/>
      <c r="J725" s="348"/>
      <c r="K725" s="348"/>
      <c r="L725" s="3"/>
      <c r="M725" s="928"/>
      <c r="O725" s="151"/>
    </row>
    <row r="726" ht="12.0" customHeight="1">
      <c r="B726" s="1"/>
      <c r="D726" s="161"/>
      <c r="E726" s="161"/>
      <c r="F726" s="161"/>
      <c r="G726" s="348"/>
      <c r="H726" s="348"/>
      <c r="I726" s="348"/>
      <c r="J726" s="348"/>
      <c r="K726" s="348"/>
      <c r="L726" s="3"/>
      <c r="M726" s="928"/>
      <c r="O726" s="151"/>
    </row>
    <row r="727" ht="12.0" customHeight="1">
      <c r="B727" s="1"/>
      <c r="D727" s="161"/>
      <c r="E727" s="161"/>
      <c r="F727" s="161"/>
      <c r="G727" s="348"/>
      <c r="H727" s="348"/>
      <c r="I727" s="348"/>
      <c r="J727" s="348"/>
      <c r="K727" s="348"/>
      <c r="L727" s="3"/>
      <c r="M727" s="928"/>
      <c r="O727" s="151"/>
    </row>
    <row r="728" ht="12.0" customHeight="1">
      <c r="B728" s="1"/>
      <c r="D728" s="161"/>
      <c r="E728" s="161"/>
      <c r="F728" s="161"/>
      <c r="G728" s="348"/>
      <c r="H728" s="348"/>
      <c r="I728" s="348"/>
      <c r="J728" s="348"/>
      <c r="K728" s="348"/>
      <c r="L728" s="3"/>
      <c r="M728" s="928"/>
      <c r="O728" s="151"/>
    </row>
    <row r="729" ht="12.0" customHeight="1">
      <c r="B729" s="1"/>
      <c r="D729" s="161"/>
      <c r="E729" s="161"/>
      <c r="F729" s="161"/>
      <c r="G729" s="348"/>
      <c r="H729" s="348"/>
      <c r="I729" s="348"/>
      <c r="J729" s="348"/>
      <c r="K729" s="348"/>
      <c r="L729" s="3"/>
      <c r="M729" s="928"/>
      <c r="O729" s="151"/>
    </row>
    <row r="730" ht="12.0" customHeight="1">
      <c r="B730" s="1"/>
      <c r="D730" s="161"/>
      <c r="E730" s="161"/>
      <c r="F730" s="161"/>
      <c r="G730" s="348"/>
      <c r="H730" s="348"/>
      <c r="I730" s="348"/>
      <c r="J730" s="348"/>
      <c r="K730" s="348"/>
      <c r="L730" s="3"/>
      <c r="M730" s="928"/>
      <c r="O730" s="151"/>
    </row>
    <row r="731" ht="12.0" customHeight="1">
      <c r="B731" s="1"/>
      <c r="D731" s="161"/>
      <c r="E731" s="161"/>
      <c r="F731" s="161"/>
      <c r="G731" s="348"/>
      <c r="H731" s="348"/>
      <c r="I731" s="348"/>
      <c r="J731" s="348"/>
      <c r="K731" s="348"/>
      <c r="L731" s="3"/>
      <c r="M731" s="928"/>
      <c r="O731" s="151"/>
    </row>
    <row r="732" ht="12.0" customHeight="1">
      <c r="B732" s="1"/>
      <c r="D732" s="161"/>
      <c r="E732" s="161"/>
      <c r="F732" s="161"/>
      <c r="G732" s="348"/>
      <c r="H732" s="348"/>
      <c r="I732" s="348"/>
      <c r="J732" s="348"/>
      <c r="K732" s="348"/>
      <c r="L732" s="3"/>
      <c r="M732" s="928"/>
      <c r="O732" s="151"/>
    </row>
    <row r="733" ht="12.0" customHeight="1">
      <c r="B733" s="1"/>
      <c r="D733" s="161"/>
      <c r="E733" s="161"/>
      <c r="F733" s="161"/>
      <c r="G733" s="348"/>
      <c r="H733" s="348"/>
      <c r="I733" s="348"/>
      <c r="J733" s="348"/>
      <c r="K733" s="348"/>
      <c r="L733" s="3"/>
      <c r="M733" s="928"/>
      <c r="O733" s="151"/>
    </row>
    <row r="734" ht="12.0" customHeight="1">
      <c r="B734" s="1"/>
      <c r="D734" s="161"/>
      <c r="E734" s="161"/>
      <c r="F734" s="161"/>
      <c r="G734" s="348"/>
      <c r="H734" s="348"/>
      <c r="I734" s="348"/>
      <c r="J734" s="348"/>
      <c r="K734" s="348"/>
      <c r="L734" s="3"/>
      <c r="M734" s="928"/>
      <c r="O734" s="151"/>
    </row>
    <row r="735" ht="12.0" customHeight="1">
      <c r="B735" s="1"/>
      <c r="D735" s="161"/>
      <c r="E735" s="161"/>
      <c r="F735" s="161"/>
      <c r="G735" s="348"/>
      <c r="H735" s="348"/>
      <c r="I735" s="348"/>
      <c r="J735" s="348"/>
      <c r="K735" s="348"/>
      <c r="L735" s="3"/>
      <c r="M735" s="928"/>
      <c r="O735" s="151"/>
    </row>
    <row r="736" ht="12.0" customHeight="1">
      <c r="B736" s="1"/>
      <c r="D736" s="161"/>
      <c r="E736" s="161"/>
      <c r="F736" s="161"/>
      <c r="G736" s="348"/>
      <c r="H736" s="348"/>
      <c r="I736" s="348"/>
      <c r="J736" s="348"/>
      <c r="K736" s="348"/>
      <c r="L736" s="3"/>
      <c r="M736" s="928"/>
      <c r="O736" s="151"/>
    </row>
    <row r="737" ht="12.0" customHeight="1">
      <c r="B737" s="1"/>
      <c r="D737" s="161"/>
      <c r="E737" s="161"/>
      <c r="F737" s="161"/>
      <c r="G737" s="348"/>
      <c r="H737" s="348"/>
      <c r="I737" s="348"/>
      <c r="J737" s="348"/>
      <c r="K737" s="348"/>
      <c r="L737" s="3"/>
      <c r="M737" s="928"/>
      <c r="O737" s="151"/>
    </row>
    <row r="738" ht="12.0" customHeight="1">
      <c r="B738" s="1"/>
      <c r="D738" s="161"/>
      <c r="E738" s="161"/>
      <c r="F738" s="161"/>
      <c r="G738" s="348"/>
      <c r="H738" s="348"/>
      <c r="I738" s="348"/>
      <c r="J738" s="348"/>
      <c r="K738" s="348"/>
      <c r="L738" s="3"/>
      <c r="M738" s="928"/>
      <c r="O738" s="151"/>
    </row>
    <row r="739" ht="12.0" customHeight="1">
      <c r="B739" s="1"/>
      <c r="D739" s="161"/>
      <c r="E739" s="161"/>
      <c r="F739" s="161"/>
      <c r="G739" s="348"/>
      <c r="H739" s="348"/>
      <c r="I739" s="348"/>
      <c r="J739" s="348"/>
      <c r="K739" s="348"/>
      <c r="L739" s="3"/>
      <c r="M739" s="928"/>
      <c r="O739" s="151"/>
    </row>
    <row r="740" ht="12.0" customHeight="1">
      <c r="B740" s="1"/>
      <c r="D740" s="161"/>
      <c r="E740" s="161"/>
      <c r="F740" s="161"/>
      <c r="G740" s="348"/>
      <c r="H740" s="348"/>
      <c r="I740" s="348"/>
      <c r="J740" s="348"/>
      <c r="K740" s="348"/>
      <c r="L740" s="3"/>
      <c r="M740" s="928"/>
      <c r="O740" s="151"/>
    </row>
    <row r="741" ht="12.0" customHeight="1">
      <c r="B741" s="1"/>
      <c r="D741" s="161"/>
      <c r="E741" s="161"/>
      <c r="F741" s="161"/>
      <c r="G741" s="348"/>
      <c r="H741" s="348"/>
      <c r="I741" s="348"/>
      <c r="J741" s="348"/>
      <c r="K741" s="348"/>
      <c r="L741" s="3"/>
      <c r="M741" s="928"/>
      <c r="O741" s="151"/>
    </row>
    <row r="742" ht="12.0" customHeight="1">
      <c r="B742" s="1"/>
      <c r="D742" s="161"/>
      <c r="E742" s="161"/>
      <c r="F742" s="161"/>
      <c r="G742" s="348"/>
      <c r="H742" s="348"/>
      <c r="I742" s="348"/>
      <c r="J742" s="348"/>
      <c r="K742" s="348"/>
      <c r="L742" s="3"/>
      <c r="M742" s="928"/>
      <c r="O742" s="151"/>
    </row>
    <row r="743" ht="12.0" customHeight="1">
      <c r="B743" s="1"/>
      <c r="D743" s="161"/>
      <c r="E743" s="161"/>
      <c r="F743" s="161"/>
      <c r="G743" s="348"/>
      <c r="H743" s="348"/>
      <c r="I743" s="348"/>
      <c r="J743" s="348"/>
      <c r="K743" s="348"/>
      <c r="L743" s="3"/>
      <c r="M743" s="928"/>
      <c r="O743" s="151"/>
    </row>
    <row r="744" ht="12.0" customHeight="1">
      <c r="B744" s="1"/>
      <c r="D744" s="161"/>
      <c r="E744" s="161"/>
      <c r="F744" s="161"/>
      <c r="G744" s="348"/>
      <c r="H744" s="348"/>
      <c r="I744" s="348"/>
      <c r="J744" s="348"/>
      <c r="K744" s="348"/>
      <c r="L744" s="3"/>
      <c r="M744" s="928"/>
      <c r="O744" s="151"/>
    </row>
    <row r="745" ht="12.0" customHeight="1">
      <c r="B745" s="1"/>
      <c r="D745" s="161"/>
      <c r="E745" s="161"/>
      <c r="F745" s="161"/>
      <c r="G745" s="348"/>
      <c r="H745" s="348"/>
      <c r="I745" s="348"/>
      <c r="J745" s="348"/>
      <c r="K745" s="348"/>
      <c r="L745" s="3"/>
      <c r="M745" s="928"/>
      <c r="O745" s="151"/>
    </row>
    <row r="746" ht="12.0" customHeight="1">
      <c r="B746" s="1"/>
      <c r="D746" s="161"/>
      <c r="E746" s="161"/>
      <c r="F746" s="161"/>
      <c r="G746" s="348"/>
      <c r="H746" s="348"/>
      <c r="I746" s="348"/>
      <c r="J746" s="348"/>
      <c r="K746" s="348"/>
      <c r="L746" s="3"/>
      <c r="M746" s="928"/>
      <c r="O746" s="151"/>
    </row>
    <row r="747" ht="12.0" customHeight="1">
      <c r="B747" s="1"/>
      <c r="D747" s="161"/>
      <c r="E747" s="161"/>
      <c r="F747" s="161"/>
      <c r="G747" s="348"/>
      <c r="H747" s="348"/>
      <c r="I747" s="348"/>
      <c r="J747" s="348"/>
      <c r="K747" s="348"/>
      <c r="L747" s="3"/>
      <c r="M747" s="928"/>
      <c r="O747" s="151"/>
    </row>
    <row r="748" ht="12.0" customHeight="1">
      <c r="B748" s="1"/>
      <c r="D748" s="161"/>
      <c r="E748" s="161"/>
      <c r="F748" s="161"/>
      <c r="G748" s="348"/>
      <c r="H748" s="348"/>
      <c r="I748" s="348"/>
      <c r="J748" s="348"/>
      <c r="K748" s="348"/>
      <c r="L748" s="3"/>
      <c r="M748" s="928"/>
      <c r="O748" s="151"/>
    </row>
    <row r="749" ht="12.0" customHeight="1">
      <c r="B749" s="1"/>
      <c r="D749" s="161"/>
      <c r="E749" s="161"/>
      <c r="F749" s="161"/>
      <c r="G749" s="348"/>
      <c r="H749" s="348"/>
      <c r="I749" s="348"/>
      <c r="J749" s="348"/>
      <c r="K749" s="348"/>
      <c r="L749" s="3"/>
      <c r="M749" s="928"/>
      <c r="O749" s="151"/>
    </row>
    <row r="750" ht="12.0" customHeight="1">
      <c r="B750" s="1"/>
      <c r="D750" s="161"/>
      <c r="E750" s="161"/>
      <c r="F750" s="161"/>
      <c r="G750" s="348"/>
      <c r="H750" s="348"/>
      <c r="I750" s="348"/>
      <c r="J750" s="348"/>
      <c r="K750" s="348"/>
      <c r="L750" s="3"/>
      <c r="M750" s="928"/>
      <c r="O750" s="151"/>
    </row>
    <row r="751" ht="12.0" customHeight="1">
      <c r="B751" s="1"/>
      <c r="D751" s="161"/>
      <c r="E751" s="161"/>
      <c r="F751" s="161"/>
      <c r="G751" s="348"/>
      <c r="H751" s="348"/>
      <c r="I751" s="348"/>
      <c r="J751" s="348"/>
      <c r="K751" s="348"/>
      <c r="L751" s="3"/>
      <c r="M751" s="928"/>
      <c r="O751" s="151"/>
    </row>
    <row r="752" ht="12.0" customHeight="1">
      <c r="B752" s="1"/>
      <c r="D752" s="161"/>
      <c r="E752" s="161"/>
      <c r="F752" s="161"/>
      <c r="G752" s="348"/>
      <c r="H752" s="348"/>
      <c r="I752" s="348"/>
      <c r="J752" s="348"/>
      <c r="K752" s="348"/>
      <c r="L752" s="3"/>
      <c r="M752" s="928"/>
      <c r="O752" s="151"/>
    </row>
    <row r="753" ht="12.0" customHeight="1">
      <c r="B753" s="1"/>
      <c r="D753" s="161"/>
      <c r="E753" s="161"/>
      <c r="F753" s="161"/>
      <c r="G753" s="348"/>
      <c r="H753" s="348"/>
      <c r="I753" s="348"/>
      <c r="J753" s="348"/>
      <c r="K753" s="348"/>
      <c r="L753" s="3"/>
      <c r="M753" s="928"/>
      <c r="O753" s="151"/>
    </row>
    <row r="754" ht="12.0" customHeight="1">
      <c r="B754" s="1"/>
      <c r="D754" s="161"/>
      <c r="E754" s="161"/>
      <c r="F754" s="161"/>
      <c r="G754" s="348"/>
      <c r="H754" s="348"/>
      <c r="I754" s="348"/>
      <c r="J754" s="348"/>
      <c r="K754" s="348"/>
      <c r="L754" s="3"/>
      <c r="M754" s="928"/>
      <c r="O754" s="151"/>
    </row>
    <row r="755" ht="12.0" customHeight="1">
      <c r="B755" s="1"/>
      <c r="D755" s="161"/>
      <c r="E755" s="161"/>
      <c r="F755" s="161"/>
      <c r="G755" s="348"/>
      <c r="H755" s="348"/>
      <c r="I755" s="348"/>
      <c r="J755" s="348"/>
      <c r="K755" s="348"/>
      <c r="L755" s="3"/>
      <c r="M755" s="928"/>
      <c r="O755" s="151"/>
    </row>
    <row r="756" ht="12.0" customHeight="1">
      <c r="B756" s="1"/>
      <c r="D756" s="161"/>
      <c r="E756" s="161"/>
      <c r="F756" s="161"/>
      <c r="G756" s="348"/>
      <c r="H756" s="348"/>
      <c r="I756" s="348"/>
      <c r="J756" s="348"/>
      <c r="K756" s="348"/>
      <c r="L756" s="3"/>
      <c r="M756" s="928"/>
      <c r="O756" s="151"/>
    </row>
    <row r="757" ht="12.0" customHeight="1">
      <c r="B757" s="1"/>
      <c r="D757" s="161"/>
      <c r="E757" s="161"/>
      <c r="F757" s="161"/>
      <c r="G757" s="348"/>
      <c r="H757" s="348"/>
      <c r="I757" s="348"/>
      <c r="J757" s="348"/>
      <c r="K757" s="348"/>
      <c r="L757" s="3"/>
      <c r="M757" s="928"/>
      <c r="O757" s="151"/>
    </row>
    <row r="758" ht="12.0" customHeight="1">
      <c r="B758" s="1"/>
      <c r="D758" s="161"/>
      <c r="E758" s="161"/>
      <c r="F758" s="161"/>
      <c r="G758" s="348"/>
      <c r="H758" s="348"/>
      <c r="I758" s="348"/>
      <c r="J758" s="348"/>
      <c r="K758" s="348"/>
      <c r="L758" s="3"/>
      <c r="M758" s="928"/>
      <c r="O758" s="151"/>
    </row>
    <row r="759" ht="12.0" customHeight="1">
      <c r="B759" s="1"/>
      <c r="D759" s="161"/>
      <c r="E759" s="161"/>
      <c r="F759" s="161"/>
      <c r="G759" s="348"/>
      <c r="H759" s="348"/>
      <c r="I759" s="348"/>
      <c r="J759" s="348"/>
      <c r="K759" s="348"/>
      <c r="L759" s="3"/>
      <c r="M759" s="928"/>
      <c r="O759" s="151"/>
    </row>
    <row r="760" ht="12.0" customHeight="1">
      <c r="B760" s="1"/>
      <c r="D760" s="161"/>
      <c r="E760" s="161"/>
      <c r="F760" s="161"/>
      <c r="G760" s="348"/>
      <c r="H760" s="348"/>
      <c r="I760" s="348"/>
      <c r="J760" s="348"/>
      <c r="K760" s="348"/>
      <c r="L760" s="3"/>
      <c r="M760" s="928"/>
      <c r="O760" s="151"/>
    </row>
    <row r="761" ht="12.0" customHeight="1">
      <c r="B761" s="1"/>
      <c r="D761" s="161"/>
      <c r="E761" s="161"/>
      <c r="F761" s="161"/>
      <c r="G761" s="348"/>
      <c r="H761" s="348"/>
      <c r="I761" s="348"/>
      <c r="J761" s="348"/>
      <c r="K761" s="348"/>
      <c r="L761" s="3"/>
      <c r="M761" s="928"/>
      <c r="O761" s="151"/>
    </row>
    <row r="762" ht="12.0" customHeight="1">
      <c r="B762" s="1"/>
      <c r="D762" s="161"/>
      <c r="E762" s="161"/>
      <c r="F762" s="161"/>
      <c r="G762" s="348"/>
      <c r="H762" s="348"/>
      <c r="I762" s="348"/>
      <c r="J762" s="348"/>
      <c r="K762" s="348"/>
      <c r="L762" s="3"/>
      <c r="M762" s="928"/>
      <c r="O762" s="151"/>
    </row>
    <row r="763" ht="12.0" customHeight="1">
      <c r="B763" s="1"/>
      <c r="D763" s="161"/>
      <c r="E763" s="161"/>
      <c r="F763" s="161"/>
      <c r="G763" s="348"/>
      <c r="H763" s="348"/>
      <c r="I763" s="348"/>
      <c r="J763" s="348"/>
      <c r="K763" s="348"/>
      <c r="L763" s="3"/>
      <c r="M763" s="928"/>
      <c r="O763" s="151"/>
    </row>
    <row r="764" ht="12.0" customHeight="1">
      <c r="B764" s="1"/>
      <c r="D764" s="161"/>
      <c r="E764" s="161"/>
      <c r="F764" s="161"/>
      <c r="G764" s="348"/>
      <c r="H764" s="348"/>
      <c r="I764" s="348"/>
      <c r="J764" s="348"/>
      <c r="K764" s="348"/>
      <c r="L764" s="3"/>
      <c r="M764" s="928"/>
      <c r="O764" s="151"/>
    </row>
    <row r="765" ht="12.0" customHeight="1">
      <c r="B765" s="1"/>
      <c r="D765" s="161"/>
      <c r="E765" s="161"/>
      <c r="F765" s="161"/>
      <c r="G765" s="348"/>
      <c r="H765" s="348"/>
      <c r="I765" s="348"/>
      <c r="J765" s="348"/>
      <c r="K765" s="348"/>
      <c r="L765" s="3"/>
      <c r="M765" s="928"/>
      <c r="O765" s="151"/>
    </row>
    <row r="766" ht="12.0" customHeight="1">
      <c r="B766" s="1"/>
      <c r="D766" s="161"/>
      <c r="E766" s="161"/>
      <c r="F766" s="161"/>
      <c r="G766" s="348"/>
      <c r="H766" s="348"/>
      <c r="I766" s="348"/>
      <c r="J766" s="348"/>
      <c r="K766" s="348"/>
      <c r="L766" s="3"/>
      <c r="M766" s="928"/>
      <c r="O766" s="151"/>
    </row>
    <row r="767" ht="12.0" customHeight="1">
      <c r="B767" s="1"/>
      <c r="D767" s="161"/>
      <c r="E767" s="161"/>
      <c r="F767" s="161"/>
      <c r="G767" s="348"/>
      <c r="H767" s="348"/>
      <c r="I767" s="348"/>
      <c r="J767" s="348"/>
      <c r="K767" s="348"/>
      <c r="L767" s="3"/>
      <c r="M767" s="928"/>
      <c r="O767" s="151"/>
    </row>
    <row r="768" ht="12.0" customHeight="1">
      <c r="B768" s="1"/>
      <c r="D768" s="161"/>
      <c r="E768" s="161"/>
      <c r="F768" s="161"/>
      <c r="G768" s="348"/>
      <c r="H768" s="348"/>
      <c r="I768" s="348"/>
      <c r="J768" s="348"/>
      <c r="K768" s="348"/>
      <c r="L768" s="3"/>
      <c r="M768" s="928"/>
      <c r="O768" s="151"/>
    </row>
    <row r="769" ht="12.0" customHeight="1">
      <c r="B769" s="1"/>
      <c r="D769" s="161"/>
      <c r="E769" s="161"/>
      <c r="F769" s="161"/>
      <c r="G769" s="348"/>
      <c r="H769" s="348"/>
      <c r="I769" s="348"/>
      <c r="J769" s="348"/>
      <c r="K769" s="348"/>
      <c r="L769" s="3"/>
      <c r="M769" s="928"/>
      <c r="O769" s="151"/>
    </row>
    <row r="770" ht="12.0" customHeight="1">
      <c r="B770" s="1"/>
      <c r="D770" s="161"/>
      <c r="E770" s="161"/>
      <c r="F770" s="161"/>
      <c r="G770" s="348"/>
      <c r="H770" s="348"/>
      <c r="I770" s="348"/>
      <c r="J770" s="348"/>
      <c r="K770" s="348"/>
      <c r="L770" s="3"/>
      <c r="M770" s="928"/>
      <c r="O770" s="151"/>
    </row>
    <row r="771" ht="12.0" customHeight="1">
      <c r="B771" s="1"/>
      <c r="D771" s="161"/>
      <c r="E771" s="161"/>
      <c r="F771" s="161"/>
      <c r="G771" s="348"/>
      <c r="H771" s="348"/>
      <c r="I771" s="348"/>
      <c r="J771" s="348"/>
      <c r="K771" s="348"/>
      <c r="L771" s="3"/>
      <c r="M771" s="928"/>
      <c r="O771" s="151"/>
    </row>
    <row r="772" ht="12.0" customHeight="1">
      <c r="B772" s="1"/>
      <c r="D772" s="161"/>
      <c r="E772" s="161"/>
      <c r="F772" s="161"/>
      <c r="G772" s="348"/>
      <c r="H772" s="348"/>
      <c r="I772" s="348"/>
      <c r="J772" s="348"/>
      <c r="K772" s="348"/>
      <c r="L772" s="3"/>
      <c r="M772" s="928"/>
      <c r="O772" s="151"/>
    </row>
    <row r="773" ht="12.0" customHeight="1">
      <c r="B773" s="1"/>
      <c r="D773" s="161"/>
      <c r="E773" s="161"/>
      <c r="F773" s="161"/>
      <c r="G773" s="348"/>
      <c r="H773" s="348"/>
      <c r="I773" s="348"/>
      <c r="J773" s="348"/>
      <c r="K773" s="348"/>
      <c r="L773" s="3"/>
      <c r="M773" s="928"/>
      <c r="O773" s="151"/>
    </row>
    <row r="774" ht="12.0" customHeight="1">
      <c r="B774" s="1"/>
      <c r="D774" s="161"/>
      <c r="E774" s="161"/>
      <c r="F774" s="161"/>
      <c r="G774" s="348"/>
      <c r="H774" s="348"/>
      <c r="I774" s="348"/>
      <c r="J774" s="348"/>
      <c r="K774" s="348"/>
      <c r="L774" s="3"/>
      <c r="M774" s="928"/>
      <c r="O774" s="151"/>
    </row>
    <row r="775" ht="12.0" customHeight="1">
      <c r="B775" s="1"/>
      <c r="D775" s="161"/>
      <c r="E775" s="161"/>
      <c r="F775" s="161"/>
      <c r="G775" s="348"/>
      <c r="H775" s="348"/>
      <c r="I775" s="348"/>
      <c r="J775" s="348"/>
      <c r="K775" s="348"/>
      <c r="L775" s="3"/>
      <c r="M775" s="928"/>
      <c r="O775" s="151"/>
    </row>
    <row r="776" ht="12.0" customHeight="1">
      <c r="B776" s="1"/>
      <c r="D776" s="161"/>
      <c r="E776" s="161"/>
      <c r="F776" s="161"/>
      <c r="G776" s="348"/>
      <c r="H776" s="348"/>
      <c r="I776" s="348"/>
      <c r="J776" s="348"/>
      <c r="K776" s="348"/>
      <c r="L776" s="3"/>
      <c r="M776" s="928"/>
      <c r="O776" s="151"/>
    </row>
    <row r="777" ht="12.0" customHeight="1">
      <c r="B777" s="1"/>
      <c r="D777" s="161"/>
      <c r="E777" s="161"/>
      <c r="F777" s="161"/>
      <c r="G777" s="348"/>
      <c r="H777" s="348"/>
      <c r="I777" s="348"/>
      <c r="J777" s="348"/>
      <c r="K777" s="348"/>
      <c r="L777" s="3"/>
      <c r="M777" s="928"/>
      <c r="O777" s="151"/>
    </row>
    <row r="778" ht="12.0" customHeight="1">
      <c r="B778" s="1"/>
      <c r="D778" s="161"/>
      <c r="E778" s="161"/>
      <c r="F778" s="161"/>
      <c r="G778" s="348"/>
      <c r="H778" s="348"/>
      <c r="I778" s="348"/>
      <c r="J778" s="348"/>
      <c r="K778" s="348"/>
      <c r="L778" s="3"/>
      <c r="M778" s="928"/>
      <c r="O778" s="151"/>
    </row>
    <row r="779" ht="12.0" customHeight="1">
      <c r="B779" s="1"/>
      <c r="D779" s="161"/>
      <c r="E779" s="161"/>
      <c r="F779" s="161"/>
      <c r="G779" s="348"/>
      <c r="H779" s="348"/>
      <c r="I779" s="348"/>
      <c r="J779" s="348"/>
      <c r="K779" s="348"/>
      <c r="L779" s="3"/>
      <c r="M779" s="928"/>
      <c r="O779" s="151"/>
    </row>
    <row r="780" ht="12.0" customHeight="1">
      <c r="B780" s="1"/>
      <c r="D780" s="161"/>
      <c r="E780" s="161"/>
      <c r="F780" s="161"/>
      <c r="G780" s="348"/>
      <c r="H780" s="348"/>
      <c r="I780" s="348"/>
      <c r="J780" s="348"/>
      <c r="K780" s="348"/>
      <c r="L780" s="3"/>
      <c r="M780" s="928"/>
      <c r="O780" s="151"/>
    </row>
    <row r="781" ht="12.0" customHeight="1">
      <c r="B781" s="1"/>
      <c r="D781" s="161"/>
      <c r="E781" s="161"/>
      <c r="F781" s="161"/>
      <c r="G781" s="348"/>
      <c r="H781" s="348"/>
      <c r="I781" s="348"/>
      <c r="J781" s="348"/>
      <c r="K781" s="348"/>
      <c r="L781" s="3"/>
      <c r="M781" s="928"/>
      <c r="O781" s="151"/>
    </row>
    <row r="782" ht="12.0" customHeight="1">
      <c r="B782" s="1"/>
      <c r="D782" s="161"/>
      <c r="E782" s="161"/>
      <c r="F782" s="161"/>
      <c r="G782" s="348"/>
      <c r="H782" s="348"/>
      <c r="I782" s="348"/>
      <c r="J782" s="348"/>
      <c r="K782" s="348"/>
      <c r="L782" s="3"/>
      <c r="M782" s="928"/>
      <c r="O782" s="151"/>
    </row>
    <row r="783" ht="12.0" customHeight="1">
      <c r="B783" s="1"/>
      <c r="D783" s="161"/>
      <c r="E783" s="161"/>
      <c r="F783" s="161"/>
      <c r="G783" s="348"/>
      <c r="H783" s="348"/>
      <c r="I783" s="348"/>
      <c r="J783" s="348"/>
      <c r="K783" s="348"/>
      <c r="L783" s="3"/>
      <c r="M783" s="928"/>
      <c r="O783" s="151"/>
    </row>
    <row r="784" ht="12.0" customHeight="1">
      <c r="B784" s="1"/>
      <c r="D784" s="161"/>
      <c r="E784" s="161"/>
      <c r="F784" s="161"/>
      <c r="G784" s="348"/>
      <c r="H784" s="348"/>
      <c r="I784" s="348"/>
      <c r="J784" s="348"/>
      <c r="K784" s="348"/>
      <c r="L784" s="3"/>
      <c r="M784" s="928"/>
      <c r="O784" s="151"/>
    </row>
    <row r="785" ht="12.0" customHeight="1">
      <c r="B785" s="1"/>
      <c r="D785" s="161"/>
      <c r="E785" s="161"/>
      <c r="F785" s="161"/>
      <c r="G785" s="348"/>
      <c r="H785" s="348"/>
      <c r="I785" s="348"/>
      <c r="J785" s="348"/>
      <c r="K785" s="348"/>
      <c r="L785" s="3"/>
      <c r="M785" s="928"/>
      <c r="O785" s="151"/>
    </row>
    <row r="786" ht="12.0" customHeight="1">
      <c r="B786" s="1"/>
      <c r="D786" s="161"/>
      <c r="E786" s="161"/>
      <c r="F786" s="161"/>
      <c r="G786" s="348"/>
      <c r="H786" s="348"/>
      <c r="I786" s="348"/>
      <c r="J786" s="348"/>
      <c r="K786" s="348"/>
      <c r="L786" s="3"/>
      <c r="M786" s="928"/>
      <c r="O786" s="151"/>
    </row>
    <row r="787" ht="12.0" customHeight="1">
      <c r="B787" s="1"/>
      <c r="D787" s="161"/>
      <c r="E787" s="161"/>
      <c r="F787" s="161"/>
      <c r="G787" s="348"/>
      <c r="H787" s="348"/>
      <c r="I787" s="348"/>
      <c r="J787" s="348"/>
      <c r="K787" s="348"/>
      <c r="L787" s="3"/>
      <c r="M787" s="928"/>
      <c r="O787" s="151"/>
    </row>
    <row r="788" ht="12.0" customHeight="1">
      <c r="B788" s="1"/>
      <c r="D788" s="161"/>
      <c r="E788" s="161"/>
      <c r="F788" s="161"/>
      <c r="G788" s="348"/>
      <c r="H788" s="348"/>
      <c r="I788" s="348"/>
      <c r="J788" s="348"/>
      <c r="K788" s="348"/>
      <c r="L788" s="3"/>
      <c r="M788" s="928"/>
      <c r="O788" s="151"/>
    </row>
    <row r="789" ht="12.0" customHeight="1">
      <c r="B789" s="1"/>
      <c r="D789" s="161"/>
      <c r="E789" s="161"/>
      <c r="F789" s="161"/>
      <c r="G789" s="348"/>
      <c r="H789" s="348"/>
      <c r="I789" s="348"/>
      <c r="J789" s="348"/>
      <c r="K789" s="348"/>
      <c r="L789" s="3"/>
      <c r="M789" s="928"/>
      <c r="O789" s="151"/>
    </row>
    <row r="790" ht="12.0" customHeight="1">
      <c r="B790" s="1"/>
      <c r="D790" s="161"/>
      <c r="E790" s="161"/>
      <c r="F790" s="161"/>
      <c r="G790" s="348"/>
      <c r="H790" s="348"/>
      <c r="I790" s="348"/>
      <c r="J790" s="348"/>
      <c r="K790" s="348"/>
      <c r="L790" s="3"/>
      <c r="M790" s="928"/>
      <c r="O790" s="151"/>
    </row>
    <row r="791" ht="12.0" customHeight="1">
      <c r="B791" s="1"/>
      <c r="D791" s="161"/>
      <c r="E791" s="161"/>
      <c r="F791" s="161"/>
      <c r="G791" s="348"/>
      <c r="H791" s="348"/>
      <c r="I791" s="348"/>
      <c r="J791" s="348"/>
      <c r="K791" s="348"/>
      <c r="L791" s="3"/>
      <c r="M791" s="928"/>
      <c r="O791" s="151"/>
    </row>
    <row r="792" ht="12.0" customHeight="1">
      <c r="B792" s="1"/>
      <c r="D792" s="161"/>
      <c r="E792" s="161"/>
      <c r="F792" s="161"/>
      <c r="G792" s="348"/>
      <c r="H792" s="348"/>
      <c r="I792" s="348"/>
      <c r="J792" s="348"/>
      <c r="K792" s="348"/>
      <c r="L792" s="3"/>
      <c r="M792" s="928"/>
      <c r="O792" s="151"/>
    </row>
    <row r="793" ht="12.0" customHeight="1">
      <c r="B793" s="1"/>
      <c r="D793" s="161"/>
      <c r="E793" s="161"/>
      <c r="F793" s="161"/>
      <c r="G793" s="348"/>
      <c r="H793" s="348"/>
      <c r="I793" s="348"/>
      <c r="J793" s="348"/>
      <c r="K793" s="348"/>
      <c r="L793" s="3"/>
      <c r="M793" s="928"/>
      <c r="O793" s="151"/>
    </row>
    <row r="794" ht="12.0" customHeight="1">
      <c r="B794" s="1"/>
      <c r="D794" s="161"/>
      <c r="E794" s="161"/>
      <c r="F794" s="161"/>
      <c r="G794" s="348"/>
      <c r="H794" s="348"/>
      <c r="I794" s="348"/>
      <c r="J794" s="348"/>
      <c r="K794" s="348"/>
      <c r="L794" s="3"/>
      <c r="M794" s="928"/>
      <c r="O794" s="151"/>
    </row>
    <row r="795" ht="12.0" customHeight="1">
      <c r="B795" s="1"/>
      <c r="D795" s="161"/>
      <c r="E795" s="161"/>
      <c r="F795" s="161"/>
      <c r="G795" s="348"/>
      <c r="H795" s="348"/>
      <c r="I795" s="348"/>
      <c r="J795" s="348"/>
      <c r="K795" s="348"/>
      <c r="L795" s="3"/>
      <c r="M795" s="928"/>
      <c r="O795" s="151"/>
    </row>
    <row r="796" ht="12.0" customHeight="1">
      <c r="B796" s="1"/>
      <c r="D796" s="161"/>
      <c r="E796" s="161"/>
      <c r="F796" s="161"/>
      <c r="G796" s="348"/>
      <c r="H796" s="348"/>
      <c r="I796" s="348"/>
      <c r="J796" s="348"/>
      <c r="K796" s="348"/>
      <c r="L796" s="3"/>
      <c r="M796" s="928"/>
      <c r="O796" s="151"/>
    </row>
    <row r="797" ht="12.0" customHeight="1">
      <c r="B797" s="1"/>
      <c r="D797" s="161"/>
      <c r="E797" s="161"/>
      <c r="F797" s="161"/>
      <c r="G797" s="348"/>
      <c r="H797" s="348"/>
      <c r="I797" s="348"/>
      <c r="J797" s="348"/>
      <c r="K797" s="348"/>
      <c r="L797" s="3"/>
      <c r="M797" s="928"/>
      <c r="O797" s="151"/>
    </row>
    <row r="798" ht="12.0" customHeight="1">
      <c r="B798" s="1"/>
      <c r="D798" s="161"/>
      <c r="E798" s="161"/>
      <c r="F798" s="161"/>
      <c r="G798" s="348"/>
      <c r="H798" s="348"/>
      <c r="I798" s="348"/>
      <c r="J798" s="348"/>
      <c r="K798" s="348"/>
      <c r="L798" s="3"/>
      <c r="M798" s="928"/>
      <c r="O798" s="151"/>
    </row>
    <row r="799" ht="12.0" customHeight="1">
      <c r="B799" s="1"/>
      <c r="D799" s="161"/>
      <c r="E799" s="161"/>
      <c r="F799" s="161"/>
      <c r="G799" s="348"/>
      <c r="H799" s="348"/>
      <c r="I799" s="348"/>
      <c r="J799" s="348"/>
      <c r="K799" s="348"/>
      <c r="L799" s="3"/>
      <c r="M799" s="928"/>
      <c r="O799" s="151"/>
    </row>
    <row r="800" ht="12.0" customHeight="1">
      <c r="B800" s="1"/>
      <c r="D800" s="161"/>
      <c r="E800" s="161"/>
      <c r="F800" s="161"/>
      <c r="G800" s="348"/>
      <c r="H800" s="348"/>
      <c r="I800" s="348"/>
      <c r="J800" s="348"/>
      <c r="K800" s="348"/>
      <c r="L800" s="3"/>
      <c r="M800" s="928"/>
      <c r="O800" s="151"/>
    </row>
    <row r="801" ht="12.0" customHeight="1">
      <c r="B801" s="1"/>
      <c r="D801" s="161"/>
      <c r="E801" s="161"/>
      <c r="F801" s="161"/>
      <c r="G801" s="348"/>
      <c r="H801" s="348"/>
      <c r="I801" s="348"/>
      <c r="J801" s="348"/>
      <c r="K801" s="348"/>
      <c r="L801" s="3"/>
      <c r="M801" s="928"/>
      <c r="O801" s="151"/>
    </row>
    <row r="802" ht="12.0" customHeight="1">
      <c r="B802" s="1"/>
      <c r="D802" s="161"/>
      <c r="E802" s="161"/>
      <c r="F802" s="161"/>
      <c r="G802" s="348"/>
      <c r="H802" s="348"/>
      <c r="I802" s="348"/>
      <c r="J802" s="348"/>
      <c r="K802" s="348"/>
      <c r="L802" s="3"/>
      <c r="M802" s="928"/>
      <c r="O802" s="151"/>
    </row>
    <row r="803" ht="12.0" customHeight="1">
      <c r="B803" s="1"/>
      <c r="D803" s="161"/>
      <c r="E803" s="161"/>
      <c r="F803" s="161"/>
      <c r="G803" s="348"/>
      <c r="H803" s="348"/>
      <c r="I803" s="348"/>
      <c r="J803" s="348"/>
      <c r="K803" s="348"/>
      <c r="L803" s="3"/>
      <c r="M803" s="928"/>
      <c r="O803" s="151"/>
    </row>
    <row r="804" ht="12.0" customHeight="1">
      <c r="B804" s="1"/>
      <c r="D804" s="161"/>
      <c r="E804" s="161"/>
      <c r="F804" s="161"/>
      <c r="G804" s="348"/>
      <c r="H804" s="348"/>
      <c r="I804" s="348"/>
      <c r="J804" s="348"/>
      <c r="K804" s="348"/>
      <c r="L804" s="3"/>
      <c r="M804" s="928"/>
      <c r="O804" s="151"/>
    </row>
    <row r="805" ht="12.0" customHeight="1">
      <c r="B805" s="1"/>
      <c r="D805" s="161"/>
      <c r="E805" s="161"/>
      <c r="F805" s="161"/>
      <c r="G805" s="348"/>
      <c r="H805" s="348"/>
      <c r="I805" s="348"/>
      <c r="J805" s="348"/>
      <c r="K805" s="348"/>
      <c r="L805" s="3"/>
      <c r="M805" s="928"/>
      <c r="O805" s="151"/>
    </row>
    <row r="806" ht="12.0" customHeight="1">
      <c r="B806" s="1"/>
      <c r="D806" s="161"/>
      <c r="E806" s="161"/>
      <c r="F806" s="161"/>
      <c r="G806" s="348"/>
      <c r="H806" s="348"/>
      <c r="I806" s="348"/>
      <c r="J806" s="348"/>
      <c r="K806" s="348"/>
      <c r="L806" s="3"/>
      <c r="M806" s="928"/>
      <c r="O806" s="151"/>
    </row>
    <row r="807" ht="12.0" customHeight="1">
      <c r="B807" s="1"/>
      <c r="D807" s="161"/>
      <c r="E807" s="161"/>
      <c r="F807" s="161"/>
      <c r="G807" s="348"/>
      <c r="H807" s="348"/>
      <c r="I807" s="348"/>
      <c r="J807" s="348"/>
      <c r="K807" s="348"/>
      <c r="L807" s="3"/>
      <c r="M807" s="928"/>
      <c r="O807" s="151"/>
    </row>
    <row r="808" ht="12.0" customHeight="1">
      <c r="B808" s="1"/>
      <c r="D808" s="161"/>
      <c r="E808" s="161"/>
      <c r="F808" s="161"/>
      <c r="G808" s="348"/>
      <c r="H808" s="348"/>
      <c r="I808" s="348"/>
      <c r="J808" s="348"/>
      <c r="K808" s="348"/>
      <c r="L808" s="3"/>
      <c r="M808" s="928"/>
      <c r="O808" s="151"/>
    </row>
    <row r="809" ht="12.0" customHeight="1">
      <c r="B809" s="1"/>
      <c r="D809" s="161"/>
      <c r="E809" s="161"/>
      <c r="F809" s="161"/>
      <c r="G809" s="348"/>
      <c r="H809" s="348"/>
      <c r="I809" s="348"/>
      <c r="J809" s="348"/>
      <c r="K809" s="348"/>
      <c r="L809" s="3"/>
      <c r="M809" s="928"/>
      <c r="O809" s="151"/>
    </row>
    <row r="810" ht="12.0" customHeight="1">
      <c r="B810" s="1"/>
      <c r="D810" s="161"/>
      <c r="E810" s="161"/>
      <c r="F810" s="161"/>
      <c r="G810" s="348"/>
      <c r="H810" s="348"/>
      <c r="I810" s="348"/>
      <c r="J810" s="348"/>
      <c r="K810" s="348"/>
      <c r="L810" s="3"/>
      <c r="M810" s="928"/>
      <c r="O810" s="151"/>
    </row>
    <row r="811" ht="12.0" customHeight="1">
      <c r="B811" s="1"/>
      <c r="D811" s="161"/>
      <c r="E811" s="161"/>
      <c r="F811" s="161"/>
      <c r="G811" s="348"/>
      <c r="H811" s="348"/>
      <c r="I811" s="348"/>
      <c r="J811" s="348"/>
      <c r="K811" s="348"/>
      <c r="L811" s="3"/>
      <c r="M811" s="928"/>
      <c r="O811" s="151"/>
    </row>
    <row r="812" ht="12.0" customHeight="1">
      <c r="B812" s="1"/>
      <c r="D812" s="161"/>
      <c r="E812" s="161"/>
      <c r="F812" s="161"/>
      <c r="G812" s="348"/>
      <c r="H812" s="348"/>
      <c r="I812" s="348"/>
      <c r="J812" s="348"/>
      <c r="K812" s="348"/>
      <c r="L812" s="3"/>
      <c r="M812" s="928"/>
      <c r="O812" s="151"/>
    </row>
    <row r="813" ht="12.0" customHeight="1">
      <c r="B813" s="1"/>
      <c r="D813" s="161"/>
      <c r="E813" s="161"/>
      <c r="F813" s="161"/>
      <c r="G813" s="348"/>
      <c r="H813" s="348"/>
      <c r="I813" s="348"/>
      <c r="J813" s="348"/>
      <c r="K813" s="348"/>
      <c r="L813" s="3"/>
      <c r="M813" s="928"/>
      <c r="O813" s="151"/>
    </row>
    <row r="814" ht="12.0" customHeight="1">
      <c r="B814" s="1"/>
      <c r="D814" s="161"/>
      <c r="E814" s="161"/>
      <c r="F814" s="161"/>
      <c r="G814" s="348"/>
      <c r="H814" s="348"/>
      <c r="I814" s="348"/>
      <c r="J814" s="348"/>
      <c r="K814" s="348"/>
      <c r="L814" s="3"/>
      <c r="M814" s="928"/>
      <c r="O814" s="151"/>
    </row>
    <row r="815" ht="12.0" customHeight="1">
      <c r="B815" s="1"/>
      <c r="D815" s="161"/>
      <c r="E815" s="161"/>
      <c r="F815" s="161"/>
      <c r="G815" s="348"/>
      <c r="H815" s="348"/>
      <c r="I815" s="348"/>
      <c r="J815" s="348"/>
      <c r="K815" s="348"/>
      <c r="L815" s="3"/>
      <c r="M815" s="928"/>
      <c r="O815" s="151"/>
    </row>
    <row r="816" ht="12.0" customHeight="1">
      <c r="B816" s="1"/>
      <c r="D816" s="161"/>
      <c r="E816" s="161"/>
      <c r="F816" s="161"/>
      <c r="G816" s="348"/>
      <c r="H816" s="348"/>
      <c r="I816" s="348"/>
      <c r="J816" s="348"/>
      <c r="K816" s="348"/>
      <c r="L816" s="3"/>
      <c r="M816" s="928"/>
      <c r="O816" s="151"/>
    </row>
    <row r="817" ht="12.0" customHeight="1">
      <c r="B817" s="1"/>
      <c r="D817" s="161"/>
      <c r="E817" s="161"/>
      <c r="F817" s="161"/>
      <c r="G817" s="348"/>
      <c r="H817" s="348"/>
      <c r="I817" s="348"/>
      <c r="J817" s="348"/>
      <c r="K817" s="348"/>
      <c r="L817" s="3"/>
      <c r="M817" s="928"/>
      <c r="O817" s="151"/>
    </row>
    <row r="818" ht="12.0" customHeight="1">
      <c r="B818" s="1"/>
      <c r="D818" s="161"/>
      <c r="E818" s="161"/>
      <c r="F818" s="161"/>
      <c r="G818" s="348"/>
      <c r="H818" s="348"/>
      <c r="I818" s="348"/>
      <c r="J818" s="348"/>
      <c r="K818" s="348"/>
      <c r="L818" s="3"/>
      <c r="M818" s="928"/>
      <c r="O818" s="151"/>
    </row>
    <row r="819" ht="12.0" customHeight="1">
      <c r="B819" s="1"/>
      <c r="D819" s="161"/>
      <c r="E819" s="161"/>
      <c r="F819" s="161"/>
      <c r="G819" s="348"/>
      <c r="H819" s="348"/>
      <c r="I819" s="348"/>
      <c r="J819" s="348"/>
      <c r="K819" s="348"/>
      <c r="L819" s="3"/>
      <c r="M819" s="928"/>
      <c r="O819" s="151"/>
    </row>
    <row r="820" ht="12.0" customHeight="1">
      <c r="B820" s="1"/>
      <c r="D820" s="161"/>
      <c r="E820" s="161"/>
      <c r="F820" s="161"/>
      <c r="G820" s="348"/>
      <c r="H820" s="348"/>
      <c r="I820" s="348"/>
      <c r="J820" s="348"/>
      <c r="K820" s="348"/>
      <c r="L820" s="3"/>
      <c r="M820" s="928"/>
      <c r="O820" s="151"/>
    </row>
    <row r="821" ht="12.0" customHeight="1">
      <c r="B821" s="1"/>
      <c r="D821" s="161"/>
      <c r="E821" s="161"/>
      <c r="F821" s="161"/>
      <c r="G821" s="348"/>
      <c r="H821" s="348"/>
      <c r="I821" s="348"/>
      <c r="J821" s="348"/>
      <c r="K821" s="348"/>
      <c r="L821" s="3"/>
      <c r="M821" s="928"/>
      <c r="O821" s="151"/>
    </row>
    <row r="822" ht="12.0" customHeight="1">
      <c r="B822" s="1"/>
      <c r="D822" s="161"/>
      <c r="E822" s="161"/>
      <c r="F822" s="161"/>
      <c r="G822" s="348"/>
      <c r="H822" s="348"/>
      <c r="I822" s="348"/>
      <c r="J822" s="348"/>
      <c r="K822" s="348"/>
      <c r="L822" s="3"/>
      <c r="M822" s="928"/>
      <c r="O822" s="151"/>
    </row>
    <row r="823" ht="12.0" customHeight="1">
      <c r="B823" s="1"/>
      <c r="D823" s="161"/>
      <c r="E823" s="161"/>
      <c r="F823" s="161"/>
      <c r="G823" s="348"/>
      <c r="H823" s="348"/>
      <c r="I823" s="348"/>
      <c r="J823" s="348"/>
      <c r="K823" s="348"/>
      <c r="L823" s="3"/>
      <c r="M823" s="928"/>
      <c r="O823" s="151"/>
    </row>
    <row r="824" ht="12.0" customHeight="1">
      <c r="B824" s="1"/>
      <c r="D824" s="161"/>
      <c r="E824" s="161"/>
      <c r="F824" s="161"/>
      <c r="G824" s="348"/>
      <c r="H824" s="348"/>
      <c r="I824" s="348"/>
      <c r="J824" s="348"/>
      <c r="K824" s="348"/>
      <c r="L824" s="3"/>
      <c r="M824" s="928"/>
      <c r="O824" s="151"/>
    </row>
    <row r="825" ht="12.0" customHeight="1">
      <c r="B825" s="1"/>
      <c r="D825" s="161"/>
      <c r="E825" s="161"/>
      <c r="F825" s="161"/>
      <c r="G825" s="348"/>
      <c r="H825" s="348"/>
      <c r="I825" s="348"/>
      <c r="J825" s="348"/>
      <c r="K825" s="348"/>
      <c r="L825" s="3"/>
      <c r="M825" s="928"/>
      <c r="O825" s="151"/>
    </row>
    <row r="826" ht="12.0" customHeight="1">
      <c r="B826" s="1"/>
      <c r="D826" s="161"/>
      <c r="E826" s="161"/>
      <c r="F826" s="161"/>
      <c r="G826" s="348"/>
      <c r="H826" s="348"/>
      <c r="I826" s="348"/>
      <c r="J826" s="348"/>
      <c r="K826" s="348"/>
      <c r="L826" s="3"/>
      <c r="M826" s="928"/>
      <c r="O826" s="151"/>
    </row>
    <row r="827" ht="12.0" customHeight="1">
      <c r="B827" s="1"/>
      <c r="D827" s="161"/>
      <c r="E827" s="161"/>
      <c r="F827" s="161"/>
      <c r="G827" s="348"/>
      <c r="H827" s="348"/>
      <c r="I827" s="348"/>
      <c r="J827" s="348"/>
      <c r="K827" s="348"/>
      <c r="L827" s="3"/>
      <c r="M827" s="928"/>
      <c r="O827" s="151"/>
    </row>
    <row r="828" ht="12.0" customHeight="1">
      <c r="B828" s="1"/>
      <c r="D828" s="161"/>
      <c r="E828" s="161"/>
      <c r="F828" s="161"/>
      <c r="G828" s="348"/>
      <c r="H828" s="348"/>
      <c r="I828" s="348"/>
      <c r="J828" s="348"/>
      <c r="K828" s="348"/>
      <c r="L828" s="3"/>
      <c r="M828" s="928"/>
      <c r="O828" s="151"/>
    </row>
    <row r="829" ht="12.0" customHeight="1">
      <c r="B829" s="1"/>
      <c r="D829" s="161"/>
      <c r="E829" s="161"/>
      <c r="F829" s="161"/>
      <c r="G829" s="348"/>
      <c r="H829" s="348"/>
      <c r="I829" s="348"/>
      <c r="J829" s="348"/>
      <c r="K829" s="348"/>
      <c r="L829" s="3"/>
      <c r="M829" s="928"/>
      <c r="O829" s="151"/>
    </row>
    <row r="830" ht="12.0" customHeight="1">
      <c r="B830" s="1"/>
      <c r="D830" s="161"/>
      <c r="E830" s="161"/>
      <c r="F830" s="161"/>
      <c r="G830" s="348"/>
      <c r="H830" s="348"/>
      <c r="I830" s="348"/>
      <c r="J830" s="348"/>
      <c r="K830" s="348"/>
      <c r="L830" s="3"/>
      <c r="M830" s="928"/>
      <c r="O830" s="151"/>
    </row>
    <row r="831" ht="12.0" customHeight="1">
      <c r="B831" s="1"/>
      <c r="D831" s="161"/>
      <c r="E831" s="161"/>
      <c r="F831" s="161"/>
      <c r="G831" s="348"/>
      <c r="H831" s="348"/>
      <c r="I831" s="348"/>
      <c r="J831" s="348"/>
      <c r="K831" s="348"/>
      <c r="L831" s="3"/>
      <c r="M831" s="928"/>
      <c r="O831" s="151"/>
    </row>
    <row r="832" ht="12.0" customHeight="1">
      <c r="B832" s="1"/>
      <c r="D832" s="161"/>
      <c r="E832" s="161"/>
      <c r="F832" s="161"/>
      <c r="G832" s="348"/>
      <c r="H832" s="348"/>
      <c r="I832" s="348"/>
      <c r="J832" s="348"/>
      <c r="K832" s="348"/>
      <c r="L832" s="3"/>
      <c r="M832" s="928"/>
      <c r="O832" s="151"/>
    </row>
    <row r="833" ht="12.0" customHeight="1">
      <c r="B833" s="1"/>
      <c r="D833" s="161"/>
      <c r="E833" s="161"/>
      <c r="F833" s="161"/>
      <c r="G833" s="348"/>
      <c r="H833" s="348"/>
      <c r="I833" s="348"/>
      <c r="J833" s="348"/>
      <c r="K833" s="348"/>
      <c r="L833" s="3"/>
      <c r="M833" s="928"/>
      <c r="O833" s="151"/>
    </row>
    <row r="834" ht="12.0" customHeight="1">
      <c r="B834" s="1"/>
      <c r="D834" s="161"/>
      <c r="E834" s="161"/>
      <c r="F834" s="161"/>
      <c r="G834" s="348"/>
      <c r="H834" s="348"/>
      <c r="I834" s="348"/>
      <c r="J834" s="348"/>
      <c r="K834" s="348"/>
      <c r="L834" s="3"/>
      <c r="M834" s="928"/>
      <c r="O834" s="151"/>
    </row>
    <row r="835" ht="12.0" customHeight="1">
      <c r="B835" s="1"/>
      <c r="D835" s="161"/>
      <c r="E835" s="161"/>
      <c r="F835" s="161"/>
      <c r="G835" s="348"/>
      <c r="H835" s="348"/>
      <c r="I835" s="348"/>
      <c r="J835" s="348"/>
      <c r="K835" s="348"/>
      <c r="L835" s="3"/>
      <c r="M835" s="928"/>
      <c r="O835" s="151"/>
    </row>
    <row r="836" ht="12.0" customHeight="1">
      <c r="B836" s="1"/>
      <c r="D836" s="161"/>
      <c r="E836" s="161"/>
      <c r="F836" s="161"/>
      <c r="G836" s="348"/>
      <c r="H836" s="348"/>
      <c r="I836" s="348"/>
      <c r="J836" s="348"/>
      <c r="K836" s="348"/>
      <c r="L836" s="3"/>
      <c r="M836" s="928"/>
      <c r="O836" s="151"/>
    </row>
    <row r="837" ht="12.0" customHeight="1">
      <c r="B837" s="1"/>
      <c r="D837" s="161"/>
      <c r="E837" s="161"/>
      <c r="F837" s="161"/>
      <c r="G837" s="348"/>
      <c r="H837" s="348"/>
      <c r="I837" s="348"/>
      <c r="J837" s="348"/>
      <c r="K837" s="348"/>
      <c r="L837" s="3"/>
      <c r="M837" s="928"/>
      <c r="O837" s="151"/>
    </row>
    <row r="838" ht="12.0" customHeight="1">
      <c r="B838" s="1"/>
      <c r="D838" s="161"/>
      <c r="E838" s="161"/>
      <c r="F838" s="161"/>
      <c r="G838" s="348"/>
      <c r="H838" s="348"/>
      <c r="I838" s="348"/>
      <c r="J838" s="348"/>
      <c r="K838" s="348"/>
      <c r="L838" s="3"/>
      <c r="M838" s="928"/>
      <c r="O838" s="151"/>
    </row>
    <row r="839" ht="12.0" customHeight="1">
      <c r="B839" s="1"/>
      <c r="D839" s="161"/>
      <c r="E839" s="161"/>
      <c r="F839" s="161"/>
      <c r="G839" s="348"/>
      <c r="H839" s="348"/>
      <c r="I839" s="348"/>
      <c r="J839" s="348"/>
      <c r="K839" s="348"/>
      <c r="L839" s="3"/>
      <c r="M839" s="928"/>
      <c r="O839" s="151"/>
    </row>
    <row r="840" ht="12.0" customHeight="1">
      <c r="B840" s="1"/>
      <c r="D840" s="161"/>
      <c r="E840" s="161"/>
      <c r="F840" s="161"/>
      <c r="G840" s="348"/>
      <c r="H840" s="348"/>
      <c r="I840" s="348"/>
      <c r="J840" s="348"/>
      <c r="K840" s="348"/>
      <c r="L840" s="3"/>
      <c r="M840" s="928"/>
      <c r="O840" s="151"/>
    </row>
    <row r="841" ht="12.0" customHeight="1">
      <c r="B841" s="1"/>
      <c r="D841" s="161"/>
      <c r="E841" s="161"/>
      <c r="F841" s="161"/>
      <c r="G841" s="348"/>
      <c r="H841" s="348"/>
      <c r="I841" s="348"/>
      <c r="J841" s="348"/>
      <c r="K841" s="348"/>
      <c r="L841" s="3"/>
      <c r="M841" s="928"/>
      <c r="O841" s="151"/>
    </row>
    <row r="842" ht="12.0" customHeight="1">
      <c r="B842" s="1"/>
      <c r="D842" s="161"/>
      <c r="E842" s="161"/>
      <c r="F842" s="161"/>
      <c r="G842" s="348"/>
      <c r="H842" s="348"/>
      <c r="I842" s="348"/>
      <c r="J842" s="348"/>
      <c r="K842" s="348"/>
      <c r="L842" s="3"/>
      <c r="M842" s="928"/>
      <c r="O842" s="151"/>
    </row>
    <row r="843" ht="12.0" customHeight="1">
      <c r="B843" s="1"/>
      <c r="D843" s="161"/>
      <c r="E843" s="161"/>
      <c r="F843" s="161"/>
      <c r="G843" s="348"/>
      <c r="H843" s="348"/>
      <c r="I843" s="348"/>
      <c r="J843" s="348"/>
      <c r="K843" s="348"/>
      <c r="L843" s="3"/>
      <c r="M843" s="928"/>
      <c r="O843" s="151"/>
    </row>
    <row r="844" ht="12.0" customHeight="1">
      <c r="B844" s="1"/>
      <c r="D844" s="161"/>
      <c r="E844" s="161"/>
      <c r="F844" s="161"/>
      <c r="G844" s="348"/>
      <c r="H844" s="348"/>
      <c r="I844" s="348"/>
      <c r="J844" s="348"/>
      <c r="K844" s="348"/>
      <c r="L844" s="3"/>
      <c r="M844" s="928"/>
      <c r="O844" s="151"/>
    </row>
    <row r="845" ht="12.0" customHeight="1">
      <c r="B845" s="1"/>
      <c r="D845" s="161"/>
      <c r="E845" s="161"/>
      <c r="F845" s="161"/>
      <c r="G845" s="348"/>
      <c r="H845" s="348"/>
      <c r="I845" s="348"/>
      <c r="J845" s="348"/>
      <c r="K845" s="348"/>
      <c r="L845" s="3"/>
      <c r="M845" s="928"/>
      <c r="O845" s="151"/>
    </row>
    <row r="846" ht="12.0" customHeight="1">
      <c r="B846" s="1"/>
      <c r="D846" s="161"/>
      <c r="E846" s="161"/>
      <c r="F846" s="161"/>
      <c r="G846" s="348"/>
      <c r="H846" s="348"/>
      <c r="I846" s="348"/>
      <c r="J846" s="348"/>
      <c r="K846" s="348"/>
      <c r="L846" s="3"/>
      <c r="M846" s="928"/>
      <c r="O846" s="151"/>
    </row>
    <row r="847" ht="12.0" customHeight="1">
      <c r="B847" s="1"/>
      <c r="D847" s="161"/>
      <c r="E847" s="161"/>
      <c r="F847" s="161"/>
      <c r="G847" s="348"/>
      <c r="H847" s="348"/>
      <c r="I847" s="348"/>
      <c r="J847" s="348"/>
      <c r="K847" s="348"/>
      <c r="L847" s="3"/>
      <c r="M847" s="928"/>
      <c r="O847" s="151"/>
    </row>
    <row r="848" ht="12.0" customHeight="1">
      <c r="B848" s="1"/>
      <c r="D848" s="161"/>
      <c r="E848" s="161"/>
      <c r="F848" s="161"/>
      <c r="G848" s="348"/>
      <c r="H848" s="348"/>
      <c r="I848" s="348"/>
      <c r="J848" s="348"/>
      <c r="K848" s="348"/>
      <c r="L848" s="3"/>
      <c r="M848" s="928"/>
      <c r="O848" s="151"/>
    </row>
    <row r="849" ht="12.0" customHeight="1">
      <c r="B849" s="1"/>
      <c r="D849" s="161"/>
      <c r="E849" s="161"/>
      <c r="F849" s="161"/>
      <c r="G849" s="348"/>
      <c r="H849" s="348"/>
      <c r="I849" s="348"/>
      <c r="J849" s="348"/>
      <c r="K849" s="348"/>
      <c r="L849" s="3"/>
      <c r="M849" s="928"/>
      <c r="O849" s="151"/>
    </row>
    <row r="850" ht="12.0" customHeight="1">
      <c r="B850" s="1"/>
      <c r="D850" s="161"/>
      <c r="E850" s="161"/>
      <c r="F850" s="161"/>
      <c r="G850" s="348"/>
      <c r="H850" s="348"/>
      <c r="I850" s="348"/>
      <c r="J850" s="348"/>
      <c r="K850" s="348"/>
      <c r="L850" s="3"/>
      <c r="M850" s="928"/>
      <c r="O850" s="151"/>
    </row>
    <row r="851" ht="12.0" customHeight="1">
      <c r="B851" s="1"/>
      <c r="D851" s="161"/>
      <c r="E851" s="161"/>
      <c r="F851" s="161"/>
      <c r="G851" s="348"/>
      <c r="H851" s="348"/>
      <c r="I851" s="348"/>
      <c r="J851" s="348"/>
      <c r="K851" s="348"/>
      <c r="L851" s="3"/>
      <c r="M851" s="928"/>
      <c r="O851" s="151"/>
    </row>
    <row r="852" ht="12.0" customHeight="1">
      <c r="B852" s="1"/>
      <c r="D852" s="161"/>
      <c r="E852" s="161"/>
      <c r="F852" s="161"/>
      <c r="G852" s="348"/>
      <c r="H852" s="348"/>
      <c r="I852" s="348"/>
      <c r="J852" s="348"/>
      <c r="K852" s="348"/>
      <c r="L852" s="3"/>
      <c r="M852" s="928"/>
      <c r="O852" s="151"/>
    </row>
    <row r="853" ht="12.0" customHeight="1">
      <c r="B853" s="1"/>
      <c r="D853" s="161"/>
      <c r="E853" s="161"/>
      <c r="F853" s="161"/>
      <c r="G853" s="348"/>
      <c r="H853" s="348"/>
      <c r="I853" s="348"/>
      <c r="J853" s="348"/>
      <c r="K853" s="348"/>
      <c r="L853" s="3"/>
      <c r="M853" s="928"/>
      <c r="O853" s="151"/>
    </row>
    <row r="854" ht="12.0" customHeight="1">
      <c r="B854" s="1"/>
      <c r="D854" s="161"/>
      <c r="E854" s="161"/>
      <c r="F854" s="161"/>
      <c r="G854" s="348"/>
      <c r="H854" s="348"/>
      <c r="I854" s="348"/>
      <c r="J854" s="348"/>
      <c r="K854" s="348"/>
      <c r="L854" s="3"/>
      <c r="M854" s="928"/>
      <c r="O854" s="151"/>
    </row>
    <row r="855" ht="12.0" customHeight="1">
      <c r="B855" s="1"/>
      <c r="D855" s="161"/>
      <c r="E855" s="161"/>
      <c r="F855" s="161"/>
      <c r="G855" s="348"/>
      <c r="H855" s="348"/>
      <c r="I855" s="348"/>
      <c r="J855" s="348"/>
      <c r="K855" s="348"/>
      <c r="L855" s="3"/>
      <c r="M855" s="928"/>
      <c r="O855" s="151"/>
    </row>
    <row r="856" ht="12.0" customHeight="1">
      <c r="B856" s="1"/>
      <c r="D856" s="161"/>
      <c r="E856" s="161"/>
      <c r="F856" s="161"/>
      <c r="G856" s="348"/>
      <c r="H856" s="348"/>
      <c r="I856" s="348"/>
      <c r="J856" s="348"/>
      <c r="K856" s="348"/>
      <c r="L856" s="3"/>
      <c r="M856" s="928"/>
      <c r="O856" s="151"/>
    </row>
    <row r="857" ht="12.0" customHeight="1">
      <c r="B857" s="1"/>
      <c r="D857" s="161"/>
      <c r="E857" s="161"/>
      <c r="F857" s="161"/>
      <c r="G857" s="348"/>
      <c r="H857" s="348"/>
      <c r="I857" s="348"/>
      <c r="J857" s="348"/>
      <c r="K857" s="348"/>
      <c r="L857" s="3"/>
      <c r="M857" s="928"/>
      <c r="O857" s="151"/>
    </row>
    <row r="858" ht="12.0" customHeight="1">
      <c r="B858" s="1"/>
      <c r="D858" s="161"/>
      <c r="E858" s="161"/>
      <c r="F858" s="161"/>
      <c r="G858" s="348"/>
      <c r="H858" s="348"/>
      <c r="I858" s="348"/>
      <c r="J858" s="348"/>
      <c r="K858" s="348"/>
      <c r="L858" s="3"/>
      <c r="M858" s="928"/>
      <c r="O858" s="151"/>
    </row>
    <row r="859" ht="12.0" customHeight="1">
      <c r="B859" s="1"/>
      <c r="D859" s="161"/>
      <c r="E859" s="161"/>
      <c r="F859" s="161"/>
      <c r="G859" s="348"/>
      <c r="H859" s="348"/>
      <c r="I859" s="348"/>
      <c r="J859" s="348"/>
      <c r="K859" s="348"/>
      <c r="L859" s="3"/>
      <c r="M859" s="928"/>
      <c r="O859" s="151"/>
    </row>
    <row r="860" ht="12.0" customHeight="1">
      <c r="B860" s="1"/>
      <c r="D860" s="161"/>
      <c r="E860" s="161"/>
      <c r="F860" s="161"/>
      <c r="G860" s="348"/>
      <c r="H860" s="348"/>
      <c r="I860" s="348"/>
      <c r="J860" s="348"/>
      <c r="K860" s="348"/>
      <c r="L860" s="3"/>
      <c r="M860" s="928"/>
      <c r="O860" s="151"/>
    </row>
    <row r="861" ht="12.0" customHeight="1">
      <c r="B861" s="1"/>
      <c r="D861" s="161"/>
      <c r="E861" s="161"/>
      <c r="F861" s="161"/>
      <c r="G861" s="348"/>
      <c r="H861" s="348"/>
      <c r="I861" s="348"/>
      <c r="J861" s="348"/>
      <c r="K861" s="348"/>
      <c r="L861" s="3"/>
      <c r="M861" s="928"/>
      <c r="O861" s="151"/>
    </row>
    <row r="862" ht="12.0" customHeight="1">
      <c r="B862" s="1"/>
      <c r="D862" s="161"/>
      <c r="E862" s="161"/>
      <c r="F862" s="161"/>
      <c r="G862" s="348"/>
      <c r="H862" s="348"/>
      <c r="I862" s="348"/>
      <c r="J862" s="348"/>
      <c r="K862" s="348"/>
      <c r="L862" s="3"/>
      <c r="M862" s="928"/>
      <c r="O862" s="151"/>
    </row>
    <row r="863" ht="12.0" customHeight="1">
      <c r="B863" s="1"/>
      <c r="D863" s="161"/>
      <c r="E863" s="161"/>
      <c r="F863" s="161"/>
      <c r="G863" s="348"/>
      <c r="H863" s="348"/>
      <c r="I863" s="348"/>
      <c r="J863" s="348"/>
      <c r="K863" s="348"/>
      <c r="L863" s="3"/>
      <c r="M863" s="928"/>
      <c r="O863" s="151"/>
    </row>
    <row r="864" ht="12.0" customHeight="1">
      <c r="B864" s="1"/>
      <c r="D864" s="161"/>
      <c r="E864" s="161"/>
      <c r="F864" s="161"/>
      <c r="G864" s="348"/>
      <c r="H864" s="348"/>
      <c r="I864" s="348"/>
      <c r="J864" s="348"/>
      <c r="K864" s="348"/>
      <c r="L864" s="3"/>
      <c r="M864" s="928"/>
      <c r="O864" s="151"/>
    </row>
    <row r="865" ht="12.0" customHeight="1">
      <c r="B865" s="1"/>
      <c r="D865" s="161"/>
      <c r="E865" s="161"/>
      <c r="F865" s="161"/>
      <c r="G865" s="348"/>
      <c r="H865" s="348"/>
      <c r="I865" s="348"/>
      <c r="J865" s="348"/>
      <c r="K865" s="348"/>
      <c r="L865" s="3"/>
      <c r="M865" s="928"/>
      <c r="O865" s="151"/>
    </row>
    <row r="866" ht="12.0" customHeight="1">
      <c r="B866" s="1"/>
      <c r="D866" s="161"/>
      <c r="E866" s="161"/>
      <c r="F866" s="161"/>
      <c r="G866" s="348"/>
      <c r="H866" s="348"/>
      <c r="I866" s="348"/>
      <c r="J866" s="348"/>
      <c r="K866" s="348"/>
      <c r="L866" s="3"/>
      <c r="M866" s="928"/>
      <c r="O866" s="151"/>
    </row>
    <row r="867" ht="12.0" customHeight="1">
      <c r="B867" s="1"/>
      <c r="D867" s="161"/>
      <c r="E867" s="161"/>
      <c r="F867" s="161"/>
      <c r="G867" s="348"/>
      <c r="H867" s="348"/>
      <c r="I867" s="348"/>
      <c r="J867" s="348"/>
      <c r="K867" s="348"/>
      <c r="L867" s="3"/>
      <c r="M867" s="928"/>
      <c r="O867" s="151"/>
    </row>
    <row r="868" ht="12.0" customHeight="1">
      <c r="B868" s="1"/>
      <c r="D868" s="161"/>
      <c r="E868" s="161"/>
      <c r="F868" s="161"/>
      <c r="G868" s="348"/>
      <c r="H868" s="348"/>
      <c r="I868" s="348"/>
      <c r="J868" s="348"/>
      <c r="K868" s="348"/>
      <c r="L868" s="3"/>
      <c r="M868" s="928"/>
      <c r="O868" s="151"/>
    </row>
    <row r="869" ht="12.0" customHeight="1">
      <c r="B869" s="1"/>
      <c r="D869" s="161"/>
      <c r="E869" s="161"/>
      <c r="F869" s="161"/>
      <c r="G869" s="348"/>
      <c r="H869" s="348"/>
      <c r="I869" s="348"/>
      <c r="J869" s="348"/>
      <c r="K869" s="348"/>
      <c r="L869" s="3"/>
      <c r="M869" s="928"/>
      <c r="O869" s="151"/>
    </row>
    <row r="870" ht="12.0" customHeight="1">
      <c r="B870" s="1"/>
      <c r="D870" s="161"/>
      <c r="E870" s="161"/>
      <c r="F870" s="161"/>
      <c r="G870" s="348"/>
      <c r="H870" s="348"/>
      <c r="I870" s="348"/>
      <c r="J870" s="348"/>
      <c r="K870" s="348"/>
      <c r="L870" s="3"/>
      <c r="M870" s="928"/>
      <c r="O870" s="151"/>
    </row>
    <row r="871" ht="12.0" customHeight="1">
      <c r="B871" s="1"/>
      <c r="D871" s="161"/>
      <c r="E871" s="161"/>
      <c r="F871" s="161"/>
      <c r="G871" s="348"/>
      <c r="H871" s="348"/>
      <c r="I871" s="348"/>
      <c r="J871" s="348"/>
      <c r="K871" s="348"/>
      <c r="L871" s="3"/>
      <c r="M871" s="928"/>
      <c r="O871" s="151"/>
    </row>
    <row r="872" ht="12.0" customHeight="1">
      <c r="B872" s="1"/>
      <c r="D872" s="161"/>
      <c r="E872" s="161"/>
      <c r="F872" s="161"/>
      <c r="G872" s="348"/>
      <c r="H872" s="348"/>
      <c r="I872" s="348"/>
      <c r="J872" s="348"/>
      <c r="K872" s="348"/>
      <c r="L872" s="3"/>
      <c r="M872" s="928"/>
      <c r="O872" s="151"/>
    </row>
    <row r="873" ht="12.0" customHeight="1">
      <c r="B873" s="1"/>
      <c r="D873" s="161"/>
      <c r="E873" s="161"/>
      <c r="F873" s="161"/>
      <c r="G873" s="348"/>
      <c r="H873" s="348"/>
      <c r="I873" s="348"/>
      <c r="J873" s="348"/>
      <c r="K873" s="348"/>
      <c r="L873" s="3"/>
      <c r="M873" s="928"/>
      <c r="O873" s="151"/>
    </row>
    <row r="874" ht="12.0" customHeight="1">
      <c r="B874" s="1"/>
      <c r="D874" s="161"/>
      <c r="E874" s="161"/>
      <c r="F874" s="161"/>
      <c r="G874" s="348"/>
      <c r="H874" s="348"/>
      <c r="I874" s="348"/>
      <c r="J874" s="348"/>
      <c r="K874" s="348"/>
      <c r="L874" s="3"/>
      <c r="M874" s="928"/>
      <c r="O874" s="151"/>
    </row>
    <row r="875" ht="12.0" customHeight="1">
      <c r="B875" s="1"/>
      <c r="D875" s="161"/>
      <c r="E875" s="161"/>
      <c r="F875" s="161"/>
      <c r="G875" s="348"/>
      <c r="H875" s="348"/>
      <c r="I875" s="348"/>
      <c r="J875" s="348"/>
      <c r="K875" s="348"/>
      <c r="L875" s="3"/>
      <c r="M875" s="928"/>
      <c r="O875" s="151"/>
    </row>
    <row r="876" ht="12.0" customHeight="1">
      <c r="B876" s="1"/>
      <c r="D876" s="161"/>
      <c r="E876" s="161"/>
      <c r="F876" s="161"/>
      <c r="G876" s="348"/>
      <c r="H876" s="348"/>
      <c r="I876" s="348"/>
      <c r="J876" s="348"/>
      <c r="K876" s="348"/>
      <c r="L876" s="3"/>
      <c r="M876" s="928"/>
      <c r="O876" s="151"/>
    </row>
    <row r="877" ht="12.0" customHeight="1">
      <c r="B877" s="1"/>
      <c r="D877" s="161"/>
      <c r="E877" s="161"/>
      <c r="F877" s="161"/>
      <c r="G877" s="348"/>
      <c r="H877" s="348"/>
      <c r="I877" s="348"/>
      <c r="J877" s="348"/>
      <c r="K877" s="348"/>
      <c r="L877" s="3"/>
      <c r="M877" s="928"/>
      <c r="O877" s="151"/>
    </row>
    <row r="878" ht="12.0" customHeight="1">
      <c r="B878" s="1"/>
      <c r="D878" s="161"/>
      <c r="E878" s="161"/>
      <c r="F878" s="161"/>
      <c r="G878" s="348"/>
      <c r="H878" s="348"/>
      <c r="I878" s="348"/>
      <c r="J878" s="348"/>
      <c r="K878" s="348"/>
      <c r="L878" s="3"/>
      <c r="M878" s="928"/>
      <c r="O878" s="151"/>
    </row>
    <row r="879" ht="12.0" customHeight="1">
      <c r="B879" s="1"/>
      <c r="D879" s="161"/>
      <c r="E879" s="161"/>
      <c r="F879" s="161"/>
      <c r="G879" s="348"/>
      <c r="H879" s="348"/>
      <c r="I879" s="348"/>
      <c r="J879" s="348"/>
      <c r="K879" s="348"/>
      <c r="L879" s="3"/>
      <c r="M879" s="928"/>
      <c r="O879" s="151"/>
    </row>
    <row r="880" ht="12.0" customHeight="1">
      <c r="B880" s="1"/>
      <c r="D880" s="161"/>
      <c r="E880" s="161"/>
      <c r="F880" s="161"/>
      <c r="G880" s="348"/>
      <c r="H880" s="348"/>
      <c r="I880" s="348"/>
      <c r="J880" s="348"/>
      <c r="K880" s="348"/>
      <c r="L880" s="3"/>
      <c r="M880" s="928"/>
      <c r="O880" s="151"/>
    </row>
    <row r="881" ht="12.0" customHeight="1">
      <c r="B881" s="1"/>
      <c r="D881" s="161"/>
      <c r="E881" s="161"/>
      <c r="F881" s="161"/>
      <c r="G881" s="348"/>
      <c r="H881" s="348"/>
      <c r="I881" s="348"/>
      <c r="J881" s="348"/>
      <c r="K881" s="348"/>
      <c r="L881" s="3"/>
      <c r="M881" s="928"/>
      <c r="O881" s="151"/>
    </row>
    <row r="882" ht="12.0" customHeight="1">
      <c r="B882" s="1"/>
      <c r="D882" s="161"/>
      <c r="E882" s="161"/>
      <c r="F882" s="161"/>
      <c r="G882" s="348"/>
      <c r="H882" s="348"/>
      <c r="I882" s="348"/>
      <c r="J882" s="348"/>
      <c r="K882" s="348"/>
      <c r="L882" s="3"/>
      <c r="M882" s="928"/>
      <c r="O882" s="151"/>
    </row>
    <row r="883" ht="12.0" customHeight="1">
      <c r="B883" s="1"/>
      <c r="D883" s="161"/>
      <c r="E883" s="161"/>
      <c r="F883" s="161"/>
      <c r="G883" s="348"/>
      <c r="H883" s="348"/>
      <c r="I883" s="348"/>
      <c r="J883" s="348"/>
      <c r="K883" s="348"/>
      <c r="L883" s="3"/>
      <c r="M883" s="928"/>
      <c r="O883" s="151"/>
    </row>
    <row r="884" ht="12.0" customHeight="1">
      <c r="B884" s="1"/>
      <c r="D884" s="161"/>
      <c r="E884" s="161"/>
      <c r="F884" s="161"/>
      <c r="G884" s="348"/>
      <c r="H884" s="348"/>
      <c r="I884" s="348"/>
      <c r="J884" s="348"/>
      <c r="K884" s="348"/>
      <c r="L884" s="3"/>
      <c r="M884" s="928"/>
      <c r="O884" s="151"/>
    </row>
    <row r="885" ht="12.0" customHeight="1">
      <c r="B885" s="1"/>
      <c r="D885" s="161"/>
      <c r="E885" s="161"/>
      <c r="F885" s="161"/>
      <c r="G885" s="348"/>
      <c r="H885" s="348"/>
      <c r="I885" s="348"/>
      <c r="J885" s="348"/>
      <c r="K885" s="348"/>
      <c r="L885" s="3"/>
      <c r="M885" s="928"/>
      <c r="O885" s="151"/>
    </row>
    <row r="886" ht="12.0" customHeight="1">
      <c r="B886" s="1"/>
      <c r="D886" s="161"/>
      <c r="E886" s="161"/>
      <c r="F886" s="161"/>
      <c r="G886" s="348"/>
      <c r="H886" s="348"/>
      <c r="I886" s="348"/>
      <c r="J886" s="348"/>
      <c r="K886" s="348"/>
      <c r="L886" s="3"/>
      <c r="M886" s="928"/>
      <c r="O886" s="151"/>
    </row>
    <row r="887" ht="12.0" customHeight="1">
      <c r="B887" s="1"/>
      <c r="D887" s="161"/>
      <c r="E887" s="161"/>
      <c r="F887" s="161"/>
      <c r="G887" s="348"/>
      <c r="H887" s="348"/>
      <c r="I887" s="348"/>
      <c r="J887" s="348"/>
      <c r="K887" s="348"/>
      <c r="L887" s="3"/>
      <c r="M887" s="928"/>
      <c r="O887" s="151"/>
    </row>
    <row r="888" ht="12.0" customHeight="1">
      <c r="B888" s="1"/>
      <c r="D888" s="161"/>
      <c r="E888" s="161"/>
      <c r="F888" s="161"/>
      <c r="G888" s="348"/>
      <c r="H888" s="348"/>
      <c r="I888" s="348"/>
      <c r="J888" s="348"/>
      <c r="K888" s="348"/>
      <c r="L888" s="3"/>
      <c r="M888" s="928"/>
      <c r="O888" s="151"/>
    </row>
    <row r="889" ht="12.0" customHeight="1">
      <c r="B889" s="1"/>
      <c r="D889" s="161"/>
      <c r="E889" s="161"/>
      <c r="F889" s="161"/>
      <c r="G889" s="348"/>
      <c r="H889" s="348"/>
      <c r="I889" s="348"/>
      <c r="J889" s="348"/>
      <c r="K889" s="348"/>
      <c r="L889" s="3"/>
      <c r="M889" s="928"/>
      <c r="O889" s="151"/>
    </row>
    <row r="890" ht="12.0" customHeight="1">
      <c r="B890" s="1"/>
      <c r="D890" s="161"/>
      <c r="E890" s="161"/>
      <c r="F890" s="161"/>
      <c r="G890" s="348"/>
      <c r="H890" s="348"/>
      <c r="I890" s="348"/>
      <c r="J890" s="348"/>
      <c r="K890" s="348"/>
      <c r="L890" s="3"/>
      <c r="M890" s="928"/>
      <c r="O890" s="151"/>
    </row>
    <row r="891" ht="12.0" customHeight="1">
      <c r="B891" s="1"/>
      <c r="D891" s="161"/>
      <c r="E891" s="161"/>
      <c r="F891" s="161"/>
      <c r="G891" s="348"/>
      <c r="H891" s="348"/>
      <c r="I891" s="348"/>
      <c r="J891" s="348"/>
      <c r="K891" s="348"/>
      <c r="L891" s="3"/>
      <c r="M891" s="928"/>
      <c r="O891" s="151"/>
    </row>
    <row r="892" ht="12.0" customHeight="1">
      <c r="B892" s="1"/>
      <c r="D892" s="161"/>
      <c r="E892" s="161"/>
      <c r="F892" s="161"/>
      <c r="G892" s="348"/>
      <c r="H892" s="348"/>
      <c r="I892" s="348"/>
      <c r="J892" s="348"/>
      <c r="K892" s="348"/>
      <c r="L892" s="3"/>
      <c r="M892" s="928"/>
      <c r="O892" s="151"/>
    </row>
    <row r="893" ht="12.0" customHeight="1">
      <c r="B893" s="1"/>
      <c r="D893" s="161"/>
      <c r="E893" s="161"/>
      <c r="F893" s="161"/>
      <c r="G893" s="348"/>
      <c r="H893" s="348"/>
      <c r="I893" s="348"/>
      <c r="J893" s="348"/>
      <c r="K893" s="348"/>
      <c r="L893" s="3"/>
      <c r="M893" s="928"/>
      <c r="O893" s="151"/>
    </row>
    <row r="894" ht="12.0" customHeight="1">
      <c r="B894" s="1"/>
      <c r="D894" s="161"/>
      <c r="E894" s="161"/>
      <c r="F894" s="161"/>
      <c r="G894" s="348"/>
      <c r="H894" s="348"/>
      <c r="I894" s="348"/>
      <c r="J894" s="348"/>
      <c r="K894" s="348"/>
      <c r="L894" s="3"/>
      <c r="M894" s="928"/>
      <c r="O894" s="151"/>
    </row>
    <row r="895" ht="12.0" customHeight="1">
      <c r="B895" s="1"/>
      <c r="D895" s="161"/>
      <c r="E895" s="161"/>
      <c r="F895" s="161"/>
      <c r="G895" s="348"/>
      <c r="H895" s="348"/>
      <c r="I895" s="348"/>
      <c r="J895" s="348"/>
      <c r="K895" s="348"/>
      <c r="L895" s="3"/>
      <c r="M895" s="928"/>
      <c r="O895" s="151"/>
    </row>
    <row r="896" ht="12.0" customHeight="1">
      <c r="B896" s="1"/>
      <c r="D896" s="161"/>
      <c r="E896" s="161"/>
      <c r="F896" s="161"/>
      <c r="G896" s="348"/>
      <c r="H896" s="348"/>
      <c r="I896" s="348"/>
      <c r="J896" s="348"/>
      <c r="K896" s="348"/>
      <c r="L896" s="3"/>
      <c r="M896" s="928"/>
      <c r="O896" s="151"/>
    </row>
    <row r="897" ht="12.0" customHeight="1">
      <c r="B897" s="1"/>
      <c r="D897" s="161"/>
      <c r="E897" s="161"/>
      <c r="F897" s="161"/>
      <c r="G897" s="348"/>
      <c r="H897" s="348"/>
      <c r="I897" s="348"/>
      <c r="J897" s="348"/>
      <c r="K897" s="348"/>
      <c r="L897" s="3"/>
      <c r="M897" s="928"/>
      <c r="O897" s="151"/>
    </row>
    <row r="898" ht="12.0" customHeight="1">
      <c r="B898" s="1"/>
      <c r="D898" s="161"/>
      <c r="E898" s="161"/>
      <c r="F898" s="161"/>
      <c r="G898" s="348"/>
      <c r="H898" s="348"/>
      <c r="I898" s="348"/>
      <c r="J898" s="348"/>
      <c r="K898" s="348"/>
      <c r="L898" s="3"/>
      <c r="M898" s="928"/>
      <c r="O898" s="151"/>
    </row>
    <row r="899" ht="12.0" customHeight="1">
      <c r="B899" s="1"/>
      <c r="D899" s="161"/>
      <c r="E899" s="161"/>
      <c r="F899" s="161"/>
      <c r="G899" s="348"/>
      <c r="H899" s="348"/>
      <c r="I899" s="348"/>
      <c r="J899" s="348"/>
      <c r="K899" s="348"/>
      <c r="L899" s="3"/>
      <c r="M899" s="928"/>
      <c r="O899" s="151"/>
    </row>
    <row r="900" ht="12.0" customHeight="1">
      <c r="B900" s="1"/>
      <c r="D900" s="161"/>
      <c r="E900" s="161"/>
      <c r="F900" s="161"/>
      <c r="G900" s="348"/>
      <c r="H900" s="348"/>
      <c r="I900" s="348"/>
      <c r="J900" s="348"/>
      <c r="K900" s="348"/>
      <c r="L900" s="3"/>
      <c r="M900" s="928"/>
      <c r="O900" s="151"/>
    </row>
    <row r="901" ht="12.0" customHeight="1">
      <c r="B901" s="1"/>
      <c r="D901" s="161"/>
      <c r="E901" s="161"/>
      <c r="F901" s="161"/>
      <c r="G901" s="348"/>
      <c r="H901" s="348"/>
      <c r="I901" s="348"/>
      <c r="J901" s="348"/>
      <c r="K901" s="348"/>
      <c r="L901" s="3"/>
      <c r="M901" s="928"/>
      <c r="O901" s="151"/>
    </row>
    <row r="902" ht="12.0" customHeight="1">
      <c r="B902" s="1"/>
      <c r="D902" s="161"/>
      <c r="E902" s="161"/>
      <c r="F902" s="161"/>
      <c r="G902" s="348"/>
      <c r="H902" s="348"/>
      <c r="I902" s="348"/>
      <c r="J902" s="348"/>
      <c r="K902" s="348"/>
      <c r="L902" s="3"/>
      <c r="M902" s="928"/>
      <c r="O902" s="151"/>
    </row>
    <row r="903" ht="12.0" customHeight="1">
      <c r="B903" s="1"/>
      <c r="D903" s="161"/>
      <c r="E903" s="161"/>
      <c r="F903" s="161"/>
      <c r="G903" s="348"/>
      <c r="H903" s="348"/>
      <c r="I903" s="348"/>
      <c r="J903" s="348"/>
      <c r="K903" s="348"/>
      <c r="L903" s="3"/>
      <c r="M903" s="928"/>
      <c r="O903" s="151"/>
    </row>
    <row r="904" ht="12.0" customHeight="1">
      <c r="B904" s="1"/>
      <c r="D904" s="161"/>
      <c r="E904" s="161"/>
      <c r="F904" s="161"/>
      <c r="G904" s="348"/>
      <c r="H904" s="348"/>
      <c r="I904" s="348"/>
      <c r="J904" s="348"/>
      <c r="K904" s="348"/>
      <c r="L904" s="3"/>
      <c r="M904" s="928"/>
      <c r="O904" s="151"/>
    </row>
    <row r="905" ht="12.0" customHeight="1">
      <c r="B905" s="1"/>
      <c r="D905" s="161"/>
      <c r="E905" s="161"/>
      <c r="F905" s="161"/>
      <c r="G905" s="348"/>
      <c r="H905" s="348"/>
      <c r="I905" s="348"/>
      <c r="J905" s="348"/>
      <c r="K905" s="348"/>
      <c r="L905" s="3"/>
      <c r="M905" s="928"/>
      <c r="O905" s="151"/>
    </row>
    <row r="906" ht="12.0" customHeight="1">
      <c r="B906" s="1"/>
      <c r="D906" s="161"/>
      <c r="E906" s="161"/>
      <c r="F906" s="161"/>
      <c r="G906" s="348"/>
      <c r="H906" s="348"/>
      <c r="I906" s="348"/>
      <c r="J906" s="348"/>
      <c r="K906" s="348"/>
      <c r="L906" s="3"/>
      <c r="M906" s="928"/>
      <c r="O906" s="151"/>
    </row>
    <row r="907" ht="12.0" customHeight="1">
      <c r="B907" s="1"/>
      <c r="D907" s="161"/>
      <c r="E907" s="161"/>
      <c r="F907" s="161"/>
      <c r="G907" s="348"/>
      <c r="H907" s="348"/>
      <c r="I907" s="348"/>
      <c r="J907" s="348"/>
      <c r="K907" s="348"/>
      <c r="L907" s="3"/>
      <c r="M907" s="928"/>
      <c r="O907" s="151"/>
    </row>
    <row r="908" ht="12.0" customHeight="1">
      <c r="B908" s="1"/>
      <c r="D908" s="161"/>
      <c r="E908" s="161"/>
      <c r="F908" s="161"/>
      <c r="G908" s="348"/>
      <c r="H908" s="348"/>
      <c r="I908" s="348"/>
      <c r="J908" s="348"/>
      <c r="K908" s="348"/>
      <c r="L908" s="3"/>
      <c r="M908" s="928"/>
      <c r="O908" s="151"/>
    </row>
    <row r="909" ht="12.0" customHeight="1">
      <c r="B909" s="1"/>
      <c r="D909" s="161"/>
      <c r="E909" s="161"/>
      <c r="F909" s="161"/>
      <c r="G909" s="348"/>
      <c r="H909" s="348"/>
      <c r="I909" s="348"/>
      <c r="J909" s="348"/>
      <c r="K909" s="348"/>
      <c r="L909" s="3"/>
      <c r="M909" s="928"/>
      <c r="O909" s="151"/>
    </row>
    <row r="910" ht="12.0" customHeight="1">
      <c r="B910" s="1"/>
      <c r="D910" s="161"/>
      <c r="E910" s="161"/>
      <c r="F910" s="161"/>
      <c r="G910" s="348"/>
      <c r="H910" s="348"/>
      <c r="I910" s="348"/>
      <c r="J910" s="348"/>
      <c r="K910" s="348"/>
      <c r="L910" s="3"/>
      <c r="M910" s="928"/>
      <c r="O910" s="151"/>
    </row>
    <row r="911" ht="12.0" customHeight="1">
      <c r="B911" s="1"/>
      <c r="D911" s="161"/>
      <c r="E911" s="161"/>
      <c r="F911" s="161"/>
      <c r="G911" s="348"/>
      <c r="H911" s="348"/>
      <c r="I911" s="348"/>
      <c r="J911" s="348"/>
      <c r="K911" s="348"/>
      <c r="L911" s="3"/>
      <c r="M911" s="928"/>
      <c r="O911" s="151"/>
    </row>
    <row r="912" ht="12.0" customHeight="1">
      <c r="B912" s="1"/>
      <c r="D912" s="161"/>
      <c r="E912" s="161"/>
      <c r="F912" s="161"/>
      <c r="G912" s="348"/>
      <c r="H912" s="348"/>
      <c r="I912" s="348"/>
      <c r="J912" s="348"/>
      <c r="K912" s="348"/>
      <c r="L912" s="3"/>
      <c r="M912" s="928"/>
      <c r="O912" s="151"/>
    </row>
    <row r="913" ht="12.0" customHeight="1">
      <c r="B913" s="1"/>
      <c r="D913" s="161"/>
      <c r="E913" s="161"/>
      <c r="F913" s="161"/>
      <c r="G913" s="348"/>
      <c r="H913" s="348"/>
      <c r="I913" s="348"/>
      <c r="J913" s="348"/>
      <c r="K913" s="348"/>
      <c r="L913" s="3"/>
      <c r="M913" s="928"/>
      <c r="O913" s="151"/>
    </row>
    <row r="914" ht="12.0" customHeight="1">
      <c r="B914" s="1"/>
      <c r="D914" s="161"/>
      <c r="E914" s="161"/>
      <c r="F914" s="161"/>
      <c r="G914" s="348"/>
      <c r="H914" s="348"/>
      <c r="I914" s="348"/>
      <c r="J914" s="348"/>
      <c r="K914" s="348"/>
      <c r="L914" s="3"/>
      <c r="M914" s="928"/>
      <c r="O914" s="151"/>
    </row>
    <row r="915" ht="12.0" customHeight="1">
      <c r="B915" s="1"/>
      <c r="D915" s="161"/>
      <c r="E915" s="161"/>
      <c r="F915" s="161"/>
      <c r="G915" s="348"/>
      <c r="H915" s="348"/>
      <c r="I915" s="348"/>
      <c r="J915" s="348"/>
      <c r="K915" s="348"/>
      <c r="L915" s="3"/>
      <c r="M915" s="928"/>
      <c r="O915" s="151"/>
    </row>
    <row r="916" ht="12.0" customHeight="1">
      <c r="B916" s="1"/>
      <c r="D916" s="161"/>
      <c r="E916" s="161"/>
      <c r="F916" s="161"/>
      <c r="G916" s="348"/>
      <c r="H916" s="348"/>
      <c r="I916" s="348"/>
      <c r="J916" s="348"/>
      <c r="K916" s="348"/>
      <c r="L916" s="3"/>
      <c r="M916" s="928"/>
      <c r="O916" s="151"/>
    </row>
    <row r="917" ht="12.0" customHeight="1">
      <c r="B917" s="1"/>
      <c r="D917" s="161"/>
      <c r="E917" s="161"/>
      <c r="F917" s="161"/>
      <c r="G917" s="348"/>
      <c r="H917" s="348"/>
      <c r="I917" s="348"/>
      <c r="J917" s="348"/>
      <c r="K917" s="348"/>
      <c r="L917" s="3"/>
      <c r="M917" s="928"/>
      <c r="O917" s="151"/>
    </row>
    <row r="918" ht="12.0" customHeight="1">
      <c r="B918" s="1"/>
      <c r="D918" s="161"/>
      <c r="E918" s="161"/>
      <c r="F918" s="161"/>
      <c r="G918" s="348"/>
      <c r="H918" s="348"/>
      <c r="I918" s="348"/>
      <c r="J918" s="348"/>
      <c r="K918" s="348"/>
      <c r="L918" s="3"/>
      <c r="M918" s="928"/>
      <c r="O918" s="151"/>
    </row>
    <row r="919" ht="12.0" customHeight="1">
      <c r="B919" s="1"/>
      <c r="D919" s="161"/>
      <c r="E919" s="161"/>
      <c r="F919" s="161"/>
      <c r="G919" s="348"/>
      <c r="H919" s="348"/>
      <c r="I919" s="348"/>
      <c r="J919" s="348"/>
      <c r="K919" s="348"/>
      <c r="L919" s="3"/>
      <c r="M919" s="928"/>
      <c r="O919" s="151"/>
    </row>
    <row r="920" ht="12.0" customHeight="1">
      <c r="B920" s="1"/>
      <c r="D920" s="161"/>
      <c r="E920" s="161"/>
      <c r="F920" s="161"/>
      <c r="G920" s="348"/>
      <c r="H920" s="348"/>
      <c r="I920" s="348"/>
      <c r="J920" s="348"/>
      <c r="K920" s="348"/>
      <c r="L920" s="3"/>
      <c r="M920" s="928"/>
      <c r="O920" s="151"/>
    </row>
    <row r="921" ht="12.0" customHeight="1">
      <c r="B921" s="1"/>
      <c r="D921" s="161"/>
      <c r="E921" s="161"/>
      <c r="F921" s="161"/>
      <c r="G921" s="348"/>
      <c r="H921" s="348"/>
      <c r="I921" s="348"/>
      <c r="J921" s="348"/>
      <c r="K921" s="348"/>
      <c r="L921" s="3"/>
      <c r="M921" s="928"/>
      <c r="O921" s="151"/>
    </row>
    <row r="922" ht="12.0" customHeight="1">
      <c r="B922" s="1"/>
      <c r="D922" s="161"/>
      <c r="E922" s="161"/>
      <c r="F922" s="161"/>
      <c r="G922" s="348"/>
      <c r="H922" s="348"/>
      <c r="I922" s="348"/>
      <c r="J922" s="348"/>
      <c r="K922" s="348"/>
      <c r="L922" s="3"/>
      <c r="M922" s="928"/>
      <c r="O922" s="151"/>
    </row>
    <row r="923" ht="12.0" customHeight="1">
      <c r="B923" s="1"/>
      <c r="D923" s="161"/>
      <c r="E923" s="161"/>
      <c r="F923" s="161"/>
      <c r="G923" s="348"/>
      <c r="H923" s="348"/>
      <c r="I923" s="348"/>
      <c r="J923" s="348"/>
      <c r="K923" s="348"/>
      <c r="L923" s="3"/>
      <c r="M923" s="928"/>
      <c r="O923" s="151"/>
    </row>
    <row r="924" ht="12.0" customHeight="1">
      <c r="B924" s="1"/>
      <c r="D924" s="161"/>
      <c r="E924" s="161"/>
      <c r="F924" s="161"/>
      <c r="G924" s="348"/>
      <c r="H924" s="348"/>
      <c r="I924" s="348"/>
      <c r="J924" s="348"/>
      <c r="K924" s="348"/>
      <c r="L924" s="3"/>
      <c r="M924" s="928"/>
      <c r="O924" s="151"/>
    </row>
    <row r="925" ht="12.0" customHeight="1">
      <c r="B925" s="1"/>
      <c r="D925" s="161"/>
      <c r="E925" s="161"/>
      <c r="F925" s="161"/>
      <c r="G925" s="348"/>
      <c r="H925" s="348"/>
      <c r="I925" s="348"/>
      <c r="J925" s="348"/>
      <c r="K925" s="348"/>
      <c r="L925" s="3"/>
      <c r="M925" s="928"/>
      <c r="O925" s="151"/>
    </row>
    <row r="926" ht="12.0" customHeight="1">
      <c r="B926" s="1"/>
      <c r="D926" s="161"/>
      <c r="E926" s="161"/>
      <c r="F926" s="161"/>
      <c r="G926" s="348"/>
      <c r="H926" s="348"/>
      <c r="I926" s="348"/>
      <c r="J926" s="348"/>
      <c r="K926" s="348"/>
      <c r="L926" s="3"/>
      <c r="M926" s="928"/>
      <c r="O926" s="151"/>
    </row>
    <row r="927" ht="12.0" customHeight="1">
      <c r="B927" s="1"/>
      <c r="D927" s="161"/>
      <c r="E927" s="161"/>
      <c r="F927" s="161"/>
      <c r="G927" s="348"/>
      <c r="H927" s="348"/>
      <c r="I927" s="348"/>
      <c r="J927" s="348"/>
      <c r="K927" s="348"/>
      <c r="L927" s="3"/>
      <c r="M927" s="928"/>
      <c r="O927" s="151"/>
    </row>
    <row r="928" ht="12.0" customHeight="1">
      <c r="B928" s="1"/>
      <c r="D928" s="161"/>
      <c r="E928" s="161"/>
      <c r="F928" s="161"/>
      <c r="G928" s="348"/>
      <c r="H928" s="348"/>
      <c r="I928" s="348"/>
      <c r="J928" s="348"/>
      <c r="K928" s="348"/>
      <c r="L928" s="3"/>
      <c r="M928" s="928"/>
      <c r="O928" s="151"/>
    </row>
    <row r="929" ht="12.0" customHeight="1">
      <c r="B929" s="1"/>
      <c r="D929" s="161"/>
      <c r="E929" s="161"/>
      <c r="F929" s="161"/>
      <c r="G929" s="348"/>
      <c r="H929" s="348"/>
      <c r="I929" s="348"/>
      <c r="J929" s="348"/>
      <c r="K929" s="348"/>
      <c r="L929" s="3"/>
      <c r="M929" s="928"/>
      <c r="O929" s="151"/>
    </row>
    <row r="930" ht="12.0" customHeight="1">
      <c r="B930" s="1"/>
      <c r="D930" s="161"/>
      <c r="E930" s="161"/>
      <c r="F930" s="161"/>
      <c r="G930" s="348"/>
      <c r="H930" s="348"/>
      <c r="I930" s="348"/>
      <c r="J930" s="348"/>
      <c r="K930" s="348"/>
      <c r="L930" s="3"/>
      <c r="M930" s="928"/>
      <c r="O930" s="151"/>
    </row>
    <row r="931" ht="12.0" customHeight="1">
      <c r="B931" s="1"/>
      <c r="D931" s="161"/>
      <c r="E931" s="161"/>
      <c r="F931" s="161"/>
      <c r="G931" s="348"/>
      <c r="H931" s="348"/>
      <c r="I931" s="348"/>
      <c r="J931" s="348"/>
      <c r="K931" s="348"/>
      <c r="L931" s="3"/>
      <c r="M931" s="928"/>
      <c r="O931" s="151"/>
    </row>
    <row r="932" ht="12.0" customHeight="1">
      <c r="B932" s="1"/>
      <c r="D932" s="161"/>
      <c r="E932" s="161"/>
      <c r="F932" s="161"/>
      <c r="G932" s="348"/>
      <c r="H932" s="348"/>
      <c r="I932" s="348"/>
      <c r="J932" s="348"/>
      <c r="K932" s="348"/>
      <c r="L932" s="3"/>
      <c r="M932" s="928"/>
      <c r="O932" s="151"/>
    </row>
    <row r="933" ht="12.0" customHeight="1">
      <c r="B933" s="1"/>
      <c r="D933" s="161"/>
      <c r="E933" s="161"/>
      <c r="F933" s="161"/>
      <c r="G933" s="348"/>
      <c r="H933" s="348"/>
      <c r="I933" s="348"/>
      <c r="J933" s="348"/>
      <c r="K933" s="348"/>
      <c r="L933" s="3"/>
      <c r="M933" s="928"/>
      <c r="O933" s="151"/>
    </row>
    <row r="934" ht="12.0" customHeight="1">
      <c r="B934" s="1"/>
      <c r="D934" s="161"/>
      <c r="E934" s="161"/>
      <c r="F934" s="161"/>
      <c r="G934" s="348"/>
      <c r="H934" s="348"/>
      <c r="I934" s="348"/>
      <c r="J934" s="348"/>
      <c r="K934" s="348"/>
      <c r="L934" s="3"/>
      <c r="M934" s="928"/>
      <c r="O934" s="151"/>
    </row>
    <row r="935" ht="12.0" customHeight="1">
      <c r="B935" s="1"/>
      <c r="D935" s="161"/>
      <c r="E935" s="161"/>
      <c r="F935" s="161"/>
      <c r="G935" s="348"/>
      <c r="H935" s="348"/>
      <c r="I935" s="348"/>
      <c r="J935" s="348"/>
      <c r="K935" s="348"/>
      <c r="L935" s="3"/>
      <c r="M935" s="928"/>
      <c r="O935" s="151"/>
    </row>
    <row r="936" ht="12.0" customHeight="1">
      <c r="B936" s="1"/>
      <c r="D936" s="161"/>
      <c r="E936" s="161"/>
      <c r="F936" s="161"/>
      <c r="G936" s="348"/>
      <c r="H936" s="348"/>
      <c r="I936" s="348"/>
      <c r="J936" s="348"/>
      <c r="K936" s="348"/>
      <c r="L936" s="3"/>
      <c r="M936" s="928"/>
      <c r="O936" s="151"/>
    </row>
    <row r="937" ht="12.0" customHeight="1">
      <c r="B937" s="1"/>
      <c r="D937" s="161"/>
      <c r="E937" s="161"/>
      <c r="F937" s="161"/>
      <c r="G937" s="348"/>
      <c r="H937" s="348"/>
      <c r="I937" s="348"/>
      <c r="J937" s="348"/>
      <c r="K937" s="348"/>
      <c r="L937" s="3"/>
      <c r="M937" s="928"/>
      <c r="O937" s="151"/>
    </row>
    <row r="938" ht="12.0" customHeight="1">
      <c r="B938" s="1"/>
      <c r="D938" s="161"/>
      <c r="E938" s="161"/>
      <c r="F938" s="161"/>
      <c r="G938" s="348"/>
      <c r="H938" s="348"/>
      <c r="I938" s="348"/>
      <c r="J938" s="348"/>
      <c r="K938" s="348"/>
      <c r="L938" s="3"/>
      <c r="M938" s="928"/>
      <c r="O938" s="151"/>
    </row>
    <row r="939" ht="12.0" customHeight="1">
      <c r="B939" s="1"/>
      <c r="D939" s="161"/>
      <c r="E939" s="161"/>
      <c r="F939" s="161"/>
      <c r="G939" s="348"/>
      <c r="H939" s="348"/>
      <c r="I939" s="348"/>
      <c r="J939" s="348"/>
      <c r="K939" s="348"/>
      <c r="L939" s="3"/>
      <c r="M939" s="928"/>
      <c r="O939" s="151"/>
    </row>
    <row r="940" ht="12.0" customHeight="1">
      <c r="B940" s="1"/>
      <c r="D940" s="161"/>
      <c r="E940" s="161"/>
      <c r="F940" s="161"/>
      <c r="G940" s="348"/>
      <c r="H940" s="348"/>
      <c r="I940" s="348"/>
      <c r="J940" s="348"/>
      <c r="K940" s="348"/>
      <c r="L940" s="3"/>
      <c r="M940" s="928"/>
      <c r="O940" s="151"/>
    </row>
    <row r="941" ht="12.0" customHeight="1">
      <c r="B941" s="1"/>
      <c r="D941" s="161"/>
      <c r="E941" s="161"/>
      <c r="F941" s="161"/>
      <c r="G941" s="348"/>
      <c r="H941" s="348"/>
      <c r="I941" s="348"/>
      <c r="J941" s="348"/>
      <c r="K941" s="348"/>
      <c r="L941" s="3"/>
      <c r="M941" s="928"/>
      <c r="O941" s="151"/>
    </row>
    <row r="942" ht="12.0" customHeight="1">
      <c r="B942" s="1"/>
      <c r="D942" s="161"/>
      <c r="E942" s="161"/>
      <c r="F942" s="161"/>
      <c r="G942" s="348"/>
      <c r="H942" s="348"/>
      <c r="I942" s="348"/>
      <c r="J942" s="348"/>
      <c r="K942" s="348"/>
      <c r="L942" s="3"/>
      <c r="M942" s="928"/>
      <c r="O942" s="151"/>
    </row>
    <row r="943" ht="12.0" customHeight="1">
      <c r="B943" s="1"/>
      <c r="D943" s="161"/>
      <c r="E943" s="161"/>
      <c r="F943" s="161"/>
      <c r="G943" s="348"/>
      <c r="H943" s="348"/>
      <c r="I943" s="348"/>
      <c r="J943" s="348"/>
      <c r="K943" s="348"/>
      <c r="L943" s="3"/>
      <c r="M943" s="928"/>
      <c r="O943" s="151"/>
    </row>
    <row r="944" ht="12.0" customHeight="1">
      <c r="B944" s="1"/>
      <c r="D944" s="161"/>
      <c r="E944" s="161"/>
      <c r="F944" s="161"/>
      <c r="G944" s="348"/>
      <c r="H944" s="348"/>
      <c r="I944" s="348"/>
      <c r="J944" s="348"/>
      <c r="K944" s="348"/>
      <c r="L944" s="3"/>
      <c r="M944" s="928"/>
      <c r="O944" s="151"/>
    </row>
    <row r="945" ht="12.0" customHeight="1">
      <c r="B945" s="1"/>
      <c r="D945" s="161"/>
      <c r="E945" s="161"/>
      <c r="F945" s="161"/>
      <c r="G945" s="348"/>
      <c r="H945" s="348"/>
      <c r="I945" s="348"/>
      <c r="J945" s="348"/>
      <c r="K945" s="348"/>
      <c r="L945" s="3"/>
      <c r="M945" s="928"/>
      <c r="O945" s="151"/>
    </row>
    <row r="946" ht="12.0" customHeight="1">
      <c r="B946" s="1"/>
      <c r="D946" s="161"/>
      <c r="E946" s="161"/>
      <c r="F946" s="161"/>
      <c r="G946" s="348"/>
      <c r="H946" s="348"/>
      <c r="I946" s="348"/>
      <c r="J946" s="348"/>
      <c r="K946" s="348"/>
      <c r="L946" s="3"/>
      <c r="M946" s="928"/>
      <c r="O946" s="151"/>
    </row>
    <row r="947" ht="12.0" customHeight="1">
      <c r="B947" s="1"/>
      <c r="D947" s="161"/>
      <c r="E947" s="161"/>
      <c r="F947" s="161"/>
      <c r="G947" s="348"/>
      <c r="H947" s="348"/>
      <c r="I947" s="348"/>
      <c r="J947" s="348"/>
      <c r="K947" s="348"/>
      <c r="L947" s="3"/>
      <c r="M947" s="928"/>
      <c r="O947" s="151"/>
    </row>
    <row r="948" ht="12.0" customHeight="1">
      <c r="B948" s="1"/>
      <c r="D948" s="161"/>
      <c r="E948" s="161"/>
      <c r="F948" s="161"/>
      <c r="G948" s="348"/>
      <c r="H948" s="348"/>
      <c r="I948" s="348"/>
      <c r="J948" s="348"/>
      <c r="K948" s="348"/>
      <c r="L948" s="3"/>
      <c r="M948" s="928"/>
      <c r="O948" s="151"/>
    </row>
    <row r="949" ht="12.0" customHeight="1">
      <c r="B949" s="1"/>
      <c r="D949" s="161"/>
      <c r="E949" s="161"/>
      <c r="F949" s="161"/>
      <c r="G949" s="348"/>
      <c r="H949" s="348"/>
      <c r="I949" s="348"/>
      <c r="J949" s="348"/>
      <c r="K949" s="348"/>
      <c r="L949" s="3"/>
      <c r="M949" s="928"/>
      <c r="O949" s="151"/>
    </row>
    <row r="950" ht="12.0" customHeight="1">
      <c r="B950" s="1"/>
      <c r="D950" s="161"/>
      <c r="E950" s="161"/>
      <c r="F950" s="161"/>
      <c r="G950" s="348"/>
      <c r="H950" s="348"/>
      <c r="I950" s="348"/>
      <c r="J950" s="348"/>
      <c r="K950" s="348"/>
      <c r="L950" s="3"/>
      <c r="M950" s="928"/>
      <c r="O950" s="151"/>
    </row>
    <row r="951" ht="12.0" customHeight="1">
      <c r="B951" s="1"/>
      <c r="D951" s="161"/>
      <c r="E951" s="161"/>
      <c r="F951" s="161"/>
      <c r="G951" s="348"/>
      <c r="H951" s="348"/>
      <c r="I951" s="348"/>
      <c r="J951" s="348"/>
      <c r="K951" s="348"/>
      <c r="L951" s="3"/>
      <c r="M951" s="928"/>
      <c r="O951" s="151"/>
    </row>
    <row r="952" ht="12.0" customHeight="1">
      <c r="B952" s="1"/>
      <c r="D952" s="161"/>
      <c r="E952" s="161"/>
      <c r="F952" s="161"/>
      <c r="G952" s="348"/>
      <c r="H952" s="348"/>
      <c r="I952" s="348"/>
      <c r="J952" s="348"/>
      <c r="K952" s="348"/>
      <c r="L952" s="3"/>
      <c r="M952" s="928"/>
      <c r="O952" s="151"/>
    </row>
    <row r="953" ht="12.0" customHeight="1">
      <c r="B953" s="1"/>
      <c r="D953" s="161"/>
      <c r="E953" s="161"/>
      <c r="F953" s="161"/>
      <c r="G953" s="348"/>
      <c r="H953" s="348"/>
      <c r="I953" s="348"/>
      <c r="J953" s="348"/>
      <c r="K953" s="348"/>
      <c r="L953" s="3"/>
      <c r="M953" s="928"/>
      <c r="O953" s="151"/>
    </row>
    <row r="954" ht="12.0" customHeight="1">
      <c r="B954" s="1"/>
      <c r="D954" s="161"/>
      <c r="E954" s="161"/>
      <c r="F954" s="161"/>
      <c r="G954" s="348"/>
      <c r="H954" s="348"/>
      <c r="I954" s="348"/>
      <c r="J954" s="348"/>
      <c r="K954" s="348"/>
      <c r="L954" s="3"/>
      <c r="M954" s="928"/>
      <c r="O954" s="151"/>
    </row>
    <row r="955" ht="12.0" customHeight="1">
      <c r="B955" s="1"/>
      <c r="D955" s="161"/>
      <c r="E955" s="161"/>
      <c r="F955" s="161"/>
      <c r="G955" s="348"/>
      <c r="H955" s="348"/>
      <c r="I955" s="348"/>
      <c r="J955" s="348"/>
      <c r="K955" s="348"/>
      <c r="L955" s="3"/>
      <c r="M955" s="928"/>
      <c r="O955" s="151"/>
    </row>
    <row r="956" ht="12.0" customHeight="1">
      <c r="B956" s="1"/>
      <c r="D956" s="161"/>
      <c r="E956" s="161"/>
      <c r="F956" s="161"/>
      <c r="G956" s="348"/>
      <c r="H956" s="348"/>
      <c r="I956" s="348"/>
      <c r="J956" s="348"/>
      <c r="K956" s="348"/>
      <c r="L956" s="3"/>
      <c r="M956" s="928"/>
      <c r="O956" s="151"/>
    </row>
    <row r="957" ht="12.0" customHeight="1">
      <c r="B957" s="1"/>
      <c r="D957" s="161"/>
      <c r="E957" s="161"/>
      <c r="F957" s="161"/>
      <c r="G957" s="348"/>
      <c r="H957" s="348"/>
      <c r="I957" s="348"/>
      <c r="J957" s="348"/>
      <c r="K957" s="348"/>
      <c r="L957" s="3"/>
      <c r="M957" s="928"/>
      <c r="O957" s="151"/>
    </row>
    <row r="958" ht="12.0" customHeight="1">
      <c r="B958" s="1"/>
      <c r="D958" s="161"/>
      <c r="E958" s="161"/>
      <c r="F958" s="161"/>
      <c r="G958" s="348"/>
      <c r="H958" s="348"/>
      <c r="I958" s="348"/>
      <c r="J958" s="348"/>
      <c r="K958" s="348"/>
      <c r="L958" s="3"/>
      <c r="M958" s="928"/>
      <c r="O958" s="151"/>
    </row>
    <row r="959" ht="12.0" customHeight="1">
      <c r="B959" s="1"/>
      <c r="D959" s="161"/>
      <c r="E959" s="161"/>
      <c r="F959" s="161"/>
      <c r="G959" s="348"/>
      <c r="H959" s="348"/>
      <c r="I959" s="348"/>
      <c r="J959" s="348"/>
      <c r="K959" s="348"/>
      <c r="L959" s="3"/>
      <c r="M959" s="928"/>
      <c r="O959" s="151"/>
    </row>
    <row r="960" ht="12.0" customHeight="1">
      <c r="B960" s="1"/>
      <c r="D960" s="161"/>
      <c r="E960" s="161"/>
      <c r="F960" s="161"/>
      <c r="G960" s="348"/>
      <c r="H960" s="348"/>
      <c r="I960" s="348"/>
      <c r="J960" s="348"/>
      <c r="K960" s="348"/>
      <c r="L960" s="3"/>
      <c r="M960" s="928"/>
      <c r="O960" s="151"/>
    </row>
    <row r="961" ht="12.0" customHeight="1">
      <c r="B961" s="1"/>
      <c r="D961" s="161"/>
      <c r="E961" s="161"/>
      <c r="F961" s="161"/>
      <c r="G961" s="348"/>
      <c r="H961" s="348"/>
      <c r="I961" s="348"/>
      <c r="J961" s="348"/>
      <c r="K961" s="348"/>
      <c r="L961" s="3"/>
      <c r="M961" s="928"/>
      <c r="O961" s="151"/>
    </row>
    <row r="962" ht="12.0" customHeight="1">
      <c r="B962" s="1"/>
      <c r="D962" s="161"/>
      <c r="E962" s="161"/>
      <c r="F962" s="161"/>
      <c r="G962" s="348"/>
      <c r="H962" s="348"/>
      <c r="I962" s="348"/>
      <c r="J962" s="348"/>
      <c r="K962" s="348"/>
      <c r="L962" s="3"/>
      <c r="M962" s="928"/>
      <c r="O962" s="151"/>
    </row>
    <row r="963" ht="12.0" customHeight="1">
      <c r="B963" s="1"/>
      <c r="D963" s="161"/>
      <c r="E963" s="161"/>
      <c r="F963" s="161"/>
      <c r="G963" s="348"/>
      <c r="H963" s="348"/>
      <c r="I963" s="348"/>
      <c r="J963" s="348"/>
      <c r="K963" s="348"/>
      <c r="L963" s="3"/>
      <c r="M963" s="928"/>
      <c r="O963" s="151"/>
    </row>
    <row r="964" ht="12.0" customHeight="1">
      <c r="B964" s="1"/>
      <c r="D964" s="161"/>
      <c r="E964" s="161"/>
      <c r="F964" s="161"/>
      <c r="G964" s="348"/>
      <c r="H964" s="348"/>
      <c r="I964" s="348"/>
      <c r="J964" s="348"/>
      <c r="K964" s="348"/>
      <c r="L964" s="3"/>
      <c r="M964" s="928"/>
      <c r="O964" s="151"/>
    </row>
    <row r="965" ht="12.0" customHeight="1">
      <c r="B965" s="1"/>
      <c r="D965" s="161"/>
      <c r="E965" s="161"/>
      <c r="F965" s="161"/>
      <c r="G965" s="348"/>
      <c r="H965" s="348"/>
      <c r="I965" s="348"/>
      <c r="J965" s="348"/>
      <c r="K965" s="348"/>
      <c r="L965" s="3"/>
      <c r="M965" s="928"/>
      <c r="O965" s="151"/>
    </row>
    <row r="966" ht="12.0" customHeight="1">
      <c r="B966" s="1"/>
      <c r="D966" s="161"/>
      <c r="E966" s="161"/>
      <c r="F966" s="161"/>
      <c r="G966" s="348"/>
      <c r="H966" s="348"/>
      <c r="I966" s="348"/>
      <c r="J966" s="348"/>
      <c r="K966" s="348"/>
      <c r="L966" s="3"/>
      <c r="M966" s="928"/>
      <c r="O966" s="151"/>
    </row>
    <row r="967" ht="12.0" customHeight="1">
      <c r="B967" s="1"/>
      <c r="D967" s="161"/>
      <c r="E967" s="161"/>
      <c r="F967" s="161"/>
      <c r="G967" s="348"/>
      <c r="H967" s="348"/>
      <c r="I967" s="348"/>
      <c r="J967" s="348"/>
      <c r="K967" s="348"/>
      <c r="L967" s="3"/>
      <c r="M967" s="928"/>
      <c r="O967" s="151"/>
    </row>
    <row r="968" ht="12.0" customHeight="1">
      <c r="B968" s="1"/>
      <c r="D968" s="161"/>
      <c r="E968" s="161"/>
      <c r="F968" s="161"/>
      <c r="G968" s="348"/>
      <c r="H968" s="348"/>
      <c r="I968" s="348"/>
      <c r="J968" s="348"/>
      <c r="K968" s="348"/>
      <c r="L968" s="3"/>
      <c r="M968" s="928"/>
      <c r="O968" s="151"/>
    </row>
    <row r="969" ht="12.0" customHeight="1">
      <c r="B969" s="1"/>
      <c r="D969" s="161"/>
      <c r="E969" s="161"/>
      <c r="F969" s="161"/>
      <c r="G969" s="348"/>
      <c r="H969" s="348"/>
      <c r="I969" s="348"/>
      <c r="J969" s="348"/>
      <c r="K969" s="348"/>
      <c r="L969" s="3"/>
      <c r="M969" s="928"/>
      <c r="O969" s="151"/>
    </row>
    <row r="970" ht="12.0" customHeight="1">
      <c r="B970" s="1"/>
      <c r="D970" s="161"/>
      <c r="E970" s="161"/>
      <c r="F970" s="161"/>
      <c r="G970" s="348"/>
      <c r="H970" s="348"/>
      <c r="I970" s="348"/>
      <c r="J970" s="348"/>
      <c r="K970" s="348"/>
      <c r="L970" s="3"/>
      <c r="M970" s="928"/>
      <c r="O970" s="151"/>
    </row>
    <row r="971" ht="12.0" customHeight="1">
      <c r="B971" s="1"/>
      <c r="D971" s="161"/>
      <c r="E971" s="161"/>
      <c r="F971" s="161"/>
      <c r="G971" s="348"/>
      <c r="H971" s="348"/>
      <c r="I971" s="348"/>
      <c r="J971" s="348"/>
      <c r="K971" s="348"/>
      <c r="L971" s="3"/>
      <c r="M971" s="928"/>
      <c r="O971" s="151"/>
    </row>
    <row r="972" ht="12.0" customHeight="1">
      <c r="B972" s="1"/>
      <c r="D972" s="161"/>
      <c r="E972" s="161"/>
      <c r="F972" s="161"/>
      <c r="G972" s="348"/>
      <c r="H972" s="348"/>
      <c r="I972" s="348"/>
      <c r="J972" s="348"/>
      <c r="K972" s="348"/>
      <c r="L972" s="3"/>
      <c r="M972" s="928"/>
      <c r="O972" s="151"/>
    </row>
    <row r="973" ht="12.0" customHeight="1">
      <c r="B973" s="1"/>
      <c r="D973" s="161"/>
      <c r="E973" s="161"/>
      <c r="F973" s="161"/>
      <c r="G973" s="348"/>
      <c r="H973" s="348"/>
      <c r="I973" s="348"/>
      <c r="J973" s="348"/>
      <c r="K973" s="348"/>
      <c r="L973" s="3"/>
      <c r="M973" s="928"/>
      <c r="O973" s="151"/>
    </row>
    <row r="974" ht="12.0" customHeight="1">
      <c r="B974" s="1"/>
      <c r="D974" s="161"/>
      <c r="E974" s="161"/>
      <c r="F974" s="161"/>
      <c r="G974" s="348"/>
      <c r="H974" s="348"/>
      <c r="I974" s="348"/>
      <c r="J974" s="348"/>
      <c r="K974" s="348"/>
      <c r="L974" s="3"/>
      <c r="M974" s="928"/>
      <c r="O974" s="151"/>
    </row>
    <row r="975" ht="12.0" customHeight="1">
      <c r="B975" s="1"/>
      <c r="D975" s="161"/>
      <c r="E975" s="161"/>
      <c r="F975" s="161"/>
      <c r="G975" s="348"/>
      <c r="H975" s="348"/>
      <c r="I975" s="348"/>
      <c r="J975" s="348"/>
      <c r="K975" s="348"/>
      <c r="L975" s="3"/>
      <c r="M975" s="928"/>
      <c r="O975" s="151"/>
    </row>
    <row r="976" ht="12.0" customHeight="1">
      <c r="B976" s="1"/>
      <c r="D976" s="161"/>
      <c r="E976" s="161"/>
      <c r="F976" s="161"/>
      <c r="G976" s="348"/>
      <c r="H976" s="348"/>
      <c r="I976" s="348"/>
      <c r="J976" s="348"/>
      <c r="K976" s="348"/>
      <c r="L976" s="3"/>
      <c r="M976" s="928"/>
      <c r="O976" s="151"/>
    </row>
    <row r="977" ht="12.0" customHeight="1">
      <c r="B977" s="1"/>
      <c r="D977" s="161"/>
      <c r="E977" s="161"/>
      <c r="F977" s="161"/>
      <c r="G977" s="348"/>
      <c r="H977" s="348"/>
      <c r="I977" s="348"/>
      <c r="J977" s="348"/>
      <c r="K977" s="348"/>
      <c r="L977" s="3"/>
      <c r="M977" s="928"/>
      <c r="O977" s="151"/>
    </row>
    <row r="978" ht="12.0" customHeight="1">
      <c r="B978" s="1"/>
      <c r="D978" s="161"/>
      <c r="E978" s="161"/>
      <c r="F978" s="161"/>
      <c r="G978" s="348"/>
      <c r="H978" s="348"/>
      <c r="I978" s="348"/>
      <c r="J978" s="348"/>
      <c r="K978" s="348"/>
      <c r="L978" s="3"/>
      <c r="M978" s="928"/>
      <c r="O978" s="151"/>
    </row>
    <row r="979" ht="12.0" customHeight="1">
      <c r="B979" s="1"/>
      <c r="D979" s="161"/>
      <c r="E979" s="161"/>
      <c r="F979" s="161"/>
      <c r="G979" s="348"/>
      <c r="H979" s="348"/>
      <c r="I979" s="348"/>
      <c r="J979" s="348"/>
      <c r="K979" s="348"/>
      <c r="L979" s="3"/>
      <c r="M979" s="928"/>
      <c r="O979" s="151"/>
    </row>
    <row r="980" ht="12.0" customHeight="1">
      <c r="B980" s="1"/>
      <c r="D980" s="161"/>
      <c r="E980" s="161"/>
      <c r="F980" s="161"/>
      <c r="G980" s="348"/>
      <c r="H980" s="348"/>
      <c r="I980" s="348"/>
      <c r="J980" s="348"/>
      <c r="K980" s="348"/>
      <c r="L980" s="3"/>
      <c r="M980" s="928"/>
      <c r="O980" s="151"/>
    </row>
    <row r="981" ht="12.0" customHeight="1">
      <c r="B981" s="1"/>
      <c r="D981" s="161"/>
      <c r="E981" s="161"/>
      <c r="F981" s="161"/>
      <c r="G981" s="348"/>
      <c r="H981" s="348"/>
      <c r="I981" s="348"/>
      <c r="J981" s="348"/>
      <c r="K981" s="348"/>
      <c r="L981" s="3"/>
      <c r="M981" s="928"/>
      <c r="O981" s="151"/>
    </row>
    <row r="982" ht="12.0" customHeight="1">
      <c r="B982" s="1"/>
      <c r="D982" s="161"/>
      <c r="E982" s="161"/>
      <c r="F982" s="161"/>
      <c r="G982" s="348"/>
      <c r="H982" s="348"/>
      <c r="I982" s="348"/>
      <c r="J982" s="348"/>
      <c r="K982" s="348"/>
      <c r="L982" s="3"/>
      <c r="M982" s="928"/>
      <c r="O982" s="151"/>
    </row>
    <row r="983" ht="12.0" customHeight="1">
      <c r="B983" s="1"/>
      <c r="D983" s="161"/>
      <c r="E983" s="161"/>
      <c r="F983" s="161"/>
      <c r="G983" s="348"/>
      <c r="H983" s="348"/>
      <c r="I983" s="348"/>
      <c r="J983" s="348"/>
      <c r="K983" s="348"/>
      <c r="L983" s="3"/>
      <c r="M983" s="928"/>
      <c r="O983" s="151"/>
    </row>
    <row r="984" ht="12.0" customHeight="1">
      <c r="B984" s="1"/>
      <c r="D984" s="161"/>
      <c r="E984" s="161"/>
      <c r="F984" s="161"/>
      <c r="G984" s="348"/>
      <c r="H984" s="348"/>
      <c r="I984" s="348"/>
      <c r="J984" s="348"/>
      <c r="K984" s="348"/>
      <c r="L984" s="3"/>
      <c r="M984" s="928"/>
      <c r="O984" s="151"/>
    </row>
    <row r="985" ht="12.0" customHeight="1">
      <c r="B985" s="1"/>
      <c r="D985" s="161"/>
      <c r="E985" s="161"/>
      <c r="F985" s="161"/>
      <c r="G985" s="348"/>
      <c r="H985" s="348"/>
      <c r="I985" s="348"/>
      <c r="J985" s="348"/>
      <c r="K985" s="348"/>
      <c r="L985" s="3"/>
      <c r="M985" s="928"/>
      <c r="O985" s="151"/>
    </row>
    <row r="986" ht="12.0" customHeight="1">
      <c r="B986" s="1"/>
      <c r="D986" s="161"/>
      <c r="E986" s="161"/>
      <c r="F986" s="161"/>
      <c r="G986" s="348"/>
      <c r="H986" s="348"/>
      <c r="I986" s="348"/>
      <c r="J986" s="348"/>
      <c r="K986" s="348"/>
      <c r="L986" s="3"/>
      <c r="M986" s="928"/>
      <c r="O986" s="151"/>
    </row>
    <row r="987" ht="12.0" customHeight="1">
      <c r="B987" s="1"/>
      <c r="D987" s="161"/>
      <c r="E987" s="161"/>
      <c r="F987" s="161"/>
      <c r="G987" s="348"/>
      <c r="H987" s="348"/>
      <c r="I987" s="348"/>
      <c r="J987" s="348"/>
      <c r="K987" s="348"/>
      <c r="L987" s="3"/>
      <c r="M987" s="928"/>
      <c r="O987" s="151"/>
    </row>
    <row r="988" ht="12.0" customHeight="1">
      <c r="B988" s="1"/>
      <c r="D988" s="161"/>
      <c r="E988" s="161"/>
      <c r="F988" s="161"/>
      <c r="G988" s="348"/>
      <c r="H988" s="348"/>
      <c r="I988" s="348"/>
      <c r="J988" s="348"/>
      <c r="K988" s="348"/>
      <c r="L988" s="3"/>
      <c r="M988" s="928"/>
      <c r="O988" s="151"/>
    </row>
    <row r="989" ht="12.0" customHeight="1">
      <c r="B989" s="1"/>
      <c r="D989" s="161"/>
      <c r="E989" s="161"/>
      <c r="F989" s="161"/>
      <c r="G989" s="348"/>
      <c r="H989" s="348"/>
      <c r="I989" s="348"/>
      <c r="J989" s="348"/>
      <c r="K989" s="348"/>
      <c r="L989" s="3"/>
      <c r="M989" s="928"/>
      <c r="O989" s="151"/>
    </row>
    <row r="990" ht="12.0" customHeight="1">
      <c r="B990" s="1"/>
      <c r="D990" s="161"/>
      <c r="E990" s="161"/>
      <c r="F990" s="161"/>
      <c r="G990" s="348"/>
      <c r="H990" s="348"/>
      <c r="I990" s="348"/>
      <c r="J990" s="348"/>
      <c r="K990" s="348"/>
      <c r="L990" s="3"/>
      <c r="M990" s="928"/>
      <c r="O990" s="151"/>
    </row>
    <row r="991" ht="12.0" customHeight="1">
      <c r="B991" s="1"/>
      <c r="D991" s="161"/>
      <c r="E991" s="161"/>
      <c r="F991" s="161"/>
      <c r="G991" s="348"/>
      <c r="H991" s="348"/>
      <c r="I991" s="348"/>
      <c r="J991" s="348"/>
      <c r="K991" s="348"/>
      <c r="L991" s="3"/>
      <c r="M991" s="928"/>
      <c r="O991" s="151"/>
    </row>
    <row r="992" ht="12.0" customHeight="1">
      <c r="B992" s="1"/>
      <c r="D992" s="161"/>
      <c r="E992" s="161"/>
      <c r="F992" s="161"/>
      <c r="G992" s="348"/>
      <c r="H992" s="348"/>
      <c r="I992" s="348"/>
      <c r="J992" s="348"/>
      <c r="K992" s="348"/>
      <c r="L992" s="3"/>
      <c r="M992" s="928"/>
      <c r="O992" s="151"/>
    </row>
    <row r="993" ht="12.0" customHeight="1">
      <c r="B993" s="1"/>
      <c r="D993" s="161"/>
      <c r="E993" s="161"/>
      <c r="F993" s="161"/>
      <c r="G993" s="348"/>
      <c r="H993" s="348"/>
      <c r="I993" s="348"/>
      <c r="J993" s="348"/>
      <c r="K993" s="348"/>
      <c r="L993" s="3"/>
      <c r="M993" s="928"/>
      <c r="O993" s="151"/>
    </row>
    <row r="994" ht="12.0" customHeight="1">
      <c r="B994" s="1"/>
      <c r="D994" s="161"/>
      <c r="E994" s="161"/>
      <c r="F994" s="161"/>
      <c r="G994" s="348"/>
      <c r="H994" s="348"/>
      <c r="I994" s="348"/>
      <c r="J994" s="348"/>
      <c r="K994" s="348"/>
      <c r="L994" s="3"/>
      <c r="M994" s="928"/>
      <c r="O994" s="151"/>
    </row>
    <row r="995" ht="12.0" customHeight="1">
      <c r="B995" s="1"/>
      <c r="D995" s="161"/>
      <c r="E995" s="161"/>
      <c r="F995" s="161"/>
      <c r="G995" s="348"/>
      <c r="H995" s="348"/>
      <c r="I995" s="348"/>
      <c r="J995" s="348"/>
      <c r="K995" s="348"/>
      <c r="L995" s="3"/>
      <c r="M995" s="928"/>
      <c r="O995" s="151"/>
    </row>
    <row r="996" ht="12.0" customHeight="1">
      <c r="B996" s="1"/>
      <c r="D996" s="161"/>
      <c r="E996" s="161"/>
      <c r="F996" s="161"/>
      <c r="G996" s="348"/>
      <c r="H996" s="348"/>
      <c r="I996" s="348"/>
      <c r="J996" s="348"/>
      <c r="K996" s="348"/>
      <c r="L996" s="3"/>
      <c r="M996" s="928"/>
      <c r="O996" s="151"/>
    </row>
    <row r="997" ht="12.0" customHeight="1">
      <c r="B997" s="1"/>
      <c r="D997" s="161"/>
      <c r="E997" s="161"/>
      <c r="F997" s="161"/>
      <c r="G997" s="348"/>
      <c r="H997" s="348"/>
      <c r="I997" s="348"/>
      <c r="J997" s="348"/>
      <c r="K997" s="348"/>
      <c r="L997" s="3"/>
      <c r="M997" s="928"/>
      <c r="O997" s="151"/>
    </row>
    <row r="998" ht="12.0" customHeight="1">
      <c r="B998" s="1"/>
      <c r="D998" s="161"/>
      <c r="E998" s="161"/>
      <c r="F998" s="161"/>
      <c r="G998" s="348"/>
      <c r="H998" s="348"/>
      <c r="I998" s="348"/>
      <c r="J998" s="348"/>
      <c r="K998" s="348"/>
      <c r="L998" s="3"/>
      <c r="M998" s="928"/>
      <c r="O998" s="151"/>
    </row>
    <row r="999" ht="12.0" customHeight="1">
      <c r="B999" s="1"/>
      <c r="D999" s="161"/>
      <c r="E999" s="161"/>
      <c r="F999" s="161"/>
      <c r="G999" s="348"/>
      <c r="H999" s="348"/>
      <c r="I999" s="348"/>
      <c r="J999" s="348"/>
      <c r="K999" s="348"/>
      <c r="L999" s="3"/>
      <c r="M999" s="928"/>
      <c r="O999" s="151"/>
    </row>
    <row r="1000" ht="12.0" customHeight="1">
      <c r="B1000" s="1"/>
      <c r="D1000" s="161"/>
      <c r="E1000" s="161"/>
      <c r="F1000" s="161"/>
      <c r="G1000" s="348"/>
      <c r="H1000" s="348"/>
      <c r="I1000" s="348"/>
      <c r="J1000" s="348"/>
      <c r="K1000" s="348"/>
      <c r="L1000" s="3"/>
      <c r="M1000" s="928"/>
      <c r="O1000" s="151"/>
    </row>
  </sheetData>
  <mergeCells count="5">
    <mergeCell ref="K4:L4"/>
    <mergeCell ref="N4:O4"/>
    <mergeCell ref="G5:I5"/>
    <mergeCell ref="B14:B17"/>
    <mergeCell ref="B20:B23"/>
  </mergeCells>
  <dataValidations>
    <dataValidation type="list" allowBlank="1" showErrorMessage="1" sqref="K14 K20 K26">
      <formula1>"YES,NO"</formula1>
    </dataValidation>
    <dataValidation type="list" allowBlank="1" showErrorMessage="1" sqref="N14 N20 N26">
      <formula1>"DELAPIDATED,POOR,FAIR,GOOD,VERY GOOD,EXCELLENT,NOT APPLICABLE"</formula1>
    </dataValidation>
    <dataValidation type="list" allowBlank="1" showErrorMessage="1" sqref="K7:K8">
      <formula1>"2010-2013,2014-2021,2021-2023"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0.75"/>
    <col customWidth="1" min="3" max="3" width="80.75"/>
    <col customWidth="1" hidden="1" min="4" max="6" width="19.63"/>
    <col customWidth="1" hidden="1" min="7" max="9" width="13.25"/>
    <col customWidth="1" hidden="1" min="10" max="10" width="13.75"/>
    <col customWidth="1" min="11" max="11" width="50.75"/>
    <col customWidth="1" min="12" max="12" width="32.0"/>
    <col customWidth="1" hidden="1" min="13" max="13" width="13.38"/>
    <col customWidth="1" min="14" max="14" width="50.75"/>
    <col customWidth="1" min="15" max="15" width="30.63"/>
    <col customWidth="1" min="16" max="26" width="9.0"/>
  </cols>
  <sheetData>
    <row r="1" ht="12.0" customHeight="1">
      <c r="B1" s="1"/>
      <c r="D1" s="161"/>
      <c r="E1" s="161"/>
      <c r="F1" s="161"/>
      <c r="G1" s="348"/>
      <c r="H1" s="348"/>
      <c r="I1" s="348"/>
      <c r="J1" s="348"/>
      <c r="K1" s="348"/>
      <c r="L1" s="3"/>
      <c r="M1" s="928"/>
      <c r="O1" s="151"/>
    </row>
    <row r="2" ht="26.25" customHeight="1">
      <c r="B2" s="1"/>
      <c r="C2" s="4" t="s">
        <v>209</v>
      </c>
      <c r="D2" s="161"/>
      <c r="E2" s="161"/>
      <c r="F2" s="161"/>
      <c r="G2" s="348"/>
      <c r="H2" s="348"/>
      <c r="I2" s="348"/>
      <c r="J2" s="348"/>
      <c r="K2" s="348"/>
      <c r="L2" s="3"/>
      <c r="M2" s="928"/>
      <c r="O2" s="151"/>
    </row>
    <row r="3" ht="26.25" customHeight="1">
      <c r="B3" s="1"/>
      <c r="C3" s="667"/>
      <c r="D3" s="161"/>
      <c r="E3" s="161"/>
      <c r="F3" s="161"/>
      <c r="G3" s="348"/>
      <c r="H3" s="348"/>
      <c r="I3" s="348"/>
      <c r="J3" s="348"/>
      <c r="K3" s="348"/>
      <c r="L3" s="3"/>
      <c r="M3" s="928"/>
      <c r="O3" s="151"/>
    </row>
    <row r="4" ht="30.0" customHeight="1">
      <c r="B4" s="1"/>
      <c r="C4" s="5"/>
      <c r="D4" s="161"/>
      <c r="E4" s="161"/>
      <c r="F4" s="161"/>
      <c r="G4" s="348"/>
      <c r="H4" s="348"/>
      <c r="I4" s="348"/>
      <c r="J4" s="348"/>
      <c r="K4" s="963" t="s">
        <v>2</v>
      </c>
      <c r="L4" s="7"/>
      <c r="M4" s="928"/>
      <c r="N4" s="8" t="s">
        <v>3</v>
      </c>
      <c r="O4" s="7"/>
    </row>
    <row r="5" ht="22.5" hidden="1" customHeight="1">
      <c r="B5" s="1"/>
      <c r="D5" s="161"/>
      <c r="E5" s="161"/>
      <c r="F5" s="161"/>
      <c r="G5" s="964" t="s">
        <v>96</v>
      </c>
      <c r="H5" s="779"/>
      <c r="I5" s="780"/>
      <c r="J5" s="356" t="s">
        <v>80</v>
      </c>
      <c r="K5" s="356"/>
      <c r="L5" s="930"/>
      <c r="M5" s="928"/>
      <c r="O5" s="151"/>
    </row>
    <row r="6" ht="54.0" customHeight="1">
      <c r="A6" s="358"/>
      <c r="B6" s="965" t="s">
        <v>6</v>
      </c>
      <c r="C6" s="966" t="s">
        <v>7</v>
      </c>
      <c r="D6" s="967" t="s">
        <v>97</v>
      </c>
      <c r="E6" s="967"/>
      <c r="F6" s="968" t="s">
        <v>8</v>
      </c>
      <c r="G6" s="969" t="s">
        <v>9</v>
      </c>
      <c r="H6" s="969" t="s">
        <v>10</v>
      </c>
      <c r="I6" s="969" t="s">
        <v>11</v>
      </c>
      <c r="J6" s="970" t="s">
        <v>12</v>
      </c>
      <c r="K6" s="971" t="s">
        <v>13</v>
      </c>
      <c r="L6" s="972" t="s">
        <v>14</v>
      </c>
      <c r="M6" s="973"/>
      <c r="N6" s="974" t="s">
        <v>18</v>
      </c>
      <c r="O6" s="972" t="s">
        <v>14</v>
      </c>
      <c r="P6" s="358"/>
      <c r="Q6" s="358"/>
      <c r="R6" s="358"/>
      <c r="S6" s="358"/>
      <c r="T6" s="358"/>
      <c r="U6" s="358"/>
      <c r="V6" s="358"/>
      <c r="W6" s="358"/>
      <c r="X6" s="358"/>
      <c r="Y6" s="358"/>
      <c r="Z6" s="358"/>
    </row>
    <row r="7" ht="30.0" customHeight="1">
      <c r="A7" s="358"/>
      <c r="B7" s="975"/>
      <c r="C7" s="194" t="s">
        <v>20</v>
      </c>
      <c r="D7" s="175"/>
      <c r="E7" s="175"/>
      <c r="F7" s="37"/>
      <c r="G7" s="176">
        <v>3.0</v>
      </c>
      <c r="H7" s="176">
        <v>2.0</v>
      </c>
      <c r="I7" s="176">
        <v>1.0</v>
      </c>
      <c r="J7" s="932"/>
      <c r="K7" s="933" t="s">
        <v>9</v>
      </c>
      <c r="L7" s="371"/>
      <c r="M7" s="934"/>
      <c r="N7" s="375"/>
      <c r="O7" s="976"/>
      <c r="P7" s="358"/>
      <c r="Q7" s="358"/>
      <c r="R7" s="358"/>
      <c r="S7" s="358"/>
      <c r="T7" s="358"/>
      <c r="U7" s="358"/>
      <c r="V7" s="358"/>
      <c r="W7" s="358"/>
      <c r="X7" s="358"/>
      <c r="Y7" s="358"/>
      <c r="Z7" s="358"/>
    </row>
    <row r="8" ht="30.0" customHeight="1">
      <c r="A8" s="935"/>
      <c r="B8" s="975"/>
      <c r="C8" s="198"/>
      <c r="D8" s="368"/>
      <c r="E8" s="368"/>
      <c r="F8" s="48"/>
      <c r="G8" s="371"/>
      <c r="H8" s="371"/>
      <c r="I8" s="371"/>
      <c r="J8" s="372"/>
      <c r="K8" s="387"/>
      <c r="L8" s="371"/>
      <c r="M8" s="934"/>
      <c r="N8" s="375"/>
      <c r="O8" s="976"/>
      <c r="P8" s="935"/>
      <c r="Q8" s="935"/>
      <c r="R8" s="935"/>
      <c r="S8" s="935"/>
      <c r="T8" s="935"/>
      <c r="U8" s="935"/>
      <c r="V8" s="935"/>
      <c r="W8" s="935"/>
      <c r="X8" s="935"/>
      <c r="Y8" s="935"/>
      <c r="Z8" s="935"/>
    </row>
    <row r="9" ht="30.0" hidden="1" customHeight="1">
      <c r="A9" s="358"/>
      <c r="B9" s="975"/>
      <c r="C9" s="977"/>
      <c r="D9" s="175"/>
      <c r="E9" s="185" t="s">
        <v>81</v>
      </c>
      <c r="F9" s="54"/>
      <c r="G9" s="176"/>
      <c r="H9" s="176"/>
      <c r="I9" s="176"/>
      <c r="J9" s="932"/>
      <c r="K9" s="978">
        <v>11.0</v>
      </c>
      <c r="L9" s="371"/>
      <c r="M9" s="934"/>
      <c r="N9" s="375"/>
      <c r="O9" s="976"/>
      <c r="P9" s="358"/>
      <c r="Q9" s="358"/>
      <c r="R9" s="358"/>
      <c r="S9" s="358"/>
      <c r="T9" s="358"/>
      <c r="U9" s="358"/>
      <c r="V9" s="358"/>
      <c r="W9" s="358"/>
      <c r="X9" s="358"/>
      <c r="Y9" s="358"/>
      <c r="Z9" s="358"/>
    </row>
    <row r="10" ht="30.0" hidden="1" customHeight="1">
      <c r="A10" s="358"/>
      <c r="B10" s="979"/>
      <c r="C10" s="174"/>
      <c r="D10" s="175"/>
      <c r="E10" s="185" t="s">
        <v>11</v>
      </c>
      <c r="F10" s="54"/>
      <c r="G10" s="176"/>
      <c r="H10" s="176"/>
      <c r="I10" s="176"/>
      <c r="J10" s="932">
        <v>1.0</v>
      </c>
      <c r="K10" s="943"/>
      <c r="L10" s="371"/>
      <c r="M10" s="934"/>
      <c r="N10" s="375"/>
      <c r="O10" s="976"/>
      <c r="P10" s="358"/>
      <c r="Q10" s="358"/>
      <c r="R10" s="358"/>
      <c r="S10" s="358"/>
      <c r="T10" s="358"/>
      <c r="U10" s="358"/>
      <c r="V10" s="358"/>
      <c r="W10" s="358"/>
      <c r="X10" s="358"/>
      <c r="Y10" s="358"/>
      <c r="Z10" s="358"/>
    </row>
    <row r="11" ht="30.0" hidden="1" customHeight="1">
      <c r="A11" s="358"/>
      <c r="B11" s="979"/>
      <c r="C11" s="174"/>
      <c r="D11" s="175"/>
      <c r="E11" s="185" t="s">
        <v>10</v>
      </c>
      <c r="F11" s="54"/>
      <c r="G11" s="176"/>
      <c r="H11" s="176"/>
      <c r="I11" s="176"/>
      <c r="J11" s="932">
        <v>2.0</v>
      </c>
      <c r="K11" s="943"/>
      <c r="L11" s="371"/>
      <c r="M11" s="934"/>
      <c r="N11" s="375"/>
      <c r="O11" s="976"/>
      <c r="P11" s="358"/>
      <c r="Q11" s="358"/>
      <c r="R11" s="358"/>
      <c r="S11" s="358"/>
      <c r="T11" s="358"/>
      <c r="U11" s="358"/>
      <c r="V11" s="358"/>
      <c r="W11" s="358"/>
      <c r="X11" s="358"/>
      <c r="Y11" s="358"/>
      <c r="Z11" s="358"/>
    </row>
    <row r="12" ht="30.0" hidden="1" customHeight="1">
      <c r="A12" s="358"/>
      <c r="B12" s="979"/>
      <c r="C12" s="174"/>
      <c r="D12" s="175"/>
      <c r="E12" s="185" t="s">
        <v>9</v>
      </c>
      <c r="F12" s="44"/>
      <c r="G12" s="176"/>
      <c r="H12" s="176"/>
      <c r="I12" s="176"/>
      <c r="J12" s="932">
        <v>3.0</v>
      </c>
      <c r="K12" s="943"/>
      <c r="L12" s="371"/>
      <c r="M12" s="934"/>
      <c r="N12" s="375"/>
      <c r="O12" s="976"/>
      <c r="P12" s="358"/>
      <c r="Q12" s="358"/>
      <c r="R12" s="358"/>
      <c r="S12" s="358"/>
      <c r="T12" s="358"/>
      <c r="U12" s="358"/>
      <c r="V12" s="358"/>
      <c r="W12" s="358"/>
      <c r="X12" s="358"/>
      <c r="Y12" s="358"/>
      <c r="Z12" s="358"/>
    </row>
    <row r="13" ht="30.0" hidden="1" customHeight="1">
      <c r="A13" s="358"/>
      <c r="B13" s="979"/>
      <c r="C13" s="174"/>
      <c r="D13" s="175"/>
      <c r="E13" s="185" t="s">
        <v>21</v>
      </c>
      <c r="F13" s="63">
        <v>1.24</v>
      </c>
      <c r="G13" s="176"/>
      <c r="H13" s="203">
        <v>1.25</v>
      </c>
      <c r="I13" s="203">
        <v>1.32</v>
      </c>
      <c r="J13" s="932"/>
      <c r="K13" s="980"/>
      <c r="L13" s="371"/>
      <c r="M13" s="934"/>
      <c r="N13" s="375"/>
      <c r="O13" s="976"/>
      <c r="P13" s="358"/>
      <c r="Q13" s="358"/>
      <c r="R13" s="358"/>
      <c r="S13" s="358"/>
      <c r="T13" s="358"/>
      <c r="U13" s="358"/>
      <c r="V13" s="358"/>
      <c r="W13" s="358"/>
      <c r="X13" s="358"/>
      <c r="Y13" s="358"/>
      <c r="Z13" s="358"/>
    </row>
    <row r="14" ht="30.0" customHeight="1">
      <c r="A14" s="392"/>
      <c r="B14" s="981"/>
      <c r="C14" s="953" t="s">
        <v>205</v>
      </c>
      <c r="D14" s="42"/>
      <c r="E14" s="42"/>
      <c r="F14" s="42"/>
      <c r="G14" s="400"/>
      <c r="H14" s="400"/>
      <c r="I14" s="400"/>
      <c r="J14" s="954"/>
      <c r="K14" s="227">
        <v>500.0</v>
      </c>
      <c r="L14" s="246"/>
      <c r="M14" s="952"/>
      <c r="N14" s="612"/>
      <c r="O14" s="982"/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</row>
    <row r="15" ht="30.0" customHeight="1">
      <c r="A15" s="392"/>
      <c r="B15" s="983">
        <v>1.0</v>
      </c>
      <c r="C15" s="65" t="s">
        <v>206</v>
      </c>
      <c r="D15" s="66">
        <v>560.0</v>
      </c>
      <c r="E15" s="66"/>
      <c r="F15" s="66"/>
      <c r="G15" s="400"/>
      <c r="H15" s="400"/>
      <c r="I15" s="400"/>
      <c r="J15" s="400"/>
      <c r="K15" s="955" t="s">
        <v>25</v>
      </c>
      <c r="L15" s="73">
        <f>IF(K15="YES",IF(K7="2010-2013",I16*$K$14,IF(K7="2014-2021",H16*$K$14,IF(K7="2021-2023",G16*$K$14,0))),0)</f>
        <v>347200</v>
      </c>
      <c r="M15" s="984"/>
      <c r="N15" s="72" t="s">
        <v>87</v>
      </c>
      <c r="O15" s="419">
        <f>IF(N15="Delapidated",L15*0.6,IF(N15="Poor",L15*0.7,IF(N15="Fair",L15*0.8,IF(N15="Good",L15*0.85,IF(N15="Very Good",L15*0.9,IF(N15="Excellent",L15*1,IF(N15="Not Applicable",L15*1,0)))))))</f>
        <v>208320</v>
      </c>
      <c r="P15" s="392"/>
      <c r="Q15" s="392"/>
      <c r="R15" s="392"/>
      <c r="S15" s="392"/>
      <c r="T15" s="392"/>
      <c r="U15" s="392"/>
      <c r="V15" s="392"/>
      <c r="W15" s="392"/>
      <c r="X15" s="392"/>
      <c r="Y15" s="392"/>
      <c r="Z15" s="392"/>
    </row>
    <row r="16" ht="30.0" hidden="1" customHeight="1">
      <c r="A16" s="392"/>
      <c r="B16" s="985"/>
      <c r="C16" s="79" t="s">
        <v>25</v>
      </c>
      <c r="D16" s="399">
        <f>D15*D18</f>
        <v>56000</v>
      </c>
      <c r="E16" s="399"/>
      <c r="F16" s="399"/>
      <c r="G16" s="400">
        <f>560*F13</f>
        <v>694.4</v>
      </c>
      <c r="H16" s="400">
        <f t="shared" ref="H16:H17" si="1">G16/$H$13</f>
        <v>555.52</v>
      </c>
      <c r="I16" s="400">
        <f t="shared" ref="I16:I17" si="2">G16/$I$13</f>
        <v>526.0606061</v>
      </c>
      <c r="J16" s="400">
        <v>1.0</v>
      </c>
      <c r="K16" s="947"/>
      <c r="L16" s="681"/>
      <c r="M16" s="984">
        <f>K14*G16</f>
        <v>347200</v>
      </c>
      <c r="N16" s="219"/>
      <c r="O16" s="986"/>
      <c r="P16" s="392"/>
      <c r="Q16" s="392"/>
      <c r="R16" s="392"/>
      <c r="S16" s="392"/>
      <c r="T16" s="392"/>
      <c r="U16" s="392"/>
      <c r="V16" s="392"/>
      <c r="W16" s="392"/>
      <c r="X16" s="392"/>
      <c r="Y16" s="392"/>
      <c r="Z16" s="392"/>
    </row>
    <row r="17" ht="30.0" hidden="1" customHeight="1">
      <c r="A17" s="392"/>
      <c r="B17" s="985"/>
      <c r="C17" s="79" t="s">
        <v>26</v>
      </c>
      <c r="D17" s="399">
        <v>0.0</v>
      </c>
      <c r="E17" s="399"/>
      <c r="F17" s="399"/>
      <c r="G17" s="400">
        <v>0.0</v>
      </c>
      <c r="H17" s="400">
        <f t="shared" si="1"/>
        <v>0</v>
      </c>
      <c r="I17" s="400">
        <f t="shared" si="2"/>
        <v>0</v>
      </c>
      <c r="J17" s="400">
        <v>2.0</v>
      </c>
      <c r="K17" s="948"/>
      <c r="L17" s="73"/>
      <c r="M17" s="984">
        <v>0.0</v>
      </c>
      <c r="N17" s="219"/>
      <c r="O17" s="986"/>
      <c r="P17" s="392"/>
      <c r="Q17" s="392"/>
      <c r="R17" s="392"/>
      <c r="S17" s="392"/>
      <c r="T17" s="392"/>
      <c r="U17" s="392"/>
      <c r="V17" s="392"/>
      <c r="W17" s="392"/>
      <c r="X17" s="392"/>
      <c r="Y17" s="392"/>
      <c r="Z17" s="392"/>
    </row>
    <row r="18" ht="30.0" hidden="1" customHeight="1">
      <c r="A18" s="392"/>
      <c r="B18" s="987"/>
      <c r="C18" s="949" t="s">
        <v>204</v>
      </c>
      <c r="D18" s="42">
        <v>100.0</v>
      </c>
      <c r="E18" s="42"/>
      <c r="F18" s="42"/>
      <c r="G18" s="400"/>
      <c r="H18" s="400"/>
      <c r="I18" s="400"/>
      <c r="J18" s="400"/>
      <c r="K18" s="948"/>
      <c r="L18" s="73"/>
      <c r="M18" s="984"/>
      <c r="N18" s="219"/>
      <c r="O18" s="986"/>
      <c r="P18" s="392"/>
      <c r="Q18" s="392"/>
      <c r="R18" s="392"/>
      <c r="S18" s="392"/>
      <c r="T18" s="392"/>
      <c r="U18" s="392"/>
      <c r="V18" s="392"/>
      <c r="W18" s="392"/>
      <c r="X18" s="392"/>
      <c r="Y18" s="392"/>
      <c r="Z18" s="392"/>
    </row>
    <row r="19" ht="30.0" customHeight="1">
      <c r="A19" s="404"/>
      <c r="B19" s="988"/>
      <c r="C19" s="950"/>
      <c r="D19" s="221"/>
      <c r="E19" s="221"/>
      <c r="F19" s="221"/>
      <c r="G19" s="407"/>
      <c r="H19" s="407"/>
      <c r="I19" s="407"/>
      <c r="J19" s="407"/>
      <c r="K19" s="951"/>
      <c r="L19" s="45"/>
      <c r="M19" s="952"/>
      <c r="N19" s="612"/>
      <c r="O19" s="989"/>
      <c r="P19" s="404"/>
      <c r="Q19" s="404"/>
      <c r="R19" s="404"/>
      <c r="S19" s="404"/>
      <c r="T19" s="404"/>
      <c r="U19" s="404"/>
      <c r="V19" s="404"/>
      <c r="W19" s="404"/>
      <c r="X19" s="404"/>
      <c r="Y19" s="404"/>
      <c r="Z19" s="404"/>
    </row>
    <row r="20" ht="30.0" customHeight="1">
      <c r="A20" s="392"/>
      <c r="B20" s="981"/>
      <c r="C20" s="953" t="s">
        <v>207</v>
      </c>
      <c r="D20" s="42"/>
      <c r="E20" s="42"/>
      <c r="F20" s="42"/>
      <c r="G20" s="400"/>
      <c r="H20" s="400"/>
      <c r="I20" s="400"/>
      <c r="J20" s="954"/>
      <c r="K20" s="227">
        <v>18.0</v>
      </c>
      <c r="L20" s="228"/>
      <c r="M20" s="952"/>
      <c r="N20" s="612"/>
      <c r="O20" s="989"/>
      <c r="P20" s="392"/>
      <c r="Q20" s="392"/>
      <c r="R20" s="392"/>
      <c r="S20" s="392"/>
      <c r="T20" s="392"/>
      <c r="U20" s="392"/>
      <c r="V20" s="392"/>
      <c r="W20" s="392"/>
      <c r="X20" s="392"/>
      <c r="Y20" s="392"/>
      <c r="Z20" s="392"/>
    </row>
    <row r="21" ht="30.0" customHeight="1">
      <c r="A21" s="392"/>
      <c r="B21" s="44">
        <v>2.0</v>
      </c>
      <c r="C21" s="65" t="s">
        <v>208</v>
      </c>
      <c r="D21" s="66">
        <v>450.0</v>
      </c>
      <c r="E21" s="66"/>
      <c r="F21" s="66"/>
      <c r="G21" s="400"/>
      <c r="H21" s="400"/>
      <c r="I21" s="400"/>
      <c r="J21" s="400"/>
      <c r="K21" s="955" t="s">
        <v>25</v>
      </c>
      <c r="L21" s="73">
        <f>IF(K21="YES",IF(K7="2010-2013",I22*$K$20,IF(K7="2014-2021",H22*$K$20,IF(K7="2021-2023",G22*$K$20,0))),0)</f>
        <v>10044</v>
      </c>
      <c r="M21" s="984"/>
      <c r="N21" s="72" t="s">
        <v>194</v>
      </c>
      <c r="O21" s="419">
        <f>IF(N21="Delapidated",L21*0.6,IF(N21="Poor",L21*0.7,IF(N21="Fair",L21*0.8,IF(N21="Good",L21*0.85,IF(N21="Very Good",L21*0.9,IF(N21="Excellent",L21*1,IF(N21="Not Applicable",L21*1,0)))))))</f>
        <v>8035.2</v>
      </c>
      <c r="P21" s="392"/>
      <c r="Q21" s="392"/>
      <c r="R21" s="392"/>
      <c r="S21" s="392"/>
      <c r="T21" s="392"/>
      <c r="U21" s="392"/>
      <c r="V21" s="392"/>
      <c r="W21" s="392"/>
      <c r="X21" s="392"/>
      <c r="Y21" s="392"/>
      <c r="Z21" s="392"/>
    </row>
    <row r="22" ht="30.0" hidden="1" customHeight="1">
      <c r="A22" s="392"/>
      <c r="B22" s="44"/>
      <c r="C22" s="79" t="s">
        <v>25</v>
      </c>
      <c r="D22" s="399">
        <f>D24*D21</f>
        <v>8100</v>
      </c>
      <c r="E22" s="399"/>
      <c r="F22" s="399"/>
      <c r="G22" s="400">
        <f>450*F13</f>
        <v>558</v>
      </c>
      <c r="H22" s="400">
        <f t="shared" ref="H22:H23" si="3">G22/$H$13</f>
        <v>446.4</v>
      </c>
      <c r="I22" s="400">
        <f t="shared" ref="I22:I23" si="4">G22/$I$13</f>
        <v>422.7272727</v>
      </c>
      <c r="J22" s="400">
        <v>1.0</v>
      </c>
      <c r="K22" s="219"/>
      <c r="L22" s="413"/>
      <c r="M22" s="984">
        <f>K20*G22</f>
        <v>10044</v>
      </c>
      <c r="N22" s="219"/>
      <c r="O22" s="990"/>
      <c r="P22" s="392"/>
      <c r="Q22" s="392"/>
      <c r="R22" s="392"/>
      <c r="S22" s="392"/>
      <c r="T22" s="392"/>
      <c r="U22" s="392"/>
      <c r="V22" s="392"/>
      <c r="W22" s="392"/>
      <c r="X22" s="392"/>
      <c r="Y22" s="392"/>
      <c r="Z22" s="392"/>
    </row>
    <row r="23" ht="30.0" hidden="1" customHeight="1">
      <c r="A23" s="392"/>
      <c r="B23" s="44"/>
      <c r="C23" s="79" t="s">
        <v>26</v>
      </c>
      <c r="D23" s="399" t="str">
        <f>#REF!*L23</f>
        <v>#REF!</v>
      </c>
      <c r="E23" s="399"/>
      <c r="F23" s="399"/>
      <c r="G23" s="400">
        <v>0.0</v>
      </c>
      <c r="H23" s="400">
        <f t="shared" si="3"/>
        <v>0</v>
      </c>
      <c r="I23" s="400">
        <f t="shared" si="4"/>
        <v>0</v>
      </c>
      <c r="J23" s="400">
        <v>2.0</v>
      </c>
      <c r="K23" s="400"/>
      <c r="L23" s="945"/>
      <c r="M23" s="984">
        <v>0.0</v>
      </c>
      <c r="N23" s="219"/>
      <c r="O23" s="990"/>
      <c r="P23" s="392"/>
      <c r="Q23" s="392"/>
      <c r="R23" s="392"/>
      <c r="S23" s="392"/>
      <c r="T23" s="392"/>
      <c r="U23" s="392"/>
      <c r="V23" s="392"/>
      <c r="W23" s="392"/>
      <c r="X23" s="392"/>
      <c r="Y23" s="392"/>
      <c r="Z23" s="392"/>
    </row>
    <row r="24" ht="15.0" hidden="1" customHeight="1">
      <c r="A24" s="392"/>
      <c r="B24" s="44"/>
      <c r="C24" s="991" t="s">
        <v>204</v>
      </c>
      <c r="D24" s="992">
        <v>18.0</v>
      </c>
      <c r="E24" s="992"/>
      <c r="F24" s="992"/>
      <c r="G24" s="426"/>
      <c r="H24" s="426"/>
      <c r="I24" s="426"/>
      <c r="J24" s="426"/>
      <c r="K24" s="426"/>
      <c r="L24" s="993"/>
      <c r="M24" s="994"/>
      <c r="N24" s="995"/>
      <c r="O24" s="996"/>
      <c r="P24" s="392"/>
      <c r="Q24" s="392"/>
      <c r="R24" s="392"/>
      <c r="S24" s="392"/>
      <c r="T24" s="392"/>
      <c r="U24" s="392"/>
      <c r="V24" s="392"/>
      <c r="W24" s="392"/>
      <c r="X24" s="392"/>
      <c r="Y24" s="392"/>
      <c r="Z24" s="392"/>
    </row>
    <row r="25" ht="30.0" customHeight="1">
      <c r="A25" s="956"/>
      <c r="B25" s="340"/>
      <c r="C25" s="570"/>
      <c r="D25" s="342"/>
      <c r="E25" s="342"/>
      <c r="F25" s="342"/>
      <c r="G25" s="957"/>
      <c r="H25" s="957"/>
      <c r="I25" s="957"/>
      <c r="J25" s="957"/>
      <c r="K25" s="957"/>
      <c r="L25" s="248"/>
      <c r="M25" s="958"/>
      <c r="N25" s="218"/>
      <c r="O25" s="959"/>
      <c r="P25" s="404"/>
      <c r="Q25" s="404"/>
      <c r="R25" s="404"/>
      <c r="S25" s="404"/>
      <c r="T25" s="404"/>
      <c r="U25" s="404"/>
      <c r="V25" s="404"/>
      <c r="W25" s="404"/>
      <c r="X25" s="404"/>
      <c r="Y25" s="404"/>
      <c r="Z25" s="404"/>
    </row>
    <row r="26" ht="30.0" customHeight="1">
      <c r="A26" s="960"/>
      <c r="B26" s="119"/>
      <c r="C26" s="17"/>
      <c r="D26" s="16"/>
      <c r="E26" s="16"/>
      <c r="F26" s="16"/>
      <c r="G26" s="430"/>
      <c r="H26" s="430"/>
      <c r="I26" s="430"/>
      <c r="J26" s="17"/>
      <c r="K26" s="435" t="s">
        <v>116</v>
      </c>
      <c r="L26" s="436">
        <f>SUM(L15:L23)</f>
        <v>357244</v>
      </c>
      <c r="M26" s="961"/>
      <c r="N26" s="17"/>
      <c r="O26" s="266">
        <f>SUM(O15:O21)</f>
        <v>216355.2</v>
      </c>
      <c r="P26" s="960"/>
      <c r="Q26" s="960"/>
      <c r="R26" s="960"/>
      <c r="S26" s="960"/>
      <c r="T26" s="960"/>
      <c r="U26" s="960"/>
      <c r="V26" s="960"/>
      <c r="W26" s="960"/>
      <c r="X26" s="960"/>
      <c r="Y26" s="960"/>
      <c r="Z26" s="960"/>
    </row>
    <row r="27" ht="12.0" customHeight="1">
      <c r="B27" s="1"/>
      <c r="D27" s="161"/>
      <c r="E27" s="161"/>
      <c r="F27" s="161"/>
      <c r="G27" s="348"/>
      <c r="H27" s="348"/>
      <c r="I27" s="348"/>
      <c r="J27" s="348"/>
      <c r="K27" s="348"/>
      <c r="L27" s="3"/>
      <c r="M27" s="928"/>
      <c r="O27" s="151"/>
    </row>
    <row r="28" ht="12.0" customHeight="1">
      <c r="B28" s="1"/>
      <c r="D28" s="161"/>
      <c r="E28" s="161"/>
      <c r="F28" s="161"/>
      <c r="G28" s="348"/>
      <c r="H28" s="348"/>
      <c r="I28" s="348"/>
      <c r="J28" s="348"/>
      <c r="K28" s="997" t="s">
        <v>131</v>
      </c>
      <c r="L28" s="265">
        <f>L26/K14</f>
        <v>714.488</v>
      </c>
      <c r="M28" s="17"/>
      <c r="O28" s="266">
        <f>O26/K14</f>
        <v>432.7104</v>
      </c>
    </row>
    <row r="29" ht="12.0" customHeight="1">
      <c r="B29" s="1"/>
      <c r="D29" s="161"/>
      <c r="E29" s="161"/>
      <c r="F29" s="161"/>
      <c r="G29" s="348"/>
      <c r="H29" s="348"/>
      <c r="I29" s="348"/>
      <c r="J29" s="348"/>
      <c r="K29" s="348"/>
      <c r="L29" s="3"/>
      <c r="M29" s="928"/>
      <c r="O29" s="151"/>
    </row>
    <row r="30" ht="12.0" customHeight="1">
      <c r="B30" s="1"/>
      <c r="D30" s="161"/>
      <c r="E30" s="161"/>
      <c r="F30" s="161"/>
      <c r="G30" s="348"/>
      <c r="H30" s="348"/>
      <c r="I30" s="348"/>
      <c r="J30" s="348"/>
      <c r="K30" s="348"/>
      <c r="L30" s="3"/>
      <c r="M30" s="928"/>
      <c r="O30" s="151"/>
    </row>
    <row r="31" ht="12.0" customHeight="1">
      <c r="B31" s="1"/>
      <c r="D31" s="161"/>
      <c r="E31" s="161"/>
      <c r="F31" s="161"/>
      <c r="G31" s="348"/>
      <c r="H31" s="348"/>
      <c r="I31" s="348"/>
      <c r="J31" s="348"/>
      <c r="K31" s="348"/>
      <c r="L31" s="3"/>
      <c r="M31" s="928"/>
      <c r="O31" s="151"/>
    </row>
    <row r="32" ht="12.0" customHeight="1">
      <c r="B32" s="1"/>
      <c r="D32" s="161"/>
      <c r="E32" s="161"/>
      <c r="F32" s="161"/>
      <c r="G32" s="348"/>
      <c r="H32" s="348"/>
      <c r="I32" s="348"/>
      <c r="J32" s="348"/>
      <c r="K32" s="348"/>
      <c r="L32" s="3"/>
      <c r="M32" s="928"/>
      <c r="O32" s="151"/>
    </row>
    <row r="33" ht="12.0" customHeight="1">
      <c r="B33" s="1"/>
      <c r="D33" s="161"/>
      <c r="E33" s="161"/>
      <c r="F33" s="161"/>
      <c r="G33" s="348"/>
      <c r="H33" s="348"/>
      <c r="I33" s="348"/>
      <c r="J33" s="348"/>
      <c r="K33" s="348"/>
      <c r="L33" s="3"/>
      <c r="M33" s="928"/>
      <c r="O33" s="151"/>
    </row>
    <row r="34" ht="12.0" customHeight="1">
      <c r="B34" s="1"/>
      <c r="D34" s="161"/>
      <c r="E34" s="161"/>
      <c r="F34" s="161"/>
      <c r="G34" s="348"/>
      <c r="H34" s="348"/>
      <c r="I34" s="348"/>
      <c r="J34" s="348"/>
      <c r="K34" s="348"/>
      <c r="L34" s="3"/>
      <c r="M34" s="928"/>
      <c r="O34" s="151"/>
    </row>
    <row r="35" ht="12.0" customHeight="1">
      <c r="B35" s="1"/>
      <c r="D35" s="161"/>
      <c r="E35" s="161"/>
      <c r="F35" s="161"/>
      <c r="G35" s="348"/>
      <c r="H35" s="348"/>
      <c r="I35" s="348"/>
      <c r="J35" s="348"/>
      <c r="K35" s="348"/>
      <c r="L35" s="3"/>
      <c r="M35" s="928"/>
      <c r="O35" s="151"/>
    </row>
    <row r="36" ht="12.0" customHeight="1">
      <c r="B36" s="1"/>
      <c r="D36" s="161"/>
      <c r="E36" s="161"/>
      <c r="F36" s="161"/>
      <c r="G36" s="348"/>
      <c r="H36" s="348"/>
      <c r="I36" s="348"/>
      <c r="J36" s="348"/>
      <c r="K36" s="348"/>
      <c r="L36" s="3"/>
      <c r="M36" s="928"/>
      <c r="O36" s="151"/>
    </row>
    <row r="37" ht="12.0" customHeight="1">
      <c r="B37" s="1"/>
      <c r="D37" s="161"/>
      <c r="E37" s="161"/>
      <c r="F37" s="161"/>
      <c r="G37" s="348"/>
      <c r="H37" s="348"/>
      <c r="I37" s="348"/>
      <c r="J37" s="348"/>
      <c r="K37" s="348"/>
      <c r="L37" s="3"/>
      <c r="M37" s="928"/>
      <c r="O37" s="151"/>
    </row>
    <row r="38" ht="12.0" customHeight="1">
      <c r="B38" s="1"/>
      <c r="D38" s="161"/>
      <c r="E38" s="161"/>
      <c r="F38" s="161"/>
      <c r="G38" s="348"/>
      <c r="H38" s="348"/>
      <c r="I38" s="348"/>
      <c r="J38" s="348"/>
      <c r="K38" s="348"/>
      <c r="L38" s="3"/>
      <c r="M38" s="928"/>
      <c r="O38" s="151"/>
    </row>
    <row r="39" ht="12.0" customHeight="1">
      <c r="B39" s="1"/>
      <c r="D39" s="161"/>
      <c r="E39" s="161"/>
      <c r="F39" s="161"/>
      <c r="G39" s="348"/>
      <c r="H39" s="348"/>
      <c r="I39" s="348"/>
      <c r="J39" s="348"/>
      <c r="K39" s="348"/>
      <c r="L39" s="3"/>
      <c r="M39" s="928"/>
      <c r="O39" s="151"/>
    </row>
    <row r="40" ht="12.0" customHeight="1">
      <c r="B40" s="1"/>
      <c r="D40" s="161"/>
      <c r="E40" s="161"/>
      <c r="F40" s="161"/>
      <c r="G40" s="348"/>
      <c r="H40" s="348"/>
      <c r="I40" s="348"/>
      <c r="J40" s="348"/>
      <c r="K40" s="348"/>
      <c r="L40" s="3"/>
      <c r="M40" s="928"/>
      <c r="O40" s="151"/>
    </row>
    <row r="41" ht="12.0" customHeight="1">
      <c r="B41" s="1"/>
      <c r="D41" s="161"/>
      <c r="E41" s="161"/>
      <c r="F41" s="161"/>
      <c r="G41" s="348"/>
      <c r="H41" s="348"/>
      <c r="I41" s="348"/>
      <c r="J41" s="348"/>
      <c r="K41" s="348"/>
      <c r="L41" s="3"/>
      <c r="M41" s="928"/>
      <c r="O41" s="151"/>
    </row>
    <row r="42" ht="12.0" customHeight="1">
      <c r="B42" s="1"/>
      <c r="D42" s="161"/>
      <c r="E42" s="161"/>
      <c r="F42" s="161"/>
      <c r="G42" s="348"/>
      <c r="H42" s="348"/>
      <c r="I42" s="348"/>
      <c r="J42" s="348"/>
      <c r="K42" s="348"/>
      <c r="L42" s="3"/>
      <c r="M42" s="928"/>
      <c r="O42" s="151"/>
    </row>
    <row r="43" ht="12.0" customHeight="1">
      <c r="B43" s="1"/>
      <c r="D43" s="161"/>
      <c r="E43" s="161"/>
      <c r="F43" s="161"/>
      <c r="G43" s="348"/>
      <c r="H43" s="348"/>
      <c r="I43" s="348"/>
      <c r="J43" s="348"/>
      <c r="K43" s="348"/>
      <c r="L43" s="3"/>
      <c r="M43" s="928"/>
      <c r="O43" s="151"/>
    </row>
    <row r="44" ht="12.0" customHeight="1">
      <c r="B44" s="1"/>
      <c r="D44" s="161"/>
      <c r="E44" s="161"/>
      <c r="F44" s="161"/>
      <c r="G44" s="348"/>
      <c r="H44" s="348"/>
      <c r="I44" s="348"/>
      <c r="J44" s="348"/>
      <c r="K44" s="348"/>
      <c r="L44" s="3"/>
      <c r="M44" s="928"/>
      <c r="O44" s="151"/>
    </row>
    <row r="45" ht="12.0" customHeight="1">
      <c r="B45" s="1"/>
      <c r="D45" s="161"/>
      <c r="E45" s="161"/>
      <c r="F45" s="161"/>
      <c r="G45" s="348"/>
      <c r="H45" s="348"/>
      <c r="I45" s="348"/>
      <c r="J45" s="348"/>
      <c r="K45" s="348"/>
      <c r="L45" s="3"/>
      <c r="M45" s="928"/>
      <c r="O45" s="151"/>
    </row>
    <row r="46" ht="12.0" customHeight="1">
      <c r="B46" s="1"/>
      <c r="D46" s="161"/>
      <c r="E46" s="161"/>
      <c r="F46" s="161"/>
      <c r="G46" s="348"/>
      <c r="H46" s="348"/>
      <c r="I46" s="348"/>
      <c r="J46" s="348"/>
      <c r="K46" s="348"/>
      <c r="L46" s="3"/>
      <c r="M46" s="928"/>
      <c r="O46" s="151"/>
    </row>
    <row r="47" ht="12.0" customHeight="1">
      <c r="B47" s="1"/>
      <c r="D47" s="161"/>
      <c r="E47" s="161"/>
      <c r="F47" s="161"/>
      <c r="G47" s="348"/>
      <c r="H47" s="348"/>
      <c r="I47" s="348"/>
      <c r="J47" s="348"/>
      <c r="K47" s="348"/>
      <c r="L47" s="3"/>
      <c r="M47" s="928"/>
      <c r="O47" s="151"/>
    </row>
    <row r="48" ht="12.0" customHeight="1">
      <c r="B48" s="1"/>
      <c r="D48" s="161"/>
      <c r="E48" s="161"/>
      <c r="F48" s="161"/>
      <c r="G48" s="348"/>
      <c r="H48" s="348"/>
      <c r="I48" s="348"/>
      <c r="J48" s="348"/>
      <c r="K48" s="348"/>
      <c r="L48" s="3"/>
      <c r="M48" s="928"/>
      <c r="O48" s="151"/>
    </row>
    <row r="49" ht="12.0" customHeight="1">
      <c r="B49" s="1"/>
      <c r="D49" s="161"/>
      <c r="E49" s="161"/>
      <c r="F49" s="161"/>
      <c r="G49" s="348"/>
      <c r="H49" s="348"/>
      <c r="I49" s="348"/>
      <c r="J49" s="348"/>
      <c r="K49" s="348"/>
      <c r="L49" s="3"/>
      <c r="M49" s="928"/>
      <c r="O49" s="151"/>
    </row>
    <row r="50" ht="12.0" customHeight="1">
      <c r="B50" s="1"/>
      <c r="D50" s="161"/>
      <c r="E50" s="161"/>
      <c r="F50" s="161"/>
      <c r="G50" s="348"/>
      <c r="H50" s="348"/>
      <c r="I50" s="348"/>
      <c r="J50" s="348"/>
      <c r="K50" s="348"/>
      <c r="L50" s="3"/>
      <c r="M50" s="928"/>
      <c r="O50" s="151"/>
    </row>
    <row r="51" ht="12.0" customHeight="1">
      <c r="B51" s="1"/>
      <c r="D51" s="161"/>
      <c r="E51" s="161"/>
      <c r="F51" s="161"/>
      <c r="G51" s="348"/>
      <c r="H51" s="348"/>
      <c r="I51" s="348"/>
      <c r="J51" s="348"/>
      <c r="K51" s="348"/>
      <c r="L51" s="3"/>
      <c r="M51" s="928"/>
      <c r="O51" s="151"/>
    </row>
    <row r="52" ht="12.0" customHeight="1">
      <c r="B52" s="1"/>
      <c r="D52" s="161"/>
      <c r="E52" s="161"/>
      <c r="F52" s="161"/>
      <c r="G52" s="348"/>
      <c r="H52" s="348"/>
      <c r="I52" s="348"/>
      <c r="J52" s="348"/>
      <c r="K52" s="348"/>
      <c r="L52" s="3"/>
      <c r="M52" s="928"/>
      <c r="O52" s="151"/>
    </row>
    <row r="53" ht="12.0" customHeight="1">
      <c r="B53" s="1"/>
      <c r="D53" s="161"/>
      <c r="E53" s="161"/>
      <c r="F53" s="161"/>
      <c r="G53" s="348"/>
      <c r="H53" s="348"/>
      <c r="I53" s="348"/>
      <c r="J53" s="348"/>
      <c r="K53" s="348"/>
      <c r="L53" s="3"/>
      <c r="M53" s="928"/>
      <c r="O53" s="151"/>
    </row>
    <row r="54" ht="12.0" customHeight="1">
      <c r="B54" s="1"/>
      <c r="D54" s="161"/>
      <c r="E54" s="161"/>
      <c r="F54" s="161"/>
      <c r="G54" s="348"/>
      <c r="H54" s="348"/>
      <c r="I54" s="348"/>
      <c r="J54" s="348"/>
      <c r="K54" s="348"/>
      <c r="L54" s="3"/>
      <c r="M54" s="928"/>
      <c r="O54" s="151"/>
    </row>
    <row r="55" ht="12.0" customHeight="1">
      <c r="B55" s="1"/>
      <c r="D55" s="161"/>
      <c r="E55" s="161"/>
      <c r="F55" s="161"/>
      <c r="G55" s="348"/>
      <c r="H55" s="348"/>
      <c r="I55" s="348"/>
      <c r="J55" s="348"/>
      <c r="K55" s="348"/>
      <c r="L55" s="3"/>
      <c r="M55" s="928"/>
      <c r="O55" s="151"/>
    </row>
    <row r="56" ht="12.0" customHeight="1">
      <c r="B56" s="1"/>
      <c r="D56" s="161"/>
      <c r="E56" s="161"/>
      <c r="F56" s="161"/>
      <c r="G56" s="348"/>
      <c r="H56" s="348"/>
      <c r="I56" s="348"/>
      <c r="J56" s="348"/>
      <c r="K56" s="348"/>
      <c r="L56" s="3"/>
      <c r="M56" s="928"/>
      <c r="O56" s="151"/>
    </row>
    <row r="57" ht="12.0" customHeight="1">
      <c r="B57" s="1"/>
      <c r="D57" s="161"/>
      <c r="E57" s="161"/>
      <c r="F57" s="161"/>
      <c r="G57" s="348"/>
      <c r="H57" s="348"/>
      <c r="I57" s="348"/>
      <c r="J57" s="348"/>
      <c r="K57" s="348"/>
      <c r="L57" s="3"/>
      <c r="M57" s="928"/>
      <c r="O57" s="151"/>
    </row>
    <row r="58" ht="12.0" customHeight="1">
      <c r="B58" s="1"/>
      <c r="D58" s="161"/>
      <c r="E58" s="161"/>
      <c r="F58" s="161"/>
      <c r="G58" s="348"/>
      <c r="H58" s="348"/>
      <c r="I58" s="348"/>
      <c r="J58" s="348"/>
      <c r="K58" s="348"/>
      <c r="L58" s="3"/>
      <c r="M58" s="928"/>
      <c r="O58" s="151"/>
    </row>
    <row r="59" ht="12.0" customHeight="1">
      <c r="B59" s="1"/>
      <c r="D59" s="161"/>
      <c r="E59" s="161"/>
      <c r="F59" s="161"/>
      <c r="G59" s="348"/>
      <c r="H59" s="348"/>
      <c r="I59" s="348"/>
      <c r="J59" s="348"/>
      <c r="K59" s="348"/>
      <c r="L59" s="3"/>
      <c r="M59" s="928"/>
      <c r="O59" s="151"/>
    </row>
    <row r="60" ht="12.0" customHeight="1">
      <c r="B60" s="1"/>
      <c r="D60" s="161"/>
      <c r="E60" s="161"/>
      <c r="F60" s="161"/>
      <c r="G60" s="348"/>
      <c r="H60" s="348"/>
      <c r="I60" s="348"/>
      <c r="J60" s="348"/>
      <c r="K60" s="348"/>
      <c r="L60" s="3"/>
      <c r="M60" s="928"/>
      <c r="O60" s="151"/>
    </row>
    <row r="61" ht="12.0" customHeight="1">
      <c r="B61" s="1"/>
      <c r="D61" s="161"/>
      <c r="E61" s="161"/>
      <c r="F61" s="161"/>
      <c r="G61" s="348"/>
      <c r="H61" s="348"/>
      <c r="I61" s="348"/>
      <c r="J61" s="348"/>
      <c r="K61" s="348"/>
      <c r="L61" s="3"/>
      <c r="M61" s="928"/>
      <c r="O61" s="151"/>
    </row>
    <row r="62" ht="12.0" customHeight="1">
      <c r="B62" s="1"/>
      <c r="D62" s="161"/>
      <c r="E62" s="161"/>
      <c r="F62" s="161"/>
      <c r="G62" s="348"/>
      <c r="H62" s="348"/>
      <c r="I62" s="348"/>
      <c r="J62" s="348"/>
      <c r="K62" s="348"/>
      <c r="L62" s="3"/>
      <c r="M62" s="928"/>
      <c r="O62" s="151"/>
    </row>
    <row r="63" ht="12.0" customHeight="1">
      <c r="B63" s="1"/>
      <c r="D63" s="161"/>
      <c r="E63" s="161"/>
      <c r="F63" s="161"/>
      <c r="G63" s="348"/>
      <c r="H63" s="348"/>
      <c r="I63" s="348"/>
      <c r="J63" s="348"/>
      <c r="K63" s="348"/>
      <c r="L63" s="3"/>
      <c r="M63" s="928"/>
      <c r="O63" s="151"/>
    </row>
    <row r="64" ht="12.0" customHeight="1">
      <c r="B64" s="1"/>
      <c r="D64" s="161"/>
      <c r="E64" s="161"/>
      <c r="F64" s="161"/>
      <c r="G64" s="348"/>
      <c r="H64" s="348"/>
      <c r="I64" s="348"/>
      <c r="J64" s="348"/>
      <c r="K64" s="348"/>
      <c r="L64" s="3"/>
      <c r="M64" s="928"/>
      <c r="O64" s="151"/>
    </row>
    <row r="65" ht="12.0" customHeight="1">
      <c r="B65" s="1"/>
      <c r="D65" s="161"/>
      <c r="E65" s="161"/>
      <c r="F65" s="161"/>
      <c r="G65" s="348"/>
      <c r="H65" s="348"/>
      <c r="I65" s="348"/>
      <c r="J65" s="348"/>
      <c r="K65" s="348"/>
      <c r="L65" s="3"/>
      <c r="M65" s="928"/>
      <c r="O65" s="151"/>
    </row>
    <row r="66" ht="12.0" customHeight="1">
      <c r="B66" s="1"/>
      <c r="D66" s="161"/>
      <c r="E66" s="161"/>
      <c r="F66" s="161"/>
      <c r="G66" s="348"/>
      <c r="H66" s="348"/>
      <c r="I66" s="348"/>
      <c r="J66" s="348"/>
      <c r="K66" s="348"/>
      <c r="L66" s="3"/>
      <c r="M66" s="928"/>
      <c r="O66" s="151"/>
    </row>
    <row r="67" ht="12.0" customHeight="1">
      <c r="B67" s="1"/>
      <c r="D67" s="161"/>
      <c r="E67" s="161"/>
      <c r="F67" s="161"/>
      <c r="G67" s="348"/>
      <c r="H67" s="348"/>
      <c r="I67" s="348"/>
      <c r="J67" s="348"/>
      <c r="K67" s="348"/>
      <c r="L67" s="3"/>
      <c r="M67" s="928"/>
      <c r="O67" s="151"/>
    </row>
    <row r="68" ht="12.0" customHeight="1">
      <c r="B68" s="1"/>
      <c r="D68" s="161"/>
      <c r="E68" s="161"/>
      <c r="F68" s="161"/>
      <c r="G68" s="348"/>
      <c r="H68" s="348"/>
      <c r="I68" s="348"/>
      <c r="J68" s="348"/>
      <c r="K68" s="348"/>
      <c r="L68" s="3"/>
      <c r="M68" s="928"/>
      <c r="O68" s="151"/>
    </row>
    <row r="69" ht="12.0" customHeight="1">
      <c r="B69" s="1"/>
      <c r="D69" s="161"/>
      <c r="E69" s="161"/>
      <c r="F69" s="161"/>
      <c r="G69" s="348"/>
      <c r="H69" s="348"/>
      <c r="I69" s="348"/>
      <c r="J69" s="348"/>
      <c r="K69" s="348"/>
      <c r="L69" s="3"/>
      <c r="M69" s="928"/>
      <c r="O69" s="151"/>
    </row>
    <row r="70" ht="12.0" customHeight="1">
      <c r="B70" s="1"/>
      <c r="D70" s="161"/>
      <c r="E70" s="161"/>
      <c r="F70" s="161"/>
      <c r="G70" s="348"/>
      <c r="H70" s="348"/>
      <c r="I70" s="348"/>
      <c r="J70" s="348"/>
      <c r="K70" s="348"/>
      <c r="L70" s="3"/>
      <c r="M70" s="928"/>
      <c r="O70" s="151"/>
    </row>
    <row r="71" ht="12.0" customHeight="1">
      <c r="B71" s="1"/>
      <c r="D71" s="161"/>
      <c r="E71" s="161"/>
      <c r="F71" s="161"/>
      <c r="G71" s="348"/>
      <c r="H71" s="348"/>
      <c r="I71" s="348"/>
      <c r="J71" s="348"/>
      <c r="K71" s="348"/>
      <c r="L71" s="3"/>
      <c r="M71" s="928"/>
      <c r="O71" s="151"/>
    </row>
    <row r="72" ht="12.0" customHeight="1">
      <c r="B72" s="1"/>
      <c r="D72" s="161"/>
      <c r="E72" s="161"/>
      <c r="F72" s="161"/>
      <c r="G72" s="348"/>
      <c r="H72" s="348"/>
      <c r="I72" s="348"/>
      <c r="J72" s="348"/>
      <c r="K72" s="348"/>
      <c r="L72" s="3"/>
      <c r="M72" s="928"/>
      <c r="O72" s="151"/>
    </row>
    <row r="73" ht="12.0" customHeight="1">
      <c r="B73" s="1"/>
      <c r="D73" s="161"/>
      <c r="E73" s="161"/>
      <c r="F73" s="161"/>
      <c r="G73" s="348"/>
      <c r="H73" s="348"/>
      <c r="I73" s="348"/>
      <c r="J73" s="348"/>
      <c r="K73" s="348"/>
      <c r="L73" s="3"/>
      <c r="M73" s="928"/>
      <c r="O73" s="151"/>
    </row>
    <row r="74" ht="12.0" customHeight="1">
      <c r="B74" s="1"/>
      <c r="D74" s="161"/>
      <c r="E74" s="161"/>
      <c r="F74" s="161"/>
      <c r="G74" s="348"/>
      <c r="H74" s="348"/>
      <c r="I74" s="348"/>
      <c r="J74" s="348"/>
      <c r="K74" s="348"/>
      <c r="L74" s="3"/>
      <c r="M74" s="928"/>
      <c r="O74" s="151"/>
    </row>
    <row r="75" ht="12.0" customHeight="1">
      <c r="B75" s="1"/>
      <c r="D75" s="161"/>
      <c r="E75" s="161"/>
      <c r="F75" s="161"/>
      <c r="G75" s="348"/>
      <c r="H75" s="348"/>
      <c r="I75" s="348"/>
      <c r="J75" s="348"/>
      <c r="K75" s="348"/>
      <c r="L75" s="3"/>
      <c r="M75" s="928"/>
      <c r="O75" s="151"/>
    </row>
    <row r="76" ht="12.0" customHeight="1">
      <c r="B76" s="1"/>
      <c r="D76" s="161"/>
      <c r="E76" s="161"/>
      <c r="F76" s="161"/>
      <c r="G76" s="348"/>
      <c r="H76" s="348"/>
      <c r="I76" s="348"/>
      <c r="J76" s="348"/>
      <c r="K76" s="348"/>
      <c r="L76" s="3"/>
      <c r="M76" s="928"/>
      <c r="O76" s="151"/>
    </row>
    <row r="77" ht="12.0" customHeight="1">
      <c r="B77" s="1"/>
      <c r="D77" s="161"/>
      <c r="E77" s="161"/>
      <c r="F77" s="161"/>
      <c r="G77" s="348"/>
      <c r="H77" s="348"/>
      <c r="I77" s="348"/>
      <c r="J77" s="348"/>
      <c r="K77" s="348"/>
      <c r="L77" s="3"/>
      <c r="M77" s="928"/>
      <c r="O77" s="151"/>
    </row>
    <row r="78" ht="12.0" customHeight="1">
      <c r="B78" s="1"/>
      <c r="D78" s="161"/>
      <c r="E78" s="161"/>
      <c r="F78" s="161"/>
      <c r="G78" s="348"/>
      <c r="H78" s="348"/>
      <c r="I78" s="348"/>
      <c r="J78" s="348"/>
      <c r="K78" s="348"/>
      <c r="L78" s="3"/>
      <c r="M78" s="928"/>
      <c r="O78" s="151"/>
    </row>
    <row r="79" ht="12.0" customHeight="1">
      <c r="B79" s="1"/>
      <c r="D79" s="161"/>
      <c r="E79" s="161"/>
      <c r="F79" s="161"/>
      <c r="G79" s="348"/>
      <c r="H79" s="348"/>
      <c r="I79" s="348"/>
      <c r="J79" s="348"/>
      <c r="K79" s="348"/>
      <c r="L79" s="3"/>
      <c r="M79" s="928"/>
      <c r="O79" s="151"/>
    </row>
    <row r="80" ht="12.0" customHeight="1">
      <c r="B80" s="1"/>
      <c r="D80" s="161"/>
      <c r="E80" s="161"/>
      <c r="F80" s="161"/>
      <c r="G80" s="348"/>
      <c r="H80" s="348"/>
      <c r="I80" s="348"/>
      <c r="J80" s="348"/>
      <c r="K80" s="348"/>
      <c r="L80" s="3"/>
      <c r="M80" s="928"/>
      <c r="O80" s="151"/>
    </row>
    <row r="81" ht="12.0" customHeight="1">
      <c r="B81" s="1"/>
      <c r="D81" s="161"/>
      <c r="E81" s="161"/>
      <c r="F81" s="161"/>
      <c r="G81" s="348"/>
      <c r="H81" s="348"/>
      <c r="I81" s="348"/>
      <c r="J81" s="348"/>
      <c r="K81" s="348"/>
      <c r="L81" s="3"/>
      <c r="M81" s="928"/>
      <c r="O81" s="151"/>
    </row>
    <row r="82" ht="12.0" customHeight="1">
      <c r="B82" s="1"/>
      <c r="D82" s="161"/>
      <c r="E82" s="161"/>
      <c r="F82" s="161"/>
      <c r="G82" s="348"/>
      <c r="H82" s="348"/>
      <c r="I82" s="348"/>
      <c r="J82" s="348"/>
      <c r="K82" s="348"/>
      <c r="L82" s="3"/>
      <c r="M82" s="928"/>
      <c r="O82" s="151"/>
    </row>
    <row r="83" ht="12.0" customHeight="1">
      <c r="B83" s="1"/>
      <c r="D83" s="161"/>
      <c r="E83" s="161"/>
      <c r="F83" s="161"/>
      <c r="G83" s="348"/>
      <c r="H83" s="348"/>
      <c r="I83" s="348"/>
      <c r="J83" s="348"/>
      <c r="K83" s="348"/>
      <c r="L83" s="3"/>
      <c r="M83" s="928"/>
      <c r="O83" s="151"/>
    </row>
    <row r="84" ht="12.0" customHeight="1">
      <c r="B84" s="1"/>
      <c r="D84" s="161"/>
      <c r="E84" s="161"/>
      <c r="F84" s="161"/>
      <c r="G84" s="348"/>
      <c r="H84" s="348"/>
      <c r="I84" s="348"/>
      <c r="J84" s="348"/>
      <c r="K84" s="348"/>
      <c r="L84" s="3"/>
      <c r="M84" s="928"/>
      <c r="O84" s="151"/>
    </row>
    <row r="85" ht="12.0" customHeight="1">
      <c r="B85" s="1"/>
      <c r="D85" s="161"/>
      <c r="E85" s="161"/>
      <c r="F85" s="161"/>
      <c r="G85" s="348"/>
      <c r="H85" s="348"/>
      <c r="I85" s="348"/>
      <c r="J85" s="348"/>
      <c r="K85" s="348"/>
      <c r="L85" s="3"/>
      <c r="M85" s="928"/>
      <c r="O85" s="151"/>
    </row>
    <row r="86" ht="12.0" customHeight="1">
      <c r="B86" s="1"/>
      <c r="D86" s="161"/>
      <c r="E86" s="161"/>
      <c r="F86" s="161"/>
      <c r="G86" s="348"/>
      <c r="H86" s="348"/>
      <c r="I86" s="348"/>
      <c r="J86" s="348"/>
      <c r="K86" s="348"/>
      <c r="L86" s="3"/>
      <c r="M86" s="928"/>
      <c r="O86" s="151"/>
    </row>
    <row r="87" ht="12.0" customHeight="1">
      <c r="B87" s="1"/>
      <c r="D87" s="161"/>
      <c r="E87" s="161"/>
      <c r="F87" s="161"/>
      <c r="G87" s="348"/>
      <c r="H87" s="348"/>
      <c r="I87" s="348"/>
      <c r="J87" s="348"/>
      <c r="K87" s="348"/>
      <c r="L87" s="3"/>
      <c r="M87" s="928"/>
      <c r="O87" s="151"/>
    </row>
    <row r="88" ht="12.0" customHeight="1">
      <c r="B88" s="1"/>
      <c r="D88" s="161"/>
      <c r="E88" s="161"/>
      <c r="F88" s="161"/>
      <c r="G88" s="348"/>
      <c r="H88" s="348"/>
      <c r="I88" s="348"/>
      <c r="J88" s="348"/>
      <c r="K88" s="348"/>
      <c r="L88" s="3"/>
      <c r="M88" s="928"/>
      <c r="O88" s="151"/>
    </row>
    <row r="89" ht="12.0" customHeight="1">
      <c r="B89" s="1"/>
      <c r="D89" s="161"/>
      <c r="E89" s="161"/>
      <c r="F89" s="161"/>
      <c r="G89" s="348"/>
      <c r="H89" s="348"/>
      <c r="I89" s="348"/>
      <c r="J89" s="348"/>
      <c r="K89" s="348"/>
      <c r="L89" s="3"/>
      <c r="M89" s="928"/>
      <c r="O89" s="151"/>
    </row>
    <row r="90" ht="12.0" customHeight="1">
      <c r="B90" s="1"/>
      <c r="D90" s="161"/>
      <c r="E90" s="161"/>
      <c r="F90" s="161"/>
      <c r="G90" s="348"/>
      <c r="H90" s="348"/>
      <c r="I90" s="348"/>
      <c r="J90" s="348"/>
      <c r="K90" s="348"/>
      <c r="L90" s="3"/>
      <c r="M90" s="928"/>
      <c r="O90" s="151"/>
    </row>
    <row r="91" ht="12.0" customHeight="1">
      <c r="B91" s="1"/>
      <c r="D91" s="161"/>
      <c r="E91" s="161"/>
      <c r="F91" s="161"/>
      <c r="G91" s="348"/>
      <c r="H91" s="348"/>
      <c r="I91" s="348"/>
      <c r="J91" s="348"/>
      <c r="K91" s="348"/>
      <c r="L91" s="3"/>
      <c r="M91" s="928"/>
      <c r="O91" s="151"/>
    </row>
    <row r="92" ht="12.0" customHeight="1">
      <c r="B92" s="1"/>
      <c r="D92" s="161"/>
      <c r="E92" s="161"/>
      <c r="F92" s="161"/>
      <c r="G92" s="348"/>
      <c r="H92" s="348"/>
      <c r="I92" s="348"/>
      <c r="J92" s="348"/>
      <c r="K92" s="348"/>
      <c r="L92" s="3"/>
      <c r="M92" s="928"/>
      <c r="O92" s="151"/>
    </row>
    <row r="93" ht="12.0" customHeight="1">
      <c r="B93" s="1"/>
      <c r="D93" s="161"/>
      <c r="E93" s="161"/>
      <c r="F93" s="161"/>
      <c r="G93" s="348"/>
      <c r="H93" s="348"/>
      <c r="I93" s="348"/>
      <c r="J93" s="348"/>
      <c r="K93" s="348"/>
      <c r="L93" s="3"/>
      <c r="M93" s="928"/>
      <c r="O93" s="151"/>
    </row>
    <row r="94" ht="12.0" customHeight="1">
      <c r="B94" s="1"/>
      <c r="D94" s="161"/>
      <c r="E94" s="161"/>
      <c r="F94" s="161"/>
      <c r="G94" s="348"/>
      <c r="H94" s="348"/>
      <c r="I94" s="348"/>
      <c r="J94" s="348"/>
      <c r="K94" s="348"/>
      <c r="L94" s="3"/>
      <c r="M94" s="928"/>
      <c r="O94" s="151"/>
    </row>
    <row r="95" ht="12.0" customHeight="1">
      <c r="B95" s="1"/>
      <c r="D95" s="161"/>
      <c r="E95" s="161"/>
      <c r="F95" s="161"/>
      <c r="G95" s="348"/>
      <c r="H95" s="348"/>
      <c r="I95" s="348"/>
      <c r="J95" s="348"/>
      <c r="K95" s="348"/>
      <c r="L95" s="3"/>
      <c r="M95" s="928"/>
      <c r="O95" s="151"/>
    </row>
    <row r="96" ht="12.0" customHeight="1">
      <c r="B96" s="1"/>
      <c r="D96" s="161"/>
      <c r="E96" s="161"/>
      <c r="F96" s="161"/>
      <c r="G96" s="348"/>
      <c r="H96" s="348"/>
      <c r="I96" s="348"/>
      <c r="J96" s="348"/>
      <c r="K96" s="348"/>
      <c r="L96" s="3"/>
      <c r="M96" s="928"/>
      <c r="O96" s="151"/>
    </row>
    <row r="97" ht="12.0" customHeight="1">
      <c r="B97" s="1"/>
      <c r="D97" s="161"/>
      <c r="E97" s="161"/>
      <c r="F97" s="161"/>
      <c r="G97" s="348"/>
      <c r="H97" s="348"/>
      <c r="I97" s="348"/>
      <c r="J97" s="348"/>
      <c r="K97" s="348"/>
      <c r="L97" s="3"/>
      <c r="M97" s="928"/>
      <c r="O97" s="151"/>
    </row>
    <row r="98" ht="12.0" customHeight="1">
      <c r="B98" s="1"/>
      <c r="D98" s="161"/>
      <c r="E98" s="161"/>
      <c r="F98" s="161"/>
      <c r="G98" s="348"/>
      <c r="H98" s="348"/>
      <c r="I98" s="348"/>
      <c r="J98" s="348"/>
      <c r="K98" s="348"/>
      <c r="L98" s="3"/>
      <c r="M98" s="928"/>
      <c r="O98" s="151"/>
    </row>
    <row r="99" ht="12.0" customHeight="1">
      <c r="B99" s="1"/>
      <c r="D99" s="161"/>
      <c r="E99" s="161"/>
      <c r="F99" s="161"/>
      <c r="G99" s="348"/>
      <c r="H99" s="348"/>
      <c r="I99" s="348"/>
      <c r="J99" s="348"/>
      <c r="K99" s="348"/>
      <c r="L99" s="3"/>
      <c r="M99" s="928"/>
      <c r="O99" s="151"/>
    </row>
    <row r="100" ht="12.0" customHeight="1">
      <c r="B100" s="1"/>
      <c r="D100" s="161"/>
      <c r="E100" s="161"/>
      <c r="F100" s="161"/>
      <c r="G100" s="348"/>
      <c r="H100" s="348"/>
      <c r="I100" s="348"/>
      <c r="J100" s="348"/>
      <c r="K100" s="348"/>
      <c r="L100" s="3"/>
      <c r="M100" s="928"/>
      <c r="O100" s="151"/>
    </row>
    <row r="101" ht="12.0" customHeight="1">
      <c r="B101" s="1"/>
      <c r="D101" s="161"/>
      <c r="E101" s="161"/>
      <c r="F101" s="161"/>
      <c r="G101" s="348"/>
      <c r="H101" s="348"/>
      <c r="I101" s="348"/>
      <c r="J101" s="348"/>
      <c r="K101" s="348"/>
      <c r="L101" s="3"/>
      <c r="M101" s="928"/>
      <c r="O101" s="151"/>
    </row>
    <row r="102" ht="12.0" customHeight="1">
      <c r="B102" s="1"/>
      <c r="D102" s="161"/>
      <c r="E102" s="161"/>
      <c r="F102" s="161"/>
      <c r="G102" s="348"/>
      <c r="H102" s="348"/>
      <c r="I102" s="348"/>
      <c r="J102" s="348"/>
      <c r="K102" s="348"/>
      <c r="L102" s="3"/>
      <c r="M102" s="928"/>
      <c r="O102" s="151"/>
    </row>
    <row r="103" ht="12.0" customHeight="1">
      <c r="B103" s="1"/>
      <c r="D103" s="161"/>
      <c r="E103" s="161"/>
      <c r="F103" s="161"/>
      <c r="G103" s="348"/>
      <c r="H103" s="348"/>
      <c r="I103" s="348"/>
      <c r="J103" s="348"/>
      <c r="K103" s="348"/>
      <c r="L103" s="3"/>
      <c r="M103" s="928"/>
      <c r="O103" s="151"/>
    </row>
    <row r="104" ht="12.0" customHeight="1">
      <c r="B104" s="1"/>
      <c r="D104" s="161"/>
      <c r="E104" s="161"/>
      <c r="F104" s="161"/>
      <c r="G104" s="348"/>
      <c r="H104" s="348"/>
      <c r="I104" s="348"/>
      <c r="J104" s="348"/>
      <c r="K104" s="348"/>
      <c r="L104" s="3"/>
      <c r="M104" s="928"/>
      <c r="O104" s="151"/>
    </row>
    <row r="105" ht="12.0" customHeight="1">
      <c r="B105" s="1"/>
      <c r="D105" s="161"/>
      <c r="E105" s="161"/>
      <c r="F105" s="161"/>
      <c r="G105" s="348"/>
      <c r="H105" s="348"/>
      <c r="I105" s="348"/>
      <c r="J105" s="348"/>
      <c r="K105" s="348"/>
      <c r="L105" s="3"/>
      <c r="M105" s="928"/>
      <c r="O105" s="151"/>
    </row>
    <row r="106" ht="12.0" customHeight="1">
      <c r="B106" s="1"/>
      <c r="D106" s="161"/>
      <c r="E106" s="161"/>
      <c r="F106" s="161"/>
      <c r="G106" s="348"/>
      <c r="H106" s="348"/>
      <c r="I106" s="348"/>
      <c r="J106" s="348"/>
      <c r="K106" s="348"/>
      <c r="L106" s="3"/>
      <c r="M106" s="928"/>
      <c r="O106" s="151"/>
    </row>
    <row r="107" ht="12.0" customHeight="1">
      <c r="B107" s="1"/>
      <c r="D107" s="161"/>
      <c r="E107" s="161"/>
      <c r="F107" s="161"/>
      <c r="G107" s="348"/>
      <c r="H107" s="348"/>
      <c r="I107" s="348"/>
      <c r="J107" s="348"/>
      <c r="K107" s="348"/>
      <c r="L107" s="3"/>
      <c r="M107" s="928"/>
      <c r="O107" s="151"/>
    </row>
    <row r="108" ht="12.0" customHeight="1">
      <c r="B108" s="1"/>
      <c r="D108" s="161"/>
      <c r="E108" s="161"/>
      <c r="F108" s="161"/>
      <c r="G108" s="348"/>
      <c r="H108" s="348"/>
      <c r="I108" s="348"/>
      <c r="J108" s="348"/>
      <c r="K108" s="348"/>
      <c r="L108" s="3"/>
      <c r="M108" s="928"/>
      <c r="O108" s="151"/>
    </row>
    <row r="109" ht="12.0" customHeight="1">
      <c r="B109" s="1"/>
      <c r="D109" s="161"/>
      <c r="E109" s="161"/>
      <c r="F109" s="161"/>
      <c r="G109" s="348"/>
      <c r="H109" s="348"/>
      <c r="I109" s="348"/>
      <c r="J109" s="348"/>
      <c r="K109" s="348"/>
      <c r="L109" s="3"/>
      <c r="M109" s="928"/>
      <c r="O109" s="151"/>
    </row>
    <row r="110" ht="12.0" customHeight="1">
      <c r="B110" s="1"/>
      <c r="D110" s="161"/>
      <c r="E110" s="161"/>
      <c r="F110" s="161"/>
      <c r="G110" s="348"/>
      <c r="H110" s="348"/>
      <c r="I110" s="348"/>
      <c r="J110" s="348"/>
      <c r="K110" s="348"/>
      <c r="L110" s="3"/>
      <c r="M110" s="928"/>
      <c r="O110" s="151"/>
    </row>
    <row r="111" ht="12.0" customHeight="1">
      <c r="B111" s="1"/>
      <c r="D111" s="161"/>
      <c r="E111" s="161"/>
      <c r="F111" s="161"/>
      <c r="G111" s="348"/>
      <c r="H111" s="348"/>
      <c r="I111" s="348"/>
      <c r="J111" s="348"/>
      <c r="K111" s="348"/>
      <c r="L111" s="3"/>
      <c r="M111" s="928"/>
      <c r="O111" s="151"/>
    </row>
    <row r="112" ht="12.0" customHeight="1">
      <c r="B112" s="1"/>
      <c r="D112" s="161"/>
      <c r="E112" s="161"/>
      <c r="F112" s="161"/>
      <c r="G112" s="348"/>
      <c r="H112" s="348"/>
      <c r="I112" s="348"/>
      <c r="J112" s="348"/>
      <c r="K112" s="348"/>
      <c r="L112" s="3"/>
      <c r="M112" s="928"/>
      <c r="O112" s="151"/>
    </row>
    <row r="113" ht="12.0" customHeight="1">
      <c r="B113" s="1"/>
      <c r="D113" s="161"/>
      <c r="E113" s="161"/>
      <c r="F113" s="161"/>
      <c r="G113" s="348"/>
      <c r="H113" s="348"/>
      <c r="I113" s="348"/>
      <c r="J113" s="348"/>
      <c r="K113" s="348"/>
      <c r="L113" s="3"/>
      <c r="M113" s="928"/>
      <c r="O113" s="151"/>
    </row>
    <row r="114" ht="12.0" customHeight="1">
      <c r="B114" s="1"/>
      <c r="D114" s="161"/>
      <c r="E114" s="161"/>
      <c r="F114" s="161"/>
      <c r="G114" s="348"/>
      <c r="H114" s="348"/>
      <c r="I114" s="348"/>
      <c r="J114" s="348"/>
      <c r="K114" s="348"/>
      <c r="L114" s="3"/>
      <c r="M114" s="928"/>
      <c r="O114" s="151"/>
    </row>
    <row r="115" ht="12.0" customHeight="1">
      <c r="B115" s="1"/>
      <c r="D115" s="161"/>
      <c r="E115" s="161"/>
      <c r="F115" s="161"/>
      <c r="G115" s="348"/>
      <c r="H115" s="348"/>
      <c r="I115" s="348"/>
      <c r="J115" s="348"/>
      <c r="K115" s="348"/>
      <c r="L115" s="3"/>
      <c r="M115" s="928"/>
      <c r="O115" s="151"/>
    </row>
    <row r="116" ht="12.0" customHeight="1">
      <c r="B116" s="1"/>
      <c r="D116" s="161"/>
      <c r="E116" s="161"/>
      <c r="F116" s="161"/>
      <c r="G116" s="348"/>
      <c r="H116" s="348"/>
      <c r="I116" s="348"/>
      <c r="J116" s="348"/>
      <c r="K116" s="348"/>
      <c r="L116" s="3"/>
      <c r="M116" s="928"/>
      <c r="O116" s="151"/>
    </row>
    <row r="117" ht="12.0" customHeight="1">
      <c r="B117" s="1"/>
      <c r="D117" s="161"/>
      <c r="E117" s="161"/>
      <c r="F117" s="161"/>
      <c r="G117" s="348"/>
      <c r="H117" s="348"/>
      <c r="I117" s="348"/>
      <c r="J117" s="348"/>
      <c r="K117" s="348"/>
      <c r="L117" s="3"/>
      <c r="M117" s="928"/>
      <c r="O117" s="151"/>
    </row>
    <row r="118" ht="12.0" customHeight="1">
      <c r="B118" s="1"/>
      <c r="D118" s="161"/>
      <c r="E118" s="161"/>
      <c r="F118" s="161"/>
      <c r="G118" s="348"/>
      <c r="H118" s="348"/>
      <c r="I118" s="348"/>
      <c r="J118" s="348"/>
      <c r="K118" s="348"/>
      <c r="L118" s="3"/>
      <c r="M118" s="928"/>
      <c r="O118" s="151"/>
    </row>
    <row r="119" ht="12.0" customHeight="1">
      <c r="B119" s="1"/>
      <c r="D119" s="161"/>
      <c r="E119" s="161"/>
      <c r="F119" s="161"/>
      <c r="G119" s="348"/>
      <c r="H119" s="348"/>
      <c r="I119" s="348"/>
      <c r="J119" s="348"/>
      <c r="K119" s="348"/>
      <c r="L119" s="3"/>
      <c r="M119" s="928"/>
      <c r="O119" s="151"/>
    </row>
    <row r="120" ht="12.0" customHeight="1">
      <c r="B120" s="1"/>
      <c r="D120" s="161"/>
      <c r="E120" s="161"/>
      <c r="F120" s="161"/>
      <c r="G120" s="348"/>
      <c r="H120" s="348"/>
      <c r="I120" s="348"/>
      <c r="J120" s="348"/>
      <c r="K120" s="348"/>
      <c r="L120" s="3"/>
      <c r="M120" s="928"/>
      <c r="O120" s="151"/>
    </row>
    <row r="121" ht="12.0" customHeight="1">
      <c r="B121" s="1"/>
      <c r="D121" s="161"/>
      <c r="E121" s="161"/>
      <c r="F121" s="161"/>
      <c r="G121" s="348"/>
      <c r="H121" s="348"/>
      <c r="I121" s="348"/>
      <c r="J121" s="348"/>
      <c r="K121" s="348"/>
      <c r="L121" s="3"/>
      <c r="M121" s="928"/>
      <c r="O121" s="151"/>
    </row>
    <row r="122" ht="12.0" customHeight="1">
      <c r="B122" s="1"/>
      <c r="D122" s="161"/>
      <c r="E122" s="161"/>
      <c r="F122" s="161"/>
      <c r="G122" s="348"/>
      <c r="H122" s="348"/>
      <c r="I122" s="348"/>
      <c r="J122" s="348"/>
      <c r="K122" s="348"/>
      <c r="L122" s="3"/>
      <c r="M122" s="928"/>
      <c r="O122" s="151"/>
    </row>
    <row r="123" ht="12.0" customHeight="1">
      <c r="B123" s="1"/>
      <c r="D123" s="161"/>
      <c r="E123" s="161"/>
      <c r="F123" s="161"/>
      <c r="G123" s="348"/>
      <c r="H123" s="348"/>
      <c r="I123" s="348"/>
      <c r="J123" s="348"/>
      <c r="K123" s="348"/>
      <c r="L123" s="3"/>
      <c r="M123" s="928"/>
      <c r="O123" s="151"/>
    </row>
    <row r="124" ht="12.0" customHeight="1">
      <c r="B124" s="1"/>
      <c r="D124" s="161"/>
      <c r="E124" s="161"/>
      <c r="F124" s="161"/>
      <c r="G124" s="348"/>
      <c r="H124" s="348"/>
      <c r="I124" s="348"/>
      <c r="J124" s="348"/>
      <c r="K124" s="348"/>
      <c r="L124" s="3"/>
      <c r="M124" s="928"/>
      <c r="O124" s="151"/>
    </row>
    <row r="125" ht="12.0" customHeight="1">
      <c r="B125" s="1"/>
      <c r="D125" s="161"/>
      <c r="E125" s="161"/>
      <c r="F125" s="161"/>
      <c r="G125" s="348"/>
      <c r="H125" s="348"/>
      <c r="I125" s="348"/>
      <c r="J125" s="348"/>
      <c r="K125" s="348"/>
      <c r="L125" s="3"/>
      <c r="M125" s="928"/>
      <c r="O125" s="151"/>
    </row>
    <row r="126" ht="12.0" customHeight="1">
      <c r="B126" s="1"/>
      <c r="D126" s="161"/>
      <c r="E126" s="161"/>
      <c r="F126" s="161"/>
      <c r="G126" s="348"/>
      <c r="H126" s="348"/>
      <c r="I126" s="348"/>
      <c r="J126" s="348"/>
      <c r="K126" s="348"/>
      <c r="L126" s="3"/>
      <c r="M126" s="928"/>
      <c r="O126" s="151"/>
    </row>
    <row r="127" ht="12.0" customHeight="1">
      <c r="B127" s="1"/>
      <c r="D127" s="161"/>
      <c r="E127" s="161"/>
      <c r="F127" s="161"/>
      <c r="G127" s="348"/>
      <c r="H127" s="348"/>
      <c r="I127" s="348"/>
      <c r="J127" s="348"/>
      <c r="K127" s="348"/>
      <c r="L127" s="3"/>
      <c r="M127" s="928"/>
      <c r="O127" s="151"/>
    </row>
    <row r="128" ht="12.0" customHeight="1">
      <c r="B128" s="1"/>
      <c r="D128" s="161"/>
      <c r="E128" s="161"/>
      <c r="F128" s="161"/>
      <c r="G128" s="348"/>
      <c r="H128" s="348"/>
      <c r="I128" s="348"/>
      <c r="J128" s="348"/>
      <c r="K128" s="348"/>
      <c r="L128" s="3"/>
      <c r="M128" s="928"/>
      <c r="O128" s="151"/>
    </row>
    <row r="129" ht="12.0" customHeight="1">
      <c r="B129" s="1"/>
      <c r="D129" s="161"/>
      <c r="E129" s="161"/>
      <c r="F129" s="161"/>
      <c r="G129" s="348"/>
      <c r="H129" s="348"/>
      <c r="I129" s="348"/>
      <c r="J129" s="348"/>
      <c r="K129" s="348"/>
      <c r="L129" s="3"/>
      <c r="M129" s="928"/>
      <c r="O129" s="151"/>
    </row>
    <row r="130" ht="12.0" customHeight="1">
      <c r="B130" s="1"/>
      <c r="D130" s="161"/>
      <c r="E130" s="161"/>
      <c r="F130" s="161"/>
      <c r="G130" s="348"/>
      <c r="H130" s="348"/>
      <c r="I130" s="348"/>
      <c r="J130" s="348"/>
      <c r="K130" s="348"/>
      <c r="L130" s="3"/>
      <c r="M130" s="928"/>
      <c r="O130" s="151"/>
    </row>
    <row r="131" ht="12.0" customHeight="1">
      <c r="B131" s="1"/>
      <c r="D131" s="161"/>
      <c r="E131" s="161"/>
      <c r="F131" s="161"/>
      <c r="G131" s="348"/>
      <c r="H131" s="348"/>
      <c r="I131" s="348"/>
      <c r="J131" s="348"/>
      <c r="K131" s="348"/>
      <c r="L131" s="3"/>
      <c r="M131" s="928"/>
      <c r="O131" s="151"/>
    </row>
    <row r="132" ht="12.0" customHeight="1">
      <c r="B132" s="1"/>
      <c r="D132" s="161"/>
      <c r="E132" s="161"/>
      <c r="F132" s="161"/>
      <c r="G132" s="348"/>
      <c r="H132" s="348"/>
      <c r="I132" s="348"/>
      <c r="J132" s="348"/>
      <c r="K132" s="348"/>
      <c r="L132" s="3"/>
      <c r="M132" s="928"/>
      <c r="O132" s="151"/>
    </row>
    <row r="133" ht="12.0" customHeight="1">
      <c r="B133" s="1"/>
      <c r="D133" s="161"/>
      <c r="E133" s="161"/>
      <c r="F133" s="161"/>
      <c r="G133" s="348"/>
      <c r="H133" s="348"/>
      <c r="I133" s="348"/>
      <c r="J133" s="348"/>
      <c r="K133" s="348"/>
      <c r="L133" s="3"/>
      <c r="M133" s="928"/>
      <c r="O133" s="151"/>
    </row>
    <row r="134" ht="12.0" customHeight="1">
      <c r="B134" s="1"/>
      <c r="D134" s="161"/>
      <c r="E134" s="161"/>
      <c r="F134" s="161"/>
      <c r="G134" s="348"/>
      <c r="H134" s="348"/>
      <c r="I134" s="348"/>
      <c r="J134" s="348"/>
      <c r="K134" s="348"/>
      <c r="L134" s="3"/>
      <c r="M134" s="928"/>
      <c r="O134" s="151"/>
    </row>
    <row r="135" ht="12.0" customHeight="1">
      <c r="B135" s="1"/>
      <c r="D135" s="161"/>
      <c r="E135" s="161"/>
      <c r="F135" s="161"/>
      <c r="G135" s="348"/>
      <c r="H135" s="348"/>
      <c r="I135" s="348"/>
      <c r="J135" s="348"/>
      <c r="K135" s="348"/>
      <c r="L135" s="3"/>
      <c r="M135" s="928"/>
      <c r="O135" s="151"/>
    </row>
    <row r="136" ht="12.0" customHeight="1">
      <c r="B136" s="1"/>
      <c r="D136" s="161"/>
      <c r="E136" s="161"/>
      <c r="F136" s="161"/>
      <c r="G136" s="348"/>
      <c r="H136" s="348"/>
      <c r="I136" s="348"/>
      <c r="J136" s="348"/>
      <c r="K136" s="348"/>
      <c r="L136" s="3"/>
      <c r="M136" s="928"/>
      <c r="O136" s="151"/>
    </row>
    <row r="137" ht="12.0" customHeight="1">
      <c r="B137" s="1"/>
      <c r="D137" s="161"/>
      <c r="E137" s="161"/>
      <c r="F137" s="161"/>
      <c r="G137" s="348"/>
      <c r="H137" s="348"/>
      <c r="I137" s="348"/>
      <c r="J137" s="348"/>
      <c r="K137" s="348"/>
      <c r="L137" s="3"/>
      <c r="M137" s="928"/>
      <c r="O137" s="151"/>
    </row>
    <row r="138" ht="12.0" customHeight="1">
      <c r="B138" s="1"/>
      <c r="D138" s="161"/>
      <c r="E138" s="161"/>
      <c r="F138" s="161"/>
      <c r="G138" s="348"/>
      <c r="H138" s="348"/>
      <c r="I138" s="348"/>
      <c r="J138" s="348"/>
      <c r="K138" s="348"/>
      <c r="L138" s="3"/>
      <c r="M138" s="928"/>
      <c r="O138" s="151"/>
    </row>
    <row r="139" ht="12.0" customHeight="1">
      <c r="B139" s="1"/>
      <c r="D139" s="161"/>
      <c r="E139" s="161"/>
      <c r="F139" s="161"/>
      <c r="G139" s="348"/>
      <c r="H139" s="348"/>
      <c r="I139" s="348"/>
      <c r="J139" s="348"/>
      <c r="K139" s="348"/>
      <c r="L139" s="3"/>
      <c r="M139" s="928"/>
      <c r="O139" s="151"/>
    </row>
    <row r="140" ht="12.0" customHeight="1">
      <c r="B140" s="1"/>
      <c r="D140" s="161"/>
      <c r="E140" s="161"/>
      <c r="F140" s="161"/>
      <c r="G140" s="348"/>
      <c r="H140" s="348"/>
      <c r="I140" s="348"/>
      <c r="J140" s="348"/>
      <c r="K140" s="348"/>
      <c r="L140" s="3"/>
      <c r="M140" s="928"/>
      <c r="O140" s="151"/>
    </row>
    <row r="141" ht="12.0" customHeight="1">
      <c r="B141" s="1"/>
      <c r="D141" s="161"/>
      <c r="E141" s="161"/>
      <c r="F141" s="161"/>
      <c r="G141" s="348"/>
      <c r="H141" s="348"/>
      <c r="I141" s="348"/>
      <c r="J141" s="348"/>
      <c r="K141" s="348"/>
      <c r="L141" s="3"/>
      <c r="M141" s="928"/>
      <c r="O141" s="151"/>
    </row>
    <row r="142" ht="12.0" customHeight="1">
      <c r="B142" s="1"/>
      <c r="D142" s="161"/>
      <c r="E142" s="161"/>
      <c r="F142" s="161"/>
      <c r="G142" s="348"/>
      <c r="H142" s="348"/>
      <c r="I142" s="348"/>
      <c r="J142" s="348"/>
      <c r="K142" s="348"/>
      <c r="L142" s="3"/>
      <c r="M142" s="928"/>
      <c r="O142" s="151"/>
    </row>
    <row r="143" ht="12.0" customHeight="1">
      <c r="B143" s="1"/>
      <c r="D143" s="161"/>
      <c r="E143" s="161"/>
      <c r="F143" s="161"/>
      <c r="G143" s="348"/>
      <c r="H143" s="348"/>
      <c r="I143" s="348"/>
      <c r="J143" s="348"/>
      <c r="K143" s="348"/>
      <c r="L143" s="3"/>
      <c r="M143" s="928"/>
      <c r="O143" s="151"/>
    </row>
    <row r="144" ht="12.0" customHeight="1">
      <c r="B144" s="1"/>
      <c r="D144" s="161"/>
      <c r="E144" s="161"/>
      <c r="F144" s="161"/>
      <c r="G144" s="348"/>
      <c r="H144" s="348"/>
      <c r="I144" s="348"/>
      <c r="J144" s="348"/>
      <c r="K144" s="348"/>
      <c r="L144" s="3"/>
      <c r="M144" s="928"/>
      <c r="O144" s="151"/>
    </row>
    <row r="145" ht="12.0" customHeight="1">
      <c r="B145" s="1"/>
      <c r="D145" s="161"/>
      <c r="E145" s="161"/>
      <c r="F145" s="161"/>
      <c r="G145" s="348"/>
      <c r="H145" s="348"/>
      <c r="I145" s="348"/>
      <c r="J145" s="348"/>
      <c r="K145" s="348"/>
      <c r="L145" s="3"/>
      <c r="M145" s="928"/>
      <c r="O145" s="151"/>
    </row>
    <row r="146" ht="12.0" customHeight="1">
      <c r="B146" s="1"/>
      <c r="D146" s="161"/>
      <c r="E146" s="161"/>
      <c r="F146" s="161"/>
      <c r="G146" s="348"/>
      <c r="H146" s="348"/>
      <c r="I146" s="348"/>
      <c r="J146" s="348"/>
      <c r="K146" s="348"/>
      <c r="L146" s="3"/>
      <c r="M146" s="928"/>
      <c r="O146" s="151"/>
    </row>
    <row r="147" ht="12.0" customHeight="1">
      <c r="B147" s="1"/>
      <c r="D147" s="161"/>
      <c r="E147" s="161"/>
      <c r="F147" s="161"/>
      <c r="G147" s="348"/>
      <c r="H147" s="348"/>
      <c r="I147" s="348"/>
      <c r="J147" s="348"/>
      <c r="K147" s="348"/>
      <c r="L147" s="3"/>
      <c r="M147" s="928"/>
      <c r="O147" s="151"/>
    </row>
    <row r="148" ht="12.0" customHeight="1">
      <c r="B148" s="1"/>
      <c r="D148" s="161"/>
      <c r="E148" s="161"/>
      <c r="F148" s="161"/>
      <c r="G148" s="348"/>
      <c r="H148" s="348"/>
      <c r="I148" s="348"/>
      <c r="J148" s="348"/>
      <c r="K148" s="348"/>
      <c r="L148" s="3"/>
      <c r="M148" s="928"/>
      <c r="O148" s="151"/>
    </row>
    <row r="149" ht="12.0" customHeight="1">
      <c r="B149" s="1"/>
      <c r="D149" s="161"/>
      <c r="E149" s="161"/>
      <c r="F149" s="161"/>
      <c r="G149" s="348"/>
      <c r="H149" s="348"/>
      <c r="I149" s="348"/>
      <c r="J149" s="348"/>
      <c r="K149" s="348"/>
      <c r="L149" s="3"/>
      <c r="M149" s="928"/>
      <c r="O149" s="151"/>
    </row>
    <row r="150" ht="12.0" customHeight="1">
      <c r="B150" s="1"/>
      <c r="D150" s="161"/>
      <c r="E150" s="161"/>
      <c r="F150" s="161"/>
      <c r="G150" s="348"/>
      <c r="H150" s="348"/>
      <c r="I150" s="348"/>
      <c r="J150" s="348"/>
      <c r="K150" s="348"/>
      <c r="L150" s="3"/>
      <c r="M150" s="928"/>
      <c r="O150" s="151"/>
    </row>
    <row r="151" ht="12.0" customHeight="1">
      <c r="B151" s="1"/>
      <c r="D151" s="161"/>
      <c r="E151" s="161"/>
      <c r="F151" s="161"/>
      <c r="G151" s="348"/>
      <c r="H151" s="348"/>
      <c r="I151" s="348"/>
      <c r="J151" s="348"/>
      <c r="K151" s="348"/>
      <c r="L151" s="3"/>
      <c r="M151" s="928"/>
      <c r="O151" s="151"/>
    </row>
    <row r="152" ht="12.0" customHeight="1">
      <c r="B152" s="1"/>
      <c r="D152" s="161"/>
      <c r="E152" s="161"/>
      <c r="F152" s="161"/>
      <c r="G152" s="348"/>
      <c r="H152" s="348"/>
      <c r="I152" s="348"/>
      <c r="J152" s="348"/>
      <c r="K152" s="348"/>
      <c r="L152" s="3"/>
      <c r="M152" s="928"/>
      <c r="O152" s="151"/>
    </row>
    <row r="153" ht="12.0" customHeight="1">
      <c r="B153" s="1"/>
      <c r="D153" s="161"/>
      <c r="E153" s="161"/>
      <c r="F153" s="161"/>
      <c r="G153" s="348"/>
      <c r="H153" s="348"/>
      <c r="I153" s="348"/>
      <c r="J153" s="348"/>
      <c r="K153" s="348"/>
      <c r="L153" s="3"/>
      <c r="M153" s="928"/>
      <c r="O153" s="151"/>
    </row>
    <row r="154" ht="12.0" customHeight="1">
      <c r="B154" s="1"/>
      <c r="D154" s="161"/>
      <c r="E154" s="161"/>
      <c r="F154" s="161"/>
      <c r="G154" s="348"/>
      <c r="H154" s="348"/>
      <c r="I154" s="348"/>
      <c r="J154" s="348"/>
      <c r="K154" s="348"/>
      <c r="L154" s="3"/>
      <c r="M154" s="928"/>
      <c r="O154" s="151"/>
    </row>
    <row r="155" ht="12.0" customHeight="1">
      <c r="B155" s="1"/>
      <c r="D155" s="161"/>
      <c r="E155" s="161"/>
      <c r="F155" s="161"/>
      <c r="G155" s="348"/>
      <c r="H155" s="348"/>
      <c r="I155" s="348"/>
      <c r="J155" s="348"/>
      <c r="K155" s="348"/>
      <c r="L155" s="3"/>
      <c r="M155" s="928"/>
      <c r="O155" s="151"/>
    </row>
    <row r="156" ht="12.0" customHeight="1">
      <c r="B156" s="1"/>
      <c r="D156" s="161"/>
      <c r="E156" s="161"/>
      <c r="F156" s="161"/>
      <c r="G156" s="348"/>
      <c r="H156" s="348"/>
      <c r="I156" s="348"/>
      <c r="J156" s="348"/>
      <c r="K156" s="348"/>
      <c r="L156" s="3"/>
      <c r="M156" s="928"/>
      <c r="O156" s="151"/>
    </row>
    <row r="157" ht="12.0" customHeight="1">
      <c r="B157" s="1"/>
      <c r="D157" s="161"/>
      <c r="E157" s="161"/>
      <c r="F157" s="161"/>
      <c r="G157" s="348"/>
      <c r="H157" s="348"/>
      <c r="I157" s="348"/>
      <c r="J157" s="348"/>
      <c r="K157" s="348"/>
      <c r="L157" s="3"/>
      <c r="M157" s="928"/>
      <c r="O157" s="151"/>
    </row>
    <row r="158" ht="12.0" customHeight="1">
      <c r="B158" s="1"/>
      <c r="D158" s="161"/>
      <c r="E158" s="161"/>
      <c r="F158" s="161"/>
      <c r="G158" s="348"/>
      <c r="H158" s="348"/>
      <c r="I158" s="348"/>
      <c r="J158" s="348"/>
      <c r="K158" s="348"/>
      <c r="L158" s="3"/>
      <c r="M158" s="928"/>
      <c r="O158" s="151"/>
    </row>
    <row r="159" ht="12.0" customHeight="1">
      <c r="B159" s="1"/>
      <c r="D159" s="161"/>
      <c r="E159" s="161"/>
      <c r="F159" s="161"/>
      <c r="G159" s="348"/>
      <c r="H159" s="348"/>
      <c r="I159" s="348"/>
      <c r="J159" s="348"/>
      <c r="K159" s="348"/>
      <c r="L159" s="3"/>
      <c r="M159" s="928"/>
      <c r="O159" s="151"/>
    </row>
    <row r="160" ht="12.0" customHeight="1">
      <c r="B160" s="1"/>
      <c r="D160" s="161"/>
      <c r="E160" s="161"/>
      <c r="F160" s="161"/>
      <c r="G160" s="348"/>
      <c r="H160" s="348"/>
      <c r="I160" s="348"/>
      <c r="J160" s="348"/>
      <c r="K160" s="348"/>
      <c r="L160" s="3"/>
      <c r="M160" s="928"/>
      <c r="O160" s="151"/>
    </row>
    <row r="161" ht="12.0" customHeight="1">
      <c r="B161" s="1"/>
      <c r="D161" s="161"/>
      <c r="E161" s="161"/>
      <c r="F161" s="161"/>
      <c r="G161" s="348"/>
      <c r="H161" s="348"/>
      <c r="I161" s="348"/>
      <c r="J161" s="348"/>
      <c r="K161" s="348"/>
      <c r="L161" s="3"/>
      <c r="M161" s="928"/>
      <c r="O161" s="151"/>
    </row>
    <row r="162" ht="12.0" customHeight="1">
      <c r="B162" s="1"/>
      <c r="D162" s="161"/>
      <c r="E162" s="161"/>
      <c r="F162" s="161"/>
      <c r="G162" s="348"/>
      <c r="H162" s="348"/>
      <c r="I162" s="348"/>
      <c r="J162" s="348"/>
      <c r="K162" s="348"/>
      <c r="L162" s="3"/>
      <c r="M162" s="928"/>
      <c r="O162" s="151"/>
    </row>
    <row r="163" ht="12.0" customHeight="1">
      <c r="B163" s="1"/>
      <c r="D163" s="161"/>
      <c r="E163" s="161"/>
      <c r="F163" s="161"/>
      <c r="G163" s="348"/>
      <c r="H163" s="348"/>
      <c r="I163" s="348"/>
      <c r="J163" s="348"/>
      <c r="K163" s="348"/>
      <c r="L163" s="3"/>
      <c r="M163" s="928"/>
      <c r="O163" s="151"/>
    </row>
    <row r="164" ht="12.0" customHeight="1">
      <c r="B164" s="1"/>
      <c r="D164" s="161"/>
      <c r="E164" s="161"/>
      <c r="F164" s="161"/>
      <c r="G164" s="348"/>
      <c r="H164" s="348"/>
      <c r="I164" s="348"/>
      <c r="J164" s="348"/>
      <c r="K164" s="348"/>
      <c r="L164" s="3"/>
      <c r="M164" s="928"/>
      <c r="O164" s="151"/>
    </row>
    <row r="165" ht="12.0" customHeight="1">
      <c r="B165" s="1"/>
      <c r="D165" s="161"/>
      <c r="E165" s="161"/>
      <c r="F165" s="161"/>
      <c r="G165" s="348"/>
      <c r="H165" s="348"/>
      <c r="I165" s="348"/>
      <c r="J165" s="348"/>
      <c r="K165" s="348"/>
      <c r="L165" s="3"/>
      <c r="M165" s="928"/>
      <c r="O165" s="151"/>
    </row>
    <row r="166" ht="12.0" customHeight="1">
      <c r="B166" s="1"/>
      <c r="D166" s="161"/>
      <c r="E166" s="161"/>
      <c r="F166" s="161"/>
      <c r="G166" s="348"/>
      <c r="H166" s="348"/>
      <c r="I166" s="348"/>
      <c r="J166" s="348"/>
      <c r="K166" s="348"/>
      <c r="L166" s="3"/>
      <c r="M166" s="928"/>
      <c r="O166" s="151"/>
    </row>
    <row r="167" ht="12.0" customHeight="1">
      <c r="B167" s="1"/>
      <c r="D167" s="161"/>
      <c r="E167" s="161"/>
      <c r="F167" s="161"/>
      <c r="G167" s="348"/>
      <c r="H167" s="348"/>
      <c r="I167" s="348"/>
      <c r="J167" s="348"/>
      <c r="K167" s="348"/>
      <c r="L167" s="3"/>
      <c r="M167" s="928"/>
      <c r="O167" s="151"/>
    </row>
    <row r="168" ht="12.0" customHeight="1">
      <c r="B168" s="1"/>
      <c r="D168" s="161"/>
      <c r="E168" s="161"/>
      <c r="F168" s="161"/>
      <c r="G168" s="348"/>
      <c r="H168" s="348"/>
      <c r="I168" s="348"/>
      <c r="J168" s="348"/>
      <c r="K168" s="348"/>
      <c r="L168" s="3"/>
      <c r="M168" s="928"/>
      <c r="O168" s="151"/>
    </row>
    <row r="169" ht="12.0" customHeight="1">
      <c r="B169" s="1"/>
      <c r="D169" s="161"/>
      <c r="E169" s="161"/>
      <c r="F169" s="161"/>
      <c r="G169" s="348"/>
      <c r="H169" s="348"/>
      <c r="I169" s="348"/>
      <c r="J169" s="348"/>
      <c r="K169" s="348"/>
      <c r="L169" s="3"/>
      <c r="M169" s="928"/>
      <c r="O169" s="151"/>
    </row>
    <row r="170" ht="12.0" customHeight="1">
      <c r="B170" s="1"/>
      <c r="D170" s="161"/>
      <c r="E170" s="161"/>
      <c r="F170" s="161"/>
      <c r="G170" s="348"/>
      <c r="H170" s="348"/>
      <c r="I170" s="348"/>
      <c r="J170" s="348"/>
      <c r="K170" s="348"/>
      <c r="L170" s="3"/>
      <c r="M170" s="928"/>
      <c r="O170" s="151"/>
    </row>
    <row r="171" ht="12.0" customHeight="1">
      <c r="B171" s="1"/>
      <c r="D171" s="161"/>
      <c r="E171" s="161"/>
      <c r="F171" s="161"/>
      <c r="G171" s="348"/>
      <c r="H171" s="348"/>
      <c r="I171" s="348"/>
      <c r="J171" s="348"/>
      <c r="K171" s="348"/>
      <c r="L171" s="3"/>
      <c r="M171" s="928"/>
      <c r="O171" s="151"/>
    </row>
    <row r="172" ht="12.0" customHeight="1">
      <c r="B172" s="1"/>
      <c r="D172" s="161"/>
      <c r="E172" s="161"/>
      <c r="F172" s="161"/>
      <c r="G172" s="348"/>
      <c r="H172" s="348"/>
      <c r="I172" s="348"/>
      <c r="J172" s="348"/>
      <c r="K172" s="348"/>
      <c r="L172" s="3"/>
      <c r="M172" s="928"/>
      <c r="O172" s="151"/>
    </row>
    <row r="173" ht="12.0" customHeight="1">
      <c r="B173" s="1"/>
      <c r="D173" s="161"/>
      <c r="E173" s="161"/>
      <c r="F173" s="161"/>
      <c r="G173" s="348"/>
      <c r="H173" s="348"/>
      <c r="I173" s="348"/>
      <c r="J173" s="348"/>
      <c r="K173" s="348"/>
      <c r="L173" s="3"/>
      <c r="M173" s="928"/>
      <c r="O173" s="151"/>
    </row>
    <row r="174" ht="12.0" customHeight="1">
      <c r="B174" s="1"/>
      <c r="D174" s="161"/>
      <c r="E174" s="161"/>
      <c r="F174" s="161"/>
      <c r="G174" s="348"/>
      <c r="H174" s="348"/>
      <c r="I174" s="348"/>
      <c r="J174" s="348"/>
      <c r="K174" s="348"/>
      <c r="L174" s="3"/>
      <c r="M174" s="928"/>
      <c r="O174" s="151"/>
    </row>
    <row r="175" ht="12.0" customHeight="1">
      <c r="B175" s="1"/>
      <c r="D175" s="161"/>
      <c r="E175" s="161"/>
      <c r="F175" s="161"/>
      <c r="G175" s="348"/>
      <c r="H175" s="348"/>
      <c r="I175" s="348"/>
      <c r="J175" s="348"/>
      <c r="K175" s="348"/>
      <c r="L175" s="3"/>
      <c r="M175" s="928"/>
      <c r="O175" s="151"/>
    </row>
    <row r="176" ht="12.0" customHeight="1">
      <c r="B176" s="1"/>
      <c r="D176" s="161"/>
      <c r="E176" s="161"/>
      <c r="F176" s="161"/>
      <c r="G176" s="348"/>
      <c r="H176" s="348"/>
      <c r="I176" s="348"/>
      <c r="J176" s="348"/>
      <c r="K176" s="348"/>
      <c r="L176" s="3"/>
      <c r="M176" s="928"/>
      <c r="O176" s="151"/>
    </row>
    <row r="177" ht="12.0" customHeight="1">
      <c r="B177" s="1"/>
      <c r="D177" s="161"/>
      <c r="E177" s="161"/>
      <c r="F177" s="161"/>
      <c r="G177" s="348"/>
      <c r="H177" s="348"/>
      <c r="I177" s="348"/>
      <c r="J177" s="348"/>
      <c r="K177" s="348"/>
      <c r="L177" s="3"/>
      <c r="M177" s="928"/>
      <c r="O177" s="151"/>
    </row>
    <row r="178" ht="12.0" customHeight="1">
      <c r="B178" s="1"/>
      <c r="D178" s="161"/>
      <c r="E178" s="161"/>
      <c r="F178" s="161"/>
      <c r="G178" s="348"/>
      <c r="H178" s="348"/>
      <c r="I178" s="348"/>
      <c r="J178" s="348"/>
      <c r="K178" s="348"/>
      <c r="L178" s="3"/>
      <c r="M178" s="928"/>
      <c r="O178" s="151"/>
    </row>
    <row r="179" ht="12.0" customHeight="1">
      <c r="B179" s="1"/>
      <c r="D179" s="161"/>
      <c r="E179" s="161"/>
      <c r="F179" s="161"/>
      <c r="G179" s="348"/>
      <c r="H179" s="348"/>
      <c r="I179" s="348"/>
      <c r="J179" s="348"/>
      <c r="K179" s="348"/>
      <c r="L179" s="3"/>
      <c r="M179" s="928"/>
      <c r="O179" s="151"/>
    </row>
    <row r="180" ht="12.0" customHeight="1">
      <c r="B180" s="1"/>
      <c r="D180" s="161"/>
      <c r="E180" s="161"/>
      <c r="F180" s="161"/>
      <c r="G180" s="348"/>
      <c r="H180" s="348"/>
      <c r="I180" s="348"/>
      <c r="J180" s="348"/>
      <c r="K180" s="348"/>
      <c r="L180" s="3"/>
      <c r="M180" s="928"/>
      <c r="O180" s="151"/>
    </row>
    <row r="181" ht="12.0" customHeight="1">
      <c r="B181" s="1"/>
      <c r="D181" s="161"/>
      <c r="E181" s="161"/>
      <c r="F181" s="161"/>
      <c r="G181" s="348"/>
      <c r="H181" s="348"/>
      <c r="I181" s="348"/>
      <c r="J181" s="348"/>
      <c r="K181" s="348"/>
      <c r="L181" s="3"/>
      <c r="M181" s="928"/>
      <c r="O181" s="151"/>
    </row>
    <row r="182" ht="12.0" customHeight="1">
      <c r="B182" s="1"/>
      <c r="D182" s="161"/>
      <c r="E182" s="161"/>
      <c r="F182" s="161"/>
      <c r="G182" s="348"/>
      <c r="H182" s="348"/>
      <c r="I182" s="348"/>
      <c r="J182" s="348"/>
      <c r="K182" s="348"/>
      <c r="L182" s="3"/>
      <c r="M182" s="928"/>
      <c r="O182" s="151"/>
    </row>
    <row r="183" ht="12.0" customHeight="1">
      <c r="B183" s="1"/>
      <c r="D183" s="161"/>
      <c r="E183" s="161"/>
      <c r="F183" s="161"/>
      <c r="G183" s="348"/>
      <c r="H183" s="348"/>
      <c r="I183" s="348"/>
      <c r="J183" s="348"/>
      <c r="K183" s="348"/>
      <c r="L183" s="3"/>
      <c r="M183" s="928"/>
      <c r="O183" s="151"/>
    </row>
    <row r="184" ht="12.0" customHeight="1">
      <c r="B184" s="1"/>
      <c r="D184" s="161"/>
      <c r="E184" s="161"/>
      <c r="F184" s="161"/>
      <c r="G184" s="348"/>
      <c r="H184" s="348"/>
      <c r="I184" s="348"/>
      <c r="J184" s="348"/>
      <c r="K184" s="348"/>
      <c r="L184" s="3"/>
      <c r="M184" s="928"/>
      <c r="O184" s="151"/>
    </row>
    <row r="185" ht="12.0" customHeight="1">
      <c r="B185" s="1"/>
      <c r="D185" s="161"/>
      <c r="E185" s="161"/>
      <c r="F185" s="161"/>
      <c r="G185" s="348"/>
      <c r="H185" s="348"/>
      <c r="I185" s="348"/>
      <c r="J185" s="348"/>
      <c r="K185" s="348"/>
      <c r="L185" s="3"/>
      <c r="M185" s="928"/>
      <c r="O185" s="151"/>
    </row>
    <row r="186" ht="12.0" customHeight="1">
      <c r="B186" s="1"/>
      <c r="D186" s="161"/>
      <c r="E186" s="161"/>
      <c r="F186" s="161"/>
      <c r="G186" s="348"/>
      <c r="H186" s="348"/>
      <c r="I186" s="348"/>
      <c r="J186" s="348"/>
      <c r="K186" s="348"/>
      <c r="L186" s="3"/>
      <c r="M186" s="928"/>
      <c r="O186" s="151"/>
    </row>
    <row r="187" ht="12.0" customHeight="1">
      <c r="B187" s="1"/>
      <c r="D187" s="161"/>
      <c r="E187" s="161"/>
      <c r="F187" s="161"/>
      <c r="G187" s="348"/>
      <c r="H187" s="348"/>
      <c r="I187" s="348"/>
      <c r="J187" s="348"/>
      <c r="K187" s="348"/>
      <c r="L187" s="3"/>
      <c r="M187" s="928"/>
      <c r="O187" s="151"/>
    </row>
    <row r="188" ht="12.0" customHeight="1">
      <c r="B188" s="1"/>
      <c r="D188" s="161"/>
      <c r="E188" s="161"/>
      <c r="F188" s="161"/>
      <c r="G188" s="348"/>
      <c r="H188" s="348"/>
      <c r="I188" s="348"/>
      <c r="J188" s="348"/>
      <c r="K188" s="348"/>
      <c r="L188" s="3"/>
      <c r="M188" s="928"/>
      <c r="O188" s="151"/>
    </row>
    <row r="189" ht="12.0" customHeight="1">
      <c r="B189" s="1"/>
      <c r="D189" s="161"/>
      <c r="E189" s="161"/>
      <c r="F189" s="161"/>
      <c r="G189" s="348"/>
      <c r="H189" s="348"/>
      <c r="I189" s="348"/>
      <c r="J189" s="348"/>
      <c r="K189" s="348"/>
      <c r="L189" s="3"/>
      <c r="M189" s="928"/>
      <c r="O189" s="151"/>
    </row>
    <row r="190" ht="12.0" customHeight="1">
      <c r="B190" s="1"/>
      <c r="D190" s="161"/>
      <c r="E190" s="161"/>
      <c r="F190" s="161"/>
      <c r="G190" s="348"/>
      <c r="H190" s="348"/>
      <c r="I190" s="348"/>
      <c r="J190" s="348"/>
      <c r="K190" s="348"/>
      <c r="L190" s="3"/>
      <c r="M190" s="928"/>
      <c r="O190" s="151"/>
    </row>
    <row r="191" ht="12.0" customHeight="1">
      <c r="B191" s="1"/>
      <c r="D191" s="161"/>
      <c r="E191" s="161"/>
      <c r="F191" s="161"/>
      <c r="G191" s="348"/>
      <c r="H191" s="348"/>
      <c r="I191" s="348"/>
      <c r="J191" s="348"/>
      <c r="K191" s="348"/>
      <c r="L191" s="3"/>
      <c r="M191" s="928"/>
      <c r="O191" s="151"/>
    </row>
    <row r="192" ht="12.0" customHeight="1">
      <c r="B192" s="1"/>
      <c r="D192" s="161"/>
      <c r="E192" s="161"/>
      <c r="F192" s="161"/>
      <c r="G192" s="348"/>
      <c r="H192" s="348"/>
      <c r="I192" s="348"/>
      <c r="J192" s="348"/>
      <c r="K192" s="348"/>
      <c r="L192" s="3"/>
      <c r="M192" s="928"/>
      <c r="O192" s="151"/>
    </row>
    <row r="193" ht="12.0" customHeight="1">
      <c r="B193" s="1"/>
      <c r="D193" s="161"/>
      <c r="E193" s="161"/>
      <c r="F193" s="161"/>
      <c r="G193" s="348"/>
      <c r="H193" s="348"/>
      <c r="I193" s="348"/>
      <c r="J193" s="348"/>
      <c r="K193" s="348"/>
      <c r="L193" s="3"/>
      <c r="M193" s="928"/>
      <c r="O193" s="151"/>
    </row>
    <row r="194" ht="12.0" customHeight="1">
      <c r="B194" s="1"/>
      <c r="D194" s="161"/>
      <c r="E194" s="161"/>
      <c r="F194" s="161"/>
      <c r="G194" s="348"/>
      <c r="H194" s="348"/>
      <c r="I194" s="348"/>
      <c r="J194" s="348"/>
      <c r="K194" s="348"/>
      <c r="L194" s="3"/>
      <c r="M194" s="928"/>
      <c r="O194" s="151"/>
    </row>
    <row r="195" ht="12.0" customHeight="1">
      <c r="B195" s="1"/>
      <c r="D195" s="161"/>
      <c r="E195" s="161"/>
      <c r="F195" s="161"/>
      <c r="G195" s="348"/>
      <c r="H195" s="348"/>
      <c r="I195" s="348"/>
      <c r="J195" s="348"/>
      <c r="K195" s="348"/>
      <c r="L195" s="3"/>
      <c r="M195" s="928"/>
      <c r="O195" s="151"/>
    </row>
    <row r="196" ht="12.0" customHeight="1">
      <c r="B196" s="1"/>
      <c r="D196" s="161"/>
      <c r="E196" s="161"/>
      <c r="F196" s="161"/>
      <c r="G196" s="348"/>
      <c r="H196" s="348"/>
      <c r="I196" s="348"/>
      <c r="J196" s="348"/>
      <c r="K196" s="348"/>
      <c r="L196" s="3"/>
      <c r="M196" s="928"/>
      <c r="O196" s="151"/>
    </row>
    <row r="197" ht="12.0" customHeight="1">
      <c r="B197" s="1"/>
      <c r="D197" s="161"/>
      <c r="E197" s="161"/>
      <c r="F197" s="161"/>
      <c r="G197" s="348"/>
      <c r="H197" s="348"/>
      <c r="I197" s="348"/>
      <c r="J197" s="348"/>
      <c r="K197" s="348"/>
      <c r="L197" s="3"/>
      <c r="M197" s="928"/>
      <c r="O197" s="151"/>
    </row>
    <row r="198" ht="12.0" customHeight="1">
      <c r="B198" s="1"/>
      <c r="D198" s="161"/>
      <c r="E198" s="161"/>
      <c r="F198" s="161"/>
      <c r="G198" s="348"/>
      <c r="H198" s="348"/>
      <c r="I198" s="348"/>
      <c r="J198" s="348"/>
      <c r="K198" s="348"/>
      <c r="L198" s="3"/>
      <c r="M198" s="928"/>
      <c r="O198" s="151"/>
    </row>
    <row r="199" ht="12.0" customHeight="1">
      <c r="B199" s="1"/>
      <c r="D199" s="161"/>
      <c r="E199" s="161"/>
      <c r="F199" s="161"/>
      <c r="G199" s="348"/>
      <c r="H199" s="348"/>
      <c r="I199" s="348"/>
      <c r="J199" s="348"/>
      <c r="K199" s="348"/>
      <c r="L199" s="3"/>
      <c r="M199" s="928"/>
      <c r="O199" s="151"/>
    </row>
    <row r="200" ht="12.0" customHeight="1">
      <c r="B200" s="1"/>
      <c r="D200" s="161"/>
      <c r="E200" s="161"/>
      <c r="F200" s="161"/>
      <c r="G200" s="348"/>
      <c r="H200" s="348"/>
      <c r="I200" s="348"/>
      <c r="J200" s="348"/>
      <c r="K200" s="348"/>
      <c r="L200" s="3"/>
      <c r="M200" s="928"/>
      <c r="O200" s="151"/>
    </row>
    <row r="201" ht="12.0" customHeight="1">
      <c r="B201" s="1"/>
      <c r="D201" s="161"/>
      <c r="E201" s="161"/>
      <c r="F201" s="161"/>
      <c r="G201" s="348"/>
      <c r="H201" s="348"/>
      <c r="I201" s="348"/>
      <c r="J201" s="348"/>
      <c r="K201" s="348"/>
      <c r="L201" s="3"/>
      <c r="M201" s="928"/>
      <c r="O201" s="151"/>
    </row>
    <row r="202" ht="12.0" customHeight="1">
      <c r="B202" s="1"/>
      <c r="D202" s="161"/>
      <c r="E202" s="161"/>
      <c r="F202" s="161"/>
      <c r="G202" s="348"/>
      <c r="H202" s="348"/>
      <c r="I202" s="348"/>
      <c r="J202" s="348"/>
      <c r="K202" s="348"/>
      <c r="L202" s="3"/>
      <c r="M202" s="928"/>
      <c r="O202" s="151"/>
    </row>
    <row r="203" ht="12.0" customHeight="1">
      <c r="B203" s="1"/>
      <c r="D203" s="161"/>
      <c r="E203" s="161"/>
      <c r="F203" s="161"/>
      <c r="G203" s="348"/>
      <c r="H203" s="348"/>
      <c r="I203" s="348"/>
      <c r="J203" s="348"/>
      <c r="K203" s="348"/>
      <c r="L203" s="3"/>
      <c r="M203" s="928"/>
      <c r="O203" s="151"/>
    </row>
    <row r="204" ht="12.0" customHeight="1">
      <c r="B204" s="1"/>
      <c r="D204" s="161"/>
      <c r="E204" s="161"/>
      <c r="F204" s="161"/>
      <c r="G204" s="348"/>
      <c r="H204" s="348"/>
      <c r="I204" s="348"/>
      <c r="J204" s="348"/>
      <c r="K204" s="348"/>
      <c r="L204" s="3"/>
      <c r="M204" s="928"/>
      <c r="O204" s="151"/>
    </row>
    <row r="205" ht="12.0" customHeight="1">
      <c r="B205" s="1"/>
      <c r="D205" s="161"/>
      <c r="E205" s="161"/>
      <c r="F205" s="161"/>
      <c r="G205" s="348"/>
      <c r="H205" s="348"/>
      <c r="I205" s="348"/>
      <c r="J205" s="348"/>
      <c r="K205" s="348"/>
      <c r="L205" s="3"/>
      <c r="M205" s="928"/>
      <c r="O205" s="151"/>
    </row>
    <row r="206" ht="12.0" customHeight="1">
      <c r="B206" s="1"/>
      <c r="D206" s="161"/>
      <c r="E206" s="161"/>
      <c r="F206" s="161"/>
      <c r="G206" s="348"/>
      <c r="H206" s="348"/>
      <c r="I206" s="348"/>
      <c r="J206" s="348"/>
      <c r="K206" s="348"/>
      <c r="L206" s="3"/>
      <c r="M206" s="928"/>
      <c r="O206" s="151"/>
    </row>
    <row r="207" ht="12.0" customHeight="1">
      <c r="B207" s="1"/>
      <c r="D207" s="161"/>
      <c r="E207" s="161"/>
      <c r="F207" s="161"/>
      <c r="G207" s="348"/>
      <c r="H207" s="348"/>
      <c r="I207" s="348"/>
      <c r="J207" s="348"/>
      <c r="K207" s="348"/>
      <c r="L207" s="3"/>
      <c r="M207" s="928"/>
      <c r="O207" s="151"/>
    </row>
    <row r="208" ht="12.0" customHeight="1">
      <c r="B208" s="1"/>
      <c r="D208" s="161"/>
      <c r="E208" s="161"/>
      <c r="F208" s="161"/>
      <c r="G208" s="348"/>
      <c r="H208" s="348"/>
      <c r="I208" s="348"/>
      <c r="J208" s="348"/>
      <c r="K208" s="348"/>
      <c r="L208" s="3"/>
      <c r="M208" s="928"/>
      <c r="O208" s="151"/>
    </row>
    <row r="209" ht="12.0" customHeight="1">
      <c r="B209" s="1"/>
      <c r="D209" s="161"/>
      <c r="E209" s="161"/>
      <c r="F209" s="161"/>
      <c r="G209" s="348"/>
      <c r="H209" s="348"/>
      <c r="I209" s="348"/>
      <c r="J209" s="348"/>
      <c r="K209" s="348"/>
      <c r="L209" s="3"/>
      <c r="M209" s="928"/>
      <c r="O209" s="151"/>
    </row>
    <row r="210" ht="12.0" customHeight="1">
      <c r="B210" s="1"/>
      <c r="D210" s="161"/>
      <c r="E210" s="161"/>
      <c r="F210" s="161"/>
      <c r="G210" s="348"/>
      <c r="H210" s="348"/>
      <c r="I210" s="348"/>
      <c r="J210" s="348"/>
      <c r="K210" s="348"/>
      <c r="L210" s="3"/>
      <c r="M210" s="928"/>
      <c r="O210" s="151"/>
    </row>
    <row r="211" ht="12.0" customHeight="1">
      <c r="B211" s="1"/>
      <c r="D211" s="161"/>
      <c r="E211" s="161"/>
      <c r="F211" s="161"/>
      <c r="G211" s="348"/>
      <c r="H211" s="348"/>
      <c r="I211" s="348"/>
      <c r="J211" s="348"/>
      <c r="K211" s="348"/>
      <c r="L211" s="3"/>
      <c r="M211" s="928"/>
      <c r="O211" s="151"/>
    </row>
    <row r="212" ht="12.0" customHeight="1">
      <c r="B212" s="1"/>
      <c r="D212" s="161"/>
      <c r="E212" s="161"/>
      <c r="F212" s="161"/>
      <c r="G212" s="348"/>
      <c r="H212" s="348"/>
      <c r="I212" s="348"/>
      <c r="J212" s="348"/>
      <c r="K212" s="348"/>
      <c r="L212" s="3"/>
      <c r="M212" s="928"/>
      <c r="O212" s="151"/>
    </row>
    <row r="213" ht="12.0" customHeight="1">
      <c r="B213" s="1"/>
      <c r="D213" s="161"/>
      <c r="E213" s="161"/>
      <c r="F213" s="161"/>
      <c r="G213" s="348"/>
      <c r="H213" s="348"/>
      <c r="I213" s="348"/>
      <c r="J213" s="348"/>
      <c r="K213" s="348"/>
      <c r="L213" s="3"/>
      <c r="M213" s="928"/>
      <c r="O213" s="151"/>
    </row>
    <row r="214" ht="12.0" customHeight="1">
      <c r="B214" s="1"/>
      <c r="D214" s="161"/>
      <c r="E214" s="161"/>
      <c r="F214" s="161"/>
      <c r="G214" s="348"/>
      <c r="H214" s="348"/>
      <c r="I214" s="348"/>
      <c r="J214" s="348"/>
      <c r="K214" s="348"/>
      <c r="L214" s="3"/>
      <c r="M214" s="928"/>
      <c r="O214" s="151"/>
    </row>
    <row r="215" ht="12.0" customHeight="1">
      <c r="B215" s="1"/>
      <c r="D215" s="161"/>
      <c r="E215" s="161"/>
      <c r="F215" s="161"/>
      <c r="G215" s="348"/>
      <c r="H215" s="348"/>
      <c r="I215" s="348"/>
      <c r="J215" s="348"/>
      <c r="K215" s="348"/>
      <c r="L215" s="3"/>
      <c r="M215" s="928"/>
      <c r="O215" s="151"/>
    </row>
    <row r="216" ht="12.0" customHeight="1">
      <c r="B216" s="1"/>
      <c r="D216" s="161"/>
      <c r="E216" s="161"/>
      <c r="F216" s="161"/>
      <c r="G216" s="348"/>
      <c r="H216" s="348"/>
      <c r="I216" s="348"/>
      <c r="J216" s="348"/>
      <c r="K216" s="348"/>
      <c r="L216" s="3"/>
      <c r="M216" s="928"/>
      <c r="O216" s="151"/>
    </row>
    <row r="217" ht="12.0" customHeight="1">
      <c r="B217" s="1"/>
      <c r="D217" s="161"/>
      <c r="E217" s="161"/>
      <c r="F217" s="161"/>
      <c r="G217" s="348"/>
      <c r="H217" s="348"/>
      <c r="I217" s="348"/>
      <c r="J217" s="348"/>
      <c r="K217" s="348"/>
      <c r="L217" s="3"/>
      <c r="M217" s="928"/>
      <c r="O217" s="151"/>
    </row>
    <row r="218" ht="12.0" customHeight="1">
      <c r="B218" s="1"/>
      <c r="D218" s="161"/>
      <c r="E218" s="161"/>
      <c r="F218" s="161"/>
      <c r="G218" s="348"/>
      <c r="H218" s="348"/>
      <c r="I218" s="348"/>
      <c r="J218" s="348"/>
      <c r="K218" s="348"/>
      <c r="L218" s="3"/>
      <c r="M218" s="928"/>
      <c r="O218" s="151"/>
    </row>
    <row r="219" ht="12.0" customHeight="1">
      <c r="B219" s="1"/>
      <c r="D219" s="161"/>
      <c r="E219" s="161"/>
      <c r="F219" s="161"/>
      <c r="G219" s="348"/>
      <c r="H219" s="348"/>
      <c r="I219" s="348"/>
      <c r="J219" s="348"/>
      <c r="K219" s="348"/>
      <c r="L219" s="3"/>
      <c r="M219" s="928"/>
      <c r="O219" s="151"/>
    </row>
    <row r="220" ht="12.0" customHeight="1">
      <c r="B220" s="1"/>
      <c r="D220" s="161"/>
      <c r="E220" s="161"/>
      <c r="F220" s="161"/>
      <c r="G220" s="348"/>
      <c r="H220" s="348"/>
      <c r="I220" s="348"/>
      <c r="J220" s="348"/>
      <c r="K220" s="348"/>
      <c r="L220" s="3"/>
      <c r="M220" s="928"/>
      <c r="O220" s="151"/>
    </row>
    <row r="221" ht="12.0" customHeight="1">
      <c r="B221" s="1"/>
      <c r="D221" s="161"/>
      <c r="E221" s="161"/>
      <c r="F221" s="161"/>
      <c r="G221" s="348"/>
      <c r="H221" s="348"/>
      <c r="I221" s="348"/>
      <c r="J221" s="348"/>
      <c r="K221" s="348"/>
      <c r="L221" s="3"/>
      <c r="M221" s="928"/>
      <c r="O221" s="151"/>
    </row>
    <row r="222" ht="12.0" customHeight="1">
      <c r="B222" s="1"/>
      <c r="D222" s="161"/>
      <c r="E222" s="161"/>
      <c r="F222" s="161"/>
      <c r="G222" s="348"/>
      <c r="H222" s="348"/>
      <c r="I222" s="348"/>
      <c r="J222" s="348"/>
      <c r="K222" s="348"/>
      <c r="L222" s="3"/>
      <c r="M222" s="928"/>
      <c r="O222" s="151"/>
    </row>
    <row r="223" ht="12.0" customHeight="1">
      <c r="B223" s="1"/>
      <c r="D223" s="161"/>
      <c r="E223" s="161"/>
      <c r="F223" s="161"/>
      <c r="G223" s="348"/>
      <c r="H223" s="348"/>
      <c r="I223" s="348"/>
      <c r="J223" s="348"/>
      <c r="K223" s="348"/>
      <c r="L223" s="3"/>
      <c r="M223" s="928"/>
      <c r="O223" s="151"/>
    </row>
    <row r="224" ht="12.0" customHeight="1">
      <c r="B224" s="1"/>
      <c r="D224" s="161"/>
      <c r="E224" s="161"/>
      <c r="F224" s="161"/>
      <c r="G224" s="348"/>
      <c r="H224" s="348"/>
      <c r="I224" s="348"/>
      <c r="J224" s="348"/>
      <c r="K224" s="348"/>
      <c r="L224" s="3"/>
      <c r="M224" s="928"/>
      <c r="O224" s="151"/>
    </row>
    <row r="225" ht="12.0" customHeight="1">
      <c r="B225" s="1"/>
      <c r="D225" s="161"/>
      <c r="E225" s="161"/>
      <c r="F225" s="161"/>
      <c r="G225" s="348"/>
      <c r="H225" s="348"/>
      <c r="I225" s="348"/>
      <c r="J225" s="348"/>
      <c r="K225" s="348"/>
      <c r="L225" s="3"/>
      <c r="M225" s="928"/>
      <c r="O225" s="151"/>
    </row>
    <row r="226" ht="12.0" customHeight="1">
      <c r="B226" s="1"/>
      <c r="D226" s="161"/>
      <c r="E226" s="161"/>
      <c r="F226" s="161"/>
      <c r="G226" s="348"/>
      <c r="H226" s="348"/>
      <c r="I226" s="348"/>
      <c r="J226" s="348"/>
      <c r="K226" s="348"/>
      <c r="L226" s="3"/>
      <c r="M226" s="928"/>
      <c r="O226" s="151"/>
    </row>
    <row r="227" ht="12.0" customHeight="1">
      <c r="B227" s="1"/>
      <c r="D227" s="161"/>
      <c r="E227" s="161"/>
      <c r="F227" s="161"/>
      <c r="G227" s="348"/>
      <c r="H227" s="348"/>
      <c r="I227" s="348"/>
      <c r="J227" s="348"/>
      <c r="K227" s="348"/>
      <c r="L227" s="3"/>
      <c r="M227" s="928"/>
      <c r="O227" s="151"/>
    </row>
    <row r="228" ht="12.0" customHeight="1">
      <c r="B228" s="1"/>
      <c r="D228" s="161"/>
      <c r="E228" s="161"/>
      <c r="F228" s="161"/>
      <c r="G228" s="348"/>
      <c r="H228" s="348"/>
      <c r="I228" s="348"/>
      <c r="J228" s="348"/>
      <c r="K228" s="348"/>
      <c r="L228" s="3"/>
      <c r="M228" s="928"/>
      <c r="O228" s="151"/>
    </row>
    <row r="229" ht="12.0" customHeight="1">
      <c r="B229" s="1"/>
      <c r="D229" s="161"/>
      <c r="E229" s="161"/>
      <c r="F229" s="161"/>
      <c r="G229" s="348"/>
      <c r="H229" s="348"/>
      <c r="I229" s="348"/>
      <c r="J229" s="348"/>
      <c r="K229" s="348"/>
      <c r="L229" s="3"/>
      <c r="M229" s="928"/>
      <c r="O229" s="151"/>
    </row>
    <row r="230" ht="12.0" customHeight="1">
      <c r="B230" s="1"/>
      <c r="D230" s="161"/>
      <c r="E230" s="161"/>
      <c r="F230" s="161"/>
      <c r="G230" s="348"/>
      <c r="H230" s="348"/>
      <c r="I230" s="348"/>
      <c r="J230" s="348"/>
      <c r="K230" s="348"/>
      <c r="L230" s="3"/>
      <c r="M230" s="928"/>
      <c r="O230" s="151"/>
    </row>
    <row r="231" ht="12.0" customHeight="1">
      <c r="B231" s="1"/>
      <c r="D231" s="161"/>
      <c r="E231" s="161"/>
      <c r="F231" s="161"/>
      <c r="G231" s="348"/>
      <c r="H231" s="348"/>
      <c r="I231" s="348"/>
      <c r="J231" s="348"/>
      <c r="K231" s="348"/>
      <c r="L231" s="3"/>
      <c r="M231" s="928"/>
      <c r="O231" s="151"/>
    </row>
    <row r="232" ht="12.0" customHeight="1">
      <c r="B232" s="1"/>
      <c r="D232" s="161"/>
      <c r="E232" s="161"/>
      <c r="F232" s="161"/>
      <c r="G232" s="348"/>
      <c r="H232" s="348"/>
      <c r="I232" s="348"/>
      <c r="J232" s="348"/>
      <c r="K232" s="348"/>
      <c r="L232" s="3"/>
      <c r="M232" s="928"/>
      <c r="O232" s="151"/>
    </row>
    <row r="233" ht="12.0" customHeight="1">
      <c r="B233" s="1"/>
      <c r="D233" s="161"/>
      <c r="E233" s="161"/>
      <c r="F233" s="161"/>
      <c r="G233" s="348"/>
      <c r="H233" s="348"/>
      <c r="I233" s="348"/>
      <c r="J233" s="348"/>
      <c r="K233" s="348"/>
      <c r="L233" s="3"/>
      <c r="M233" s="928"/>
      <c r="O233" s="151"/>
    </row>
    <row r="234" ht="12.0" customHeight="1">
      <c r="B234" s="1"/>
      <c r="D234" s="161"/>
      <c r="E234" s="161"/>
      <c r="F234" s="161"/>
      <c r="G234" s="348"/>
      <c r="H234" s="348"/>
      <c r="I234" s="348"/>
      <c r="J234" s="348"/>
      <c r="K234" s="348"/>
      <c r="L234" s="3"/>
      <c r="M234" s="928"/>
      <c r="O234" s="151"/>
    </row>
    <row r="235" ht="12.0" customHeight="1">
      <c r="B235" s="1"/>
      <c r="D235" s="161"/>
      <c r="E235" s="161"/>
      <c r="F235" s="161"/>
      <c r="G235" s="348"/>
      <c r="H235" s="348"/>
      <c r="I235" s="348"/>
      <c r="J235" s="348"/>
      <c r="K235" s="348"/>
      <c r="L235" s="3"/>
      <c r="M235" s="928"/>
      <c r="O235" s="151"/>
    </row>
    <row r="236" ht="12.0" customHeight="1">
      <c r="B236" s="1"/>
      <c r="D236" s="161"/>
      <c r="E236" s="161"/>
      <c r="F236" s="161"/>
      <c r="G236" s="348"/>
      <c r="H236" s="348"/>
      <c r="I236" s="348"/>
      <c r="J236" s="348"/>
      <c r="K236" s="348"/>
      <c r="L236" s="3"/>
      <c r="M236" s="928"/>
      <c r="O236" s="151"/>
    </row>
    <row r="237" ht="12.0" customHeight="1">
      <c r="B237" s="1"/>
      <c r="D237" s="161"/>
      <c r="E237" s="161"/>
      <c r="F237" s="161"/>
      <c r="G237" s="348"/>
      <c r="H237" s="348"/>
      <c r="I237" s="348"/>
      <c r="J237" s="348"/>
      <c r="K237" s="348"/>
      <c r="L237" s="3"/>
      <c r="M237" s="928"/>
      <c r="O237" s="151"/>
    </row>
    <row r="238" ht="12.0" customHeight="1">
      <c r="B238" s="1"/>
      <c r="D238" s="161"/>
      <c r="E238" s="161"/>
      <c r="F238" s="161"/>
      <c r="G238" s="348"/>
      <c r="H238" s="348"/>
      <c r="I238" s="348"/>
      <c r="J238" s="348"/>
      <c r="K238" s="348"/>
      <c r="L238" s="3"/>
      <c r="M238" s="928"/>
      <c r="O238" s="151"/>
    </row>
    <row r="239" ht="12.0" customHeight="1">
      <c r="B239" s="1"/>
      <c r="D239" s="161"/>
      <c r="E239" s="161"/>
      <c r="F239" s="161"/>
      <c r="G239" s="348"/>
      <c r="H239" s="348"/>
      <c r="I239" s="348"/>
      <c r="J239" s="348"/>
      <c r="K239" s="348"/>
      <c r="L239" s="3"/>
      <c r="M239" s="928"/>
      <c r="O239" s="151"/>
    </row>
    <row r="240" ht="12.0" customHeight="1">
      <c r="B240" s="1"/>
      <c r="D240" s="161"/>
      <c r="E240" s="161"/>
      <c r="F240" s="161"/>
      <c r="G240" s="348"/>
      <c r="H240" s="348"/>
      <c r="I240" s="348"/>
      <c r="J240" s="348"/>
      <c r="K240" s="348"/>
      <c r="L240" s="3"/>
      <c r="M240" s="928"/>
      <c r="O240" s="151"/>
    </row>
    <row r="241" ht="12.0" customHeight="1">
      <c r="B241" s="1"/>
      <c r="D241" s="161"/>
      <c r="E241" s="161"/>
      <c r="F241" s="161"/>
      <c r="G241" s="348"/>
      <c r="H241" s="348"/>
      <c r="I241" s="348"/>
      <c r="J241" s="348"/>
      <c r="K241" s="348"/>
      <c r="L241" s="3"/>
      <c r="M241" s="928"/>
      <c r="O241" s="151"/>
    </row>
    <row r="242" ht="12.0" customHeight="1">
      <c r="B242" s="1"/>
      <c r="D242" s="161"/>
      <c r="E242" s="161"/>
      <c r="F242" s="161"/>
      <c r="G242" s="348"/>
      <c r="H242" s="348"/>
      <c r="I242" s="348"/>
      <c r="J242" s="348"/>
      <c r="K242" s="348"/>
      <c r="L242" s="3"/>
      <c r="M242" s="928"/>
      <c r="O242" s="151"/>
    </row>
    <row r="243" ht="12.0" customHeight="1">
      <c r="B243" s="1"/>
      <c r="D243" s="161"/>
      <c r="E243" s="161"/>
      <c r="F243" s="161"/>
      <c r="G243" s="348"/>
      <c r="H243" s="348"/>
      <c r="I243" s="348"/>
      <c r="J243" s="348"/>
      <c r="K243" s="348"/>
      <c r="L243" s="3"/>
      <c r="M243" s="928"/>
      <c r="O243" s="151"/>
    </row>
    <row r="244" ht="12.0" customHeight="1">
      <c r="B244" s="1"/>
      <c r="D244" s="161"/>
      <c r="E244" s="161"/>
      <c r="F244" s="161"/>
      <c r="G244" s="348"/>
      <c r="H244" s="348"/>
      <c r="I244" s="348"/>
      <c r="J244" s="348"/>
      <c r="K244" s="348"/>
      <c r="L244" s="3"/>
      <c r="M244" s="928"/>
      <c r="O244" s="151"/>
    </row>
    <row r="245" ht="12.0" customHeight="1">
      <c r="B245" s="1"/>
      <c r="D245" s="161"/>
      <c r="E245" s="161"/>
      <c r="F245" s="161"/>
      <c r="G245" s="348"/>
      <c r="H245" s="348"/>
      <c r="I245" s="348"/>
      <c r="J245" s="348"/>
      <c r="K245" s="348"/>
      <c r="L245" s="3"/>
      <c r="M245" s="928"/>
      <c r="O245" s="151"/>
    </row>
    <row r="246" ht="12.0" customHeight="1">
      <c r="B246" s="1"/>
      <c r="D246" s="161"/>
      <c r="E246" s="161"/>
      <c r="F246" s="161"/>
      <c r="G246" s="348"/>
      <c r="H246" s="348"/>
      <c r="I246" s="348"/>
      <c r="J246" s="348"/>
      <c r="K246" s="348"/>
      <c r="L246" s="3"/>
      <c r="M246" s="928"/>
      <c r="O246" s="151"/>
    </row>
    <row r="247" ht="12.0" customHeight="1">
      <c r="B247" s="1"/>
      <c r="D247" s="161"/>
      <c r="E247" s="161"/>
      <c r="F247" s="161"/>
      <c r="G247" s="348"/>
      <c r="H247" s="348"/>
      <c r="I247" s="348"/>
      <c r="J247" s="348"/>
      <c r="K247" s="348"/>
      <c r="L247" s="3"/>
      <c r="M247" s="928"/>
      <c r="O247" s="151"/>
    </row>
    <row r="248" ht="12.0" customHeight="1">
      <c r="B248" s="1"/>
      <c r="D248" s="161"/>
      <c r="E248" s="161"/>
      <c r="F248" s="161"/>
      <c r="G248" s="348"/>
      <c r="H248" s="348"/>
      <c r="I248" s="348"/>
      <c r="J248" s="348"/>
      <c r="K248" s="348"/>
      <c r="L248" s="3"/>
      <c r="M248" s="928"/>
      <c r="O248" s="151"/>
    </row>
    <row r="249" ht="12.0" customHeight="1">
      <c r="B249" s="1"/>
      <c r="D249" s="161"/>
      <c r="E249" s="161"/>
      <c r="F249" s="161"/>
      <c r="G249" s="348"/>
      <c r="H249" s="348"/>
      <c r="I249" s="348"/>
      <c r="J249" s="348"/>
      <c r="K249" s="348"/>
      <c r="L249" s="3"/>
      <c r="M249" s="928"/>
      <c r="O249" s="151"/>
    </row>
    <row r="250" ht="12.0" customHeight="1">
      <c r="B250" s="1"/>
      <c r="D250" s="161"/>
      <c r="E250" s="161"/>
      <c r="F250" s="161"/>
      <c r="G250" s="348"/>
      <c r="H250" s="348"/>
      <c r="I250" s="348"/>
      <c r="J250" s="348"/>
      <c r="K250" s="348"/>
      <c r="L250" s="3"/>
      <c r="M250" s="928"/>
      <c r="O250" s="151"/>
    </row>
    <row r="251" ht="12.0" customHeight="1">
      <c r="B251" s="1"/>
      <c r="D251" s="161"/>
      <c r="E251" s="161"/>
      <c r="F251" s="161"/>
      <c r="G251" s="348"/>
      <c r="H251" s="348"/>
      <c r="I251" s="348"/>
      <c r="J251" s="348"/>
      <c r="K251" s="348"/>
      <c r="L251" s="3"/>
      <c r="M251" s="928"/>
      <c r="O251" s="151"/>
    </row>
    <row r="252" ht="12.0" customHeight="1">
      <c r="B252" s="1"/>
      <c r="D252" s="161"/>
      <c r="E252" s="161"/>
      <c r="F252" s="161"/>
      <c r="G252" s="348"/>
      <c r="H252" s="348"/>
      <c r="I252" s="348"/>
      <c r="J252" s="348"/>
      <c r="K252" s="348"/>
      <c r="L252" s="3"/>
      <c r="M252" s="928"/>
      <c r="O252" s="151"/>
    </row>
    <row r="253" ht="12.0" customHeight="1">
      <c r="B253" s="1"/>
      <c r="D253" s="161"/>
      <c r="E253" s="161"/>
      <c r="F253" s="161"/>
      <c r="G253" s="348"/>
      <c r="H253" s="348"/>
      <c r="I253" s="348"/>
      <c r="J253" s="348"/>
      <c r="K253" s="348"/>
      <c r="L253" s="3"/>
      <c r="M253" s="928"/>
      <c r="O253" s="151"/>
    </row>
    <row r="254" ht="12.0" customHeight="1">
      <c r="B254" s="1"/>
      <c r="D254" s="161"/>
      <c r="E254" s="161"/>
      <c r="F254" s="161"/>
      <c r="G254" s="348"/>
      <c r="H254" s="348"/>
      <c r="I254" s="348"/>
      <c r="J254" s="348"/>
      <c r="K254" s="348"/>
      <c r="L254" s="3"/>
      <c r="M254" s="928"/>
      <c r="O254" s="151"/>
    </row>
    <row r="255" ht="12.0" customHeight="1">
      <c r="B255" s="1"/>
      <c r="D255" s="161"/>
      <c r="E255" s="161"/>
      <c r="F255" s="161"/>
      <c r="G255" s="348"/>
      <c r="H255" s="348"/>
      <c r="I255" s="348"/>
      <c r="J255" s="348"/>
      <c r="K255" s="348"/>
      <c r="L255" s="3"/>
      <c r="M255" s="928"/>
      <c r="O255" s="151"/>
    </row>
    <row r="256" ht="12.0" customHeight="1">
      <c r="B256" s="1"/>
      <c r="D256" s="161"/>
      <c r="E256" s="161"/>
      <c r="F256" s="161"/>
      <c r="G256" s="348"/>
      <c r="H256" s="348"/>
      <c r="I256" s="348"/>
      <c r="J256" s="348"/>
      <c r="K256" s="348"/>
      <c r="L256" s="3"/>
      <c r="M256" s="928"/>
      <c r="O256" s="151"/>
    </row>
    <row r="257" ht="12.0" customHeight="1">
      <c r="B257" s="1"/>
      <c r="D257" s="161"/>
      <c r="E257" s="161"/>
      <c r="F257" s="161"/>
      <c r="G257" s="348"/>
      <c r="H257" s="348"/>
      <c r="I257" s="348"/>
      <c r="J257" s="348"/>
      <c r="K257" s="348"/>
      <c r="L257" s="3"/>
      <c r="M257" s="928"/>
      <c r="O257" s="151"/>
    </row>
    <row r="258" ht="12.0" customHeight="1">
      <c r="B258" s="1"/>
      <c r="D258" s="161"/>
      <c r="E258" s="161"/>
      <c r="F258" s="161"/>
      <c r="G258" s="348"/>
      <c r="H258" s="348"/>
      <c r="I258" s="348"/>
      <c r="J258" s="348"/>
      <c r="K258" s="348"/>
      <c r="L258" s="3"/>
      <c r="M258" s="928"/>
      <c r="O258" s="151"/>
    </row>
    <row r="259" ht="12.0" customHeight="1">
      <c r="B259" s="1"/>
      <c r="D259" s="161"/>
      <c r="E259" s="161"/>
      <c r="F259" s="161"/>
      <c r="G259" s="348"/>
      <c r="H259" s="348"/>
      <c r="I259" s="348"/>
      <c r="J259" s="348"/>
      <c r="K259" s="348"/>
      <c r="L259" s="3"/>
      <c r="M259" s="928"/>
      <c r="O259" s="151"/>
    </row>
    <row r="260" ht="12.0" customHeight="1">
      <c r="B260" s="1"/>
      <c r="D260" s="161"/>
      <c r="E260" s="161"/>
      <c r="F260" s="161"/>
      <c r="G260" s="348"/>
      <c r="H260" s="348"/>
      <c r="I260" s="348"/>
      <c r="J260" s="348"/>
      <c r="K260" s="348"/>
      <c r="L260" s="3"/>
      <c r="M260" s="928"/>
      <c r="O260" s="151"/>
    </row>
    <row r="261" ht="12.0" customHeight="1">
      <c r="B261" s="1"/>
      <c r="D261" s="161"/>
      <c r="E261" s="161"/>
      <c r="F261" s="161"/>
      <c r="G261" s="348"/>
      <c r="H261" s="348"/>
      <c r="I261" s="348"/>
      <c r="J261" s="348"/>
      <c r="K261" s="348"/>
      <c r="L261" s="3"/>
      <c r="M261" s="928"/>
      <c r="O261" s="151"/>
    </row>
    <row r="262" ht="12.0" customHeight="1">
      <c r="B262" s="1"/>
      <c r="D262" s="161"/>
      <c r="E262" s="161"/>
      <c r="F262" s="161"/>
      <c r="G262" s="348"/>
      <c r="H262" s="348"/>
      <c r="I262" s="348"/>
      <c r="J262" s="348"/>
      <c r="K262" s="348"/>
      <c r="L262" s="3"/>
      <c r="M262" s="928"/>
      <c r="O262" s="151"/>
    </row>
    <row r="263" ht="12.0" customHeight="1">
      <c r="B263" s="1"/>
      <c r="D263" s="161"/>
      <c r="E263" s="161"/>
      <c r="F263" s="161"/>
      <c r="G263" s="348"/>
      <c r="H263" s="348"/>
      <c r="I263" s="348"/>
      <c r="J263" s="348"/>
      <c r="K263" s="348"/>
      <c r="L263" s="3"/>
      <c r="M263" s="928"/>
      <c r="O263" s="151"/>
    </row>
    <row r="264" ht="12.0" customHeight="1">
      <c r="B264" s="1"/>
      <c r="D264" s="161"/>
      <c r="E264" s="161"/>
      <c r="F264" s="161"/>
      <c r="G264" s="348"/>
      <c r="H264" s="348"/>
      <c r="I264" s="348"/>
      <c r="J264" s="348"/>
      <c r="K264" s="348"/>
      <c r="L264" s="3"/>
      <c r="M264" s="928"/>
      <c r="O264" s="151"/>
    </row>
    <row r="265" ht="12.0" customHeight="1">
      <c r="B265" s="1"/>
      <c r="D265" s="161"/>
      <c r="E265" s="161"/>
      <c r="F265" s="161"/>
      <c r="G265" s="348"/>
      <c r="H265" s="348"/>
      <c r="I265" s="348"/>
      <c r="J265" s="348"/>
      <c r="K265" s="348"/>
      <c r="L265" s="3"/>
      <c r="M265" s="928"/>
      <c r="O265" s="151"/>
    </row>
    <row r="266" ht="12.0" customHeight="1">
      <c r="B266" s="1"/>
      <c r="D266" s="161"/>
      <c r="E266" s="161"/>
      <c r="F266" s="161"/>
      <c r="G266" s="348"/>
      <c r="H266" s="348"/>
      <c r="I266" s="348"/>
      <c r="J266" s="348"/>
      <c r="K266" s="348"/>
      <c r="L266" s="3"/>
      <c r="M266" s="928"/>
      <c r="O266" s="151"/>
    </row>
    <row r="267" ht="12.0" customHeight="1">
      <c r="B267" s="1"/>
      <c r="D267" s="161"/>
      <c r="E267" s="161"/>
      <c r="F267" s="161"/>
      <c r="G267" s="348"/>
      <c r="H267" s="348"/>
      <c r="I267" s="348"/>
      <c r="J267" s="348"/>
      <c r="K267" s="348"/>
      <c r="L267" s="3"/>
      <c r="M267" s="928"/>
      <c r="O267" s="151"/>
    </row>
    <row r="268" ht="12.0" customHeight="1">
      <c r="B268" s="1"/>
      <c r="D268" s="161"/>
      <c r="E268" s="161"/>
      <c r="F268" s="161"/>
      <c r="G268" s="348"/>
      <c r="H268" s="348"/>
      <c r="I268" s="348"/>
      <c r="J268" s="348"/>
      <c r="K268" s="348"/>
      <c r="L268" s="3"/>
      <c r="M268" s="928"/>
      <c r="O268" s="151"/>
    </row>
    <row r="269" ht="12.0" customHeight="1">
      <c r="B269" s="1"/>
      <c r="D269" s="161"/>
      <c r="E269" s="161"/>
      <c r="F269" s="161"/>
      <c r="G269" s="348"/>
      <c r="H269" s="348"/>
      <c r="I269" s="348"/>
      <c r="J269" s="348"/>
      <c r="K269" s="348"/>
      <c r="L269" s="3"/>
      <c r="M269" s="928"/>
      <c r="O269" s="151"/>
    </row>
    <row r="270" ht="12.0" customHeight="1">
      <c r="B270" s="1"/>
      <c r="D270" s="161"/>
      <c r="E270" s="161"/>
      <c r="F270" s="161"/>
      <c r="G270" s="348"/>
      <c r="H270" s="348"/>
      <c r="I270" s="348"/>
      <c r="J270" s="348"/>
      <c r="K270" s="348"/>
      <c r="L270" s="3"/>
      <c r="M270" s="928"/>
      <c r="O270" s="151"/>
    </row>
    <row r="271" ht="12.0" customHeight="1">
      <c r="B271" s="1"/>
      <c r="D271" s="161"/>
      <c r="E271" s="161"/>
      <c r="F271" s="161"/>
      <c r="G271" s="348"/>
      <c r="H271" s="348"/>
      <c r="I271" s="348"/>
      <c r="J271" s="348"/>
      <c r="K271" s="348"/>
      <c r="L271" s="3"/>
      <c r="M271" s="928"/>
      <c r="O271" s="151"/>
    </row>
    <row r="272" ht="12.0" customHeight="1">
      <c r="B272" s="1"/>
      <c r="D272" s="161"/>
      <c r="E272" s="161"/>
      <c r="F272" s="161"/>
      <c r="G272" s="348"/>
      <c r="H272" s="348"/>
      <c r="I272" s="348"/>
      <c r="J272" s="348"/>
      <c r="K272" s="348"/>
      <c r="L272" s="3"/>
      <c r="M272" s="928"/>
      <c r="O272" s="151"/>
    </row>
    <row r="273" ht="12.0" customHeight="1">
      <c r="B273" s="1"/>
      <c r="D273" s="161"/>
      <c r="E273" s="161"/>
      <c r="F273" s="161"/>
      <c r="G273" s="348"/>
      <c r="H273" s="348"/>
      <c r="I273" s="348"/>
      <c r="J273" s="348"/>
      <c r="K273" s="348"/>
      <c r="L273" s="3"/>
      <c r="M273" s="928"/>
      <c r="O273" s="151"/>
    </row>
    <row r="274" ht="12.0" customHeight="1">
      <c r="B274" s="1"/>
      <c r="D274" s="161"/>
      <c r="E274" s="161"/>
      <c r="F274" s="161"/>
      <c r="G274" s="348"/>
      <c r="H274" s="348"/>
      <c r="I274" s="348"/>
      <c r="J274" s="348"/>
      <c r="K274" s="348"/>
      <c r="L274" s="3"/>
      <c r="M274" s="928"/>
      <c r="O274" s="151"/>
    </row>
    <row r="275" ht="12.0" customHeight="1">
      <c r="B275" s="1"/>
      <c r="D275" s="161"/>
      <c r="E275" s="161"/>
      <c r="F275" s="161"/>
      <c r="G275" s="348"/>
      <c r="H275" s="348"/>
      <c r="I275" s="348"/>
      <c r="J275" s="348"/>
      <c r="K275" s="348"/>
      <c r="L275" s="3"/>
      <c r="M275" s="928"/>
      <c r="O275" s="151"/>
    </row>
    <row r="276" ht="12.0" customHeight="1">
      <c r="B276" s="1"/>
      <c r="D276" s="161"/>
      <c r="E276" s="161"/>
      <c r="F276" s="161"/>
      <c r="G276" s="348"/>
      <c r="H276" s="348"/>
      <c r="I276" s="348"/>
      <c r="J276" s="348"/>
      <c r="K276" s="348"/>
      <c r="L276" s="3"/>
      <c r="M276" s="928"/>
      <c r="O276" s="151"/>
    </row>
    <row r="277" ht="12.0" customHeight="1">
      <c r="B277" s="1"/>
      <c r="D277" s="161"/>
      <c r="E277" s="161"/>
      <c r="F277" s="161"/>
      <c r="G277" s="348"/>
      <c r="H277" s="348"/>
      <c r="I277" s="348"/>
      <c r="J277" s="348"/>
      <c r="K277" s="348"/>
      <c r="L277" s="3"/>
      <c r="M277" s="928"/>
      <c r="O277" s="151"/>
    </row>
    <row r="278" ht="12.0" customHeight="1">
      <c r="B278" s="1"/>
      <c r="D278" s="161"/>
      <c r="E278" s="161"/>
      <c r="F278" s="161"/>
      <c r="G278" s="348"/>
      <c r="H278" s="348"/>
      <c r="I278" s="348"/>
      <c r="J278" s="348"/>
      <c r="K278" s="348"/>
      <c r="L278" s="3"/>
      <c r="M278" s="928"/>
      <c r="O278" s="151"/>
    </row>
    <row r="279" ht="12.0" customHeight="1">
      <c r="B279" s="1"/>
      <c r="D279" s="161"/>
      <c r="E279" s="161"/>
      <c r="F279" s="161"/>
      <c r="G279" s="348"/>
      <c r="H279" s="348"/>
      <c r="I279" s="348"/>
      <c r="J279" s="348"/>
      <c r="K279" s="348"/>
      <c r="L279" s="3"/>
      <c r="M279" s="928"/>
      <c r="O279" s="151"/>
    </row>
    <row r="280" ht="12.0" customHeight="1">
      <c r="B280" s="1"/>
      <c r="D280" s="161"/>
      <c r="E280" s="161"/>
      <c r="F280" s="161"/>
      <c r="G280" s="348"/>
      <c r="H280" s="348"/>
      <c r="I280" s="348"/>
      <c r="J280" s="348"/>
      <c r="K280" s="348"/>
      <c r="L280" s="3"/>
      <c r="M280" s="928"/>
      <c r="O280" s="151"/>
    </row>
    <row r="281" ht="12.0" customHeight="1">
      <c r="B281" s="1"/>
      <c r="D281" s="161"/>
      <c r="E281" s="161"/>
      <c r="F281" s="161"/>
      <c r="G281" s="348"/>
      <c r="H281" s="348"/>
      <c r="I281" s="348"/>
      <c r="J281" s="348"/>
      <c r="K281" s="348"/>
      <c r="L281" s="3"/>
      <c r="M281" s="928"/>
      <c r="O281" s="151"/>
    </row>
    <row r="282" ht="12.0" customHeight="1">
      <c r="B282" s="1"/>
      <c r="D282" s="161"/>
      <c r="E282" s="161"/>
      <c r="F282" s="161"/>
      <c r="G282" s="348"/>
      <c r="H282" s="348"/>
      <c r="I282" s="348"/>
      <c r="J282" s="348"/>
      <c r="K282" s="348"/>
      <c r="L282" s="3"/>
      <c r="M282" s="928"/>
      <c r="O282" s="151"/>
    </row>
    <row r="283" ht="12.0" customHeight="1">
      <c r="B283" s="1"/>
      <c r="D283" s="161"/>
      <c r="E283" s="161"/>
      <c r="F283" s="161"/>
      <c r="G283" s="348"/>
      <c r="H283" s="348"/>
      <c r="I283" s="348"/>
      <c r="J283" s="348"/>
      <c r="K283" s="348"/>
      <c r="L283" s="3"/>
      <c r="M283" s="928"/>
      <c r="O283" s="151"/>
    </row>
    <row r="284" ht="12.0" customHeight="1">
      <c r="B284" s="1"/>
      <c r="D284" s="161"/>
      <c r="E284" s="161"/>
      <c r="F284" s="161"/>
      <c r="G284" s="348"/>
      <c r="H284" s="348"/>
      <c r="I284" s="348"/>
      <c r="J284" s="348"/>
      <c r="K284" s="348"/>
      <c r="L284" s="3"/>
      <c r="M284" s="928"/>
      <c r="O284" s="151"/>
    </row>
    <row r="285" ht="12.0" customHeight="1">
      <c r="B285" s="1"/>
      <c r="D285" s="161"/>
      <c r="E285" s="161"/>
      <c r="F285" s="161"/>
      <c r="G285" s="348"/>
      <c r="H285" s="348"/>
      <c r="I285" s="348"/>
      <c r="J285" s="348"/>
      <c r="K285" s="348"/>
      <c r="L285" s="3"/>
      <c r="M285" s="928"/>
      <c r="O285" s="151"/>
    </row>
    <row r="286" ht="12.0" customHeight="1">
      <c r="B286" s="1"/>
      <c r="D286" s="161"/>
      <c r="E286" s="161"/>
      <c r="F286" s="161"/>
      <c r="G286" s="348"/>
      <c r="H286" s="348"/>
      <c r="I286" s="348"/>
      <c r="J286" s="348"/>
      <c r="K286" s="348"/>
      <c r="L286" s="3"/>
      <c r="M286" s="928"/>
      <c r="O286" s="151"/>
    </row>
    <row r="287" ht="12.0" customHeight="1">
      <c r="B287" s="1"/>
      <c r="D287" s="161"/>
      <c r="E287" s="161"/>
      <c r="F287" s="161"/>
      <c r="G287" s="348"/>
      <c r="H287" s="348"/>
      <c r="I287" s="348"/>
      <c r="J287" s="348"/>
      <c r="K287" s="348"/>
      <c r="L287" s="3"/>
      <c r="M287" s="928"/>
      <c r="O287" s="151"/>
    </row>
    <row r="288" ht="12.0" customHeight="1">
      <c r="B288" s="1"/>
      <c r="D288" s="161"/>
      <c r="E288" s="161"/>
      <c r="F288" s="161"/>
      <c r="G288" s="348"/>
      <c r="H288" s="348"/>
      <c r="I288" s="348"/>
      <c r="J288" s="348"/>
      <c r="K288" s="348"/>
      <c r="L288" s="3"/>
      <c r="M288" s="928"/>
      <c r="O288" s="151"/>
    </row>
    <row r="289" ht="12.0" customHeight="1">
      <c r="B289" s="1"/>
      <c r="D289" s="161"/>
      <c r="E289" s="161"/>
      <c r="F289" s="161"/>
      <c r="G289" s="348"/>
      <c r="H289" s="348"/>
      <c r="I289" s="348"/>
      <c r="J289" s="348"/>
      <c r="K289" s="348"/>
      <c r="L289" s="3"/>
      <c r="M289" s="928"/>
      <c r="O289" s="151"/>
    </row>
    <row r="290" ht="12.0" customHeight="1">
      <c r="B290" s="1"/>
      <c r="D290" s="161"/>
      <c r="E290" s="161"/>
      <c r="F290" s="161"/>
      <c r="G290" s="348"/>
      <c r="H290" s="348"/>
      <c r="I290" s="348"/>
      <c r="J290" s="348"/>
      <c r="K290" s="348"/>
      <c r="L290" s="3"/>
      <c r="M290" s="928"/>
      <c r="O290" s="151"/>
    </row>
    <row r="291" ht="12.0" customHeight="1">
      <c r="B291" s="1"/>
      <c r="D291" s="161"/>
      <c r="E291" s="161"/>
      <c r="F291" s="161"/>
      <c r="G291" s="348"/>
      <c r="H291" s="348"/>
      <c r="I291" s="348"/>
      <c r="J291" s="348"/>
      <c r="K291" s="348"/>
      <c r="L291" s="3"/>
      <c r="M291" s="928"/>
      <c r="O291" s="151"/>
    </row>
    <row r="292" ht="12.0" customHeight="1">
      <c r="B292" s="1"/>
      <c r="D292" s="161"/>
      <c r="E292" s="161"/>
      <c r="F292" s="161"/>
      <c r="G292" s="348"/>
      <c r="H292" s="348"/>
      <c r="I292" s="348"/>
      <c r="J292" s="348"/>
      <c r="K292" s="348"/>
      <c r="L292" s="3"/>
      <c r="M292" s="928"/>
      <c r="O292" s="151"/>
    </row>
    <row r="293" ht="12.0" customHeight="1">
      <c r="B293" s="1"/>
      <c r="D293" s="161"/>
      <c r="E293" s="161"/>
      <c r="F293" s="161"/>
      <c r="G293" s="348"/>
      <c r="H293" s="348"/>
      <c r="I293" s="348"/>
      <c r="J293" s="348"/>
      <c r="K293" s="348"/>
      <c r="L293" s="3"/>
      <c r="M293" s="928"/>
      <c r="O293" s="151"/>
    </row>
    <row r="294" ht="12.0" customHeight="1">
      <c r="B294" s="1"/>
      <c r="D294" s="161"/>
      <c r="E294" s="161"/>
      <c r="F294" s="161"/>
      <c r="G294" s="348"/>
      <c r="H294" s="348"/>
      <c r="I294" s="348"/>
      <c r="J294" s="348"/>
      <c r="K294" s="348"/>
      <c r="L294" s="3"/>
      <c r="M294" s="928"/>
      <c r="O294" s="151"/>
    </row>
    <row r="295" ht="12.0" customHeight="1">
      <c r="B295" s="1"/>
      <c r="D295" s="161"/>
      <c r="E295" s="161"/>
      <c r="F295" s="161"/>
      <c r="G295" s="348"/>
      <c r="H295" s="348"/>
      <c r="I295" s="348"/>
      <c r="J295" s="348"/>
      <c r="K295" s="348"/>
      <c r="L295" s="3"/>
      <c r="M295" s="928"/>
      <c r="O295" s="151"/>
    </row>
    <row r="296" ht="12.0" customHeight="1">
      <c r="B296" s="1"/>
      <c r="D296" s="161"/>
      <c r="E296" s="161"/>
      <c r="F296" s="161"/>
      <c r="G296" s="348"/>
      <c r="H296" s="348"/>
      <c r="I296" s="348"/>
      <c r="J296" s="348"/>
      <c r="K296" s="348"/>
      <c r="L296" s="3"/>
      <c r="M296" s="928"/>
      <c r="O296" s="151"/>
    </row>
    <row r="297" ht="12.0" customHeight="1">
      <c r="B297" s="1"/>
      <c r="D297" s="161"/>
      <c r="E297" s="161"/>
      <c r="F297" s="161"/>
      <c r="G297" s="348"/>
      <c r="H297" s="348"/>
      <c r="I297" s="348"/>
      <c r="J297" s="348"/>
      <c r="K297" s="348"/>
      <c r="L297" s="3"/>
      <c r="M297" s="928"/>
      <c r="O297" s="151"/>
    </row>
    <row r="298" ht="12.0" customHeight="1">
      <c r="B298" s="1"/>
      <c r="D298" s="161"/>
      <c r="E298" s="161"/>
      <c r="F298" s="161"/>
      <c r="G298" s="348"/>
      <c r="H298" s="348"/>
      <c r="I298" s="348"/>
      <c r="J298" s="348"/>
      <c r="K298" s="348"/>
      <c r="L298" s="3"/>
      <c r="M298" s="928"/>
      <c r="O298" s="151"/>
    </row>
    <row r="299" ht="12.0" customHeight="1">
      <c r="B299" s="1"/>
      <c r="D299" s="161"/>
      <c r="E299" s="161"/>
      <c r="F299" s="161"/>
      <c r="G299" s="348"/>
      <c r="H299" s="348"/>
      <c r="I299" s="348"/>
      <c r="J299" s="348"/>
      <c r="K299" s="348"/>
      <c r="L299" s="3"/>
      <c r="M299" s="928"/>
      <c r="O299" s="151"/>
    </row>
    <row r="300" ht="12.0" customHeight="1">
      <c r="B300" s="1"/>
      <c r="D300" s="161"/>
      <c r="E300" s="161"/>
      <c r="F300" s="161"/>
      <c r="G300" s="348"/>
      <c r="H300" s="348"/>
      <c r="I300" s="348"/>
      <c r="J300" s="348"/>
      <c r="K300" s="348"/>
      <c r="L300" s="3"/>
      <c r="M300" s="928"/>
      <c r="O300" s="151"/>
    </row>
    <row r="301" ht="12.0" customHeight="1">
      <c r="B301" s="1"/>
      <c r="D301" s="161"/>
      <c r="E301" s="161"/>
      <c r="F301" s="161"/>
      <c r="G301" s="348"/>
      <c r="H301" s="348"/>
      <c r="I301" s="348"/>
      <c r="J301" s="348"/>
      <c r="K301" s="348"/>
      <c r="L301" s="3"/>
      <c r="M301" s="928"/>
      <c r="O301" s="151"/>
    </row>
    <row r="302" ht="12.0" customHeight="1">
      <c r="B302" s="1"/>
      <c r="D302" s="161"/>
      <c r="E302" s="161"/>
      <c r="F302" s="161"/>
      <c r="G302" s="348"/>
      <c r="H302" s="348"/>
      <c r="I302" s="348"/>
      <c r="J302" s="348"/>
      <c r="K302" s="348"/>
      <c r="L302" s="3"/>
      <c r="M302" s="928"/>
      <c r="O302" s="151"/>
    </row>
    <row r="303" ht="12.0" customHeight="1">
      <c r="B303" s="1"/>
      <c r="D303" s="161"/>
      <c r="E303" s="161"/>
      <c r="F303" s="161"/>
      <c r="G303" s="348"/>
      <c r="H303" s="348"/>
      <c r="I303" s="348"/>
      <c r="J303" s="348"/>
      <c r="K303" s="348"/>
      <c r="L303" s="3"/>
      <c r="M303" s="928"/>
      <c r="O303" s="151"/>
    </row>
    <row r="304" ht="12.0" customHeight="1">
      <c r="B304" s="1"/>
      <c r="D304" s="161"/>
      <c r="E304" s="161"/>
      <c r="F304" s="161"/>
      <c r="G304" s="348"/>
      <c r="H304" s="348"/>
      <c r="I304" s="348"/>
      <c r="J304" s="348"/>
      <c r="K304" s="348"/>
      <c r="L304" s="3"/>
      <c r="M304" s="928"/>
      <c r="O304" s="151"/>
    </row>
    <row r="305" ht="12.0" customHeight="1">
      <c r="B305" s="1"/>
      <c r="D305" s="161"/>
      <c r="E305" s="161"/>
      <c r="F305" s="161"/>
      <c r="G305" s="348"/>
      <c r="H305" s="348"/>
      <c r="I305" s="348"/>
      <c r="J305" s="348"/>
      <c r="K305" s="348"/>
      <c r="L305" s="3"/>
      <c r="M305" s="928"/>
      <c r="O305" s="151"/>
    </row>
    <row r="306" ht="12.0" customHeight="1">
      <c r="B306" s="1"/>
      <c r="D306" s="161"/>
      <c r="E306" s="161"/>
      <c r="F306" s="161"/>
      <c r="G306" s="348"/>
      <c r="H306" s="348"/>
      <c r="I306" s="348"/>
      <c r="J306" s="348"/>
      <c r="K306" s="348"/>
      <c r="L306" s="3"/>
      <c r="M306" s="928"/>
      <c r="O306" s="151"/>
    </row>
    <row r="307" ht="12.0" customHeight="1">
      <c r="B307" s="1"/>
      <c r="D307" s="161"/>
      <c r="E307" s="161"/>
      <c r="F307" s="161"/>
      <c r="G307" s="348"/>
      <c r="H307" s="348"/>
      <c r="I307" s="348"/>
      <c r="J307" s="348"/>
      <c r="K307" s="348"/>
      <c r="L307" s="3"/>
      <c r="M307" s="928"/>
      <c r="O307" s="151"/>
    </row>
    <row r="308" ht="12.0" customHeight="1">
      <c r="B308" s="1"/>
      <c r="D308" s="161"/>
      <c r="E308" s="161"/>
      <c r="F308" s="161"/>
      <c r="G308" s="348"/>
      <c r="H308" s="348"/>
      <c r="I308" s="348"/>
      <c r="J308" s="348"/>
      <c r="K308" s="348"/>
      <c r="L308" s="3"/>
      <c r="M308" s="928"/>
      <c r="O308" s="151"/>
    </row>
    <row r="309" ht="12.0" customHeight="1">
      <c r="B309" s="1"/>
      <c r="D309" s="161"/>
      <c r="E309" s="161"/>
      <c r="F309" s="161"/>
      <c r="G309" s="348"/>
      <c r="H309" s="348"/>
      <c r="I309" s="348"/>
      <c r="J309" s="348"/>
      <c r="K309" s="348"/>
      <c r="L309" s="3"/>
      <c r="M309" s="928"/>
      <c r="O309" s="151"/>
    </row>
    <row r="310" ht="12.0" customHeight="1">
      <c r="B310" s="1"/>
      <c r="D310" s="161"/>
      <c r="E310" s="161"/>
      <c r="F310" s="161"/>
      <c r="G310" s="348"/>
      <c r="H310" s="348"/>
      <c r="I310" s="348"/>
      <c r="J310" s="348"/>
      <c r="K310" s="348"/>
      <c r="L310" s="3"/>
      <c r="M310" s="928"/>
      <c r="O310" s="151"/>
    </row>
    <row r="311" ht="12.0" customHeight="1">
      <c r="B311" s="1"/>
      <c r="D311" s="161"/>
      <c r="E311" s="161"/>
      <c r="F311" s="161"/>
      <c r="G311" s="348"/>
      <c r="H311" s="348"/>
      <c r="I311" s="348"/>
      <c r="J311" s="348"/>
      <c r="K311" s="348"/>
      <c r="L311" s="3"/>
      <c r="M311" s="928"/>
      <c r="O311" s="151"/>
    </row>
    <row r="312" ht="12.0" customHeight="1">
      <c r="B312" s="1"/>
      <c r="D312" s="161"/>
      <c r="E312" s="161"/>
      <c r="F312" s="161"/>
      <c r="G312" s="348"/>
      <c r="H312" s="348"/>
      <c r="I312" s="348"/>
      <c r="J312" s="348"/>
      <c r="K312" s="348"/>
      <c r="L312" s="3"/>
      <c r="M312" s="928"/>
      <c r="O312" s="151"/>
    </row>
    <row r="313" ht="12.0" customHeight="1">
      <c r="B313" s="1"/>
      <c r="D313" s="161"/>
      <c r="E313" s="161"/>
      <c r="F313" s="161"/>
      <c r="G313" s="348"/>
      <c r="H313" s="348"/>
      <c r="I313" s="348"/>
      <c r="J313" s="348"/>
      <c r="K313" s="348"/>
      <c r="L313" s="3"/>
      <c r="M313" s="928"/>
      <c r="O313" s="151"/>
    </row>
    <row r="314" ht="12.0" customHeight="1">
      <c r="B314" s="1"/>
      <c r="D314" s="161"/>
      <c r="E314" s="161"/>
      <c r="F314" s="161"/>
      <c r="G314" s="348"/>
      <c r="H314" s="348"/>
      <c r="I314" s="348"/>
      <c r="J314" s="348"/>
      <c r="K314" s="348"/>
      <c r="L314" s="3"/>
      <c r="M314" s="928"/>
      <c r="O314" s="151"/>
    </row>
    <row r="315" ht="12.0" customHeight="1">
      <c r="B315" s="1"/>
      <c r="D315" s="161"/>
      <c r="E315" s="161"/>
      <c r="F315" s="161"/>
      <c r="G315" s="348"/>
      <c r="H315" s="348"/>
      <c r="I315" s="348"/>
      <c r="J315" s="348"/>
      <c r="K315" s="348"/>
      <c r="L315" s="3"/>
      <c r="M315" s="928"/>
      <c r="O315" s="151"/>
    </row>
    <row r="316" ht="12.0" customHeight="1">
      <c r="B316" s="1"/>
      <c r="D316" s="161"/>
      <c r="E316" s="161"/>
      <c r="F316" s="161"/>
      <c r="G316" s="348"/>
      <c r="H316" s="348"/>
      <c r="I316" s="348"/>
      <c r="J316" s="348"/>
      <c r="K316" s="348"/>
      <c r="L316" s="3"/>
      <c r="M316" s="928"/>
      <c r="O316" s="151"/>
    </row>
    <row r="317" ht="12.0" customHeight="1">
      <c r="B317" s="1"/>
      <c r="D317" s="161"/>
      <c r="E317" s="161"/>
      <c r="F317" s="161"/>
      <c r="G317" s="348"/>
      <c r="H317" s="348"/>
      <c r="I317" s="348"/>
      <c r="J317" s="348"/>
      <c r="K317" s="348"/>
      <c r="L317" s="3"/>
      <c r="M317" s="928"/>
      <c r="O317" s="151"/>
    </row>
    <row r="318" ht="12.0" customHeight="1">
      <c r="B318" s="1"/>
      <c r="D318" s="161"/>
      <c r="E318" s="161"/>
      <c r="F318" s="161"/>
      <c r="G318" s="348"/>
      <c r="H318" s="348"/>
      <c r="I318" s="348"/>
      <c r="J318" s="348"/>
      <c r="K318" s="348"/>
      <c r="L318" s="3"/>
      <c r="M318" s="928"/>
      <c r="O318" s="151"/>
    </row>
    <row r="319" ht="12.0" customHeight="1">
      <c r="B319" s="1"/>
      <c r="D319" s="161"/>
      <c r="E319" s="161"/>
      <c r="F319" s="161"/>
      <c r="G319" s="348"/>
      <c r="H319" s="348"/>
      <c r="I319" s="348"/>
      <c r="J319" s="348"/>
      <c r="K319" s="348"/>
      <c r="L319" s="3"/>
      <c r="M319" s="928"/>
      <c r="O319" s="151"/>
    </row>
    <row r="320" ht="12.0" customHeight="1">
      <c r="B320" s="1"/>
      <c r="D320" s="161"/>
      <c r="E320" s="161"/>
      <c r="F320" s="161"/>
      <c r="G320" s="348"/>
      <c r="H320" s="348"/>
      <c r="I320" s="348"/>
      <c r="J320" s="348"/>
      <c r="K320" s="348"/>
      <c r="L320" s="3"/>
      <c r="M320" s="928"/>
      <c r="O320" s="151"/>
    </row>
    <row r="321" ht="12.0" customHeight="1">
      <c r="B321" s="1"/>
      <c r="D321" s="161"/>
      <c r="E321" s="161"/>
      <c r="F321" s="161"/>
      <c r="G321" s="348"/>
      <c r="H321" s="348"/>
      <c r="I321" s="348"/>
      <c r="J321" s="348"/>
      <c r="K321" s="348"/>
      <c r="L321" s="3"/>
      <c r="M321" s="928"/>
      <c r="O321" s="151"/>
    </row>
    <row r="322" ht="12.0" customHeight="1">
      <c r="B322" s="1"/>
      <c r="D322" s="161"/>
      <c r="E322" s="161"/>
      <c r="F322" s="161"/>
      <c r="G322" s="348"/>
      <c r="H322" s="348"/>
      <c r="I322" s="348"/>
      <c r="J322" s="348"/>
      <c r="K322" s="348"/>
      <c r="L322" s="3"/>
      <c r="M322" s="928"/>
      <c r="O322" s="151"/>
    </row>
    <row r="323" ht="12.0" customHeight="1">
      <c r="B323" s="1"/>
      <c r="D323" s="161"/>
      <c r="E323" s="161"/>
      <c r="F323" s="161"/>
      <c r="G323" s="348"/>
      <c r="H323" s="348"/>
      <c r="I323" s="348"/>
      <c r="J323" s="348"/>
      <c r="K323" s="348"/>
      <c r="L323" s="3"/>
      <c r="M323" s="928"/>
      <c r="O323" s="151"/>
    </row>
    <row r="324" ht="12.0" customHeight="1">
      <c r="B324" s="1"/>
      <c r="D324" s="161"/>
      <c r="E324" s="161"/>
      <c r="F324" s="161"/>
      <c r="G324" s="348"/>
      <c r="H324" s="348"/>
      <c r="I324" s="348"/>
      <c r="J324" s="348"/>
      <c r="K324" s="348"/>
      <c r="L324" s="3"/>
      <c r="M324" s="928"/>
      <c r="O324" s="151"/>
    </row>
    <row r="325" ht="12.0" customHeight="1">
      <c r="B325" s="1"/>
      <c r="D325" s="161"/>
      <c r="E325" s="161"/>
      <c r="F325" s="161"/>
      <c r="G325" s="348"/>
      <c r="H325" s="348"/>
      <c r="I325" s="348"/>
      <c r="J325" s="348"/>
      <c r="K325" s="348"/>
      <c r="L325" s="3"/>
      <c r="M325" s="928"/>
      <c r="O325" s="151"/>
    </row>
    <row r="326" ht="12.0" customHeight="1">
      <c r="B326" s="1"/>
      <c r="D326" s="161"/>
      <c r="E326" s="161"/>
      <c r="F326" s="161"/>
      <c r="G326" s="348"/>
      <c r="H326" s="348"/>
      <c r="I326" s="348"/>
      <c r="J326" s="348"/>
      <c r="K326" s="348"/>
      <c r="L326" s="3"/>
      <c r="M326" s="928"/>
      <c r="O326" s="151"/>
    </row>
    <row r="327" ht="12.0" customHeight="1">
      <c r="B327" s="1"/>
      <c r="D327" s="161"/>
      <c r="E327" s="161"/>
      <c r="F327" s="161"/>
      <c r="G327" s="348"/>
      <c r="H327" s="348"/>
      <c r="I327" s="348"/>
      <c r="J327" s="348"/>
      <c r="K327" s="348"/>
      <c r="L327" s="3"/>
      <c r="M327" s="928"/>
      <c r="O327" s="151"/>
    </row>
    <row r="328" ht="12.0" customHeight="1">
      <c r="B328" s="1"/>
      <c r="D328" s="161"/>
      <c r="E328" s="161"/>
      <c r="F328" s="161"/>
      <c r="G328" s="348"/>
      <c r="H328" s="348"/>
      <c r="I328" s="348"/>
      <c r="J328" s="348"/>
      <c r="K328" s="348"/>
      <c r="L328" s="3"/>
      <c r="M328" s="928"/>
      <c r="O328" s="151"/>
    </row>
    <row r="329" ht="12.0" customHeight="1">
      <c r="B329" s="1"/>
      <c r="D329" s="161"/>
      <c r="E329" s="161"/>
      <c r="F329" s="161"/>
      <c r="G329" s="348"/>
      <c r="H329" s="348"/>
      <c r="I329" s="348"/>
      <c r="J329" s="348"/>
      <c r="K329" s="348"/>
      <c r="L329" s="3"/>
      <c r="M329" s="928"/>
      <c r="O329" s="151"/>
    </row>
    <row r="330" ht="12.0" customHeight="1">
      <c r="B330" s="1"/>
      <c r="D330" s="161"/>
      <c r="E330" s="161"/>
      <c r="F330" s="161"/>
      <c r="G330" s="348"/>
      <c r="H330" s="348"/>
      <c r="I330" s="348"/>
      <c r="J330" s="348"/>
      <c r="K330" s="348"/>
      <c r="L330" s="3"/>
      <c r="M330" s="928"/>
      <c r="O330" s="151"/>
    </row>
    <row r="331" ht="12.0" customHeight="1">
      <c r="B331" s="1"/>
      <c r="D331" s="161"/>
      <c r="E331" s="161"/>
      <c r="F331" s="161"/>
      <c r="G331" s="348"/>
      <c r="H331" s="348"/>
      <c r="I331" s="348"/>
      <c r="J331" s="348"/>
      <c r="K331" s="348"/>
      <c r="L331" s="3"/>
      <c r="M331" s="928"/>
      <c r="O331" s="151"/>
    </row>
    <row r="332" ht="12.0" customHeight="1">
      <c r="B332" s="1"/>
      <c r="D332" s="161"/>
      <c r="E332" s="161"/>
      <c r="F332" s="161"/>
      <c r="G332" s="348"/>
      <c r="H332" s="348"/>
      <c r="I332" s="348"/>
      <c r="J332" s="348"/>
      <c r="K332" s="348"/>
      <c r="L332" s="3"/>
      <c r="M332" s="928"/>
      <c r="O332" s="151"/>
    </row>
    <row r="333" ht="12.0" customHeight="1">
      <c r="B333" s="1"/>
      <c r="D333" s="161"/>
      <c r="E333" s="161"/>
      <c r="F333" s="161"/>
      <c r="G333" s="348"/>
      <c r="H333" s="348"/>
      <c r="I333" s="348"/>
      <c r="J333" s="348"/>
      <c r="K333" s="348"/>
      <c r="L333" s="3"/>
      <c r="M333" s="928"/>
      <c r="O333" s="151"/>
    </row>
    <row r="334" ht="12.0" customHeight="1">
      <c r="B334" s="1"/>
      <c r="D334" s="161"/>
      <c r="E334" s="161"/>
      <c r="F334" s="161"/>
      <c r="G334" s="348"/>
      <c r="H334" s="348"/>
      <c r="I334" s="348"/>
      <c r="J334" s="348"/>
      <c r="K334" s="348"/>
      <c r="L334" s="3"/>
      <c r="M334" s="928"/>
      <c r="O334" s="151"/>
    </row>
    <row r="335" ht="12.0" customHeight="1">
      <c r="B335" s="1"/>
      <c r="D335" s="161"/>
      <c r="E335" s="161"/>
      <c r="F335" s="161"/>
      <c r="G335" s="348"/>
      <c r="H335" s="348"/>
      <c r="I335" s="348"/>
      <c r="J335" s="348"/>
      <c r="K335" s="348"/>
      <c r="L335" s="3"/>
      <c r="M335" s="928"/>
      <c r="O335" s="151"/>
    </row>
    <row r="336" ht="12.0" customHeight="1">
      <c r="B336" s="1"/>
      <c r="D336" s="161"/>
      <c r="E336" s="161"/>
      <c r="F336" s="161"/>
      <c r="G336" s="348"/>
      <c r="H336" s="348"/>
      <c r="I336" s="348"/>
      <c r="J336" s="348"/>
      <c r="K336" s="348"/>
      <c r="L336" s="3"/>
      <c r="M336" s="928"/>
      <c r="O336" s="151"/>
    </row>
    <row r="337" ht="12.0" customHeight="1">
      <c r="B337" s="1"/>
      <c r="D337" s="161"/>
      <c r="E337" s="161"/>
      <c r="F337" s="161"/>
      <c r="G337" s="348"/>
      <c r="H337" s="348"/>
      <c r="I337" s="348"/>
      <c r="J337" s="348"/>
      <c r="K337" s="348"/>
      <c r="L337" s="3"/>
      <c r="M337" s="928"/>
      <c r="O337" s="151"/>
    </row>
    <row r="338" ht="12.0" customHeight="1">
      <c r="B338" s="1"/>
      <c r="D338" s="161"/>
      <c r="E338" s="161"/>
      <c r="F338" s="161"/>
      <c r="G338" s="348"/>
      <c r="H338" s="348"/>
      <c r="I338" s="348"/>
      <c r="J338" s="348"/>
      <c r="K338" s="348"/>
      <c r="L338" s="3"/>
      <c r="M338" s="928"/>
      <c r="O338" s="151"/>
    </row>
    <row r="339" ht="12.0" customHeight="1">
      <c r="B339" s="1"/>
      <c r="D339" s="161"/>
      <c r="E339" s="161"/>
      <c r="F339" s="161"/>
      <c r="G339" s="348"/>
      <c r="H339" s="348"/>
      <c r="I339" s="348"/>
      <c r="J339" s="348"/>
      <c r="K339" s="348"/>
      <c r="L339" s="3"/>
      <c r="M339" s="928"/>
      <c r="O339" s="151"/>
    </row>
    <row r="340" ht="12.0" customHeight="1">
      <c r="B340" s="1"/>
      <c r="D340" s="161"/>
      <c r="E340" s="161"/>
      <c r="F340" s="161"/>
      <c r="G340" s="348"/>
      <c r="H340" s="348"/>
      <c r="I340" s="348"/>
      <c r="J340" s="348"/>
      <c r="K340" s="348"/>
      <c r="L340" s="3"/>
      <c r="M340" s="928"/>
      <c r="O340" s="151"/>
    </row>
    <row r="341" ht="12.0" customHeight="1">
      <c r="B341" s="1"/>
      <c r="D341" s="161"/>
      <c r="E341" s="161"/>
      <c r="F341" s="161"/>
      <c r="G341" s="348"/>
      <c r="H341" s="348"/>
      <c r="I341" s="348"/>
      <c r="J341" s="348"/>
      <c r="K341" s="348"/>
      <c r="L341" s="3"/>
      <c r="M341" s="928"/>
      <c r="O341" s="151"/>
    </row>
    <row r="342" ht="12.0" customHeight="1">
      <c r="B342" s="1"/>
      <c r="D342" s="161"/>
      <c r="E342" s="161"/>
      <c r="F342" s="161"/>
      <c r="G342" s="348"/>
      <c r="H342" s="348"/>
      <c r="I342" s="348"/>
      <c r="J342" s="348"/>
      <c r="K342" s="348"/>
      <c r="L342" s="3"/>
      <c r="M342" s="928"/>
      <c r="O342" s="151"/>
    </row>
    <row r="343" ht="12.0" customHeight="1">
      <c r="B343" s="1"/>
      <c r="D343" s="161"/>
      <c r="E343" s="161"/>
      <c r="F343" s="161"/>
      <c r="G343" s="348"/>
      <c r="H343" s="348"/>
      <c r="I343" s="348"/>
      <c r="J343" s="348"/>
      <c r="K343" s="348"/>
      <c r="L343" s="3"/>
      <c r="M343" s="928"/>
      <c r="O343" s="151"/>
    </row>
    <row r="344" ht="12.0" customHeight="1">
      <c r="B344" s="1"/>
      <c r="D344" s="161"/>
      <c r="E344" s="161"/>
      <c r="F344" s="161"/>
      <c r="G344" s="348"/>
      <c r="H344" s="348"/>
      <c r="I344" s="348"/>
      <c r="J344" s="348"/>
      <c r="K344" s="348"/>
      <c r="L344" s="3"/>
      <c r="M344" s="928"/>
      <c r="O344" s="151"/>
    </row>
    <row r="345" ht="12.0" customHeight="1">
      <c r="B345" s="1"/>
      <c r="D345" s="161"/>
      <c r="E345" s="161"/>
      <c r="F345" s="161"/>
      <c r="G345" s="348"/>
      <c r="H345" s="348"/>
      <c r="I345" s="348"/>
      <c r="J345" s="348"/>
      <c r="K345" s="348"/>
      <c r="L345" s="3"/>
      <c r="M345" s="928"/>
      <c r="O345" s="151"/>
    </row>
    <row r="346" ht="12.0" customHeight="1">
      <c r="B346" s="1"/>
      <c r="D346" s="161"/>
      <c r="E346" s="161"/>
      <c r="F346" s="161"/>
      <c r="G346" s="348"/>
      <c r="H346" s="348"/>
      <c r="I346" s="348"/>
      <c r="J346" s="348"/>
      <c r="K346" s="348"/>
      <c r="L346" s="3"/>
      <c r="M346" s="928"/>
      <c r="O346" s="151"/>
    </row>
    <row r="347" ht="12.0" customHeight="1">
      <c r="B347" s="1"/>
      <c r="D347" s="161"/>
      <c r="E347" s="161"/>
      <c r="F347" s="161"/>
      <c r="G347" s="348"/>
      <c r="H347" s="348"/>
      <c r="I347" s="348"/>
      <c r="J347" s="348"/>
      <c r="K347" s="348"/>
      <c r="L347" s="3"/>
      <c r="M347" s="928"/>
      <c r="O347" s="151"/>
    </row>
    <row r="348" ht="12.0" customHeight="1">
      <c r="B348" s="1"/>
      <c r="D348" s="161"/>
      <c r="E348" s="161"/>
      <c r="F348" s="161"/>
      <c r="G348" s="348"/>
      <c r="H348" s="348"/>
      <c r="I348" s="348"/>
      <c r="J348" s="348"/>
      <c r="K348" s="348"/>
      <c r="L348" s="3"/>
      <c r="M348" s="928"/>
      <c r="O348" s="151"/>
    </row>
    <row r="349" ht="12.0" customHeight="1">
      <c r="B349" s="1"/>
      <c r="D349" s="161"/>
      <c r="E349" s="161"/>
      <c r="F349" s="161"/>
      <c r="G349" s="348"/>
      <c r="H349" s="348"/>
      <c r="I349" s="348"/>
      <c r="J349" s="348"/>
      <c r="K349" s="348"/>
      <c r="L349" s="3"/>
      <c r="M349" s="928"/>
      <c r="O349" s="151"/>
    </row>
    <row r="350" ht="12.0" customHeight="1">
      <c r="B350" s="1"/>
      <c r="D350" s="161"/>
      <c r="E350" s="161"/>
      <c r="F350" s="161"/>
      <c r="G350" s="348"/>
      <c r="H350" s="348"/>
      <c r="I350" s="348"/>
      <c r="J350" s="348"/>
      <c r="K350" s="348"/>
      <c r="L350" s="3"/>
      <c r="M350" s="928"/>
      <c r="O350" s="151"/>
    </row>
    <row r="351" ht="12.0" customHeight="1">
      <c r="B351" s="1"/>
      <c r="D351" s="161"/>
      <c r="E351" s="161"/>
      <c r="F351" s="161"/>
      <c r="G351" s="348"/>
      <c r="H351" s="348"/>
      <c r="I351" s="348"/>
      <c r="J351" s="348"/>
      <c r="K351" s="348"/>
      <c r="L351" s="3"/>
      <c r="M351" s="928"/>
      <c r="O351" s="151"/>
    </row>
    <row r="352" ht="12.0" customHeight="1">
      <c r="B352" s="1"/>
      <c r="D352" s="161"/>
      <c r="E352" s="161"/>
      <c r="F352" s="161"/>
      <c r="G352" s="348"/>
      <c r="H352" s="348"/>
      <c r="I352" s="348"/>
      <c r="J352" s="348"/>
      <c r="K352" s="348"/>
      <c r="L352" s="3"/>
      <c r="M352" s="928"/>
      <c r="O352" s="151"/>
    </row>
    <row r="353" ht="12.0" customHeight="1">
      <c r="B353" s="1"/>
      <c r="D353" s="161"/>
      <c r="E353" s="161"/>
      <c r="F353" s="161"/>
      <c r="G353" s="348"/>
      <c r="H353" s="348"/>
      <c r="I353" s="348"/>
      <c r="J353" s="348"/>
      <c r="K353" s="348"/>
      <c r="L353" s="3"/>
      <c r="M353" s="928"/>
      <c r="O353" s="151"/>
    </row>
    <row r="354" ht="12.0" customHeight="1">
      <c r="B354" s="1"/>
      <c r="D354" s="161"/>
      <c r="E354" s="161"/>
      <c r="F354" s="161"/>
      <c r="G354" s="348"/>
      <c r="H354" s="348"/>
      <c r="I354" s="348"/>
      <c r="J354" s="348"/>
      <c r="K354" s="348"/>
      <c r="L354" s="3"/>
      <c r="M354" s="928"/>
      <c r="O354" s="151"/>
    </row>
    <row r="355" ht="12.0" customHeight="1">
      <c r="B355" s="1"/>
      <c r="D355" s="161"/>
      <c r="E355" s="161"/>
      <c r="F355" s="161"/>
      <c r="G355" s="348"/>
      <c r="H355" s="348"/>
      <c r="I355" s="348"/>
      <c r="J355" s="348"/>
      <c r="K355" s="348"/>
      <c r="L355" s="3"/>
      <c r="M355" s="928"/>
      <c r="O355" s="151"/>
    </row>
    <row r="356" ht="12.0" customHeight="1">
      <c r="B356" s="1"/>
      <c r="D356" s="161"/>
      <c r="E356" s="161"/>
      <c r="F356" s="161"/>
      <c r="G356" s="348"/>
      <c r="H356" s="348"/>
      <c r="I356" s="348"/>
      <c r="J356" s="348"/>
      <c r="K356" s="348"/>
      <c r="L356" s="3"/>
      <c r="M356" s="928"/>
      <c r="O356" s="151"/>
    </row>
    <row r="357" ht="12.0" customHeight="1">
      <c r="B357" s="1"/>
      <c r="D357" s="161"/>
      <c r="E357" s="161"/>
      <c r="F357" s="161"/>
      <c r="G357" s="348"/>
      <c r="H357" s="348"/>
      <c r="I357" s="348"/>
      <c r="J357" s="348"/>
      <c r="K357" s="348"/>
      <c r="L357" s="3"/>
      <c r="M357" s="928"/>
      <c r="O357" s="151"/>
    </row>
    <row r="358" ht="12.0" customHeight="1">
      <c r="B358" s="1"/>
      <c r="D358" s="161"/>
      <c r="E358" s="161"/>
      <c r="F358" s="161"/>
      <c r="G358" s="348"/>
      <c r="H358" s="348"/>
      <c r="I358" s="348"/>
      <c r="J358" s="348"/>
      <c r="K358" s="348"/>
      <c r="L358" s="3"/>
      <c r="M358" s="928"/>
      <c r="O358" s="151"/>
    </row>
    <row r="359" ht="12.0" customHeight="1">
      <c r="B359" s="1"/>
      <c r="D359" s="161"/>
      <c r="E359" s="161"/>
      <c r="F359" s="161"/>
      <c r="G359" s="348"/>
      <c r="H359" s="348"/>
      <c r="I359" s="348"/>
      <c r="J359" s="348"/>
      <c r="K359" s="348"/>
      <c r="L359" s="3"/>
      <c r="M359" s="928"/>
      <c r="O359" s="151"/>
    </row>
    <row r="360" ht="12.0" customHeight="1">
      <c r="B360" s="1"/>
      <c r="D360" s="161"/>
      <c r="E360" s="161"/>
      <c r="F360" s="161"/>
      <c r="G360" s="348"/>
      <c r="H360" s="348"/>
      <c r="I360" s="348"/>
      <c r="J360" s="348"/>
      <c r="K360" s="348"/>
      <c r="L360" s="3"/>
      <c r="M360" s="928"/>
      <c r="O360" s="151"/>
    </row>
    <row r="361" ht="12.0" customHeight="1">
      <c r="B361" s="1"/>
      <c r="D361" s="161"/>
      <c r="E361" s="161"/>
      <c r="F361" s="161"/>
      <c r="G361" s="348"/>
      <c r="H361" s="348"/>
      <c r="I361" s="348"/>
      <c r="J361" s="348"/>
      <c r="K361" s="348"/>
      <c r="L361" s="3"/>
      <c r="M361" s="928"/>
      <c r="O361" s="151"/>
    </row>
    <row r="362" ht="12.0" customHeight="1">
      <c r="B362" s="1"/>
      <c r="D362" s="161"/>
      <c r="E362" s="161"/>
      <c r="F362" s="161"/>
      <c r="G362" s="348"/>
      <c r="H362" s="348"/>
      <c r="I362" s="348"/>
      <c r="J362" s="348"/>
      <c r="K362" s="348"/>
      <c r="L362" s="3"/>
      <c r="M362" s="928"/>
      <c r="O362" s="151"/>
    </row>
    <row r="363" ht="12.0" customHeight="1">
      <c r="B363" s="1"/>
      <c r="D363" s="161"/>
      <c r="E363" s="161"/>
      <c r="F363" s="161"/>
      <c r="G363" s="348"/>
      <c r="H363" s="348"/>
      <c r="I363" s="348"/>
      <c r="J363" s="348"/>
      <c r="K363" s="348"/>
      <c r="L363" s="3"/>
      <c r="M363" s="928"/>
      <c r="O363" s="151"/>
    </row>
    <row r="364" ht="12.0" customHeight="1">
      <c r="B364" s="1"/>
      <c r="D364" s="161"/>
      <c r="E364" s="161"/>
      <c r="F364" s="161"/>
      <c r="G364" s="348"/>
      <c r="H364" s="348"/>
      <c r="I364" s="348"/>
      <c r="J364" s="348"/>
      <c r="K364" s="348"/>
      <c r="L364" s="3"/>
      <c r="M364" s="928"/>
      <c r="O364" s="151"/>
    </row>
    <row r="365" ht="12.0" customHeight="1">
      <c r="B365" s="1"/>
      <c r="D365" s="161"/>
      <c r="E365" s="161"/>
      <c r="F365" s="161"/>
      <c r="G365" s="348"/>
      <c r="H365" s="348"/>
      <c r="I365" s="348"/>
      <c r="J365" s="348"/>
      <c r="K365" s="348"/>
      <c r="L365" s="3"/>
      <c r="M365" s="928"/>
      <c r="O365" s="151"/>
    </row>
    <row r="366" ht="12.0" customHeight="1">
      <c r="B366" s="1"/>
      <c r="D366" s="161"/>
      <c r="E366" s="161"/>
      <c r="F366" s="161"/>
      <c r="G366" s="348"/>
      <c r="H366" s="348"/>
      <c r="I366" s="348"/>
      <c r="J366" s="348"/>
      <c r="K366" s="348"/>
      <c r="L366" s="3"/>
      <c r="M366" s="928"/>
      <c r="O366" s="151"/>
    </row>
    <row r="367" ht="12.0" customHeight="1">
      <c r="B367" s="1"/>
      <c r="D367" s="161"/>
      <c r="E367" s="161"/>
      <c r="F367" s="161"/>
      <c r="G367" s="348"/>
      <c r="H367" s="348"/>
      <c r="I367" s="348"/>
      <c r="J367" s="348"/>
      <c r="K367" s="348"/>
      <c r="L367" s="3"/>
      <c r="M367" s="928"/>
      <c r="O367" s="151"/>
    </row>
    <row r="368" ht="12.0" customHeight="1">
      <c r="B368" s="1"/>
      <c r="D368" s="161"/>
      <c r="E368" s="161"/>
      <c r="F368" s="161"/>
      <c r="G368" s="348"/>
      <c r="H368" s="348"/>
      <c r="I368" s="348"/>
      <c r="J368" s="348"/>
      <c r="K368" s="348"/>
      <c r="L368" s="3"/>
      <c r="M368" s="928"/>
      <c r="O368" s="151"/>
    </row>
    <row r="369" ht="12.0" customHeight="1">
      <c r="B369" s="1"/>
      <c r="D369" s="161"/>
      <c r="E369" s="161"/>
      <c r="F369" s="161"/>
      <c r="G369" s="348"/>
      <c r="H369" s="348"/>
      <c r="I369" s="348"/>
      <c r="J369" s="348"/>
      <c r="K369" s="348"/>
      <c r="L369" s="3"/>
      <c r="M369" s="928"/>
      <c r="O369" s="151"/>
    </row>
    <row r="370" ht="12.0" customHeight="1">
      <c r="B370" s="1"/>
      <c r="D370" s="161"/>
      <c r="E370" s="161"/>
      <c r="F370" s="161"/>
      <c r="G370" s="348"/>
      <c r="H370" s="348"/>
      <c r="I370" s="348"/>
      <c r="J370" s="348"/>
      <c r="K370" s="348"/>
      <c r="L370" s="3"/>
      <c r="M370" s="928"/>
      <c r="O370" s="151"/>
    </row>
    <row r="371" ht="12.0" customHeight="1">
      <c r="B371" s="1"/>
      <c r="D371" s="161"/>
      <c r="E371" s="161"/>
      <c r="F371" s="161"/>
      <c r="G371" s="348"/>
      <c r="H371" s="348"/>
      <c r="I371" s="348"/>
      <c r="J371" s="348"/>
      <c r="K371" s="348"/>
      <c r="L371" s="3"/>
      <c r="M371" s="928"/>
      <c r="O371" s="151"/>
    </row>
    <row r="372" ht="12.0" customHeight="1">
      <c r="B372" s="1"/>
      <c r="D372" s="161"/>
      <c r="E372" s="161"/>
      <c r="F372" s="161"/>
      <c r="G372" s="348"/>
      <c r="H372" s="348"/>
      <c r="I372" s="348"/>
      <c r="J372" s="348"/>
      <c r="K372" s="348"/>
      <c r="L372" s="3"/>
      <c r="M372" s="928"/>
      <c r="O372" s="151"/>
    </row>
    <row r="373" ht="12.0" customHeight="1">
      <c r="B373" s="1"/>
      <c r="D373" s="161"/>
      <c r="E373" s="161"/>
      <c r="F373" s="161"/>
      <c r="G373" s="348"/>
      <c r="H373" s="348"/>
      <c r="I373" s="348"/>
      <c r="J373" s="348"/>
      <c r="K373" s="348"/>
      <c r="L373" s="3"/>
      <c r="M373" s="928"/>
      <c r="O373" s="151"/>
    </row>
    <row r="374" ht="12.0" customHeight="1">
      <c r="B374" s="1"/>
      <c r="D374" s="161"/>
      <c r="E374" s="161"/>
      <c r="F374" s="161"/>
      <c r="G374" s="348"/>
      <c r="H374" s="348"/>
      <c r="I374" s="348"/>
      <c r="J374" s="348"/>
      <c r="K374" s="348"/>
      <c r="L374" s="3"/>
      <c r="M374" s="928"/>
      <c r="O374" s="151"/>
    </row>
    <row r="375" ht="12.0" customHeight="1">
      <c r="B375" s="1"/>
      <c r="D375" s="161"/>
      <c r="E375" s="161"/>
      <c r="F375" s="161"/>
      <c r="G375" s="348"/>
      <c r="H375" s="348"/>
      <c r="I375" s="348"/>
      <c r="J375" s="348"/>
      <c r="K375" s="348"/>
      <c r="L375" s="3"/>
      <c r="M375" s="928"/>
      <c r="O375" s="151"/>
    </row>
    <row r="376" ht="12.0" customHeight="1">
      <c r="B376" s="1"/>
      <c r="D376" s="161"/>
      <c r="E376" s="161"/>
      <c r="F376" s="161"/>
      <c r="G376" s="348"/>
      <c r="H376" s="348"/>
      <c r="I376" s="348"/>
      <c r="J376" s="348"/>
      <c r="K376" s="348"/>
      <c r="L376" s="3"/>
      <c r="M376" s="928"/>
      <c r="O376" s="151"/>
    </row>
    <row r="377" ht="12.0" customHeight="1">
      <c r="B377" s="1"/>
      <c r="D377" s="161"/>
      <c r="E377" s="161"/>
      <c r="F377" s="161"/>
      <c r="G377" s="348"/>
      <c r="H377" s="348"/>
      <c r="I377" s="348"/>
      <c r="J377" s="348"/>
      <c r="K377" s="348"/>
      <c r="L377" s="3"/>
      <c r="M377" s="928"/>
      <c r="O377" s="151"/>
    </row>
    <row r="378" ht="12.0" customHeight="1">
      <c r="B378" s="1"/>
      <c r="D378" s="161"/>
      <c r="E378" s="161"/>
      <c r="F378" s="161"/>
      <c r="G378" s="348"/>
      <c r="H378" s="348"/>
      <c r="I378" s="348"/>
      <c r="J378" s="348"/>
      <c r="K378" s="348"/>
      <c r="L378" s="3"/>
      <c r="M378" s="928"/>
      <c r="O378" s="151"/>
    </row>
    <row r="379" ht="12.0" customHeight="1">
      <c r="B379" s="1"/>
      <c r="D379" s="161"/>
      <c r="E379" s="161"/>
      <c r="F379" s="161"/>
      <c r="G379" s="348"/>
      <c r="H379" s="348"/>
      <c r="I379" s="348"/>
      <c r="J379" s="348"/>
      <c r="K379" s="348"/>
      <c r="L379" s="3"/>
      <c r="M379" s="928"/>
      <c r="O379" s="151"/>
    </row>
    <row r="380" ht="12.0" customHeight="1">
      <c r="B380" s="1"/>
      <c r="D380" s="161"/>
      <c r="E380" s="161"/>
      <c r="F380" s="161"/>
      <c r="G380" s="348"/>
      <c r="H380" s="348"/>
      <c r="I380" s="348"/>
      <c r="J380" s="348"/>
      <c r="K380" s="348"/>
      <c r="L380" s="3"/>
      <c r="M380" s="928"/>
      <c r="O380" s="151"/>
    </row>
    <row r="381" ht="12.0" customHeight="1">
      <c r="B381" s="1"/>
      <c r="D381" s="161"/>
      <c r="E381" s="161"/>
      <c r="F381" s="161"/>
      <c r="G381" s="348"/>
      <c r="H381" s="348"/>
      <c r="I381" s="348"/>
      <c r="J381" s="348"/>
      <c r="K381" s="348"/>
      <c r="L381" s="3"/>
      <c r="M381" s="928"/>
      <c r="O381" s="151"/>
    </row>
    <row r="382" ht="12.0" customHeight="1">
      <c r="B382" s="1"/>
      <c r="D382" s="161"/>
      <c r="E382" s="161"/>
      <c r="F382" s="161"/>
      <c r="G382" s="348"/>
      <c r="H382" s="348"/>
      <c r="I382" s="348"/>
      <c r="J382" s="348"/>
      <c r="K382" s="348"/>
      <c r="L382" s="3"/>
      <c r="M382" s="928"/>
      <c r="O382" s="151"/>
    </row>
    <row r="383" ht="12.0" customHeight="1">
      <c r="B383" s="1"/>
      <c r="D383" s="161"/>
      <c r="E383" s="161"/>
      <c r="F383" s="161"/>
      <c r="G383" s="348"/>
      <c r="H383" s="348"/>
      <c r="I383" s="348"/>
      <c r="J383" s="348"/>
      <c r="K383" s="348"/>
      <c r="L383" s="3"/>
      <c r="M383" s="928"/>
      <c r="O383" s="151"/>
    </row>
    <row r="384" ht="12.0" customHeight="1">
      <c r="B384" s="1"/>
      <c r="D384" s="161"/>
      <c r="E384" s="161"/>
      <c r="F384" s="161"/>
      <c r="G384" s="348"/>
      <c r="H384" s="348"/>
      <c r="I384" s="348"/>
      <c r="J384" s="348"/>
      <c r="K384" s="348"/>
      <c r="L384" s="3"/>
      <c r="M384" s="928"/>
      <c r="O384" s="151"/>
    </row>
    <row r="385" ht="12.0" customHeight="1">
      <c r="B385" s="1"/>
      <c r="D385" s="161"/>
      <c r="E385" s="161"/>
      <c r="F385" s="161"/>
      <c r="G385" s="348"/>
      <c r="H385" s="348"/>
      <c r="I385" s="348"/>
      <c r="J385" s="348"/>
      <c r="K385" s="348"/>
      <c r="L385" s="3"/>
      <c r="M385" s="928"/>
      <c r="O385" s="151"/>
    </row>
    <row r="386" ht="12.0" customHeight="1">
      <c r="B386" s="1"/>
      <c r="D386" s="161"/>
      <c r="E386" s="161"/>
      <c r="F386" s="161"/>
      <c r="G386" s="348"/>
      <c r="H386" s="348"/>
      <c r="I386" s="348"/>
      <c r="J386" s="348"/>
      <c r="K386" s="348"/>
      <c r="L386" s="3"/>
      <c r="M386" s="928"/>
      <c r="O386" s="151"/>
    </row>
    <row r="387" ht="12.0" customHeight="1">
      <c r="B387" s="1"/>
      <c r="D387" s="161"/>
      <c r="E387" s="161"/>
      <c r="F387" s="161"/>
      <c r="G387" s="348"/>
      <c r="H387" s="348"/>
      <c r="I387" s="348"/>
      <c r="J387" s="348"/>
      <c r="K387" s="348"/>
      <c r="L387" s="3"/>
      <c r="M387" s="928"/>
      <c r="O387" s="151"/>
    </row>
    <row r="388" ht="12.0" customHeight="1">
      <c r="B388" s="1"/>
      <c r="D388" s="161"/>
      <c r="E388" s="161"/>
      <c r="F388" s="161"/>
      <c r="G388" s="348"/>
      <c r="H388" s="348"/>
      <c r="I388" s="348"/>
      <c r="J388" s="348"/>
      <c r="K388" s="348"/>
      <c r="L388" s="3"/>
      <c r="M388" s="928"/>
      <c r="O388" s="151"/>
    </row>
    <row r="389" ht="12.0" customHeight="1">
      <c r="B389" s="1"/>
      <c r="D389" s="161"/>
      <c r="E389" s="161"/>
      <c r="F389" s="161"/>
      <c r="G389" s="348"/>
      <c r="H389" s="348"/>
      <c r="I389" s="348"/>
      <c r="J389" s="348"/>
      <c r="K389" s="348"/>
      <c r="L389" s="3"/>
      <c r="M389" s="928"/>
      <c r="O389" s="151"/>
    </row>
    <row r="390" ht="12.0" customHeight="1">
      <c r="B390" s="1"/>
      <c r="D390" s="161"/>
      <c r="E390" s="161"/>
      <c r="F390" s="161"/>
      <c r="G390" s="348"/>
      <c r="H390" s="348"/>
      <c r="I390" s="348"/>
      <c r="J390" s="348"/>
      <c r="K390" s="348"/>
      <c r="L390" s="3"/>
      <c r="M390" s="928"/>
      <c r="O390" s="151"/>
    </row>
    <row r="391" ht="12.0" customHeight="1">
      <c r="B391" s="1"/>
      <c r="D391" s="161"/>
      <c r="E391" s="161"/>
      <c r="F391" s="161"/>
      <c r="G391" s="348"/>
      <c r="H391" s="348"/>
      <c r="I391" s="348"/>
      <c r="J391" s="348"/>
      <c r="K391" s="348"/>
      <c r="L391" s="3"/>
      <c r="M391" s="928"/>
      <c r="O391" s="151"/>
    </row>
    <row r="392" ht="12.0" customHeight="1">
      <c r="B392" s="1"/>
      <c r="D392" s="161"/>
      <c r="E392" s="161"/>
      <c r="F392" s="161"/>
      <c r="G392" s="348"/>
      <c r="H392" s="348"/>
      <c r="I392" s="348"/>
      <c r="J392" s="348"/>
      <c r="K392" s="348"/>
      <c r="L392" s="3"/>
      <c r="M392" s="928"/>
      <c r="O392" s="151"/>
    </row>
    <row r="393" ht="12.0" customHeight="1">
      <c r="B393" s="1"/>
      <c r="D393" s="161"/>
      <c r="E393" s="161"/>
      <c r="F393" s="161"/>
      <c r="G393" s="348"/>
      <c r="H393" s="348"/>
      <c r="I393" s="348"/>
      <c r="J393" s="348"/>
      <c r="K393" s="348"/>
      <c r="L393" s="3"/>
      <c r="M393" s="928"/>
      <c r="O393" s="151"/>
    </row>
    <row r="394" ht="12.0" customHeight="1">
      <c r="B394" s="1"/>
      <c r="D394" s="161"/>
      <c r="E394" s="161"/>
      <c r="F394" s="161"/>
      <c r="G394" s="348"/>
      <c r="H394" s="348"/>
      <c r="I394" s="348"/>
      <c r="J394" s="348"/>
      <c r="K394" s="348"/>
      <c r="L394" s="3"/>
      <c r="M394" s="928"/>
      <c r="O394" s="151"/>
    </row>
    <row r="395" ht="12.0" customHeight="1">
      <c r="B395" s="1"/>
      <c r="D395" s="161"/>
      <c r="E395" s="161"/>
      <c r="F395" s="161"/>
      <c r="G395" s="348"/>
      <c r="H395" s="348"/>
      <c r="I395" s="348"/>
      <c r="J395" s="348"/>
      <c r="K395" s="348"/>
      <c r="L395" s="3"/>
      <c r="M395" s="928"/>
      <c r="O395" s="151"/>
    </row>
    <row r="396" ht="12.0" customHeight="1">
      <c r="B396" s="1"/>
      <c r="D396" s="161"/>
      <c r="E396" s="161"/>
      <c r="F396" s="161"/>
      <c r="G396" s="348"/>
      <c r="H396" s="348"/>
      <c r="I396" s="348"/>
      <c r="J396" s="348"/>
      <c r="K396" s="348"/>
      <c r="L396" s="3"/>
      <c r="M396" s="928"/>
      <c r="O396" s="151"/>
    </row>
    <row r="397" ht="12.0" customHeight="1">
      <c r="B397" s="1"/>
      <c r="D397" s="161"/>
      <c r="E397" s="161"/>
      <c r="F397" s="161"/>
      <c r="G397" s="348"/>
      <c r="H397" s="348"/>
      <c r="I397" s="348"/>
      <c r="J397" s="348"/>
      <c r="K397" s="348"/>
      <c r="L397" s="3"/>
      <c r="M397" s="928"/>
      <c r="O397" s="151"/>
    </row>
    <row r="398" ht="12.0" customHeight="1">
      <c r="B398" s="1"/>
      <c r="D398" s="161"/>
      <c r="E398" s="161"/>
      <c r="F398" s="161"/>
      <c r="G398" s="348"/>
      <c r="H398" s="348"/>
      <c r="I398" s="348"/>
      <c r="J398" s="348"/>
      <c r="K398" s="348"/>
      <c r="L398" s="3"/>
      <c r="M398" s="928"/>
      <c r="O398" s="151"/>
    </row>
    <row r="399" ht="12.0" customHeight="1">
      <c r="B399" s="1"/>
      <c r="D399" s="161"/>
      <c r="E399" s="161"/>
      <c r="F399" s="161"/>
      <c r="G399" s="348"/>
      <c r="H399" s="348"/>
      <c r="I399" s="348"/>
      <c r="J399" s="348"/>
      <c r="K399" s="348"/>
      <c r="L399" s="3"/>
      <c r="M399" s="928"/>
      <c r="O399" s="151"/>
    </row>
    <row r="400" ht="12.0" customHeight="1">
      <c r="B400" s="1"/>
      <c r="D400" s="161"/>
      <c r="E400" s="161"/>
      <c r="F400" s="161"/>
      <c r="G400" s="348"/>
      <c r="H400" s="348"/>
      <c r="I400" s="348"/>
      <c r="J400" s="348"/>
      <c r="K400" s="348"/>
      <c r="L400" s="3"/>
      <c r="M400" s="928"/>
      <c r="O400" s="151"/>
    </row>
    <row r="401" ht="12.0" customHeight="1">
      <c r="B401" s="1"/>
      <c r="D401" s="161"/>
      <c r="E401" s="161"/>
      <c r="F401" s="161"/>
      <c r="G401" s="348"/>
      <c r="H401" s="348"/>
      <c r="I401" s="348"/>
      <c r="J401" s="348"/>
      <c r="K401" s="348"/>
      <c r="L401" s="3"/>
      <c r="M401" s="928"/>
      <c r="O401" s="151"/>
    </row>
    <row r="402" ht="12.0" customHeight="1">
      <c r="B402" s="1"/>
      <c r="D402" s="161"/>
      <c r="E402" s="161"/>
      <c r="F402" s="161"/>
      <c r="G402" s="348"/>
      <c r="H402" s="348"/>
      <c r="I402" s="348"/>
      <c r="J402" s="348"/>
      <c r="K402" s="348"/>
      <c r="L402" s="3"/>
      <c r="M402" s="928"/>
      <c r="O402" s="151"/>
    </row>
    <row r="403" ht="12.0" customHeight="1">
      <c r="B403" s="1"/>
      <c r="D403" s="161"/>
      <c r="E403" s="161"/>
      <c r="F403" s="161"/>
      <c r="G403" s="348"/>
      <c r="H403" s="348"/>
      <c r="I403" s="348"/>
      <c r="J403" s="348"/>
      <c r="K403" s="348"/>
      <c r="L403" s="3"/>
      <c r="M403" s="928"/>
      <c r="O403" s="151"/>
    </row>
    <row r="404" ht="12.0" customHeight="1">
      <c r="B404" s="1"/>
      <c r="D404" s="161"/>
      <c r="E404" s="161"/>
      <c r="F404" s="161"/>
      <c r="G404" s="348"/>
      <c r="H404" s="348"/>
      <c r="I404" s="348"/>
      <c r="J404" s="348"/>
      <c r="K404" s="348"/>
      <c r="L404" s="3"/>
      <c r="M404" s="928"/>
      <c r="O404" s="151"/>
    </row>
    <row r="405" ht="12.0" customHeight="1">
      <c r="B405" s="1"/>
      <c r="D405" s="161"/>
      <c r="E405" s="161"/>
      <c r="F405" s="161"/>
      <c r="G405" s="348"/>
      <c r="H405" s="348"/>
      <c r="I405" s="348"/>
      <c r="J405" s="348"/>
      <c r="K405" s="348"/>
      <c r="L405" s="3"/>
      <c r="M405" s="928"/>
      <c r="O405" s="151"/>
    </row>
    <row r="406" ht="12.0" customHeight="1">
      <c r="B406" s="1"/>
      <c r="D406" s="161"/>
      <c r="E406" s="161"/>
      <c r="F406" s="161"/>
      <c r="G406" s="348"/>
      <c r="H406" s="348"/>
      <c r="I406" s="348"/>
      <c r="J406" s="348"/>
      <c r="K406" s="348"/>
      <c r="L406" s="3"/>
      <c r="M406" s="928"/>
      <c r="O406" s="151"/>
    </row>
    <row r="407" ht="12.0" customHeight="1">
      <c r="B407" s="1"/>
      <c r="D407" s="161"/>
      <c r="E407" s="161"/>
      <c r="F407" s="161"/>
      <c r="G407" s="348"/>
      <c r="H407" s="348"/>
      <c r="I407" s="348"/>
      <c r="J407" s="348"/>
      <c r="K407" s="348"/>
      <c r="L407" s="3"/>
      <c r="M407" s="928"/>
      <c r="O407" s="151"/>
    </row>
    <row r="408" ht="12.0" customHeight="1">
      <c r="B408" s="1"/>
      <c r="D408" s="161"/>
      <c r="E408" s="161"/>
      <c r="F408" s="161"/>
      <c r="G408" s="348"/>
      <c r="H408" s="348"/>
      <c r="I408" s="348"/>
      <c r="J408" s="348"/>
      <c r="K408" s="348"/>
      <c r="L408" s="3"/>
      <c r="M408" s="928"/>
      <c r="O408" s="151"/>
    </row>
    <row r="409" ht="12.0" customHeight="1">
      <c r="B409" s="1"/>
      <c r="D409" s="161"/>
      <c r="E409" s="161"/>
      <c r="F409" s="161"/>
      <c r="G409" s="348"/>
      <c r="H409" s="348"/>
      <c r="I409" s="348"/>
      <c r="J409" s="348"/>
      <c r="K409" s="348"/>
      <c r="L409" s="3"/>
      <c r="M409" s="928"/>
      <c r="O409" s="151"/>
    </row>
    <row r="410" ht="12.0" customHeight="1">
      <c r="B410" s="1"/>
      <c r="D410" s="161"/>
      <c r="E410" s="161"/>
      <c r="F410" s="161"/>
      <c r="G410" s="348"/>
      <c r="H410" s="348"/>
      <c r="I410" s="348"/>
      <c r="J410" s="348"/>
      <c r="K410" s="348"/>
      <c r="L410" s="3"/>
      <c r="M410" s="928"/>
      <c r="O410" s="151"/>
    </row>
    <row r="411" ht="12.0" customHeight="1">
      <c r="B411" s="1"/>
      <c r="D411" s="161"/>
      <c r="E411" s="161"/>
      <c r="F411" s="161"/>
      <c r="G411" s="348"/>
      <c r="H411" s="348"/>
      <c r="I411" s="348"/>
      <c r="J411" s="348"/>
      <c r="K411" s="348"/>
      <c r="L411" s="3"/>
      <c r="M411" s="928"/>
      <c r="O411" s="151"/>
    </row>
    <row r="412" ht="12.0" customHeight="1">
      <c r="B412" s="1"/>
      <c r="D412" s="161"/>
      <c r="E412" s="161"/>
      <c r="F412" s="161"/>
      <c r="G412" s="348"/>
      <c r="H412" s="348"/>
      <c r="I412" s="348"/>
      <c r="J412" s="348"/>
      <c r="K412" s="348"/>
      <c r="L412" s="3"/>
      <c r="M412" s="928"/>
      <c r="O412" s="151"/>
    </row>
    <row r="413" ht="12.0" customHeight="1">
      <c r="B413" s="1"/>
      <c r="D413" s="161"/>
      <c r="E413" s="161"/>
      <c r="F413" s="161"/>
      <c r="G413" s="348"/>
      <c r="H413" s="348"/>
      <c r="I413" s="348"/>
      <c r="J413" s="348"/>
      <c r="K413" s="348"/>
      <c r="L413" s="3"/>
      <c r="M413" s="928"/>
      <c r="O413" s="151"/>
    </row>
    <row r="414" ht="12.0" customHeight="1">
      <c r="B414" s="1"/>
      <c r="D414" s="161"/>
      <c r="E414" s="161"/>
      <c r="F414" s="161"/>
      <c r="G414" s="348"/>
      <c r="H414" s="348"/>
      <c r="I414" s="348"/>
      <c r="J414" s="348"/>
      <c r="K414" s="348"/>
      <c r="L414" s="3"/>
      <c r="M414" s="928"/>
      <c r="O414" s="151"/>
    </row>
    <row r="415" ht="12.0" customHeight="1">
      <c r="B415" s="1"/>
      <c r="D415" s="161"/>
      <c r="E415" s="161"/>
      <c r="F415" s="161"/>
      <c r="G415" s="348"/>
      <c r="H415" s="348"/>
      <c r="I415" s="348"/>
      <c r="J415" s="348"/>
      <c r="K415" s="348"/>
      <c r="L415" s="3"/>
      <c r="M415" s="928"/>
      <c r="O415" s="151"/>
    </row>
    <row r="416" ht="12.0" customHeight="1">
      <c r="B416" s="1"/>
      <c r="D416" s="161"/>
      <c r="E416" s="161"/>
      <c r="F416" s="161"/>
      <c r="G416" s="348"/>
      <c r="H416" s="348"/>
      <c r="I416" s="348"/>
      <c r="J416" s="348"/>
      <c r="K416" s="348"/>
      <c r="L416" s="3"/>
      <c r="M416" s="928"/>
      <c r="O416" s="151"/>
    </row>
    <row r="417" ht="12.0" customHeight="1">
      <c r="B417" s="1"/>
      <c r="D417" s="161"/>
      <c r="E417" s="161"/>
      <c r="F417" s="161"/>
      <c r="G417" s="348"/>
      <c r="H417" s="348"/>
      <c r="I417" s="348"/>
      <c r="J417" s="348"/>
      <c r="K417" s="348"/>
      <c r="L417" s="3"/>
      <c r="M417" s="928"/>
      <c r="O417" s="151"/>
    </row>
    <row r="418" ht="12.0" customHeight="1">
      <c r="B418" s="1"/>
      <c r="D418" s="161"/>
      <c r="E418" s="161"/>
      <c r="F418" s="161"/>
      <c r="G418" s="348"/>
      <c r="H418" s="348"/>
      <c r="I418" s="348"/>
      <c r="J418" s="348"/>
      <c r="K418" s="348"/>
      <c r="L418" s="3"/>
      <c r="M418" s="928"/>
      <c r="O418" s="151"/>
    </row>
    <row r="419" ht="12.0" customHeight="1">
      <c r="B419" s="1"/>
      <c r="D419" s="161"/>
      <c r="E419" s="161"/>
      <c r="F419" s="161"/>
      <c r="G419" s="348"/>
      <c r="H419" s="348"/>
      <c r="I419" s="348"/>
      <c r="J419" s="348"/>
      <c r="K419" s="348"/>
      <c r="L419" s="3"/>
      <c r="M419" s="928"/>
      <c r="O419" s="151"/>
    </row>
    <row r="420" ht="12.0" customHeight="1">
      <c r="B420" s="1"/>
      <c r="D420" s="161"/>
      <c r="E420" s="161"/>
      <c r="F420" s="161"/>
      <c r="G420" s="348"/>
      <c r="H420" s="348"/>
      <c r="I420" s="348"/>
      <c r="J420" s="348"/>
      <c r="K420" s="348"/>
      <c r="L420" s="3"/>
      <c r="M420" s="928"/>
      <c r="O420" s="151"/>
    </row>
    <row r="421" ht="12.0" customHeight="1">
      <c r="B421" s="1"/>
      <c r="D421" s="161"/>
      <c r="E421" s="161"/>
      <c r="F421" s="161"/>
      <c r="G421" s="348"/>
      <c r="H421" s="348"/>
      <c r="I421" s="348"/>
      <c r="J421" s="348"/>
      <c r="K421" s="348"/>
      <c r="L421" s="3"/>
      <c r="M421" s="928"/>
      <c r="O421" s="151"/>
    </row>
    <row r="422" ht="12.0" customHeight="1">
      <c r="B422" s="1"/>
      <c r="D422" s="161"/>
      <c r="E422" s="161"/>
      <c r="F422" s="161"/>
      <c r="G422" s="348"/>
      <c r="H422" s="348"/>
      <c r="I422" s="348"/>
      <c r="J422" s="348"/>
      <c r="K422" s="348"/>
      <c r="L422" s="3"/>
      <c r="M422" s="928"/>
      <c r="O422" s="151"/>
    </row>
    <row r="423" ht="12.0" customHeight="1">
      <c r="B423" s="1"/>
      <c r="D423" s="161"/>
      <c r="E423" s="161"/>
      <c r="F423" s="161"/>
      <c r="G423" s="348"/>
      <c r="H423" s="348"/>
      <c r="I423" s="348"/>
      <c r="J423" s="348"/>
      <c r="K423" s="348"/>
      <c r="L423" s="3"/>
      <c r="M423" s="928"/>
      <c r="O423" s="151"/>
    </row>
    <row r="424" ht="12.0" customHeight="1">
      <c r="B424" s="1"/>
      <c r="D424" s="161"/>
      <c r="E424" s="161"/>
      <c r="F424" s="161"/>
      <c r="G424" s="348"/>
      <c r="H424" s="348"/>
      <c r="I424" s="348"/>
      <c r="J424" s="348"/>
      <c r="K424" s="348"/>
      <c r="L424" s="3"/>
      <c r="M424" s="928"/>
      <c r="O424" s="151"/>
    </row>
    <row r="425" ht="12.0" customHeight="1">
      <c r="B425" s="1"/>
      <c r="D425" s="161"/>
      <c r="E425" s="161"/>
      <c r="F425" s="161"/>
      <c r="G425" s="348"/>
      <c r="H425" s="348"/>
      <c r="I425" s="348"/>
      <c r="J425" s="348"/>
      <c r="K425" s="348"/>
      <c r="L425" s="3"/>
      <c r="M425" s="928"/>
      <c r="O425" s="151"/>
    </row>
    <row r="426" ht="12.0" customHeight="1">
      <c r="B426" s="1"/>
      <c r="D426" s="161"/>
      <c r="E426" s="161"/>
      <c r="F426" s="161"/>
      <c r="G426" s="348"/>
      <c r="H426" s="348"/>
      <c r="I426" s="348"/>
      <c r="J426" s="348"/>
      <c r="K426" s="348"/>
      <c r="L426" s="3"/>
      <c r="M426" s="928"/>
      <c r="O426" s="151"/>
    </row>
    <row r="427" ht="12.0" customHeight="1">
      <c r="B427" s="1"/>
      <c r="D427" s="161"/>
      <c r="E427" s="161"/>
      <c r="F427" s="161"/>
      <c r="G427" s="348"/>
      <c r="H427" s="348"/>
      <c r="I427" s="348"/>
      <c r="J427" s="348"/>
      <c r="K427" s="348"/>
      <c r="L427" s="3"/>
      <c r="M427" s="928"/>
      <c r="O427" s="151"/>
    </row>
    <row r="428" ht="12.0" customHeight="1">
      <c r="B428" s="1"/>
      <c r="D428" s="161"/>
      <c r="E428" s="161"/>
      <c r="F428" s="161"/>
      <c r="G428" s="348"/>
      <c r="H428" s="348"/>
      <c r="I428" s="348"/>
      <c r="J428" s="348"/>
      <c r="K428" s="348"/>
      <c r="L428" s="3"/>
      <c r="M428" s="928"/>
      <c r="O428" s="151"/>
    </row>
    <row r="429" ht="12.0" customHeight="1">
      <c r="B429" s="1"/>
      <c r="D429" s="161"/>
      <c r="E429" s="161"/>
      <c r="F429" s="161"/>
      <c r="G429" s="348"/>
      <c r="H429" s="348"/>
      <c r="I429" s="348"/>
      <c r="J429" s="348"/>
      <c r="K429" s="348"/>
      <c r="L429" s="3"/>
      <c r="M429" s="928"/>
      <c r="O429" s="151"/>
    </row>
    <row r="430" ht="12.0" customHeight="1">
      <c r="B430" s="1"/>
      <c r="D430" s="161"/>
      <c r="E430" s="161"/>
      <c r="F430" s="161"/>
      <c r="G430" s="348"/>
      <c r="H430" s="348"/>
      <c r="I430" s="348"/>
      <c r="J430" s="348"/>
      <c r="K430" s="348"/>
      <c r="L430" s="3"/>
      <c r="M430" s="928"/>
      <c r="O430" s="151"/>
    </row>
    <row r="431" ht="12.0" customHeight="1">
      <c r="B431" s="1"/>
      <c r="D431" s="161"/>
      <c r="E431" s="161"/>
      <c r="F431" s="161"/>
      <c r="G431" s="348"/>
      <c r="H431" s="348"/>
      <c r="I431" s="348"/>
      <c r="J431" s="348"/>
      <c r="K431" s="348"/>
      <c r="L431" s="3"/>
      <c r="M431" s="928"/>
      <c r="O431" s="151"/>
    </row>
    <row r="432" ht="12.0" customHeight="1">
      <c r="B432" s="1"/>
      <c r="D432" s="161"/>
      <c r="E432" s="161"/>
      <c r="F432" s="161"/>
      <c r="G432" s="348"/>
      <c r="H432" s="348"/>
      <c r="I432" s="348"/>
      <c r="J432" s="348"/>
      <c r="K432" s="348"/>
      <c r="L432" s="3"/>
      <c r="M432" s="928"/>
      <c r="O432" s="151"/>
    </row>
    <row r="433" ht="12.0" customHeight="1">
      <c r="B433" s="1"/>
      <c r="D433" s="161"/>
      <c r="E433" s="161"/>
      <c r="F433" s="161"/>
      <c r="G433" s="348"/>
      <c r="H433" s="348"/>
      <c r="I433" s="348"/>
      <c r="J433" s="348"/>
      <c r="K433" s="348"/>
      <c r="L433" s="3"/>
      <c r="M433" s="928"/>
      <c r="O433" s="151"/>
    </row>
    <row r="434" ht="12.0" customHeight="1">
      <c r="B434" s="1"/>
      <c r="D434" s="161"/>
      <c r="E434" s="161"/>
      <c r="F434" s="161"/>
      <c r="G434" s="348"/>
      <c r="H434" s="348"/>
      <c r="I434" s="348"/>
      <c r="J434" s="348"/>
      <c r="K434" s="348"/>
      <c r="L434" s="3"/>
      <c r="M434" s="928"/>
      <c r="O434" s="151"/>
    </row>
    <row r="435" ht="12.0" customHeight="1">
      <c r="B435" s="1"/>
      <c r="D435" s="161"/>
      <c r="E435" s="161"/>
      <c r="F435" s="161"/>
      <c r="G435" s="348"/>
      <c r="H435" s="348"/>
      <c r="I435" s="348"/>
      <c r="J435" s="348"/>
      <c r="K435" s="348"/>
      <c r="L435" s="3"/>
      <c r="M435" s="928"/>
      <c r="O435" s="151"/>
    </row>
    <row r="436" ht="12.0" customHeight="1">
      <c r="B436" s="1"/>
      <c r="D436" s="161"/>
      <c r="E436" s="161"/>
      <c r="F436" s="161"/>
      <c r="G436" s="348"/>
      <c r="H436" s="348"/>
      <c r="I436" s="348"/>
      <c r="J436" s="348"/>
      <c r="K436" s="348"/>
      <c r="L436" s="3"/>
      <c r="M436" s="928"/>
      <c r="O436" s="151"/>
    </row>
    <row r="437" ht="12.0" customHeight="1">
      <c r="B437" s="1"/>
      <c r="D437" s="161"/>
      <c r="E437" s="161"/>
      <c r="F437" s="161"/>
      <c r="G437" s="348"/>
      <c r="H437" s="348"/>
      <c r="I437" s="348"/>
      <c r="J437" s="348"/>
      <c r="K437" s="348"/>
      <c r="L437" s="3"/>
      <c r="M437" s="928"/>
      <c r="O437" s="151"/>
    </row>
    <row r="438" ht="12.0" customHeight="1">
      <c r="B438" s="1"/>
      <c r="D438" s="161"/>
      <c r="E438" s="161"/>
      <c r="F438" s="161"/>
      <c r="G438" s="348"/>
      <c r="H438" s="348"/>
      <c r="I438" s="348"/>
      <c r="J438" s="348"/>
      <c r="K438" s="348"/>
      <c r="L438" s="3"/>
      <c r="M438" s="928"/>
      <c r="O438" s="151"/>
    </row>
    <row r="439" ht="12.0" customHeight="1">
      <c r="B439" s="1"/>
      <c r="D439" s="161"/>
      <c r="E439" s="161"/>
      <c r="F439" s="161"/>
      <c r="G439" s="348"/>
      <c r="H439" s="348"/>
      <c r="I439" s="348"/>
      <c r="J439" s="348"/>
      <c r="K439" s="348"/>
      <c r="L439" s="3"/>
      <c r="M439" s="928"/>
      <c r="O439" s="151"/>
    </row>
    <row r="440" ht="12.0" customHeight="1">
      <c r="B440" s="1"/>
      <c r="D440" s="161"/>
      <c r="E440" s="161"/>
      <c r="F440" s="161"/>
      <c r="G440" s="348"/>
      <c r="H440" s="348"/>
      <c r="I440" s="348"/>
      <c r="J440" s="348"/>
      <c r="K440" s="348"/>
      <c r="L440" s="3"/>
      <c r="M440" s="928"/>
      <c r="O440" s="151"/>
    </row>
    <row r="441" ht="12.0" customHeight="1">
      <c r="B441" s="1"/>
      <c r="D441" s="161"/>
      <c r="E441" s="161"/>
      <c r="F441" s="161"/>
      <c r="G441" s="348"/>
      <c r="H441" s="348"/>
      <c r="I441" s="348"/>
      <c r="J441" s="348"/>
      <c r="K441" s="348"/>
      <c r="L441" s="3"/>
      <c r="M441" s="928"/>
      <c r="O441" s="151"/>
    </row>
    <row r="442" ht="12.0" customHeight="1">
      <c r="B442" s="1"/>
      <c r="D442" s="161"/>
      <c r="E442" s="161"/>
      <c r="F442" s="161"/>
      <c r="G442" s="348"/>
      <c r="H442" s="348"/>
      <c r="I442" s="348"/>
      <c r="J442" s="348"/>
      <c r="K442" s="348"/>
      <c r="L442" s="3"/>
      <c r="M442" s="928"/>
      <c r="O442" s="151"/>
    </row>
    <row r="443" ht="12.0" customHeight="1">
      <c r="B443" s="1"/>
      <c r="D443" s="161"/>
      <c r="E443" s="161"/>
      <c r="F443" s="161"/>
      <c r="G443" s="348"/>
      <c r="H443" s="348"/>
      <c r="I443" s="348"/>
      <c r="J443" s="348"/>
      <c r="K443" s="348"/>
      <c r="L443" s="3"/>
      <c r="M443" s="928"/>
      <c r="O443" s="151"/>
    </row>
    <row r="444" ht="12.0" customHeight="1">
      <c r="B444" s="1"/>
      <c r="D444" s="161"/>
      <c r="E444" s="161"/>
      <c r="F444" s="161"/>
      <c r="G444" s="348"/>
      <c r="H444" s="348"/>
      <c r="I444" s="348"/>
      <c r="J444" s="348"/>
      <c r="K444" s="348"/>
      <c r="L444" s="3"/>
      <c r="M444" s="928"/>
      <c r="O444" s="151"/>
    </row>
    <row r="445" ht="12.0" customHeight="1">
      <c r="B445" s="1"/>
      <c r="D445" s="161"/>
      <c r="E445" s="161"/>
      <c r="F445" s="161"/>
      <c r="G445" s="348"/>
      <c r="H445" s="348"/>
      <c r="I445" s="348"/>
      <c r="J445" s="348"/>
      <c r="K445" s="348"/>
      <c r="L445" s="3"/>
      <c r="M445" s="928"/>
      <c r="O445" s="151"/>
    </row>
    <row r="446" ht="12.0" customHeight="1">
      <c r="B446" s="1"/>
      <c r="D446" s="161"/>
      <c r="E446" s="161"/>
      <c r="F446" s="161"/>
      <c r="G446" s="348"/>
      <c r="H446" s="348"/>
      <c r="I446" s="348"/>
      <c r="J446" s="348"/>
      <c r="K446" s="348"/>
      <c r="L446" s="3"/>
      <c r="M446" s="928"/>
      <c r="O446" s="151"/>
    </row>
    <row r="447" ht="12.0" customHeight="1">
      <c r="B447" s="1"/>
      <c r="D447" s="161"/>
      <c r="E447" s="161"/>
      <c r="F447" s="161"/>
      <c r="G447" s="348"/>
      <c r="H447" s="348"/>
      <c r="I447" s="348"/>
      <c r="J447" s="348"/>
      <c r="K447" s="348"/>
      <c r="L447" s="3"/>
      <c r="M447" s="928"/>
      <c r="O447" s="151"/>
    </row>
    <row r="448" ht="12.0" customHeight="1">
      <c r="B448" s="1"/>
      <c r="D448" s="161"/>
      <c r="E448" s="161"/>
      <c r="F448" s="161"/>
      <c r="G448" s="348"/>
      <c r="H448" s="348"/>
      <c r="I448" s="348"/>
      <c r="J448" s="348"/>
      <c r="K448" s="348"/>
      <c r="L448" s="3"/>
      <c r="M448" s="928"/>
      <c r="O448" s="151"/>
    </row>
    <row r="449" ht="12.0" customHeight="1">
      <c r="B449" s="1"/>
      <c r="D449" s="161"/>
      <c r="E449" s="161"/>
      <c r="F449" s="161"/>
      <c r="G449" s="348"/>
      <c r="H449" s="348"/>
      <c r="I449" s="348"/>
      <c r="J449" s="348"/>
      <c r="K449" s="348"/>
      <c r="L449" s="3"/>
      <c r="M449" s="928"/>
      <c r="O449" s="151"/>
    </row>
    <row r="450" ht="12.0" customHeight="1">
      <c r="B450" s="1"/>
      <c r="D450" s="161"/>
      <c r="E450" s="161"/>
      <c r="F450" s="161"/>
      <c r="G450" s="348"/>
      <c r="H450" s="348"/>
      <c r="I450" s="348"/>
      <c r="J450" s="348"/>
      <c r="K450" s="348"/>
      <c r="L450" s="3"/>
      <c r="M450" s="928"/>
      <c r="O450" s="151"/>
    </row>
    <row r="451" ht="12.0" customHeight="1">
      <c r="B451" s="1"/>
      <c r="D451" s="161"/>
      <c r="E451" s="161"/>
      <c r="F451" s="161"/>
      <c r="G451" s="348"/>
      <c r="H451" s="348"/>
      <c r="I451" s="348"/>
      <c r="J451" s="348"/>
      <c r="K451" s="348"/>
      <c r="L451" s="3"/>
      <c r="M451" s="928"/>
      <c r="O451" s="151"/>
    </row>
    <row r="452" ht="12.0" customHeight="1">
      <c r="B452" s="1"/>
      <c r="D452" s="161"/>
      <c r="E452" s="161"/>
      <c r="F452" s="161"/>
      <c r="G452" s="348"/>
      <c r="H452" s="348"/>
      <c r="I452" s="348"/>
      <c r="J452" s="348"/>
      <c r="K452" s="348"/>
      <c r="L452" s="3"/>
      <c r="M452" s="928"/>
      <c r="O452" s="151"/>
    </row>
    <row r="453" ht="12.0" customHeight="1">
      <c r="B453" s="1"/>
      <c r="D453" s="161"/>
      <c r="E453" s="161"/>
      <c r="F453" s="161"/>
      <c r="G453" s="348"/>
      <c r="H453" s="348"/>
      <c r="I453" s="348"/>
      <c r="J453" s="348"/>
      <c r="K453" s="348"/>
      <c r="L453" s="3"/>
      <c r="M453" s="928"/>
      <c r="O453" s="151"/>
    </row>
    <row r="454" ht="12.0" customHeight="1">
      <c r="B454" s="1"/>
      <c r="D454" s="161"/>
      <c r="E454" s="161"/>
      <c r="F454" s="161"/>
      <c r="G454" s="348"/>
      <c r="H454" s="348"/>
      <c r="I454" s="348"/>
      <c r="J454" s="348"/>
      <c r="K454" s="348"/>
      <c r="L454" s="3"/>
      <c r="M454" s="928"/>
      <c r="O454" s="151"/>
    </row>
    <row r="455" ht="12.0" customHeight="1">
      <c r="B455" s="1"/>
      <c r="D455" s="161"/>
      <c r="E455" s="161"/>
      <c r="F455" s="161"/>
      <c r="G455" s="348"/>
      <c r="H455" s="348"/>
      <c r="I455" s="348"/>
      <c r="J455" s="348"/>
      <c r="K455" s="348"/>
      <c r="L455" s="3"/>
      <c r="M455" s="928"/>
      <c r="O455" s="151"/>
    </row>
    <row r="456" ht="12.0" customHeight="1">
      <c r="B456" s="1"/>
      <c r="D456" s="161"/>
      <c r="E456" s="161"/>
      <c r="F456" s="161"/>
      <c r="G456" s="348"/>
      <c r="H456" s="348"/>
      <c r="I456" s="348"/>
      <c r="J456" s="348"/>
      <c r="K456" s="348"/>
      <c r="L456" s="3"/>
      <c r="M456" s="928"/>
      <c r="O456" s="151"/>
    </row>
    <row r="457" ht="12.0" customHeight="1">
      <c r="B457" s="1"/>
      <c r="D457" s="161"/>
      <c r="E457" s="161"/>
      <c r="F457" s="161"/>
      <c r="G457" s="348"/>
      <c r="H457" s="348"/>
      <c r="I457" s="348"/>
      <c r="J457" s="348"/>
      <c r="K457" s="348"/>
      <c r="L457" s="3"/>
      <c r="M457" s="928"/>
      <c r="O457" s="151"/>
    </row>
    <row r="458" ht="12.0" customHeight="1">
      <c r="B458" s="1"/>
      <c r="D458" s="161"/>
      <c r="E458" s="161"/>
      <c r="F458" s="161"/>
      <c r="G458" s="348"/>
      <c r="H458" s="348"/>
      <c r="I458" s="348"/>
      <c r="J458" s="348"/>
      <c r="K458" s="348"/>
      <c r="L458" s="3"/>
      <c r="M458" s="928"/>
      <c r="O458" s="151"/>
    </row>
    <row r="459" ht="12.0" customHeight="1">
      <c r="B459" s="1"/>
      <c r="D459" s="161"/>
      <c r="E459" s="161"/>
      <c r="F459" s="161"/>
      <c r="G459" s="348"/>
      <c r="H459" s="348"/>
      <c r="I459" s="348"/>
      <c r="J459" s="348"/>
      <c r="K459" s="348"/>
      <c r="L459" s="3"/>
      <c r="M459" s="928"/>
      <c r="O459" s="151"/>
    </row>
    <row r="460" ht="12.0" customHeight="1">
      <c r="B460" s="1"/>
      <c r="D460" s="161"/>
      <c r="E460" s="161"/>
      <c r="F460" s="161"/>
      <c r="G460" s="348"/>
      <c r="H460" s="348"/>
      <c r="I460" s="348"/>
      <c r="J460" s="348"/>
      <c r="K460" s="348"/>
      <c r="L460" s="3"/>
      <c r="M460" s="928"/>
      <c r="O460" s="151"/>
    </row>
    <row r="461" ht="12.0" customHeight="1">
      <c r="B461" s="1"/>
      <c r="D461" s="161"/>
      <c r="E461" s="161"/>
      <c r="F461" s="161"/>
      <c r="G461" s="348"/>
      <c r="H461" s="348"/>
      <c r="I461" s="348"/>
      <c r="J461" s="348"/>
      <c r="K461" s="348"/>
      <c r="L461" s="3"/>
      <c r="M461" s="928"/>
      <c r="O461" s="151"/>
    </row>
    <row r="462" ht="12.0" customHeight="1">
      <c r="B462" s="1"/>
      <c r="D462" s="161"/>
      <c r="E462" s="161"/>
      <c r="F462" s="161"/>
      <c r="G462" s="348"/>
      <c r="H462" s="348"/>
      <c r="I462" s="348"/>
      <c r="J462" s="348"/>
      <c r="K462" s="348"/>
      <c r="L462" s="3"/>
      <c r="M462" s="928"/>
      <c r="O462" s="151"/>
    </row>
    <row r="463" ht="12.0" customHeight="1">
      <c r="B463" s="1"/>
      <c r="D463" s="161"/>
      <c r="E463" s="161"/>
      <c r="F463" s="161"/>
      <c r="G463" s="348"/>
      <c r="H463" s="348"/>
      <c r="I463" s="348"/>
      <c r="J463" s="348"/>
      <c r="K463" s="348"/>
      <c r="L463" s="3"/>
      <c r="M463" s="928"/>
      <c r="O463" s="151"/>
    </row>
    <row r="464" ht="12.0" customHeight="1">
      <c r="B464" s="1"/>
      <c r="D464" s="161"/>
      <c r="E464" s="161"/>
      <c r="F464" s="161"/>
      <c r="G464" s="348"/>
      <c r="H464" s="348"/>
      <c r="I464" s="348"/>
      <c r="J464" s="348"/>
      <c r="K464" s="348"/>
      <c r="L464" s="3"/>
      <c r="M464" s="928"/>
      <c r="O464" s="151"/>
    </row>
    <row r="465" ht="12.0" customHeight="1">
      <c r="B465" s="1"/>
      <c r="D465" s="161"/>
      <c r="E465" s="161"/>
      <c r="F465" s="161"/>
      <c r="G465" s="348"/>
      <c r="H465" s="348"/>
      <c r="I465" s="348"/>
      <c r="J465" s="348"/>
      <c r="K465" s="348"/>
      <c r="L465" s="3"/>
      <c r="M465" s="928"/>
      <c r="O465" s="151"/>
    </row>
    <row r="466" ht="12.0" customHeight="1">
      <c r="B466" s="1"/>
      <c r="D466" s="161"/>
      <c r="E466" s="161"/>
      <c r="F466" s="161"/>
      <c r="G466" s="348"/>
      <c r="H466" s="348"/>
      <c r="I466" s="348"/>
      <c r="J466" s="348"/>
      <c r="K466" s="348"/>
      <c r="L466" s="3"/>
      <c r="M466" s="928"/>
      <c r="O466" s="151"/>
    </row>
    <row r="467" ht="12.0" customHeight="1">
      <c r="B467" s="1"/>
      <c r="D467" s="161"/>
      <c r="E467" s="161"/>
      <c r="F467" s="161"/>
      <c r="G467" s="348"/>
      <c r="H467" s="348"/>
      <c r="I467" s="348"/>
      <c r="J467" s="348"/>
      <c r="K467" s="348"/>
      <c r="L467" s="3"/>
      <c r="M467" s="928"/>
      <c r="O467" s="151"/>
    </row>
    <row r="468" ht="12.0" customHeight="1">
      <c r="B468" s="1"/>
      <c r="D468" s="161"/>
      <c r="E468" s="161"/>
      <c r="F468" s="161"/>
      <c r="G468" s="348"/>
      <c r="H468" s="348"/>
      <c r="I468" s="348"/>
      <c r="J468" s="348"/>
      <c r="K468" s="348"/>
      <c r="L468" s="3"/>
      <c r="M468" s="928"/>
      <c r="O468" s="151"/>
    </row>
    <row r="469" ht="12.0" customHeight="1">
      <c r="B469" s="1"/>
      <c r="D469" s="161"/>
      <c r="E469" s="161"/>
      <c r="F469" s="161"/>
      <c r="G469" s="348"/>
      <c r="H469" s="348"/>
      <c r="I469" s="348"/>
      <c r="J469" s="348"/>
      <c r="K469" s="348"/>
      <c r="L469" s="3"/>
      <c r="M469" s="928"/>
      <c r="O469" s="151"/>
    </row>
    <row r="470" ht="12.0" customHeight="1">
      <c r="B470" s="1"/>
      <c r="D470" s="161"/>
      <c r="E470" s="161"/>
      <c r="F470" s="161"/>
      <c r="G470" s="348"/>
      <c r="H470" s="348"/>
      <c r="I470" s="348"/>
      <c r="J470" s="348"/>
      <c r="K470" s="348"/>
      <c r="L470" s="3"/>
      <c r="M470" s="928"/>
      <c r="O470" s="151"/>
    </row>
    <row r="471" ht="12.0" customHeight="1">
      <c r="B471" s="1"/>
      <c r="D471" s="161"/>
      <c r="E471" s="161"/>
      <c r="F471" s="161"/>
      <c r="G471" s="348"/>
      <c r="H471" s="348"/>
      <c r="I471" s="348"/>
      <c r="J471" s="348"/>
      <c r="K471" s="348"/>
      <c r="L471" s="3"/>
      <c r="M471" s="928"/>
      <c r="O471" s="151"/>
    </row>
    <row r="472" ht="12.0" customHeight="1">
      <c r="B472" s="1"/>
      <c r="D472" s="161"/>
      <c r="E472" s="161"/>
      <c r="F472" s="161"/>
      <c r="G472" s="348"/>
      <c r="H472" s="348"/>
      <c r="I472" s="348"/>
      <c r="J472" s="348"/>
      <c r="K472" s="348"/>
      <c r="L472" s="3"/>
      <c r="M472" s="928"/>
      <c r="O472" s="151"/>
    </row>
    <row r="473" ht="12.0" customHeight="1">
      <c r="B473" s="1"/>
      <c r="D473" s="161"/>
      <c r="E473" s="161"/>
      <c r="F473" s="161"/>
      <c r="G473" s="348"/>
      <c r="H473" s="348"/>
      <c r="I473" s="348"/>
      <c r="J473" s="348"/>
      <c r="K473" s="348"/>
      <c r="L473" s="3"/>
      <c r="M473" s="928"/>
      <c r="O473" s="151"/>
    </row>
    <row r="474" ht="12.0" customHeight="1">
      <c r="B474" s="1"/>
      <c r="D474" s="161"/>
      <c r="E474" s="161"/>
      <c r="F474" s="161"/>
      <c r="G474" s="348"/>
      <c r="H474" s="348"/>
      <c r="I474" s="348"/>
      <c r="J474" s="348"/>
      <c r="K474" s="348"/>
      <c r="L474" s="3"/>
      <c r="M474" s="928"/>
      <c r="O474" s="151"/>
    </row>
    <row r="475" ht="12.0" customHeight="1">
      <c r="B475" s="1"/>
      <c r="D475" s="161"/>
      <c r="E475" s="161"/>
      <c r="F475" s="161"/>
      <c r="G475" s="348"/>
      <c r="H475" s="348"/>
      <c r="I475" s="348"/>
      <c r="J475" s="348"/>
      <c r="K475" s="348"/>
      <c r="L475" s="3"/>
      <c r="M475" s="928"/>
      <c r="O475" s="151"/>
    </row>
    <row r="476" ht="12.0" customHeight="1">
      <c r="B476" s="1"/>
      <c r="D476" s="161"/>
      <c r="E476" s="161"/>
      <c r="F476" s="161"/>
      <c r="G476" s="348"/>
      <c r="H476" s="348"/>
      <c r="I476" s="348"/>
      <c r="J476" s="348"/>
      <c r="K476" s="348"/>
      <c r="L476" s="3"/>
      <c r="M476" s="928"/>
      <c r="O476" s="151"/>
    </row>
    <row r="477" ht="12.0" customHeight="1">
      <c r="B477" s="1"/>
      <c r="D477" s="161"/>
      <c r="E477" s="161"/>
      <c r="F477" s="161"/>
      <c r="G477" s="348"/>
      <c r="H477" s="348"/>
      <c r="I477" s="348"/>
      <c r="J477" s="348"/>
      <c r="K477" s="348"/>
      <c r="L477" s="3"/>
      <c r="M477" s="928"/>
      <c r="O477" s="151"/>
    </row>
    <row r="478" ht="12.0" customHeight="1">
      <c r="B478" s="1"/>
      <c r="D478" s="161"/>
      <c r="E478" s="161"/>
      <c r="F478" s="161"/>
      <c r="G478" s="348"/>
      <c r="H478" s="348"/>
      <c r="I478" s="348"/>
      <c r="J478" s="348"/>
      <c r="K478" s="348"/>
      <c r="L478" s="3"/>
      <c r="M478" s="928"/>
      <c r="O478" s="151"/>
    </row>
    <row r="479" ht="12.0" customHeight="1">
      <c r="B479" s="1"/>
      <c r="D479" s="161"/>
      <c r="E479" s="161"/>
      <c r="F479" s="161"/>
      <c r="G479" s="348"/>
      <c r="H479" s="348"/>
      <c r="I479" s="348"/>
      <c r="J479" s="348"/>
      <c r="K479" s="348"/>
      <c r="L479" s="3"/>
      <c r="M479" s="928"/>
      <c r="O479" s="151"/>
    </row>
    <row r="480" ht="12.0" customHeight="1">
      <c r="B480" s="1"/>
      <c r="D480" s="161"/>
      <c r="E480" s="161"/>
      <c r="F480" s="161"/>
      <c r="G480" s="348"/>
      <c r="H480" s="348"/>
      <c r="I480" s="348"/>
      <c r="J480" s="348"/>
      <c r="K480" s="348"/>
      <c r="L480" s="3"/>
      <c r="M480" s="928"/>
      <c r="O480" s="151"/>
    </row>
    <row r="481" ht="12.0" customHeight="1">
      <c r="B481" s="1"/>
      <c r="D481" s="161"/>
      <c r="E481" s="161"/>
      <c r="F481" s="161"/>
      <c r="G481" s="348"/>
      <c r="H481" s="348"/>
      <c r="I481" s="348"/>
      <c r="J481" s="348"/>
      <c r="K481" s="348"/>
      <c r="L481" s="3"/>
      <c r="M481" s="928"/>
      <c r="O481" s="151"/>
    </row>
    <row r="482" ht="12.0" customHeight="1">
      <c r="B482" s="1"/>
      <c r="D482" s="161"/>
      <c r="E482" s="161"/>
      <c r="F482" s="161"/>
      <c r="G482" s="348"/>
      <c r="H482" s="348"/>
      <c r="I482" s="348"/>
      <c r="J482" s="348"/>
      <c r="K482" s="348"/>
      <c r="L482" s="3"/>
      <c r="M482" s="928"/>
      <c r="O482" s="151"/>
    </row>
    <row r="483" ht="12.0" customHeight="1">
      <c r="B483" s="1"/>
      <c r="D483" s="161"/>
      <c r="E483" s="161"/>
      <c r="F483" s="161"/>
      <c r="G483" s="348"/>
      <c r="H483" s="348"/>
      <c r="I483" s="348"/>
      <c r="J483" s="348"/>
      <c r="K483" s="348"/>
      <c r="L483" s="3"/>
      <c r="M483" s="928"/>
      <c r="O483" s="151"/>
    </row>
    <row r="484" ht="12.0" customHeight="1">
      <c r="B484" s="1"/>
      <c r="D484" s="161"/>
      <c r="E484" s="161"/>
      <c r="F484" s="161"/>
      <c r="G484" s="348"/>
      <c r="H484" s="348"/>
      <c r="I484" s="348"/>
      <c r="J484" s="348"/>
      <c r="K484" s="348"/>
      <c r="L484" s="3"/>
      <c r="M484" s="928"/>
      <c r="O484" s="151"/>
    </row>
    <row r="485" ht="12.0" customHeight="1">
      <c r="B485" s="1"/>
      <c r="D485" s="161"/>
      <c r="E485" s="161"/>
      <c r="F485" s="161"/>
      <c r="G485" s="348"/>
      <c r="H485" s="348"/>
      <c r="I485" s="348"/>
      <c r="J485" s="348"/>
      <c r="K485" s="348"/>
      <c r="L485" s="3"/>
      <c r="M485" s="928"/>
      <c r="O485" s="151"/>
    </row>
    <row r="486" ht="12.0" customHeight="1">
      <c r="B486" s="1"/>
      <c r="D486" s="161"/>
      <c r="E486" s="161"/>
      <c r="F486" s="161"/>
      <c r="G486" s="348"/>
      <c r="H486" s="348"/>
      <c r="I486" s="348"/>
      <c r="J486" s="348"/>
      <c r="K486" s="348"/>
      <c r="L486" s="3"/>
      <c r="M486" s="928"/>
      <c r="O486" s="151"/>
    </row>
    <row r="487" ht="12.0" customHeight="1">
      <c r="B487" s="1"/>
      <c r="D487" s="161"/>
      <c r="E487" s="161"/>
      <c r="F487" s="161"/>
      <c r="G487" s="348"/>
      <c r="H487" s="348"/>
      <c r="I487" s="348"/>
      <c r="J487" s="348"/>
      <c r="K487" s="348"/>
      <c r="L487" s="3"/>
      <c r="M487" s="928"/>
      <c r="O487" s="151"/>
    </row>
    <row r="488" ht="12.0" customHeight="1">
      <c r="B488" s="1"/>
      <c r="D488" s="161"/>
      <c r="E488" s="161"/>
      <c r="F488" s="161"/>
      <c r="G488" s="348"/>
      <c r="H488" s="348"/>
      <c r="I488" s="348"/>
      <c r="J488" s="348"/>
      <c r="K488" s="348"/>
      <c r="L488" s="3"/>
      <c r="M488" s="928"/>
      <c r="O488" s="151"/>
    </row>
    <row r="489" ht="12.0" customHeight="1">
      <c r="B489" s="1"/>
      <c r="D489" s="161"/>
      <c r="E489" s="161"/>
      <c r="F489" s="161"/>
      <c r="G489" s="348"/>
      <c r="H489" s="348"/>
      <c r="I489" s="348"/>
      <c r="J489" s="348"/>
      <c r="K489" s="348"/>
      <c r="L489" s="3"/>
      <c r="M489" s="928"/>
      <c r="O489" s="151"/>
    </row>
    <row r="490" ht="12.0" customHeight="1">
      <c r="B490" s="1"/>
      <c r="D490" s="161"/>
      <c r="E490" s="161"/>
      <c r="F490" s="161"/>
      <c r="G490" s="348"/>
      <c r="H490" s="348"/>
      <c r="I490" s="348"/>
      <c r="J490" s="348"/>
      <c r="K490" s="348"/>
      <c r="L490" s="3"/>
      <c r="M490" s="928"/>
      <c r="O490" s="151"/>
    </row>
    <row r="491" ht="12.0" customHeight="1">
      <c r="B491" s="1"/>
      <c r="D491" s="161"/>
      <c r="E491" s="161"/>
      <c r="F491" s="161"/>
      <c r="G491" s="348"/>
      <c r="H491" s="348"/>
      <c r="I491" s="348"/>
      <c r="J491" s="348"/>
      <c r="K491" s="348"/>
      <c r="L491" s="3"/>
      <c r="M491" s="928"/>
      <c r="O491" s="151"/>
    </row>
    <row r="492" ht="12.0" customHeight="1">
      <c r="B492" s="1"/>
      <c r="D492" s="161"/>
      <c r="E492" s="161"/>
      <c r="F492" s="161"/>
      <c r="G492" s="348"/>
      <c r="H492" s="348"/>
      <c r="I492" s="348"/>
      <c r="J492" s="348"/>
      <c r="K492" s="348"/>
      <c r="L492" s="3"/>
      <c r="M492" s="928"/>
      <c r="O492" s="151"/>
    </row>
    <row r="493" ht="12.0" customHeight="1">
      <c r="B493" s="1"/>
      <c r="D493" s="161"/>
      <c r="E493" s="161"/>
      <c r="F493" s="161"/>
      <c r="G493" s="348"/>
      <c r="H493" s="348"/>
      <c r="I493" s="348"/>
      <c r="J493" s="348"/>
      <c r="K493" s="348"/>
      <c r="L493" s="3"/>
      <c r="M493" s="928"/>
      <c r="O493" s="151"/>
    </row>
    <row r="494" ht="12.0" customHeight="1">
      <c r="B494" s="1"/>
      <c r="D494" s="161"/>
      <c r="E494" s="161"/>
      <c r="F494" s="161"/>
      <c r="G494" s="348"/>
      <c r="H494" s="348"/>
      <c r="I494" s="348"/>
      <c r="J494" s="348"/>
      <c r="K494" s="348"/>
      <c r="L494" s="3"/>
      <c r="M494" s="928"/>
      <c r="O494" s="151"/>
    </row>
    <row r="495" ht="12.0" customHeight="1">
      <c r="B495" s="1"/>
      <c r="D495" s="161"/>
      <c r="E495" s="161"/>
      <c r="F495" s="161"/>
      <c r="G495" s="348"/>
      <c r="H495" s="348"/>
      <c r="I495" s="348"/>
      <c r="J495" s="348"/>
      <c r="K495" s="348"/>
      <c r="L495" s="3"/>
      <c r="M495" s="928"/>
      <c r="O495" s="151"/>
    </row>
    <row r="496" ht="12.0" customHeight="1">
      <c r="B496" s="1"/>
      <c r="D496" s="161"/>
      <c r="E496" s="161"/>
      <c r="F496" s="161"/>
      <c r="G496" s="348"/>
      <c r="H496" s="348"/>
      <c r="I496" s="348"/>
      <c r="J496" s="348"/>
      <c r="K496" s="348"/>
      <c r="L496" s="3"/>
      <c r="M496" s="928"/>
      <c r="O496" s="151"/>
    </row>
    <row r="497" ht="12.0" customHeight="1">
      <c r="B497" s="1"/>
      <c r="D497" s="161"/>
      <c r="E497" s="161"/>
      <c r="F497" s="161"/>
      <c r="G497" s="348"/>
      <c r="H497" s="348"/>
      <c r="I497" s="348"/>
      <c r="J497" s="348"/>
      <c r="K497" s="348"/>
      <c r="L497" s="3"/>
      <c r="M497" s="928"/>
      <c r="O497" s="151"/>
    </row>
    <row r="498" ht="12.0" customHeight="1">
      <c r="B498" s="1"/>
      <c r="D498" s="161"/>
      <c r="E498" s="161"/>
      <c r="F498" s="161"/>
      <c r="G498" s="348"/>
      <c r="H498" s="348"/>
      <c r="I498" s="348"/>
      <c r="J498" s="348"/>
      <c r="K498" s="348"/>
      <c r="L498" s="3"/>
      <c r="M498" s="928"/>
      <c r="O498" s="151"/>
    </row>
    <row r="499" ht="12.0" customHeight="1">
      <c r="B499" s="1"/>
      <c r="D499" s="161"/>
      <c r="E499" s="161"/>
      <c r="F499" s="161"/>
      <c r="G499" s="348"/>
      <c r="H499" s="348"/>
      <c r="I499" s="348"/>
      <c r="J499" s="348"/>
      <c r="K499" s="348"/>
      <c r="L499" s="3"/>
      <c r="M499" s="928"/>
      <c r="O499" s="151"/>
    </row>
    <row r="500" ht="12.0" customHeight="1">
      <c r="B500" s="1"/>
      <c r="D500" s="161"/>
      <c r="E500" s="161"/>
      <c r="F500" s="161"/>
      <c r="G500" s="348"/>
      <c r="H500" s="348"/>
      <c r="I500" s="348"/>
      <c r="J500" s="348"/>
      <c r="K500" s="348"/>
      <c r="L500" s="3"/>
      <c r="M500" s="928"/>
      <c r="O500" s="151"/>
    </row>
    <row r="501" ht="12.0" customHeight="1">
      <c r="B501" s="1"/>
      <c r="D501" s="161"/>
      <c r="E501" s="161"/>
      <c r="F501" s="161"/>
      <c r="G501" s="348"/>
      <c r="H501" s="348"/>
      <c r="I501" s="348"/>
      <c r="J501" s="348"/>
      <c r="K501" s="348"/>
      <c r="L501" s="3"/>
      <c r="M501" s="928"/>
      <c r="O501" s="151"/>
    </row>
    <row r="502" ht="12.0" customHeight="1">
      <c r="B502" s="1"/>
      <c r="D502" s="161"/>
      <c r="E502" s="161"/>
      <c r="F502" s="161"/>
      <c r="G502" s="348"/>
      <c r="H502" s="348"/>
      <c r="I502" s="348"/>
      <c r="J502" s="348"/>
      <c r="K502" s="348"/>
      <c r="L502" s="3"/>
      <c r="M502" s="928"/>
      <c r="O502" s="151"/>
    </row>
    <row r="503" ht="12.0" customHeight="1">
      <c r="B503" s="1"/>
      <c r="D503" s="161"/>
      <c r="E503" s="161"/>
      <c r="F503" s="161"/>
      <c r="G503" s="348"/>
      <c r="H503" s="348"/>
      <c r="I503" s="348"/>
      <c r="J503" s="348"/>
      <c r="K503" s="348"/>
      <c r="L503" s="3"/>
      <c r="M503" s="928"/>
      <c r="O503" s="151"/>
    </row>
    <row r="504" ht="12.0" customHeight="1">
      <c r="B504" s="1"/>
      <c r="D504" s="161"/>
      <c r="E504" s="161"/>
      <c r="F504" s="161"/>
      <c r="G504" s="348"/>
      <c r="H504" s="348"/>
      <c r="I504" s="348"/>
      <c r="J504" s="348"/>
      <c r="K504" s="348"/>
      <c r="L504" s="3"/>
      <c r="M504" s="928"/>
      <c r="O504" s="151"/>
    </row>
    <row r="505" ht="12.0" customHeight="1">
      <c r="B505" s="1"/>
      <c r="D505" s="161"/>
      <c r="E505" s="161"/>
      <c r="F505" s="161"/>
      <c r="G505" s="348"/>
      <c r="H505" s="348"/>
      <c r="I505" s="348"/>
      <c r="J505" s="348"/>
      <c r="K505" s="348"/>
      <c r="L505" s="3"/>
      <c r="M505" s="928"/>
      <c r="O505" s="151"/>
    </row>
    <row r="506" ht="12.0" customHeight="1">
      <c r="B506" s="1"/>
      <c r="D506" s="161"/>
      <c r="E506" s="161"/>
      <c r="F506" s="161"/>
      <c r="G506" s="348"/>
      <c r="H506" s="348"/>
      <c r="I506" s="348"/>
      <c r="J506" s="348"/>
      <c r="K506" s="348"/>
      <c r="L506" s="3"/>
      <c r="M506" s="928"/>
      <c r="O506" s="151"/>
    </row>
    <row r="507" ht="12.0" customHeight="1">
      <c r="B507" s="1"/>
      <c r="D507" s="161"/>
      <c r="E507" s="161"/>
      <c r="F507" s="161"/>
      <c r="G507" s="348"/>
      <c r="H507" s="348"/>
      <c r="I507" s="348"/>
      <c r="J507" s="348"/>
      <c r="K507" s="348"/>
      <c r="L507" s="3"/>
      <c r="M507" s="928"/>
      <c r="O507" s="151"/>
    </row>
    <row r="508" ht="12.0" customHeight="1">
      <c r="B508" s="1"/>
      <c r="D508" s="161"/>
      <c r="E508" s="161"/>
      <c r="F508" s="161"/>
      <c r="G508" s="348"/>
      <c r="H508" s="348"/>
      <c r="I508" s="348"/>
      <c r="J508" s="348"/>
      <c r="K508" s="348"/>
      <c r="L508" s="3"/>
      <c r="M508" s="928"/>
      <c r="O508" s="151"/>
    </row>
    <row r="509" ht="12.0" customHeight="1">
      <c r="B509" s="1"/>
      <c r="D509" s="161"/>
      <c r="E509" s="161"/>
      <c r="F509" s="161"/>
      <c r="G509" s="348"/>
      <c r="H509" s="348"/>
      <c r="I509" s="348"/>
      <c r="J509" s="348"/>
      <c r="K509" s="348"/>
      <c r="L509" s="3"/>
      <c r="M509" s="928"/>
      <c r="O509" s="151"/>
    </row>
    <row r="510" ht="12.0" customHeight="1">
      <c r="B510" s="1"/>
      <c r="D510" s="161"/>
      <c r="E510" s="161"/>
      <c r="F510" s="161"/>
      <c r="G510" s="348"/>
      <c r="H510" s="348"/>
      <c r="I510" s="348"/>
      <c r="J510" s="348"/>
      <c r="K510" s="348"/>
      <c r="L510" s="3"/>
      <c r="M510" s="928"/>
      <c r="O510" s="151"/>
    </row>
    <row r="511" ht="12.0" customHeight="1">
      <c r="B511" s="1"/>
      <c r="D511" s="161"/>
      <c r="E511" s="161"/>
      <c r="F511" s="161"/>
      <c r="G511" s="348"/>
      <c r="H511" s="348"/>
      <c r="I511" s="348"/>
      <c r="J511" s="348"/>
      <c r="K511" s="348"/>
      <c r="L511" s="3"/>
      <c r="M511" s="928"/>
      <c r="O511" s="151"/>
    </row>
    <row r="512" ht="12.0" customHeight="1">
      <c r="B512" s="1"/>
      <c r="D512" s="161"/>
      <c r="E512" s="161"/>
      <c r="F512" s="161"/>
      <c r="G512" s="348"/>
      <c r="H512" s="348"/>
      <c r="I512" s="348"/>
      <c r="J512" s="348"/>
      <c r="K512" s="348"/>
      <c r="L512" s="3"/>
      <c r="M512" s="928"/>
      <c r="O512" s="151"/>
    </row>
    <row r="513" ht="12.0" customHeight="1">
      <c r="B513" s="1"/>
      <c r="D513" s="161"/>
      <c r="E513" s="161"/>
      <c r="F513" s="161"/>
      <c r="G513" s="348"/>
      <c r="H513" s="348"/>
      <c r="I513" s="348"/>
      <c r="J513" s="348"/>
      <c r="K513" s="348"/>
      <c r="L513" s="3"/>
      <c r="M513" s="928"/>
      <c r="O513" s="151"/>
    </row>
    <row r="514" ht="12.0" customHeight="1">
      <c r="B514" s="1"/>
      <c r="D514" s="161"/>
      <c r="E514" s="161"/>
      <c r="F514" s="161"/>
      <c r="G514" s="348"/>
      <c r="H514" s="348"/>
      <c r="I514" s="348"/>
      <c r="J514" s="348"/>
      <c r="K514" s="348"/>
      <c r="L514" s="3"/>
      <c r="M514" s="928"/>
      <c r="O514" s="151"/>
    </row>
    <row r="515" ht="12.0" customHeight="1">
      <c r="B515" s="1"/>
      <c r="D515" s="161"/>
      <c r="E515" s="161"/>
      <c r="F515" s="161"/>
      <c r="G515" s="348"/>
      <c r="H515" s="348"/>
      <c r="I515" s="348"/>
      <c r="J515" s="348"/>
      <c r="K515" s="348"/>
      <c r="L515" s="3"/>
      <c r="M515" s="928"/>
      <c r="O515" s="151"/>
    </row>
    <row r="516" ht="12.0" customHeight="1">
      <c r="B516" s="1"/>
      <c r="D516" s="161"/>
      <c r="E516" s="161"/>
      <c r="F516" s="161"/>
      <c r="G516" s="348"/>
      <c r="H516" s="348"/>
      <c r="I516" s="348"/>
      <c r="J516" s="348"/>
      <c r="K516" s="348"/>
      <c r="L516" s="3"/>
      <c r="M516" s="928"/>
      <c r="O516" s="151"/>
    </row>
    <row r="517" ht="12.0" customHeight="1">
      <c r="B517" s="1"/>
      <c r="D517" s="161"/>
      <c r="E517" s="161"/>
      <c r="F517" s="161"/>
      <c r="G517" s="348"/>
      <c r="H517" s="348"/>
      <c r="I517" s="348"/>
      <c r="J517" s="348"/>
      <c r="K517" s="348"/>
      <c r="L517" s="3"/>
      <c r="M517" s="928"/>
      <c r="O517" s="151"/>
    </row>
    <row r="518" ht="12.0" customHeight="1">
      <c r="B518" s="1"/>
      <c r="D518" s="161"/>
      <c r="E518" s="161"/>
      <c r="F518" s="161"/>
      <c r="G518" s="348"/>
      <c r="H518" s="348"/>
      <c r="I518" s="348"/>
      <c r="J518" s="348"/>
      <c r="K518" s="348"/>
      <c r="L518" s="3"/>
      <c r="M518" s="928"/>
      <c r="O518" s="151"/>
    </row>
    <row r="519" ht="12.0" customHeight="1">
      <c r="B519" s="1"/>
      <c r="D519" s="161"/>
      <c r="E519" s="161"/>
      <c r="F519" s="161"/>
      <c r="G519" s="348"/>
      <c r="H519" s="348"/>
      <c r="I519" s="348"/>
      <c r="J519" s="348"/>
      <c r="K519" s="348"/>
      <c r="L519" s="3"/>
      <c r="M519" s="928"/>
      <c r="O519" s="151"/>
    </row>
    <row r="520" ht="12.0" customHeight="1">
      <c r="B520" s="1"/>
      <c r="D520" s="161"/>
      <c r="E520" s="161"/>
      <c r="F520" s="161"/>
      <c r="G520" s="348"/>
      <c r="H520" s="348"/>
      <c r="I520" s="348"/>
      <c r="J520" s="348"/>
      <c r="K520" s="348"/>
      <c r="L520" s="3"/>
      <c r="M520" s="928"/>
      <c r="O520" s="151"/>
    </row>
    <row r="521" ht="12.0" customHeight="1">
      <c r="B521" s="1"/>
      <c r="D521" s="161"/>
      <c r="E521" s="161"/>
      <c r="F521" s="161"/>
      <c r="G521" s="348"/>
      <c r="H521" s="348"/>
      <c r="I521" s="348"/>
      <c r="J521" s="348"/>
      <c r="K521" s="348"/>
      <c r="L521" s="3"/>
      <c r="M521" s="928"/>
      <c r="O521" s="151"/>
    </row>
    <row r="522" ht="12.0" customHeight="1">
      <c r="B522" s="1"/>
      <c r="D522" s="161"/>
      <c r="E522" s="161"/>
      <c r="F522" s="161"/>
      <c r="G522" s="348"/>
      <c r="H522" s="348"/>
      <c r="I522" s="348"/>
      <c r="J522" s="348"/>
      <c r="K522" s="348"/>
      <c r="L522" s="3"/>
      <c r="M522" s="928"/>
      <c r="O522" s="151"/>
    </row>
    <row r="523" ht="12.0" customHeight="1">
      <c r="B523" s="1"/>
      <c r="D523" s="161"/>
      <c r="E523" s="161"/>
      <c r="F523" s="161"/>
      <c r="G523" s="348"/>
      <c r="H523" s="348"/>
      <c r="I523" s="348"/>
      <c r="J523" s="348"/>
      <c r="K523" s="348"/>
      <c r="L523" s="3"/>
      <c r="M523" s="928"/>
      <c r="O523" s="151"/>
    </row>
    <row r="524" ht="12.0" customHeight="1">
      <c r="B524" s="1"/>
      <c r="D524" s="161"/>
      <c r="E524" s="161"/>
      <c r="F524" s="161"/>
      <c r="G524" s="348"/>
      <c r="H524" s="348"/>
      <c r="I524" s="348"/>
      <c r="J524" s="348"/>
      <c r="K524" s="348"/>
      <c r="L524" s="3"/>
      <c r="M524" s="928"/>
      <c r="O524" s="151"/>
    </row>
    <row r="525" ht="12.0" customHeight="1">
      <c r="B525" s="1"/>
      <c r="D525" s="161"/>
      <c r="E525" s="161"/>
      <c r="F525" s="161"/>
      <c r="G525" s="348"/>
      <c r="H525" s="348"/>
      <c r="I525" s="348"/>
      <c r="J525" s="348"/>
      <c r="K525" s="348"/>
      <c r="L525" s="3"/>
      <c r="M525" s="928"/>
      <c r="O525" s="151"/>
    </row>
    <row r="526" ht="12.0" customHeight="1">
      <c r="B526" s="1"/>
      <c r="D526" s="161"/>
      <c r="E526" s="161"/>
      <c r="F526" s="161"/>
      <c r="G526" s="348"/>
      <c r="H526" s="348"/>
      <c r="I526" s="348"/>
      <c r="J526" s="348"/>
      <c r="K526" s="348"/>
      <c r="L526" s="3"/>
      <c r="M526" s="928"/>
      <c r="O526" s="151"/>
    </row>
    <row r="527" ht="12.0" customHeight="1">
      <c r="B527" s="1"/>
      <c r="D527" s="161"/>
      <c r="E527" s="161"/>
      <c r="F527" s="161"/>
      <c r="G527" s="348"/>
      <c r="H527" s="348"/>
      <c r="I527" s="348"/>
      <c r="J527" s="348"/>
      <c r="K527" s="348"/>
      <c r="L527" s="3"/>
      <c r="M527" s="928"/>
      <c r="O527" s="151"/>
    </row>
    <row r="528" ht="12.0" customHeight="1">
      <c r="B528" s="1"/>
      <c r="D528" s="161"/>
      <c r="E528" s="161"/>
      <c r="F528" s="161"/>
      <c r="G528" s="348"/>
      <c r="H528" s="348"/>
      <c r="I528" s="348"/>
      <c r="J528" s="348"/>
      <c r="K528" s="348"/>
      <c r="L528" s="3"/>
      <c r="M528" s="928"/>
      <c r="O528" s="151"/>
    </row>
    <row r="529" ht="12.0" customHeight="1">
      <c r="B529" s="1"/>
      <c r="D529" s="161"/>
      <c r="E529" s="161"/>
      <c r="F529" s="161"/>
      <c r="G529" s="348"/>
      <c r="H529" s="348"/>
      <c r="I529" s="348"/>
      <c r="J529" s="348"/>
      <c r="K529" s="348"/>
      <c r="L529" s="3"/>
      <c r="M529" s="928"/>
      <c r="O529" s="151"/>
    </row>
    <row r="530" ht="12.0" customHeight="1">
      <c r="B530" s="1"/>
      <c r="D530" s="161"/>
      <c r="E530" s="161"/>
      <c r="F530" s="161"/>
      <c r="G530" s="348"/>
      <c r="H530" s="348"/>
      <c r="I530" s="348"/>
      <c r="J530" s="348"/>
      <c r="K530" s="348"/>
      <c r="L530" s="3"/>
      <c r="M530" s="928"/>
      <c r="O530" s="151"/>
    </row>
    <row r="531" ht="12.0" customHeight="1">
      <c r="B531" s="1"/>
      <c r="D531" s="161"/>
      <c r="E531" s="161"/>
      <c r="F531" s="161"/>
      <c r="G531" s="348"/>
      <c r="H531" s="348"/>
      <c r="I531" s="348"/>
      <c r="J531" s="348"/>
      <c r="K531" s="348"/>
      <c r="L531" s="3"/>
      <c r="M531" s="928"/>
      <c r="O531" s="151"/>
    </row>
    <row r="532" ht="12.0" customHeight="1">
      <c r="B532" s="1"/>
      <c r="D532" s="161"/>
      <c r="E532" s="161"/>
      <c r="F532" s="161"/>
      <c r="G532" s="348"/>
      <c r="H532" s="348"/>
      <c r="I532" s="348"/>
      <c r="J532" s="348"/>
      <c r="K532" s="348"/>
      <c r="L532" s="3"/>
      <c r="M532" s="928"/>
      <c r="O532" s="151"/>
    </row>
    <row r="533" ht="12.0" customHeight="1">
      <c r="B533" s="1"/>
      <c r="D533" s="161"/>
      <c r="E533" s="161"/>
      <c r="F533" s="161"/>
      <c r="G533" s="348"/>
      <c r="H533" s="348"/>
      <c r="I533" s="348"/>
      <c r="J533" s="348"/>
      <c r="K533" s="348"/>
      <c r="L533" s="3"/>
      <c r="M533" s="928"/>
      <c r="O533" s="151"/>
    </row>
    <row r="534" ht="12.0" customHeight="1">
      <c r="B534" s="1"/>
      <c r="D534" s="161"/>
      <c r="E534" s="161"/>
      <c r="F534" s="161"/>
      <c r="G534" s="348"/>
      <c r="H534" s="348"/>
      <c r="I534" s="348"/>
      <c r="J534" s="348"/>
      <c r="K534" s="348"/>
      <c r="L534" s="3"/>
      <c r="M534" s="928"/>
      <c r="O534" s="151"/>
    </row>
    <row r="535" ht="12.0" customHeight="1">
      <c r="B535" s="1"/>
      <c r="D535" s="161"/>
      <c r="E535" s="161"/>
      <c r="F535" s="161"/>
      <c r="G535" s="348"/>
      <c r="H535" s="348"/>
      <c r="I535" s="348"/>
      <c r="J535" s="348"/>
      <c r="K535" s="348"/>
      <c r="L535" s="3"/>
      <c r="M535" s="928"/>
      <c r="O535" s="151"/>
    </row>
    <row r="536" ht="12.0" customHeight="1">
      <c r="B536" s="1"/>
      <c r="D536" s="161"/>
      <c r="E536" s="161"/>
      <c r="F536" s="161"/>
      <c r="G536" s="348"/>
      <c r="H536" s="348"/>
      <c r="I536" s="348"/>
      <c r="J536" s="348"/>
      <c r="K536" s="348"/>
      <c r="L536" s="3"/>
      <c r="M536" s="928"/>
      <c r="O536" s="151"/>
    </row>
    <row r="537" ht="12.0" customHeight="1">
      <c r="B537" s="1"/>
      <c r="D537" s="161"/>
      <c r="E537" s="161"/>
      <c r="F537" s="161"/>
      <c r="G537" s="348"/>
      <c r="H537" s="348"/>
      <c r="I537" s="348"/>
      <c r="J537" s="348"/>
      <c r="K537" s="348"/>
      <c r="L537" s="3"/>
      <c r="M537" s="928"/>
      <c r="O537" s="151"/>
    </row>
    <row r="538" ht="12.0" customHeight="1">
      <c r="B538" s="1"/>
      <c r="D538" s="161"/>
      <c r="E538" s="161"/>
      <c r="F538" s="161"/>
      <c r="G538" s="348"/>
      <c r="H538" s="348"/>
      <c r="I538" s="348"/>
      <c r="J538" s="348"/>
      <c r="K538" s="348"/>
      <c r="L538" s="3"/>
      <c r="M538" s="928"/>
      <c r="O538" s="151"/>
    </row>
    <row r="539" ht="12.0" customHeight="1">
      <c r="B539" s="1"/>
      <c r="D539" s="161"/>
      <c r="E539" s="161"/>
      <c r="F539" s="161"/>
      <c r="G539" s="348"/>
      <c r="H539" s="348"/>
      <c r="I539" s="348"/>
      <c r="J539" s="348"/>
      <c r="K539" s="348"/>
      <c r="L539" s="3"/>
      <c r="M539" s="928"/>
      <c r="O539" s="151"/>
    </row>
    <row r="540" ht="12.0" customHeight="1">
      <c r="B540" s="1"/>
      <c r="D540" s="161"/>
      <c r="E540" s="161"/>
      <c r="F540" s="161"/>
      <c r="G540" s="348"/>
      <c r="H540" s="348"/>
      <c r="I540" s="348"/>
      <c r="J540" s="348"/>
      <c r="K540" s="348"/>
      <c r="L540" s="3"/>
      <c r="M540" s="928"/>
      <c r="O540" s="151"/>
    </row>
    <row r="541" ht="12.0" customHeight="1">
      <c r="B541" s="1"/>
      <c r="D541" s="161"/>
      <c r="E541" s="161"/>
      <c r="F541" s="161"/>
      <c r="G541" s="348"/>
      <c r="H541" s="348"/>
      <c r="I541" s="348"/>
      <c r="J541" s="348"/>
      <c r="K541" s="348"/>
      <c r="L541" s="3"/>
      <c r="M541" s="928"/>
      <c r="O541" s="151"/>
    </row>
    <row r="542" ht="12.0" customHeight="1">
      <c r="B542" s="1"/>
      <c r="D542" s="161"/>
      <c r="E542" s="161"/>
      <c r="F542" s="161"/>
      <c r="G542" s="348"/>
      <c r="H542" s="348"/>
      <c r="I542" s="348"/>
      <c r="J542" s="348"/>
      <c r="K542" s="348"/>
      <c r="L542" s="3"/>
      <c r="M542" s="928"/>
      <c r="O542" s="151"/>
    </row>
    <row r="543" ht="12.0" customHeight="1">
      <c r="B543" s="1"/>
      <c r="D543" s="161"/>
      <c r="E543" s="161"/>
      <c r="F543" s="161"/>
      <c r="G543" s="348"/>
      <c r="H543" s="348"/>
      <c r="I543" s="348"/>
      <c r="J543" s="348"/>
      <c r="K543" s="348"/>
      <c r="L543" s="3"/>
      <c r="M543" s="928"/>
      <c r="O543" s="151"/>
    </row>
    <row r="544" ht="12.0" customHeight="1">
      <c r="B544" s="1"/>
      <c r="D544" s="161"/>
      <c r="E544" s="161"/>
      <c r="F544" s="161"/>
      <c r="G544" s="348"/>
      <c r="H544" s="348"/>
      <c r="I544" s="348"/>
      <c r="J544" s="348"/>
      <c r="K544" s="348"/>
      <c r="L544" s="3"/>
      <c r="M544" s="928"/>
      <c r="O544" s="151"/>
    </row>
    <row r="545" ht="12.0" customHeight="1">
      <c r="B545" s="1"/>
      <c r="D545" s="161"/>
      <c r="E545" s="161"/>
      <c r="F545" s="161"/>
      <c r="G545" s="348"/>
      <c r="H545" s="348"/>
      <c r="I545" s="348"/>
      <c r="J545" s="348"/>
      <c r="K545" s="348"/>
      <c r="L545" s="3"/>
      <c r="M545" s="928"/>
      <c r="O545" s="151"/>
    </row>
    <row r="546" ht="12.0" customHeight="1">
      <c r="B546" s="1"/>
      <c r="D546" s="161"/>
      <c r="E546" s="161"/>
      <c r="F546" s="161"/>
      <c r="G546" s="348"/>
      <c r="H546" s="348"/>
      <c r="I546" s="348"/>
      <c r="J546" s="348"/>
      <c r="K546" s="348"/>
      <c r="L546" s="3"/>
      <c r="M546" s="928"/>
      <c r="O546" s="151"/>
    </row>
    <row r="547" ht="12.0" customHeight="1">
      <c r="B547" s="1"/>
      <c r="D547" s="161"/>
      <c r="E547" s="161"/>
      <c r="F547" s="161"/>
      <c r="G547" s="348"/>
      <c r="H547" s="348"/>
      <c r="I547" s="348"/>
      <c r="J547" s="348"/>
      <c r="K547" s="348"/>
      <c r="L547" s="3"/>
      <c r="M547" s="928"/>
      <c r="O547" s="151"/>
    </row>
    <row r="548" ht="12.0" customHeight="1">
      <c r="B548" s="1"/>
      <c r="D548" s="161"/>
      <c r="E548" s="161"/>
      <c r="F548" s="161"/>
      <c r="G548" s="348"/>
      <c r="H548" s="348"/>
      <c r="I548" s="348"/>
      <c r="J548" s="348"/>
      <c r="K548" s="348"/>
      <c r="L548" s="3"/>
      <c r="M548" s="928"/>
      <c r="O548" s="151"/>
    </row>
    <row r="549" ht="12.0" customHeight="1">
      <c r="B549" s="1"/>
      <c r="D549" s="161"/>
      <c r="E549" s="161"/>
      <c r="F549" s="161"/>
      <c r="G549" s="348"/>
      <c r="H549" s="348"/>
      <c r="I549" s="348"/>
      <c r="J549" s="348"/>
      <c r="K549" s="348"/>
      <c r="L549" s="3"/>
      <c r="M549" s="928"/>
      <c r="O549" s="151"/>
    </row>
    <row r="550" ht="12.0" customHeight="1">
      <c r="B550" s="1"/>
      <c r="D550" s="161"/>
      <c r="E550" s="161"/>
      <c r="F550" s="161"/>
      <c r="G550" s="348"/>
      <c r="H550" s="348"/>
      <c r="I550" s="348"/>
      <c r="J550" s="348"/>
      <c r="K550" s="348"/>
      <c r="L550" s="3"/>
      <c r="M550" s="928"/>
      <c r="O550" s="151"/>
    </row>
    <row r="551" ht="12.0" customHeight="1">
      <c r="B551" s="1"/>
      <c r="D551" s="161"/>
      <c r="E551" s="161"/>
      <c r="F551" s="161"/>
      <c r="G551" s="348"/>
      <c r="H551" s="348"/>
      <c r="I551" s="348"/>
      <c r="J551" s="348"/>
      <c r="K551" s="348"/>
      <c r="L551" s="3"/>
      <c r="M551" s="928"/>
      <c r="O551" s="151"/>
    </row>
    <row r="552" ht="12.0" customHeight="1">
      <c r="B552" s="1"/>
      <c r="D552" s="161"/>
      <c r="E552" s="161"/>
      <c r="F552" s="161"/>
      <c r="G552" s="348"/>
      <c r="H552" s="348"/>
      <c r="I552" s="348"/>
      <c r="J552" s="348"/>
      <c r="K552" s="348"/>
      <c r="L552" s="3"/>
      <c r="M552" s="928"/>
      <c r="O552" s="151"/>
    </row>
    <row r="553" ht="12.0" customHeight="1">
      <c r="B553" s="1"/>
      <c r="D553" s="161"/>
      <c r="E553" s="161"/>
      <c r="F553" s="161"/>
      <c r="G553" s="348"/>
      <c r="H553" s="348"/>
      <c r="I553" s="348"/>
      <c r="J553" s="348"/>
      <c r="K553" s="348"/>
      <c r="L553" s="3"/>
      <c r="M553" s="928"/>
      <c r="O553" s="151"/>
    </row>
    <row r="554" ht="12.0" customHeight="1">
      <c r="B554" s="1"/>
      <c r="D554" s="161"/>
      <c r="E554" s="161"/>
      <c r="F554" s="161"/>
      <c r="G554" s="348"/>
      <c r="H554" s="348"/>
      <c r="I554" s="348"/>
      <c r="J554" s="348"/>
      <c r="K554" s="348"/>
      <c r="L554" s="3"/>
      <c r="M554" s="928"/>
      <c r="O554" s="151"/>
    </row>
    <row r="555" ht="12.0" customHeight="1">
      <c r="B555" s="1"/>
      <c r="D555" s="161"/>
      <c r="E555" s="161"/>
      <c r="F555" s="161"/>
      <c r="G555" s="348"/>
      <c r="H555" s="348"/>
      <c r="I555" s="348"/>
      <c r="J555" s="348"/>
      <c r="K555" s="348"/>
      <c r="L555" s="3"/>
      <c r="M555" s="928"/>
      <c r="O555" s="151"/>
    </row>
    <row r="556" ht="12.0" customHeight="1">
      <c r="B556" s="1"/>
      <c r="D556" s="161"/>
      <c r="E556" s="161"/>
      <c r="F556" s="161"/>
      <c r="G556" s="348"/>
      <c r="H556" s="348"/>
      <c r="I556" s="348"/>
      <c r="J556" s="348"/>
      <c r="K556" s="348"/>
      <c r="L556" s="3"/>
      <c r="M556" s="928"/>
      <c r="O556" s="151"/>
    </row>
    <row r="557" ht="12.0" customHeight="1">
      <c r="B557" s="1"/>
      <c r="D557" s="161"/>
      <c r="E557" s="161"/>
      <c r="F557" s="161"/>
      <c r="G557" s="348"/>
      <c r="H557" s="348"/>
      <c r="I557" s="348"/>
      <c r="J557" s="348"/>
      <c r="K557" s="348"/>
      <c r="L557" s="3"/>
      <c r="M557" s="928"/>
      <c r="O557" s="151"/>
    </row>
    <row r="558" ht="12.0" customHeight="1">
      <c r="B558" s="1"/>
      <c r="D558" s="161"/>
      <c r="E558" s="161"/>
      <c r="F558" s="161"/>
      <c r="G558" s="348"/>
      <c r="H558" s="348"/>
      <c r="I558" s="348"/>
      <c r="J558" s="348"/>
      <c r="K558" s="348"/>
      <c r="L558" s="3"/>
      <c r="M558" s="928"/>
      <c r="O558" s="151"/>
    </row>
    <row r="559" ht="12.0" customHeight="1">
      <c r="B559" s="1"/>
      <c r="D559" s="161"/>
      <c r="E559" s="161"/>
      <c r="F559" s="161"/>
      <c r="G559" s="348"/>
      <c r="H559" s="348"/>
      <c r="I559" s="348"/>
      <c r="J559" s="348"/>
      <c r="K559" s="348"/>
      <c r="L559" s="3"/>
      <c r="M559" s="928"/>
      <c r="O559" s="151"/>
    </row>
    <row r="560" ht="12.0" customHeight="1">
      <c r="B560" s="1"/>
      <c r="D560" s="161"/>
      <c r="E560" s="161"/>
      <c r="F560" s="161"/>
      <c r="G560" s="348"/>
      <c r="H560" s="348"/>
      <c r="I560" s="348"/>
      <c r="J560" s="348"/>
      <c r="K560" s="348"/>
      <c r="L560" s="3"/>
      <c r="M560" s="928"/>
      <c r="O560" s="151"/>
    </row>
    <row r="561" ht="12.0" customHeight="1">
      <c r="B561" s="1"/>
      <c r="D561" s="161"/>
      <c r="E561" s="161"/>
      <c r="F561" s="161"/>
      <c r="G561" s="348"/>
      <c r="H561" s="348"/>
      <c r="I561" s="348"/>
      <c r="J561" s="348"/>
      <c r="K561" s="348"/>
      <c r="L561" s="3"/>
      <c r="M561" s="928"/>
      <c r="O561" s="151"/>
    </row>
    <row r="562" ht="12.0" customHeight="1">
      <c r="B562" s="1"/>
      <c r="D562" s="161"/>
      <c r="E562" s="161"/>
      <c r="F562" s="161"/>
      <c r="G562" s="348"/>
      <c r="H562" s="348"/>
      <c r="I562" s="348"/>
      <c r="J562" s="348"/>
      <c r="K562" s="348"/>
      <c r="L562" s="3"/>
      <c r="M562" s="928"/>
      <c r="O562" s="151"/>
    </row>
    <row r="563" ht="12.0" customHeight="1">
      <c r="B563" s="1"/>
      <c r="D563" s="161"/>
      <c r="E563" s="161"/>
      <c r="F563" s="161"/>
      <c r="G563" s="348"/>
      <c r="H563" s="348"/>
      <c r="I563" s="348"/>
      <c r="J563" s="348"/>
      <c r="K563" s="348"/>
      <c r="L563" s="3"/>
      <c r="M563" s="928"/>
      <c r="O563" s="151"/>
    </row>
    <row r="564" ht="12.0" customHeight="1">
      <c r="B564" s="1"/>
      <c r="D564" s="161"/>
      <c r="E564" s="161"/>
      <c r="F564" s="161"/>
      <c r="G564" s="348"/>
      <c r="H564" s="348"/>
      <c r="I564" s="348"/>
      <c r="J564" s="348"/>
      <c r="K564" s="348"/>
      <c r="L564" s="3"/>
      <c r="M564" s="928"/>
      <c r="O564" s="151"/>
    </row>
    <row r="565" ht="12.0" customHeight="1">
      <c r="B565" s="1"/>
      <c r="D565" s="161"/>
      <c r="E565" s="161"/>
      <c r="F565" s="161"/>
      <c r="G565" s="348"/>
      <c r="H565" s="348"/>
      <c r="I565" s="348"/>
      <c r="J565" s="348"/>
      <c r="K565" s="348"/>
      <c r="L565" s="3"/>
      <c r="M565" s="928"/>
      <c r="O565" s="151"/>
    </row>
    <row r="566" ht="12.0" customHeight="1">
      <c r="B566" s="1"/>
      <c r="D566" s="161"/>
      <c r="E566" s="161"/>
      <c r="F566" s="161"/>
      <c r="G566" s="348"/>
      <c r="H566" s="348"/>
      <c r="I566" s="348"/>
      <c r="J566" s="348"/>
      <c r="K566" s="348"/>
      <c r="L566" s="3"/>
      <c r="M566" s="928"/>
      <c r="O566" s="151"/>
    </row>
    <row r="567" ht="12.0" customHeight="1">
      <c r="B567" s="1"/>
      <c r="D567" s="161"/>
      <c r="E567" s="161"/>
      <c r="F567" s="161"/>
      <c r="G567" s="348"/>
      <c r="H567" s="348"/>
      <c r="I567" s="348"/>
      <c r="J567" s="348"/>
      <c r="K567" s="348"/>
      <c r="L567" s="3"/>
      <c r="M567" s="928"/>
      <c r="O567" s="151"/>
    </row>
    <row r="568" ht="12.0" customHeight="1">
      <c r="B568" s="1"/>
      <c r="D568" s="161"/>
      <c r="E568" s="161"/>
      <c r="F568" s="161"/>
      <c r="G568" s="348"/>
      <c r="H568" s="348"/>
      <c r="I568" s="348"/>
      <c r="J568" s="348"/>
      <c r="K568" s="348"/>
      <c r="L568" s="3"/>
      <c r="M568" s="928"/>
      <c r="O568" s="151"/>
    </row>
    <row r="569" ht="12.0" customHeight="1">
      <c r="B569" s="1"/>
      <c r="D569" s="161"/>
      <c r="E569" s="161"/>
      <c r="F569" s="161"/>
      <c r="G569" s="348"/>
      <c r="H569" s="348"/>
      <c r="I569" s="348"/>
      <c r="J569" s="348"/>
      <c r="K569" s="348"/>
      <c r="L569" s="3"/>
      <c r="M569" s="928"/>
      <c r="O569" s="151"/>
    </row>
    <row r="570" ht="12.0" customHeight="1">
      <c r="B570" s="1"/>
      <c r="D570" s="161"/>
      <c r="E570" s="161"/>
      <c r="F570" s="161"/>
      <c r="G570" s="348"/>
      <c r="H570" s="348"/>
      <c r="I570" s="348"/>
      <c r="J570" s="348"/>
      <c r="K570" s="348"/>
      <c r="L570" s="3"/>
      <c r="M570" s="928"/>
      <c r="O570" s="151"/>
    </row>
    <row r="571" ht="12.0" customHeight="1">
      <c r="B571" s="1"/>
      <c r="D571" s="161"/>
      <c r="E571" s="161"/>
      <c r="F571" s="161"/>
      <c r="G571" s="348"/>
      <c r="H571" s="348"/>
      <c r="I571" s="348"/>
      <c r="J571" s="348"/>
      <c r="K571" s="348"/>
      <c r="L571" s="3"/>
      <c r="M571" s="928"/>
      <c r="O571" s="151"/>
    </row>
    <row r="572" ht="12.0" customHeight="1">
      <c r="B572" s="1"/>
      <c r="D572" s="161"/>
      <c r="E572" s="161"/>
      <c r="F572" s="161"/>
      <c r="G572" s="348"/>
      <c r="H572" s="348"/>
      <c r="I572" s="348"/>
      <c r="J572" s="348"/>
      <c r="K572" s="348"/>
      <c r="L572" s="3"/>
      <c r="M572" s="928"/>
      <c r="O572" s="151"/>
    </row>
    <row r="573" ht="12.0" customHeight="1">
      <c r="B573" s="1"/>
      <c r="D573" s="161"/>
      <c r="E573" s="161"/>
      <c r="F573" s="161"/>
      <c r="G573" s="348"/>
      <c r="H573" s="348"/>
      <c r="I573" s="348"/>
      <c r="J573" s="348"/>
      <c r="K573" s="348"/>
      <c r="L573" s="3"/>
      <c r="M573" s="928"/>
      <c r="O573" s="151"/>
    </row>
    <row r="574" ht="12.0" customHeight="1">
      <c r="B574" s="1"/>
      <c r="D574" s="161"/>
      <c r="E574" s="161"/>
      <c r="F574" s="161"/>
      <c r="G574" s="348"/>
      <c r="H574" s="348"/>
      <c r="I574" s="348"/>
      <c r="J574" s="348"/>
      <c r="K574" s="348"/>
      <c r="L574" s="3"/>
      <c r="M574" s="928"/>
      <c r="O574" s="151"/>
    </row>
    <row r="575" ht="12.0" customHeight="1">
      <c r="B575" s="1"/>
      <c r="D575" s="161"/>
      <c r="E575" s="161"/>
      <c r="F575" s="161"/>
      <c r="G575" s="348"/>
      <c r="H575" s="348"/>
      <c r="I575" s="348"/>
      <c r="J575" s="348"/>
      <c r="K575" s="348"/>
      <c r="L575" s="3"/>
      <c r="M575" s="928"/>
      <c r="O575" s="151"/>
    </row>
    <row r="576" ht="12.0" customHeight="1">
      <c r="B576" s="1"/>
      <c r="D576" s="161"/>
      <c r="E576" s="161"/>
      <c r="F576" s="161"/>
      <c r="G576" s="348"/>
      <c r="H576" s="348"/>
      <c r="I576" s="348"/>
      <c r="J576" s="348"/>
      <c r="K576" s="348"/>
      <c r="L576" s="3"/>
      <c r="M576" s="928"/>
      <c r="O576" s="151"/>
    </row>
    <row r="577" ht="12.0" customHeight="1">
      <c r="B577" s="1"/>
      <c r="D577" s="161"/>
      <c r="E577" s="161"/>
      <c r="F577" s="161"/>
      <c r="G577" s="348"/>
      <c r="H577" s="348"/>
      <c r="I577" s="348"/>
      <c r="J577" s="348"/>
      <c r="K577" s="348"/>
      <c r="L577" s="3"/>
      <c r="M577" s="928"/>
      <c r="O577" s="151"/>
    </row>
    <row r="578" ht="12.0" customHeight="1">
      <c r="B578" s="1"/>
      <c r="D578" s="161"/>
      <c r="E578" s="161"/>
      <c r="F578" s="161"/>
      <c r="G578" s="348"/>
      <c r="H578" s="348"/>
      <c r="I578" s="348"/>
      <c r="J578" s="348"/>
      <c r="K578" s="348"/>
      <c r="L578" s="3"/>
      <c r="M578" s="928"/>
      <c r="O578" s="151"/>
    </row>
    <row r="579" ht="12.0" customHeight="1">
      <c r="B579" s="1"/>
      <c r="D579" s="161"/>
      <c r="E579" s="161"/>
      <c r="F579" s="161"/>
      <c r="G579" s="348"/>
      <c r="H579" s="348"/>
      <c r="I579" s="348"/>
      <c r="J579" s="348"/>
      <c r="K579" s="348"/>
      <c r="L579" s="3"/>
      <c r="M579" s="928"/>
      <c r="O579" s="151"/>
    </row>
    <row r="580" ht="12.0" customHeight="1">
      <c r="B580" s="1"/>
      <c r="D580" s="161"/>
      <c r="E580" s="161"/>
      <c r="F580" s="161"/>
      <c r="G580" s="348"/>
      <c r="H580" s="348"/>
      <c r="I580" s="348"/>
      <c r="J580" s="348"/>
      <c r="K580" s="348"/>
      <c r="L580" s="3"/>
      <c r="M580" s="928"/>
      <c r="O580" s="151"/>
    </row>
    <row r="581" ht="12.0" customHeight="1">
      <c r="B581" s="1"/>
      <c r="D581" s="161"/>
      <c r="E581" s="161"/>
      <c r="F581" s="161"/>
      <c r="G581" s="348"/>
      <c r="H581" s="348"/>
      <c r="I581" s="348"/>
      <c r="J581" s="348"/>
      <c r="K581" s="348"/>
      <c r="L581" s="3"/>
      <c r="M581" s="928"/>
      <c r="O581" s="151"/>
    </row>
    <row r="582" ht="12.0" customHeight="1">
      <c r="B582" s="1"/>
      <c r="D582" s="161"/>
      <c r="E582" s="161"/>
      <c r="F582" s="161"/>
      <c r="G582" s="348"/>
      <c r="H582" s="348"/>
      <c r="I582" s="348"/>
      <c r="J582" s="348"/>
      <c r="K582" s="348"/>
      <c r="L582" s="3"/>
      <c r="M582" s="928"/>
      <c r="O582" s="151"/>
    </row>
    <row r="583" ht="12.0" customHeight="1">
      <c r="B583" s="1"/>
      <c r="D583" s="161"/>
      <c r="E583" s="161"/>
      <c r="F583" s="161"/>
      <c r="G583" s="348"/>
      <c r="H583" s="348"/>
      <c r="I583" s="348"/>
      <c r="J583" s="348"/>
      <c r="K583" s="348"/>
      <c r="L583" s="3"/>
      <c r="M583" s="928"/>
      <c r="O583" s="151"/>
    </row>
    <row r="584" ht="12.0" customHeight="1">
      <c r="B584" s="1"/>
      <c r="D584" s="161"/>
      <c r="E584" s="161"/>
      <c r="F584" s="161"/>
      <c r="G584" s="348"/>
      <c r="H584" s="348"/>
      <c r="I584" s="348"/>
      <c r="J584" s="348"/>
      <c r="K584" s="348"/>
      <c r="L584" s="3"/>
      <c r="M584" s="928"/>
      <c r="O584" s="151"/>
    </row>
    <row r="585" ht="12.0" customHeight="1">
      <c r="B585" s="1"/>
      <c r="D585" s="161"/>
      <c r="E585" s="161"/>
      <c r="F585" s="161"/>
      <c r="G585" s="348"/>
      <c r="H585" s="348"/>
      <c r="I585" s="348"/>
      <c r="J585" s="348"/>
      <c r="K585" s="348"/>
      <c r="L585" s="3"/>
      <c r="M585" s="928"/>
      <c r="O585" s="151"/>
    </row>
    <row r="586" ht="12.0" customHeight="1">
      <c r="B586" s="1"/>
      <c r="D586" s="161"/>
      <c r="E586" s="161"/>
      <c r="F586" s="161"/>
      <c r="G586" s="348"/>
      <c r="H586" s="348"/>
      <c r="I586" s="348"/>
      <c r="J586" s="348"/>
      <c r="K586" s="348"/>
      <c r="L586" s="3"/>
      <c r="M586" s="928"/>
      <c r="O586" s="151"/>
    </row>
    <row r="587" ht="12.0" customHeight="1">
      <c r="B587" s="1"/>
      <c r="D587" s="161"/>
      <c r="E587" s="161"/>
      <c r="F587" s="161"/>
      <c r="G587" s="348"/>
      <c r="H587" s="348"/>
      <c r="I587" s="348"/>
      <c r="J587" s="348"/>
      <c r="K587" s="348"/>
      <c r="L587" s="3"/>
      <c r="M587" s="928"/>
      <c r="O587" s="151"/>
    </row>
    <row r="588" ht="12.0" customHeight="1">
      <c r="B588" s="1"/>
      <c r="D588" s="161"/>
      <c r="E588" s="161"/>
      <c r="F588" s="161"/>
      <c r="G588" s="348"/>
      <c r="H588" s="348"/>
      <c r="I588" s="348"/>
      <c r="J588" s="348"/>
      <c r="K588" s="348"/>
      <c r="L588" s="3"/>
      <c r="M588" s="928"/>
      <c r="O588" s="151"/>
    </row>
    <row r="589" ht="12.0" customHeight="1">
      <c r="B589" s="1"/>
      <c r="D589" s="161"/>
      <c r="E589" s="161"/>
      <c r="F589" s="161"/>
      <c r="G589" s="348"/>
      <c r="H589" s="348"/>
      <c r="I589" s="348"/>
      <c r="J589" s="348"/>
      <c r="K589" s="348"/>
      <c r="L589" s="3"/>
      <c r="M589" s="928"/>
      <c r="O589" s="151"/>
    </row>
    <row r="590" ht="12.0" customHeight="1">
      <c r="B590" s="1"/>
      <c r="D590" s="161"/>
      <c r="E590" s="161"/>
      <c r="F590" s="161"/>
      <c r="G590" s="348"/>
      <c r="H590" s="348"/>
      <c r="I590" s="348"/>
      <c r="J590" s="348"/>
      <c r="K590" s="348"/>
      <c r="L590" s="3"/>
      <c r="M590" s="928"/>
      <c r="O590" s="151"/>
    </row>
    <row r="591" ht="12.0" customHeight="1">
      <c r="B591" s="1"/>
      <c r="D591" s="161"/>
      <c r="E591" s="161"/>
      <c r="F591" s="161"/>
      <c r="G591" s="348"/>
      <c r="H591" s="348"/>
      <c r="I591" s="348"/>
      <c r="J591" s="348"/>
      <c r="K591" s="348"/>
      <c r="L591" s="3"/>
      <c r="M591" s="928"/>
      <c r="O591" s="151"/>
    </row>
    <row r="592" ht="12.0" customHeight="1">
      <c r="B592" s="1"/>
      <c r="D592" s="161"/>
      <c r="E592" s="161"/>
      <c r="F592" s="161"/>
      <c r="G592" s="348"/>
      <c r="H592" s="348"/>
      <c r="I592" s="348"/>
      <c r="J592" s="348"/>
      <c r="K592" s="348"/>
      <c r="L592" s="3"/>
      <c r="M592" s="928"/>
      <c r="O592" s="151"/>
    </row>
    <row r="593" ht="12.0" customHeight="1">
      <c r="B593" s="1"/>
      <c r="D593" s="161"/>
      <c r="E593" s="161"/>
      <c r="F593" s="161"/>
      <c r="G593" s="348"/>
      <c r="H593" s="348"/>
      <c r="I593" s="348"/>
      <c r="J593" s="348"/>
      <c r="K593" s="348"/>
      <c r="L593" s="3"/>
      <c r="M593" s="928"/>
      <c r="O593" s="151"/>
    </row>
    <row r="594" ht="12.0" customHeight="1">
      <c r="B594" s="1"/>
      <c r="D594" s="161"/>
      <c r="E594" s="161"/>
      <c r="F594" s="161"/>
      <c r="G594" s="348"/>
      <c r="H594" s="348"/>
      <c r="I594" s="348"/>
      <c r="J594" s="348"/>
      <c r="K594" s="348"/>
      <c r="L594" s="3"/>
      <c r="M594" s="928"/>
      <c r="O594" s="151"/>
    </row>
    <row r="595" ht="12.0" customHeight="1">
      <c r="B595" s="1"/>
      <c r="D595" s="161"/>
      <c r="E595" s="161"/>
      <c r="F595" s="161"/>
      <c r="G595" s="348"/>
      <c r="H595" s="348"/>
      <c r="I595" s="348"/>
      <c r="J595" s="348"/>
      <c r="K595" s="348"/>
      <c r="L595" s="3"/>
      <c r="M595" s="928"/>
      <c r="O595" s="151"/>
    </row>
    <row r="596" ht="12.0" customHeight="1">
      <c r="B596" s="1"/>
      <c r="D596" s="161"/>
      <c r="E596" s="161"/>
      <c r="F596" s="161"/>
      <c r="G596" s="348"/>
      <c r="H596" s="348"/>
      <c r="I596" s="348"/>
      <c r="J596" s="348"/>
      <c r="K596" s="348"/>
      <c r="L596" s="3"/>
      <c r="M596" s="928"/>
      <c r="O596" s="151"/>
    </row>
    <row r="597" ht="12.0" customHeight="1">
      <c r="B597" s="1"/>
      <c r="D597" s="161"/>
      <c r="E597" s="161"/>
      <c r="F597" s="161"/>
      <c r="G597" s="348"/>
      <c r="H597" s="348"/>
      <c r="I597" s="348"/>
      <c r="J597" s="348"/>
      <c r="K597" s="348"/>
      <c r="L597" s="3"/>
      <c r="M597" s="928"/>
      <c r="O597" s="151"/>
    </row>
    <row r="598" ht="12.0" customHeight="1">
      <c r="B598" s="1"/>
      <c r="D598" s="161"/>
      <c r="E598" s="161"/>
      <c r="F598" s="161"/>
      <c r="G598" s="348"/>
      <c r="H598" s="348"/>
      <c r="I598" s="348"/>
      <c r="J598" s="348"/>
      <c r="K598" s="348"/>
      <c r="L598" s="3"/>
      <c r="M598" s="928"/>
      <c r="O598" s="151"/>
    </row>
    <row r="599" ht="12.0" customHeight="1">
      <c r="B599" s="1"/>
      <c r="D599" s="161"/>
      <c r="E599" s="161"/>
      <c r="F599" s="161"/>
      <c r="G599" s="348"/>
      <c r="H599" s="348"/>
      <c r="I599" s="348"/>
      <c r="J599" s="348"/>
      <c r="K599" s="348"/>
      <c r="L599" s="3"/>
      <c r="M599" s="928"/>
      <c r="O599" s="151"/>
    </row>
    <row r="600" ht="12.0" customHeight="1">
      <c r="B600" s="1"/>
      <c r="D600" s="161"/>
      <c r="E600" s="161"/>
      <c r="F600" s="161"/>
      <c r="G600" s="348"/>
      <c r="H600" s="348"/>
      <c r="I600" s="348"/>
      <c r="J600" s="348"/>
      <c r="K600" s="348"/>
      <c r="L600" s="3"/>
      <c r="M600" s="928"/>
      <c r="O600" s="151"/>
    </row>
    <row r="601" ht="12.0" customHeight="1">
      <c r="B601" s="1"/>
      <c r="D601" s="161"/>
      <c r="E601" s="161"/>
      <c r="F601" s="161"/>
      <c r="G601" s="348"/>
      <c r="H601" s="348"/>
      <c r="I601" s="348"/>
      <c r="J601" s="348"/>
      <c r="K601" s="348"/>
      <c r="L601" s="3"/>
      <c r="M601" s="928"/>
      <c r="O601" s="151"/>
    </row>
    <row r="602" ht="12.0" customHeight="1">
      <c r="B602" s="1"/>
      <c r="D602" s="161"/>
      <c r="E602" s="161"/>
      <c r="F602" s="161"/>
      <c r="G602" s="348"/>
      <c r="H602" s="348"/>
      <c r="I602" s="348"/>
      <c r="J602" s="348"/>
      <c r="K602" s="348"/>
      <c r="L602" s="3"/>
      <c r="M602" s="928"/>
      <c r="O602" s="151"/>
    </row>
    <row r="603" ht="12.0" customHeight="1">
      <c r="B603" s="1"/>
      <c r="D603" s="161"/>
      <c r="E603" s="161"/>
      <c r="F603" s="161"/>
      <c r="G603" s="348"/>
      <c r="H603" s="348"/>
      <c r="I603" s="348"/>
      <c r="J603" s="348"/>
      <c r="K603" s="348"/>
      <c r="L603" s="3"/>
      <c r="M603" s="928"/>
      <c r="O603" s="151"/>
    </row>
    <row r="604" ht="12.0" customHeight="1">
      <c r="B604" s="1"/>
      <c r="D604" s="161"/>
      <c r="E604" s="161"/>
      <c r="F604" s="161"/>
      <c r="G604" s="348"/>
      <c r="H604" s="348"/>
      <c r="I604" s="348"/>
      <c r="J604" s="348"/>
      <c r="K604" s="348"/>
      <c r="L604" s="3"/>
      <c r="M604" s="928"/>
      <c r="O604" s="151"/>
    </row>
    <row r="605" ht="12.0" customHeight="1">
      <c r="B605" s="1"/>
      <c r="D605" s="161"/>
      <c r="E605" s="161"/>
      <c r="F605" s="161"/>
      <c r="G605" s="348"/>
      <c r="H605" s="348"/>
      <c r="I605" s="348"/>
      <c r="J605" s="348"/>
      <c r="K605" s="348"/>
      <c r="L605" s="3"/>
      <c r="M605" s="928"/>
      <c r="O605" s="151"/>
    </row>
    <row r="606" ht="12.0" customHeight="1">
      <c r="B606" s="1"/>
      <c r="D606" s="161"/>
      <c r="E606" s="161"/>
      <c r="F606" s="161"/>
      <c r="G606" s="348"/>
      <c r="H606" s="348"/>
      <c r="I606" s="348"/>
      <c r="J606" s="348"/>
      <c r="K606" s="348"/>
      <c r="L606" s="3"/>
      <c r="M606" s="928"/>
      <c r="O606" s="151"/>
    </row>
    <row r="607" ht="12.0" customHeight="1">
      <c r="B607" s="1"/>
      <c r="D607" s="161"/>
      <c r="E607" s="161"/>
      <c r="F607" s="161"/>
      <c r="G607" s="348"/>
      <c r="H607" s="348"/>
      <c r="I607" s="348"/>
      <c r="J607" s="348"/>
      <c r="K607" s="348"/>
      <c r="L607" s="3"/>
      <c r="M607" s="928"/>
      <c r="O607" s="151"/>
    </row>
    <row r="608" ht="12.0" customHeight="1">
      <c r="B608" s="1"/>
      <c r="D608" s="161"/>
      <c r="E608" s="161"/>
      <c r="F608" s="161"/>
      <c r="G608" s="348"/>
      <c r="H608" s="348"/>
      <c r="I608" s="348"/>
      <c r="J608" s="348"/>
      <c r="K608" s="348"/>
      <c r="L608" s="3"/>
      <c r="M608" s="928"/>
      <c r="O608" s="151"/>
    </row>
    <row r="609" ht="12.0" customHeight="1">
      <c r="B609" s="1"/>
      <c r="D609" s="161"/>
      <c r="E609" s="161"/>
      <c r="F609" s="161"/>
      <c r="G609" s="348"/>
      <c r="H609" s="348"/>
      <c r="I609" s="348"/>
      <c r="J609" s="348"/>
      <c r="K609" s="348"/>
      <c r="L609" s="3"/>
      <c r="M609" s="928"/>
      <c r="O609" s="151"/>
    </row>
    <row r="610" ht="12.0" customHeight="1">
      <c r="B610" s="1"/>
      <c r="D610" s="161"/>
      <c r="E610" s="161"/>
      <c r="F610" s="161"/>
      <c r="G610" s="348"/>
      <c r="H610" s="348"/>
      <c r="I610" s="348"/>
      <c r="J610" s="348"/>
      <c r="K610" s="348"/>
      <c r="L610" s="3"/>
      <c r="M610" s="928"/>
      <c r="O610" s="151"/>
    </row>
    <row r="611" ht="12.0" customHeight="1">
      <c r="B611" s="1"/>
      <c r="D611" s="161"/>
      <c r="E611" s="161"/>
      <c r="F611" s="161"/>
      <c r="G611" s="348"/>
      <c r="H611" s="348"/>
      <c r="I611" s="348"/>
      <c r="J611" s="348"/>
      <c r="K611" s="348"/>
      <c r="L611" s="3"/>
      <c r="M611" s="928"/>
      <c r="O611" s="151"/>
    </row>
    <row r="612" ht="12.0" customHeight="1">
      <c r="B612" s="1"/>
      <c r="D612" s="161"/>
      <c r="E612" s="161"/>
      <c r="F612" s="161"/>
      <c r="G612" s="348"/>
      <c r="H612" s="348"/>
      <c r="I612" s="348"/>
      <c r="J612" s="348"/>
      <c r="K612" s="348"/>
      <c r="L612" s="3"/>
      <c r="M612" s="928"/>
      <c r="O612" s="151"/>
    </row>
    <row r="613" ht="12.0" customHeight="1">
      <c r="B613" s="1"/>
      <c r="D613" s="161"/>
      <c r="E613" s="161"/>
      <c r="F613" s="161"/>
      <c r="G613" s="348"/>
      <c r="H613" s="348"/>
      <c r="I613" s="348"/>
      <c r="J613" s="348"/>
      <c r="K613" s="348"/>
      <c r="L613" s="3"/>
      <c r="M613" s="928"/>
      <c r="O613" s="151"/>
    </row>
    <row r="614" ht="12.0" customHeight="1">
      <c r="B614" s="1"/>
      <c r="D614" s="161"/>
      <c r="E614" s="161"/>
      <c r="F614" s="161"/>
      <c r="G614" s="348"/>
      <c r="H614" s="348"/>
      <c r="I614" s="348"/>
      <c r="J614" s="348"/>
      <c r="K614" s="348"/>
      <c r="L614" s="3"/>
      <c r="M614" s="928"/>
      <c r="O614" s="151"/>
    </row>
    <row r="615" ht="12.0" customHeight="1">
      <c r="B615" s="1"/>
      <c r="D615" s="161"/>
      <c r="E615" s="161"/>
      <c r="F615" s="161"/>
      <c r="G615" s="348"/>
      <c r="H615" s="348"/>
      <c r="I615" s="348"/>
      <c r="J615" s="348"/>
      <c r="K615" s="348"/>
      <c r="L615" s="3"/>
      <c r="M615" s="928"/>
      <c r="O615" s="151"/>
    </row>
    <row r="616" ht="12.0" customHeight="1">
      <c r="B616" s="1"/>
      <c r="D616" s="161"/>
      <c r="E616" s="161"/>
      <c r="F616" s="161"/>
      <c r="G616" s="348"/>
      <c r="H616" s="348"/>
      <c r="I616" s="348"/>
      <c r="J616" s="348"/>
      <c r="K616" s="348"/>
      <c r="L616" s="3"/>
      <c r="M616" s="928"/>
      <c r="O616" s="151"/>
    </row>
    <row r="617" ht="12.0" customHeight="1">
      <c r="B617" s="1"/>
      <c r="D617" s="161"/>
      <c r="E617" s="161"/>
      <c r="F617" s="161"/>
      <c r="G617" s="348"/>
      <c r="H617" s="348"/>
      <c r="I617" s="348"/>
      <c r="J617" s="348"/>
      <c r="K617" s="348"/>
      <c r="L617" s="3"/>
      <c r="M617" s="928"/>
      <c r="O617" s="151"/>
    </row>
    <row r="618" ht="12.0" customHeight="1">
      <c r="B618" s="1"/>
      <c r="D618" s="161"/>
      <c r="E618" s="161"/>
      <c r="F618" s="161"/>
      <c r="G618" s="348"/>
      <c r="H618" s="348"/>
      <c r="I618" s="348"/>
      <c r="J618" s="348"/>
      <c r="K618" s="348"/>
      <c r="L618" s="3"/>
      <c r="M618" s="928"/>
      <c r="O618" s="151"/>
    </row>
    <row r="619" ht="12.0" customHeight="1">
      <c r="B619" s="1"/>
      <c r="D619" s="161"/>
      <c r="E619" s="161"/>
      <c r="F619" s="161"/>
      <c r="G619" s="348"/>
      <c r="H619" s="348"/>
      <c r="I619" s="348"/>
      <c r="J619" s="348"/>
      <c r="K619" s="348"/>
      <c r="L619" s="3"/>
      <c r="M619" s="928"/>
      <c r="O619" s="151"/>
    </row>
    <row r="620" ht="12.0" customHeight="1">
      <c r="B620" s="1"/>
      <c r="D620" s="161"/>
      <c r="E620" s="161"/>
      <c r="F620" s="161"/>
      <c r="G620" s="348"/>
      <c r="H620" s="348"/>
      <c r="I620" s="348"/>
      <c r="J620" s="348"/>
      <c r="K620" s="348"/>
      <c r="L620" s="3"/>
      <c r="M620" s="928"/>
      <c r="O620" s="151"/>
    </row>
    <row r="621" ht="12.0" customHeight="1">
      <c r="B621" s="1"/>
      <c r="D621" s="161"/>
      <c r="E621" s="161"/>
      <c r="F621" s="161"/>
      <c r="G621" s="348"/>
      <c r="H621" s="348"/>
      <c r="I621" s="348"/>
      <c r="J621" s="348"/>
      <c r="K621" s="348"/>
      <c r="L621" s="3"/>
      <c r="M621" s="928"/>
      <c r="O621" s="151"/>
    </row>
    <row r="622" ht="12.0" customHeight="1">
      <c r="B622" s="1"/>
      <c r="D622" s="161"/>
      <c r="E622" s="161"/>
      <c r="F622" s="161"/>
      <c r="G622" s="348"/>
      <c r="H622" s="348"/>
      <c r="I622" s="348"/>
      <c r="J622" s="348"/>
      <c r="K622" s="348"/>
      <c r="L622" s="3"/>
      <c r="M622" s="928"/>
      <c r="O622" s="151"/>
    </row>
    <row r="623" ht="12.0" customHeight="1">
      <c r="B623" s="1"/>
      <c r="D623" s="161"/>
      <c r="E623" s="161"/>
      <c r="F623" s="161"/>
      <c r="G623" s="348"/>
      <c r="H623" s="348"/>
      <c r="I623" s="348"/>
      <c r="J623" s="348"/>
      <c r="K623" s="348"/>
      <c r="L623" s="3"/>
      <c r="M623" s="928"/>
      <c r="O623" s="151"/>
    </row>
    <row r="624" ht="12.0" customHeight="1">
      <c r="B624" s="1"/>
      <c r="D624" s="161"/>
      <c r="E624" s="161"/>
      <c r="F624" s="161"/>
      <c r="G624" s="348"/>
      <c r="H624" s="348"/>
      <c r="I624" s="348"/>
      <c r="J624" s="348"/>
      <c r="K624" s="348"/>
      <c r="L624" s="3"/>
      <c r="M624" s="928"/>
      <c r="O624" s="151"/>
    </row>
    <row r="625" ht="12.0" customHeight="1">
      <c r="B625" s="1"/>
      <c r="D625" s="161"/>
      <c r="E625" s="161"/>
      <c r="F625" s="161"/>
      <c r="G625" s="348"/>
      <c r="H625" s="348"/>
      <c r="I625" s="348"/>
      <c r="J625" s="348"/>
      <c r="K625" s="348"/>
      <c r="L625" s="3"/>
      <c r="M625" s="928"/>
      <c r="O625" s="151"/>
    </row>
    <row r="626" ht="12.0" customHeight="1">
      <c r="B626" s="1"/>
      <c r="D626" s="161"/>
      <c r="E626" s="161"/>
      <c r="F626" s="161"/>
      <c r="G626" s="348"/>
      <c r="H626" s="348"/>
      <c r="I626" s="348"/>
      <c r="J626" s="348"/>
      <c r="K626" s="348"/>
      <c r="L626" s="3"/>
      <c r="M626" s="928"/>
      <c r="O626" s="151"/>
    </row>
    <row r="627" ht="12.0" customHeight="1">
      <c r="B627" s="1"/>
      <c r="D627" s="161"/>
      <c r="E627" s="161"/>
      <c r="F627" s="161"/>
      <c r="G627" s="348"/>
      <c r="H627" s="348"/>
      <c r="I627" s="348"/>
      <c r="J627" s="348"/>
      <c r="K627" s="348"/>
      <c r="L627" s="3"/>
      <c r="M627" s="928"/>
      <c r="O627" s="151"/>
    </row>
    <row r="628" ht="12.0" customHeight="1">
      <c r="B628" s="1"/>
      <c r="D628" s="161"/>
      <c r="E628" s="161"/>
      <c r="F628" s="161"/>
      <c r="G628" s="348"/>
      <c r="H628" s="348"/>
      <c r="I628" s="348"/>
      <c r="J628" s="348"/>
      <c r="K628" s="348"/>
      <c r="L628" s="3"/>
      <c r="M628" s="928"/>
      <c r="O628" s="151"/>
    </row>
    <row r="629" ht="12.0" customHeight="1">
      <c r="B629" s="1"/>
      <c r="D629" s="161"/>
      <c r="E629" s="161"/>
      <c r="F629" s="161"/>
      <c r="G629" s="348"/>
      <c r="H629" s="348"/>
      <c r="I629" s="348"/>
      <c r="J629" s="348"/>
      <c r="K629" s="348"/>
      <c r="L629" s="3"/>
      <c r="M629" s="928"/>
      <c r="O629" s="151"/>
    </row>
    <row r="630" ht="12.0" customHeight="1">
      <c r="B630" s="1"/>
      <c r="D630" s="161"/>
      <c r="E630" s="161"/>
      <c r="F630" s="161"/>
      <c r="G630" s="348"/>
      <c r="H630" s="348"/>
      <c r="I630" s="348"/>
      <c r="J630" s="348"/>
      <c r="K630" s="348"/>
      <c r="L630" s="3"/>
      <c r="M630" s="928"/>
      <c r="O630" s="151"/>
    </row>
    <row r="631" ht="12.0" customHeight="1">
      <c r="B631" s="1"/>
      <c r="D631" s="161"/>
      <c r="E631" s="161"/>
      <c r="F631" s="161"/>
      <c r="G631" s="348"/>
      <c r="H631" s="348"/>
      <c r="I631" s="348"/>
      <c r="J631" s="348"/>
      <c r="K631" s="348"/>
      <c r="L631" s="3"/>
      <c r="M631" s="928"/>
      <c r="O631" s="151"/>
    </row>
    <row r="632" ht="12.0" customHeight="1">
      <c r="B632" s="1"/>
      <c r="D632" s="161"/>
      <c r="E632" s="161"/>
      <c r="F632" s="161"/>
      <c r="G632" s="348"/>
      <c r="H632" s="348"/>
      <c r="I632" s="348"/>
      <c r="J632" s="348"/>
      <c r="K632" s="348"/>
      <c r="L632" s="3"/>
      <c r="M632" s="928"/>
      <c r="O632" s="151"/>
    </row>
    <row r="633" ht="12.0" customHeight="1">
      <c r="B633" s="1"/>
      <c r="D633" s="161"/>
      <c r="E633" s="161"/>
      <c r="F633" s="161"/>
      <c r="G633" s="348"/>
      <c r="H633" s="348"/>
      <c r="I633" s="348"/>
      <c r="J633" s="348"/>
      <c r="K633" s="348"/>
      <c r="L633" s="3"/>
      <c r="M633" s="928"/>
      <c r="O633" s="151"/>
    </row>
    <row r="634" ht="12.0" customHeight="1">
      <c r="B634" s="1"/>
      <c r="D634" s="161"/>
      <c r="E634" s="161"/>
      <c r="F634" s="161"/>
      <c r="G634" s="348"/>
      <c r="H634" s="348"/>
      <c r="I634" s="348"/>
      <c r="J634" s="348"/>
      <c r="K634" s="348"/>
      <c r="L634" s="3"/>
      <c r="M634" s="928"/>
      <c r="O634" s="151"/>
    </row>
    <row r="635" ht="12.0" customHeight="1">
      <c r="B635" s="1"/>
      <c r="D635" s="161"/>
      <c r="E635" s="161"/>
      <c r="F635" s="161"/>
      <c r="G635" s="348"/>
      <c r="H635" s="348"/>
      <c r="I635" s="348"/>
      <c r="J635" s="348"/>
      <c r="K635" s="348"/>
      <c r="L635" s="3"/>
      <c r="M635" s="928"/>
      <c r="O635" s="151"/>
    </row>
    <row r="636" ht="12.0" customHeight="1">
      <c r="B636" s="1"/>
      <c r="D636" s="161"/>
      <c r="E636" s="161"/>
      <c r="F636" s="161"/>
      <c r="G636" s="348"/>
      <c r="H636" s="348"/>
      <c r="I636" s="348"/>
      <c r="J636" s="348"/>
      <c r="K636" s="348"/>
      <c r="L636" s="3"/>
      <c r="M636" s="928"/>
      <c r="O636" s="151"/>
    </row>
    <row r="637" ht="12.0" customHeight="1">
      <c r="B637" s="1"/>
      <c r="D637" s="161"/>
      <c r="E637" s="161"/>
      <c r="F637" s="161"/>
      <c r="G637" s="348"/>
      <c r="H637" s="348"/>
      <c r="I637" s="348"/>
      <c r="J637" s="348"/>
      <c r="K637" s="348"/>
      <c r="L637" s="3"/>
      <c r="M637" s="928"/>
      <c r="O637" s="151"/>
    </row>
    <row r="638" ht="12.0" customHeight="1">
      <c r="B638" s="1"/>
      <c r="D638" s="161"/>
      <c r="E638" s="161"/>
      <c r="F638" s="161"/>
      <c r="G638" s="348"/>
      <c r="H638" s="348"/>
      <c r="I638" s="348"/>
      <c r="J638" s="348"/>
      <c r="K638" s="348"/>
      <c r="L638" s="3"/>
      <c r="M638" s="928"/>
      <c r="O638" s="151"/>
    </row>
    <row r="639" ht="12.0" customHeight="1">
      <c r="B639" s="1"/>
      <c r="D639" s="161"/>
      <c r="E639" s="161"/>
      <c r="F639" s="161"/>
      <c r="G639" s="348"/>
      <c r="H639" s="348"/>
      <c r="I639" s="348"/>
      <c r="J639" s="348"/>
      <c r="K639" s="348"/>
      <c r="L639" s="3"/>
      <c r="M639" s="928"/>
      <c r="O639" s="151"/>
    </row>
    <row r="640" ht="12.0" customHeight="1">
      <c r="B640" s="1"/>
      <c r="D640" s="161"/>
      <c r="E640" s="161"/>
      <c r="F640" s="161"/>
      <c r="G640" s="348"/>
      <c r="H640" s="348"/>
      <c r="I640" s="348"/>
      <c r="J640" s="348"/>
      <c r="K640" s="348"/>
      <c r="L640" s="3"/>
      <c r="M640" s="928"/>
      <c r="O640" s="151"/>
    </row>
    <row r="641" ht="12.0" customHeight="1">
      <c r="B641" s="1"/>
      <c r="D641" s="161"/>
      <c r="E641" s="161"/>
      <c r="F641" s="161"/>
      <c r="G641" s="348"/>
      <c r="H641" s="348"/>
      <c r="I641" s="348"/>
      <c r="J641" s="348"/>
      <c r="K641" s="348"/>
      <c r="L641" s="3"/>
      <c r="M641" s="928"/>
      <c r="O641" s="151"/>
    </row>
    <row r="642" ht="12.0" customHeight="1">
      <c r="B642" s="1"/>
      <c r="D642" s="161"/>
      <c r="E642" s="161"/>
      <c r="F642" s="161"/>
      <c r="G642" s="348"/>
      <c r="H642" s="348"/>
      <c r="I642" s="348"/>
      <c r="J642" s="348"/>
      <c r="K642" s="348"/>
      <c r="L642" s="3"/>
      <c r="M642" s="928"/>
      <c r="O642" s="151"/>
    </row>
    <row r="643" ht="12.0" customHeight="1">
      <c r="B643" s="1"/>
      <c r="D643" s="161"/>
      <c r="E643" s="161"/>
      <c r="F643" s="161"/>
      <c r="G643" s="348"/>
      <c r="H643" s="348"/>
      <c r="I643" s="348"/>
      <c r="J643" s="348"/>
      <c r="K643" s="348"/>
      <c r="L643" s="3"/>
      <c r="M643" s="928"/>
      <c r="O643" s="151"/>
    </row>
    <row r="644" ht="12.0" customHeight="1">
      <c r="B644" s="1"/>
      <c r="D644" s="161"/>
      <c r="E644" s="161"/>
      <c r="F644" s="161"/>
      <c r="G644" s="348"/>
      <c r="H644" s="348"/>
      <c r="I644" s="348"/>
      <c r="J644" s="348"/>
      <c r="K644" s="348"/>
      <c r="L644" s="3"/>
      <c r="M644" s="928"/>
      <c r="O644" s="151"/>
    </row>
    <row r="645" ht="12.0" customHeight="1">
      <c r="B645" s="1"/>
      <c r="D645" s="161"/>
      <c r="E645" s="161"/>
      <c r="F645" s="161"/>
      <c r="G645" s="348"/>
      <c r="H645" s="348"/>
      <c r="I645" s="348"/>
      <c r="J645" s="348"/>
      <c r="K645" s="348"/>
      <c r="L645" s="3"/>
      <c r="M645" s="928"/>
      <c r="O645" s="151"/>
    </row>
    <row r="646" ht="12.0" customHeight="1">
      <c r="B646" s="1"/>
      <c r="D646" s="161"/>
      <c r="E646" s="161"/>
      <c r="F646" s="161"/>
      <c r="G646" s="348"/>
      <c r="H646" s="348"/>
      <c r="I646" s="348"/>
      <c r="J646" s="348"/>
      <c r="K646" s="348"/>
      <c r="L646" s="3"/>
      <c r="M646" s="928"/>
      <c r="O646" s="151"/>
    </row>
    <row r="647" ht="12.0" customHeight="1">
      <c r="B647" s="1"/>
      <c r="D647" s="161"/>
      <c r="E647" s="161"/>
      <c r="F647" s="161"/>
      <c r="G647" s="348"/>
      <c r="H647" s="348"/>
      <c r="I647" s="348"/>
      <c r="J647" s="348"/>
      <c r="K647" s="348"/>
      <c r="L647" s="3"/>
      <c r="M647" s="928"/>
      <c r="O647" s="151"/>
    </row>
    <row r="648" ht="12.0" customHeight="1">
      <c r="B648" s="1"/>
      <c r="D648" s="161"/>
      <c r="E648" s="161"/>
      <c r="F648" s="161"/>
      <c r="G648" s="348"/>
      <c r="H648" s="348"/>
      <c r="I648" s="348"/>
      <c r="J648" s="348"/>
      <c r="K648" s="348"/>
      <c r="L648" s="3"/>
      <c r="M648" s="928"/>
      <c r="O648" s="151"/>
    </row>
    <row r="649" ht="12.0" customHeight="1">
      <c r="B649" s="1"/>
      <c r="D649" s="161"/>
      <c r="E649" s="161"/>
      <c r="F649" s="161"/>
      <c r="G649" s="348"/>
      <c r="H649" s="348"/>
      <c r="I649" s="348"/>
      <c r="J649" s="348"/>
      <c r="K649" s="348"/>
      <c r="L649" s="3"/>
      <c r="M649" s="928"/>
      <c r="O649" s="151"/>
    </row>
    <row r="650" ht="12.0" customHeight="1">
      <c r="B650" s="1"/>
      <c r="D650" s="161"/>
      <c r="E650" s="161"/>
      <c r="F650" s="161"/>
      <c r="G650" s="348"/>
      <c r="H650" s="348"/>
      <c r="I650" s="348"/>
      <c r="J650" s="348"/>
      <c r="K650" s="348"/>
      <c r="L650" s="3"/>
      <c r="M650" s="928"/>
      <c r="O650" s="151"/>
    </row>
    <row r="651" ht="12.0" customHeight="1">
      <c r="B651" s="1"/>
      <c r="D651" s="161"/>
      <c r="E651" s="161"/>
      <c r="F651" s="161"/>
      <c r="G651" s="348"/>
      <c r="H651" s="348"/>
      <c r="I651" s="348"/>
      <c r="J651" s="348"/>
      <c r="K651" s="348"/>
      <c r="L651" s="3"/>
      <c r="M651" s="928"/>
      <c r="O651" s="151"/>
    </row>
    <row r="652" ht="12.0" customHeight="1">
      <c r="B652" s="1"/>
      <c r="D652" s="161"/>
      <c r="E652" s="161"/>
      <c r="F652" s="161"/>
      <c r="G652" s="348"/>
      <c r="H652" s="348"/>
      <c r="I652" s="348"/>
      <c r="J652" s="348"/>
      <c r="K652" s="348"/>
      <c r="L652" s="3"/>
      <c r="M652" s="928"/>
      <c r="O652" s="151"/>
    </row>
    <row r="653" ht="12.0" customHeight="1">
      <c r="B653" s="1"/>
      <c r="D653" s="161"/>
      <c r="E653" s="161"/>
      <c r="F653" s="161"/>
      <c r="G653" s="348"/>
      <c r="H653" s="348"/>
      <c r="I653" s="348"/>
      <c r="J653" s="348"/>
      <c r="K653" s="348"/>
      <c r="L653" s="3"/>
      <c r="M653" s="928"/>
      <c r="O653" s="151"/>
    </row>
    <row r="654" ht="12.0" customHeight="1">
      <c r="B654" s="1"/>
      <c r="D654" s="161"/>
      <c r="E654" s="161"/>
      <c r="F654" s="161"/>
      <c r="G654" s="348"/>
      <c r="H654" s="348"/>
      <c r="I654" s="348"/>
      <c r="J654" s="348"/>
      <c r="K654" s="348"/>
      <c r="L654" s="3"/>
      <c r="M654" s="928"/>
      <c r="O654" s="151"/>
    </row>
    <row r="655" ht="12.0" customHeight="1">
      <c r="B655" s="1"/>
      <c r="D655" s="161"/>
      <c r="E655" s="161"/>
      <c r="F655" s="161"/>
      <c r="G655" s="348"/>
      <c r="H655" s="348"/>
      <c r="I655" s="348"/>
      <c r="J655" s="348"/>
      <c r="K655" s="348"/>
      <c r="L655" s="3"/>
      <c r="M655" s="928"/>
      <c r="O655" s="151"/>
    </row>
    <row r="656" ht="12.0" customHeight="1">
      <c r="B656" s="1"/>
      <c r="D656" s="161"/>
      <c r="E656" s="161"/>
      <c r="F656" s="161"/>
      <c r="G656" s="348"/>
      <c r="H656" s="348"/>
      <c r="I656" s="348"/>
      <c r="J656" s="348"/>
      <c r="K656" s="348"/>
      <c r="L656" s="3"/>
      <c r="M656" s="928"/>
      <c r="O656" s="151"/>
    </row>
    <row r="657" ht="12.0" customHeight="1">
      <c r="B657" s="1"/>
      <c r="D657" s="161"/>
      <c r="E657" s="161"/>
      <c r="F657" s="161"/>
      <c r="G657" s="348"/>
      <c r="H657" s="348"/>
      <c r="I657" s="348"/>
      <c r="J657" s="348"/>
      <c r="K657" s="348"/>
      <c r="L657" s="3"/>
      <c r="M657" s="928"/>
      <c r="O657" s="151"/>
    </row>
    <row r="658" ht="12.0" customHeight="1">
      <c r="B658" s="1"/>
      <c r="D658" s="161"/>
      <c r="E658" s="161"/>
      <c r="F658" s="161"/>
      <c r="G658" s="348"/>
      <c r="H658" s="348"/>
      <c r="I658" s="348"/>
      <c r="J658" s="348"/>
      <c r="K658" s="348"/>
      <c r="L658" s="3"/>
      <c r="M658" s="928"/>
      <c r="O658" s="151"/>
    </row>
    <row r="659" ht="12.0" customHeight="1">
      <c r="B659" s="1"/>
      <c r="D659" s="161"/>
      <c r="E659" s="161"/>
      <c r="F659" s="161"/>
      <c r="G659" s="348"/>
      <c r="H659" s="348"/>
      <c r="I659" s="348"/>
      <c r="J659" s="348"/>
      <c r="K659" s="348"/>
      <c r="L659" s="3"/>
      <c r="M659" s="928"/>
      <c r="O659" s="151"/>
    </row>
    <row r="660" ht="12.0" customHeight="1">
      <c r="B660" s="1"/>
      <c r="D660" s="161"/>
      <c r="E660" s="161"/>
      <c r="F660" s="161"/>
      <c r="G660" s="348"/>
      <c r="H660" s="348"/>
      <c r="I660" s="348"/>
      <c r="J660" s="348"/>
      <c r="K660" s="348"/>
      <c r="L660" s="3"/>
      <c r="M660" s="928"/>
      <c r="O660" s="151"/>
    </row>
    <row r="661" ht="12.0" customHeight="1">
      <c r="B661" s="1"/>
      <c r="D661" s="161"/>
      <c r="E661" s="161"/>
      <c r="F661" s="161"/>
      <c r="G661" s="348"/>
      <c r="H661" s="348"/>
      <c r="I661" s="348"/>
      <c r="J661" s="348"/>
      <c r="K661" s="348"/>
      <c r="L661" s="3"/>
      <c r="M661" s="928"/>
      <c r="O661" s="151"/>
    </row>
    <row r="662" ht="12.0" customHeight="1">
      <c r="B662" s="1"/>
      <c r="D662" s="161"/>
      <c r="E662" s="161"/>
      <c r="F662" s="161"/>
      <c r="G662" s="348"/>
      <c r="H662" s="348"/>
      <c r="I662" s="348"/>
      <c r="J662" s="348"/>
      <c r="K662" s="348"/>
      <c r="L662" s="3"/>
      <c r="M662" s="928"/>
      <c r="O662" s="151"/>
    </row>
    <row r="663" ht="12.0" customHeight="1">
      <c r="B663" s="1"/>
      <c r="D663" s="161"/>
      <c r="E663" s="161"/>
      <c r="F663" s="161"/>
      <c r="G663" s="348"/>
      <c r="H663" s="348"/>
      <c r="I663" s="348"/>
      <c r="J663" s="348"/>
      <c r="K663" s="348"/>
      <c r="L663" s="3"/>
      <c r="M663" s="928"/>
      <c r="O663" s="151"/>
    </row>
    <row r="664" ht="12.0" customHeight="1">
      <c r="B664" s="1"/>
      <c r="D664" s="161"/>
      <c r="E664" s="161"/>
      <c r="F664" s="161"/>
      <c r="G664" s="348"/>
      <c r="H664" s="348"/>
      <c r="I664" s="348"/>
      <c r="J664" s="348"/>
      <c r="K664" s="348"/>
      <c r="L664" s="3"/>
      <c r="M664" s="928"/>
      <c r="O664" s="151"/>
    </row>
    <row r="665" ht="12.0" customHeight="1">
      <c r="B665" s="1"/>
      <c r="D665" s="161"/>
      <c r="E665" s="161"/>
      <c r="F665" s="161"/>
      <c r="G665" s="348"/>
      <c r="H665" s="348"/>
      <c r="I665" s="348"/>
      <c r="J665" s="348"/>
      <c r="K665" s="348"/>
      <c r="L665" s="3"/>
      <c r="M665" s="928"/>
      <c r="O665" s="151"/>
    </row>
    <row r="666" ht="12.0" customHeight="1">
      <c r="B666" s="1"/>
      <c r="D666" s="161"/>
      <c r="E666" s="161"/>
      <c r="F666" s="161"/>
      <c r="G666" s="348"/>
      <c r="H666" s="348"/>
      <c r="I666" s="348"/>
      <c r="J666" s="348"/>
      <c r="K666" s="348"/>
      <c r="L666" s="3"/>
      <c r="M666" s="928"/>
      <c r="O666" s="151"/>
    </row>
    <row r="667" ht="12.0" customHeight="1">
      <c r="B667" s="1"/>
      <c r="D667" s="161"/>
      <c r="E667" s="161"/>
      <c r="F667" s="161"/>
      <c r="G667" s="348"/>
      <c r="H667" s="348"/>
      <c r="I667" s="348"/>
      <c r="J667" s="348"/>
      <c r="K667" s="348"/>
      <c r="L667" s="3"/>
      <c r="M667" s="928"/>
      <c r="O667" s="151"/>
    </row>
    <row r="668" ht="12.0" customHeight="1">
      <c r="B668" s="1"/>
      <c r="D668" s="161"/>
      <c r="E668" s="161"/>
      <c r="F668" s="161"/>
      <c r="G668" s="348"/>
      <c r="H668" s="348"/>
      <c r="I668" s="348"/>
      <c r="J668" s="348"/>
      <c r="K668" s="348"/>
      <c r="L668" s="3"/>
      <c r="M668" s="928"/>
      <c r="O668" s="151"/>
    </row>
    <row r="669" ht="12.0" customHeight="1">
      <c r="B669" s="1"/>
      <c r="D669" s="161"/>
      <c r="E669" s="161"/>
      <c r="F669" s="161"/>
      <c r="G669" s="348"/>
      <c r="H669" s="348"/>
      <c r="I669" s="348"/>
      <c r="J669" s="348"/>
      <c r="K669" s="348"/>
      <c r="L669" s="3"/>
      <c r="M669" s="928"/>
      <c r="O669" s="151"/>
    </row>
    <row r="670" ht="12.0" customHeight="1">
      <c r="B670" s="1"/>
      <c r="D670" s="161"/>
      <c r="E670" s="161"/>
      <c r="F670" s="161"/>
      <c r="G670" s="348"/>
      <c r="H670" s="348"/>
      <c r="I670" s="348"/>
      <c r="J670" s="348"/>
      <c r="K670" s="348"/>
      <c r="L670" s="3"/>
      <c r="M670" s="928"/>
      <c r="O670" s="151"/>
    </row>
    <row r="671" ht="12.0" customHeight="1">
      <c r="B671" s="1"/>
      <c r="D671" s="161"/>
      <c r="E671" s="161"/>
      <c r="F671" s="161"/>
      <c r="G671" s="348"/>
      <c r="H671" s="348"/>
      <c r="I671" s="348"/>
      <c r="J671" s="348"/>
      <c r="K671" s="348"/>
      <c r="L671" s="3"/>
      <c r="M671" s="928"/>
      <c r="O671" s="151"/>
    </row>
    <row r="672" ht="12.0" customHeight="1">
      <c r="B672" s="1"/>
      <c r="D672" s="161"/>
      <c r="E672" s="161"/>
      <c r="F672" s="161"/>
      <c r="G672" s="348"/>
      <c r="H672" s="348"/>
      <c r="I672" s="348"/>
      <c r="J672" s="348"/>
      <c r="K672" s="348"/>
      <c r="L672" s="3"/>
      <c r="M672" s="928"/>
      <c r="O672" s="151"/>
    </row>
    <row r="673" ht="12.0" customHeight="1">
      <c r="B673" s="1"/>
      <c r="D673" s="161"/>
      <c r="E673" s="161"/>
      <c r="F673" s="161"/>
      <c r="G673" s="348"/>
      <c r="H673" s="348"/>
      <c r="I673" s="348"/>
      <c r="J673" s="348"/>
      <c r="K673" s="348"/>
      <c r="L673" s="3"/>
      <c r="M673" s="928"/>
      <c r="O673" s="151"/>
    </row>
    <row r="674" ht="12.0" customHeight="1">
      <c r="B674" s="1"/>
      <c r="D674" s="161"/>
      <c r="E674" s="161"/>
      <c r="F674" s="161"/>
      <c r="G674" s="348"/>
      <c r="H674" s="348"/>
      <c r="I674" s="348"/>
      <c r="J674" s="348"/>
      <c r="K674" s="348"/>
      <c r="L674" s="3"/>
      <c r="M674" s="928"/>
      <c r="O674" s="151"/>
    </row>
    <row r="675" ht="12.0" customHeight="1">
      <c r="B675" s="1"/>
      <c r="D675" s="161"/>
      <c r="E675" s="161"/>
      <c r="F675" s="161"/>
      <c r="G675" s="348"/>
      <c r="H675" s="348"/>
      <c r="I675" s="348"/>
      <c r="J675" s="348"/>
      <c r="K675" s="348"/>
      <c r="L675" s="3"/>
      <c r="M675" s="928"/>
      <c r="O675" s="151"/>
    </row>
    <row r="676" ht="12.0" customHeight="1">
      <c r="B676" s="1"/>
      <c r="D676" s="161"/>
      <c r="E676" s="161"/>
      <c r="F676" s="161"/>
      <c r="G676" s="348"/>
      <c r="H676" s="348"/>
      <c r="I676" s="348"/>
      <c r="J676" s="348"/>
      <c r="K676" s="348"/>
      <c r="L676" s="3"/>
      <c r="M676" s="928"/>
      <c r="O676" s="151"/>
    </row>
    <row r="677" ht="12.0" customHeight="1">
      <c r="B677" s="1"/>
      <c r="D677" s="161"/>
      <c r="E677" s="161"/>
      <c r="F677" s="161"/>
      <c r="G677" s="348"/>
      <c r="H677" s="348"/>
      <c r="I677" s="348"/>
      <c r="J677" s="348"/>
      <c r="K677" s="348"/>
      <c r="L677" s="3"/>
      <c r="M677" s="928"/>
      <c r="O677" s="151"/>
    </row>
    <row r="678" ht="12.0" customHeight="1">
      <c r="B678" s="1"/>
      <c r="D678" s="161"/>
      <c r="E678" s="161"/>
      <c r="F678" s="161"/>
      <c r="G678" s="348"/>
      <c r="H678" s="348"/>
      <c r="I678" s="348"/>
      <c r="J678" s="348"/>
      <c r="K678" s="348"/>
      <c r="L678" s="3"/>
      <c r="M678" s="928"/>
      <c r="O678" s="151"/>
    </row>
    <row r="679" ht="12.0" customHeight="1">
      <c r="B679" s="1"/>
      <c r="D679" s="161"/>
      <c r="E679" s="161"/>
      <c r="F679" s="161"/>
      <c r="G679" s="348"/>
      <c r="H679" s="348"/>
      <c r="I679" s="348"/>
      <c r="J679" s="348"/>
      <c r="K679" s="348"/>
      <c r="L679" s="3"/>
      <c r="M679" s="928"/>
      <c r="O679" s="151"/>
    </row>
    <row r="680" ht="12.0" customHeight="1">
      <c r="B680" s="1"/>
      <c r="D680" s="161"/>
      <c r="E680" s="161"/>
      <c r="F680" s="161"/>
      <c r="G680" s="348"/>
      <c r="H680" s="348"/>
      <c r="I680" s="348"/>
      <c r="J680" s="348"/>
      <c r="K680" s="348"/>
      <c r="L680" s="3"/>
      <c r="M680" s="928"/>
      <c r="O680" s="151"/>
    </row>
    <row r="681" ht="12.0" customHeight="1">
      <c r="B681" s="1"/>
      <c r="D681" s="161"/>
      <c r="E681" s="161"/>
      <c r="F681" s="161"/>
      <c r="G681" s="348"/>
      <c r="H681" s="348"/>
      <c r="I681" s="348"/>
      <c r="J681" s="348"/>
      <c r="K681" s="348"/>
      <c r="L681" s="3"/>
      <c r="M681" s="928"/>
      <c r="O681" s="151"/>
    </row>
    <row r="682" ht="12.0" customHeight="1">
      <c r="B682" s="1"/>
      <c r="D682" s="161"/>
      <c r="E682" s="161"/>
      <c r="F682" s="161"/>
      <c r="G682" s="348"/>
      <c r="H682" s="348"/>
      <c r="I682" s="348"/>
      <c r="J682" s="348"/>
      <c r="K682" s="348"/>
      <c r="L682" s="3"/>
      <c r="M682" s="928"/>
      <c r="O682" s="151"/>
    </row>
    <row r="683" ht="12.0" customHeight="1">
      <c r="B683" s="1"/>
      <c r="D683" s="161"/>
      <c r="E683" s="161"/>
      <c r="F683" s="161"/>
      <c r="G683" s="348"/>
      <c r="H683" s="348"/>
      <c r="I683" s="348"/>
      <c r="J683" s="348"/>
      <c r="K683" s="348"/>
      <c r="L683" s="3"/>
      <c r="M683" s="928"/>
      <c r="O683" s="151"/>
    </row>
    <row r="684" ht="12.0" customHeight="1">
      <c r="B684" s="1"/>
      <c r="D684" s="161"/>
      <c r="E684" s="161"/>
      <c r="F684" s="161"/>
      <c r="G684" s="348"/>
      <c r="H684" s="348"/>
      <c r="I684" s="348"/>
      <c r="J684" s="348"/>
      <c r="K684" s="348"/>
      <c r="L684" s="3"/>
      <c r="M684" s="928"/>
      <c r="O684" s="151"/>
    </row>
    <row r="685" ht="12.0" customHeight="1">
      <c r="B685" s="1"/>
      <c r="D685" s="161"/>
      <c r="E685" s="161"/>
      <c r="F685" s="161"/>
      <c r="G685" s="348"/>
      <c r="H685" s="348"/>
      <c r="I685" s="348"/>
      <c r="J685" s="348"/>
      <c r="K685" s="348"/>
      <c r="L685" s="3"/>
      <c r="M685" s="928"/>
      <c r="O685" s="151"/>
    </row>
    <row r="686" ht="12.0" customHeight="1">
      <c r="B686" s="1"/>
      <c r="D686" s="161"/>
      <c r="E686" s="161"/>
      <c r="F686" s="161"/>
      <c r="G686" s="348"/>
      <c r="H686" s="348"/>
      <c r="I686" s="348"/>
      <c r="J686" s="348"/>
      <c r="K686" s="348"/>
      <c r="L686" s="3"/>
      <c r="M686" s="928"/>
      <c r="O686" s="151"/>
    </row>
    <row r="687" ht="12.0" customHeight="1">
      <c r="B687" s="1"/>
      <c r="D687" s="161"/>
      <c r="E687" s="161"/>
      <c r="F687" s="161"/>
      <c r="G687" s="348"/>
      <c r="H687" s="348"/>
      <c r="I687" s="348"/>
      <c r="J687" s="348"/>
      <c r="K687" s="348"/>
      <c r="L687" s="3"/>
      <c r="M687" s="928"/>
      <c r="O687" s="151"/>
    </row>
    <row r="688" ht="12.0" customHeight="1">
      <c r="B688" s="1"/>
      <c r="D688" s="161"/>
      <c r="E688" s="161"/>
      <c r="F688" s="161"/>
      <c r="G688" s="348"/>
      <c r="H688" s="348"/>
      <c r="I688" s="348"/>
      <c r="J688" s="348"/>
      <c r="K688" s="348"/>
      <c r="L688" s="3"/>
      <c r="M688" s="928"/>
      <c r="O688" s="151"/>
    </row>
    <row r="689" ht="12.0" customHeight="1">
      <c r="B689" s="1"/>
      <c r="D689" s="161"/>
      <c r="E689" s="161"/>
      <c r="F689" s="161"/>
      <c r="G689" s="348"/>
      <c r="H689" s="348"/>
      <c r="I689" s="348"/>
      <c r="J689" s="348"/>
      <c r="K689" s="348"/>
      <c r="L689" s="3"/>
      <c r="M689" s="928"/>
      <c r="O689" s="151"/>
    </row>
    <row r="690" ht="12.0" customHeight="1">
      <c r="B690" s="1"/>
      <c r="D690" s="161"/>
      <c r="E690" s="161"/>
      <c r="F690" s="161"/>
      <c r="G690" s="348"/>
      <c r="H690" s="348"/>
      <c r="I690" s="348"/>
      <c r="J690" s="348"/>
      <c r="K690" s="348"/>
      <c r="L690" s="3"/>
      <c r="M690" s="928"/>
      <c r="O690" s="151"/>
    </row>
    <row r="691" ht="12.0" customHeight="1">
      <c r="B691" s="1"/>
      <c r="D691" s="161"/>
      <c r="E691" s="161"/>
      <c r="F691" s="161"/>
      <c r="G691" s="348"/>
      <c r="H691" s="348"/>
      <c r="I691" s="348"/>
      <c r="J691" s="348"/>
      <c r="K691" s="348"/>
      <c r="L691" s="3"/>
      <c r="M691" s="928"/>
      <c r="O691" s="151"/>
    </row>
    <row r="692" ht="12.0" customHeight="1">
      <c r="B692" s="1"/>
      <c r="D692" s="161"/>
      <c r="E692" s="161"/>
      <c r="F692" s="161"/>
      <c r="G692" s="348"/>
      <c r="H692" s="348"/>
      <c r="I692" s="348"/>
      <c r="J692" s="348"/>
      <c r="K692" s="348"/>
      <c r="L692" s="3"/>
      <c r="M692" s="928"/>
      <c r="O692" s="151"/>
    </row>
    <row r="693" ht="12.0" customHeight="1">
      <c r="B693" s="1"/>
      <c r="D693" s="161"/>
      <c r="E693" s="161"/>
      <c r="F693" s="161"/>
      <c r="G693" s="348"/>
      <c r="H693" s="348"/>
      <c r="I693" s="348"/>
      <c r="J693" s="348"/>
      <c r="K693" s="348"/>
      <c r="L693" s="3"/>
      <c r="M693" s="928"/>
      <c r="O693" s="151"/>
    </row>
    <row r="694" ht="12.0" customHeight="1">
      <c r="B694" s="1"/>
      <c r="D694" s="161"/>
      <c r="E694" s="161"/>
      <c r="F694" s="161"/>
      <c r="G694" s="348"/>
      <c r="H694" s="348"/>
      <c r="I694" s="348"/>
      <c r="J694" s="348"/>
      <c r="K694" s="348"/>
      <c r="L694" s="3"/>
      <c r="M694" s="928"/>
      <c r="O694" s="151"/>
    </row>
    <row r="695" ht="12.0" customHeight="1">
      <c r="B695" s="1"/>
      <c r="D695" s="161"/>
      <c r="E695" s="161"/>
      <c r="F695" s="161"/>
      <c r="G695" s="348"/>
      <c r="H695" s="348"/>
      <c r="I695" s="348"/>
      <c r="J695" s="348"/>
      <c r="K695" s="348"/>
      <c r="L695" s="3"/>
      <c r="M695" s="928"/>
      <c r="O695" s="151"/>
    </row>
    <row r="696" ht="12.0" customHeight="1">
      <c r="B696" s="1"/>
      <c r="D696" s="161"/>
      <c r="E696" s="161"/>
      <c r="F696" s="161"/>
      <c r="G696" s="348"/>
      <c r="H696" s="348"/>
      <c r="I696" s="348"/>
      <c r="J696" s="348"/>
      <c r="K696" s="348"/>
      <c r="L696" s="3"/>
      <c r="M696" s="928"/>
      <c r="O696" s="151"/>
    </row>
    <row r="697" ht="12.0" customHeight="1">
      <c r="B697" s="1"/>
      <c r="D697" s="161"/>
      <c r="E697" s="161"/>
      <c r="F697" s="161"/>
      <c r="G697" s="348"/>
      <c r="H697" s="348"/>
      <c r="I697" s="348"/>
      <c r="J697" s="348"/>
      <c r="K697" s="348"/>
      <c r="L697" s="3"/>
      <c r="M697" s="928"/>
      <c r="O697" s="151"/>
    </row>
    <row r="698" ht="12.0" customHeight="1">
      <c r="B698" s="1"/>
      <c r="D698" s="161"/>
      <c r="E698" s="161"/>
      <c r="F698" s="161"/>
      <c r="G698" s="348"/>
      <c r="H698" s="348"/>
      <c r="I698" s="348"/>
      <c r="J698" s="348"/>
      <c r="K698" s="348"/>
      <c r="L698" s="3"/>
      <c r="M698" s="928"/>
      <c r="O698" s="151"/>
    </row>
    <row r="699" ht="12.0" customHeight="1">
      <c r="B699" s="1"/>
      <c r="D699" s="161"/>
      <c r="E699" s="161"/>
      <c r="F699" s="161"/>
      <c r="G699" s="348"/>
      <c r="H699" s="348"/>
      <c r="I699" s="348"/>
      <c r="J699" s="348"/>
      <c r="K699" s="348"/>
      <c r="L699" s="3"/>
      <c r="M699" s="928"/>
      <c r="O699" s="151"/>
    </row>
    <row r="700" ht="12.0" customHeight="1">
      <c r="B700" s="1"/>
      <c r="D700" s="161"/>
      <c r="E700" s="161"/>
      <c r="F700" s="161"/>
      <c r="G700" s="348"/>
      <c r="H700" s="348"/>
      <c r="I700" s="348"/>
      <c r="J700" s="348"/>
      <c r="K700" s="348"/>
      <c r="L700" s="3"/>
      <c r="M700" s="928"/>
      <c r="O700" s="151"/>
    </row>
    <row r="701" ht="12.0" customHeight="1">
      <c r="B701" s="1"/>
      <c r="D701" s="161"/>
      <c r="E701" s="161"/>
      <c r="F701" s="161"/>
      <c r="G701" s="348"/>
      <c r="H701" s="348"/>
      <c r="I701" s="348"/>
      <c r="J701" s="348"/>
      <c r="K701" s="348"/>
      <c r="L701" s="3"/>
      <c r="M701" s="928"/>
      <c r="O701" s="151"/>
    </row>
    <row r="702" ht="12.0" customHeight="1">
      <c r="B702" s="1"/>
      <c r="D702" s="161"/>
      <c r="E702" s="161"/>
      <c r="F702" s="161"/>
      <c r="G702" s="348"/>
      <c r="H702" s="348"/>
      <c r="I702" s="348"/>
      <c r="J702" s="348"/>
      <c r="K702" s="348"/>
      <c r="L702" s="3"/>
      <c r="M702" s="928"/>
      <c r="O702" s="151"/>
    </row>
    <row r="703" ht="12.0" customHeight="1">
      <c r="B703" s="1"/>
      <c r="D703" s="161"/>
      <c r="E703" s="161"/>
      <c r="F703" s="161"/>
      <c r="G703" s="348"/>
      <c r="H703" s="348"/>
      <c r="I703" s="348"/>
      <c r="J703" s="348"/>
      <c r="K703" s="348"/>
      <c r="L703" s="3"/>
      <c r="M703" s="928"/>
      <c r="O703" s="151"/>
    </row>
    <row r="704" ht="12.0" customHeight="1">
      <c r="B704" s="1"/>
      <c r="D704" s="161"/>
      <c r="E704" s="161"/>
      <c r="F704" s="161"/>
      <c r="G704" s="348"/>
      <c r="H704" s="348"/>
      <c r="I704" s="348"/>
      <c r="J704" s="348"/>
      <c r="K704" s="348"/>
      <c r="L704" s="3"/>
      <c r="M704" s="928"/>
      <c r="O704" s="151"/>
    </row>
    <row r="705" ht="12.0" customHeight="1">
      <c r="B705" s="1"/>
      <c r="D705" s="161"/>
      <c r="E705" s="161"/>
      <c r="F705" s="161"/>
      <c r="G705" s="348"/>
      <c r="H705" s="348"/>
      <c r="I705" s="348"/>
      <c r="J705" s="348"/>
      <c r="K705" s="348"/>
      <c r="L705" s="3"/>
      <c r="M705" s="928"/>
      <c r="O705" s="151"/>
    </row>
    <row r="706" ht="12.0" customHeight="1">
      <c r="B706" s="1"/>
      <c r="D706" s="161"/>
      <c r="E706" s="161"/>
      <c r="F706" s="161"/>
      <c r="G706" s="348"/>
      <c r="H706" s="348"/>
      <c r="I706" s="348"/>
      <c r="J706" s="348"/>
      <c r="K706" s="348"/>
      <c r="L706" s="3"/>
      <c r="M706" s="928"/>
      <c r="O706" s="151"/>
    </row>
    <row r="707" ht="12.0" customHeight="1">
      <c r="B707" s="1"/>
      <c r="D707" s="161"/>
      <c r="E707" s="161"/>
      <c r="F707" s="161"/>
      <c r="G707" s="348"/>
      <c r="H707" s="348"/>
      <c r="I707" s="348"/>
      <c r="J707" s="348"/>
      <c r="K707" s="348"/>
      <c r="L707" s="3"/>
      <c r="M707" s="928"/>
      <c r="O707" s="151"/>
    </row>
    <row r="708" ht="12.0" customHeight="1">
      <c r="B708" s="1"/>
      <c r="D708" s="161"/>
      <c r="E708" s="161"/>
      <c r="F708" s="161"/>
      <c r="G708" s="348"/>
      <c r="H708" s="348"/>
      <c r="I708" s="348"/>
      <c r="J708" s="348"/>
      <c r="K708" s="348"/>
      <c r="L708" s="3"/>
      <c r="M708" s="928"/>
      <c r="O708" s="151"/>
    </row>
    <row r="709" ht="12.0" customHeight="1">
      <c r="B709" s="1"/>
      <c r="D709" s="161"/>
      <c r="E709" s="161"/>
      <c r="F709" s="161"/>
      <c r="G709" s="348"/>
      <c r="H709" s="348"/>
      <c r="I709" s="348"/>
      <c r="J709" s="348"/>
      <c r="K709" s="348"/>
      <c r="L709" s="3"/>
      <c r="M709" s="928"/>
      <c r="O709" s="151"/>
    </row>
    <row r="710" ht="12.0" customHeight="1">
      <c r="B710" s="1"/>
      <c r="D710" s="161"/>
      <c r="E710" s="161"/>
      <c r="F710" s="161"/>
      <c r="G710" s="348"/>
      <c r="H710" s="348"/>
      <c r="I710" s="348"/>
      <c r="J710" s="348"/>
      <c r="K710" s="348"/>
      <c r="L710" s="3"/>
      <c r="M710" s="928"/>
      <c r="O710" s="151"/>
    </row>
    <row r="711" ht="12.0" customHeight="1">
      <c r="B711" s="1"/>
      <c r="D711" s="161"/>
      <c r="E711" s="161"/>
      <c r="F711" s="161"/>
      <c r="G711" s="348"/>
      <c r="H711" s="348"/>
      <c r="I711" s="348"/>
      <c r="J711" s="348"/>
      <c r="K711" s="348"/>
      <c r="L711" s="3"/>
      <c r="M711" s="928"/>
      <c r="O711" s="151"/>
    </row>
    <row r="712" ht="12.0" customHeight="1">
      <c r="B712" s="1"/>
      <c r="D712" s="161"/>
      <c r="E712" s="161"/>
      <c r="F712" s="161"/>
      <c r="G712" s="348"/>
      <c r="H712" s="348"/>
      <c r="I712" s="348"/>
      <c r="J712" s="348"/>
      <c r="K712" s="348"/>
      <c r="L712" s="3"/>
      <c r="M712" s="928"/>
      <c r="O712" s="151"/>
    </row>
    <row r="713" ht="12.0" customHeight="1">
      <c r="B713" s="1"/>
      <c r="D713" s="161"/>
      <c r="E713" s="161"/>
      <c r="F713" s="161"/>
      <c r="G713" s="348"/>
      <c r="H713" s="348"/>
      <c r="I713" s="348"/>
      <c r="J713" s="348"/>
      <c r="K713" s="348"/>
      <c r="L713" s="3"/>
      <c r="M713" s="928"/>
      <c r="O713" s="151"/>
    </row>
    <row r="714" ht="12.0" customHeight="1">
      <c r="B714" s="1"/>
      <c r="D714" s="161"/>
      <c r="E714" s="161"/>
      <c r="F714" s="161"/>
      <c r="G714" s="348"/>
      <c r="H714" s="348"/>
      <c r="I714" s="348"/>
      <c r="J714" s="348"/>
      <c r="K714" s="348"/>
      <c r="L714" s="3"/>
      <c r="M714" s="928"/>
      <c r="O714" s="151"/>
    </row>
    <row r="715" ht="12.0" customHeight="1">
      <c r="B715" s="1"/>
      <c r="D715" s="161"/>
      <c r="E715" s="161"/>
      <c r="F715" s="161"/>
      <c r="G715" s="348"/>
      <c r="H715" s="348"/>
      <c r="I715" s="348"/>
      <c r="J715" s="348"/>
      <c r="K715" s="348"/>
      <c r="L715" s="3"/>
      <c r="M715" s="928"/>
      <c r="O715" s="151"/>
    </row>
    <row r="716" ht="12.0" customHeight="1">
      <c r="B716" s="1"/>
      <c r="D716" s="161"/>
      <c r="E716" s="161"/>
      <c r="F716" s="161"/>
      <c r="G716" s="348"/>
      <c r="H716" s="348"/>
      <c r="I716" s="348"/>
      <c r="J716" s="348"/>
      <c r="K716" s="348"/>
      <c r="L716" s="3"/>
      <c r="M716" s="928"/>
      <c r="O716" s="151"/>
    </row>
    <row r="717" ht="12.0" customHeight="1">
      <c r="B717" s="1"/>
      <c r="D717" s="161"/>
      <c r="E717" s="161"/>
      <c r="F717" s="161"/>
      <c r="G717" s="348"/>
      <c r="H717" s="348"/>
      <c r="I717" s="348"/>
      <c r="J717" s="348"/>
      <c r="K717" s="348"/>
      <c r="L717" s="3"/>
      <c r="M717" s="928"/>
      <c r="O717" s="151"/>
    </row>
    <row r="718" ht="12.0" customHeight="1">
      <c r="B718" s="1"/>
      <c r="D718" s="161"/>
      <c r="E718" s="161"/>
      <c r="F718" s="161"/>
      <c r="G718" s="348"/>
      <c r="H718" s="348"/>
      <c r="I718" s="348"/>
      <c r="J718" s="348"/>
      <c r="K718" s="348"/>
      <c r="L718" s="3"/>
      <c r="M718" s="928"/>
      <c r="O718" s="151"/>
    </row>
    <row r="719" ht="12.0" customHeight="1">
      <c r="B719" s="1"/>
      <c r="D719" s="161"/>
      <c r="E719" s="161"/>
      <c r="F719" s="161"/>
      <c r="G719" s="348"/>
      <c r="H719" s="348"/>
      <c r="I719" s="348"/>
      <c r="J719" s="348"/>
      <c r="K719" s="348"/>
      <c r="L719" s="3"/>
      <c r="M719" s="928"/>
      <c r="O719" s="151"/>
    </row>
    <row r="720" ht="12.0" customHeight="1">
      <c r="B720" s="1"/>
      <c r="D720" s="161"/>
      <c r="E720" s="161"/>
      <c r="F720" s="161"/>
      <c r="G720" s="348"/>
      <c r="H720" s="348"/>
      <c r="I720" s="348"/>
      <c r="J720" s="348"/>
      <c r="K720" s="348"/>
      <c r="L720" s="3"/>
      <c r="M720" s="928"/>
      <c r="O720" s="151"/>
    </row>
    <row r="721" ht="12.0" customHeight="1">
      <c r="B721" s="1"/>
      <c r="D721" s="161"/>
      <c r="E721" s="161"/>
      <c r="F721" s="161"/>
      <c r="G721" s="348"/>
      <c r="H721" s="348"/>
      <c r="I721" s="348"/>
      <c r="J721" s="348"/>
      <c r="K721" s="348"/>
      <c r="L721" s="3"/>
      <c r="M721" s="928"/>
      <c r="O721" s="151"/>
    </row>
    <row r="722" ht="12.0" customHeight="1">
      <c r="B722" s="1"/>
      <c r="D722" s="161"/>
      <c r="E722" s="161"/>
      <c r="F722" s="161"/>
      <c r="G722" s="348"/>
      <c r="H722" s="348"/>
      <c r="I722" s="348"/>
      <c r="J722" s="348"/>
      <c r="K722" s="348"/>
      <c r="L722" s="3"/>
      <c r="M722" s="928"/>
      <c r="O722" s="151"/>
    </row>
    <row r="723" ht="12.0" customHeight="1">
      <c r="B723" s="1"/>
      <c r="D723" s="161"/>
      <c r="E723" s="161"/>
      <c r="F723" s="161"/>
      <c r="G723" s="348"/>
      <c r="H723" s="348"/>
      <c r="I723" s="348"/>
      <c r="J723" s="348"/>
      <c r="K723" s="348"/>
      <c r="L723" s="3"/>
      <c r="M723" s="928"/>
      <c r="O723" s="151"/>
    </row>
    <row r="724" ht="12.0" customHeight="1">
      <c r="B724" s="1"/>
      <c r="D724" s="161"/>
      <c r="E724" s="161"/>
      <c r="F724" s="161"/>
      <c r="G724" s="348"/>
      <c r="H724" s="348"/>
      <c r="I724" s="348"/>
      <c r="J724" s="348"/>
      <c r="K724" s="348"/>
      <c r="L724" s="3"/>
      <c r="M724" s="928"/>
      <c r="O724" s="151"/>
    </row>
    <row r="725" ht="12.0" customHeight="1">
      <c r="B725" s="1"/>
      <c r="D725" s="161"/>
      <c r="E725" s="161"/>
      <c r="F725" s="161"/>
      <c r="G725" s="348"/>
      <c r="H725" s="348"/>
      <c r="I725" s="348"/>
      <c r="J725" s="348"/>
      <c r="K725" s="348"/>
      <c r="L725" s="3"/>
      <c r="M725" s="928"/>
      <c r="O725" s="151"/>
    </row>
    <row r="726" ht="12.0" customHeight="1">
      <c r="B726" s="1"/>
      <c r="D726" s="161"/>
      <c r="E726" s="161"/>
      <c r="F726" s="161"/>
      <c r="G726" s="348"/>
      <c r="H726" s="348"/>
      <c r="I726" s="348"/>
      <c r="J726" s="348"/>
      <c r="K726" s="348"/>
      <c r="L726" s="3"/>
      <c r="M726" s="928"/>
      <c r="O726" s="151"/>
    </row>
    <row r="727" ht="12.0" customHeight="1">
      <c r="B727" s="1"/>
      <c r="D727" s="161"/>
      <c r="E727" s="161"/>
      <c r="F727" s="161"/>
      <c r="G727" s="348"/>
      <c r="H727" s="348"/>
      <c r="I727" s="348"/>
      <c r="J727" s="348"/>
      <c r="K727" s="348"/>
      <c r="L727" s="3"/>
      <c r="M727" s="928"/>
      <c r="O727" s="151"/>
    </row>
    <row r="728" ht="12.0" customHeight="1">
      <c r="B728" s="1"/>
      <c r="D728" s="161"/>
      <c r="E728" s="161"/>
      <c r="F728" s="161"/>
      <c r="G728" s="348"/>
      <c r="H728" s="348"/>
      <c r="I728" s="348"/>
      <c r="J728" s="348"/>
      <c r="K728" s="348"/>
      <c r="L728" s="3"/>
      <c r="M728" s="928"/>
      <c r="O728" s="151"/>
    </row>
    <row r="729" ht="12.0" customHeight="1">
      <c r="B729" s="1"/>
      <c r="D729" s="161"/>
      <c r="E729" s="161"/>
      <c r="F729" s="161"/>
      <c r="G729" s="348"/>
      <c r="H729" s="348"/>
      <c r="I729" s="348"/>
      <c r="J729" s="348"/>
      <c r="K729" s="348"/>
      <c r="L729" s="3"/>
      <c r="M729" s="928"/>
      <c r="O729" s="151"/>
    </row>
    <row r="730" ht="12.0" customHeight="1">
      <c r="B730" s="1"/>
      <c r="D730" s="161"/>
      <c r="E730" s="161"/>
      <c r="F730" s="161"/>
      <c r="G730" s="348"/>
      <c r="H730" s="348"/>
      <c r="I730" s="348"/>
      <c r="J730" s="348"/>
      <c r="K730" s="348"/>
      <c r="L730" s="3"/>
      <c r="M730" s="928"/>
      <c r="O730" s="151"/>
    </row>
    <row r="731" ht="12.0" customHeight="1">
      <c r="B731" s="1"/>
      <c r="D731" s="161"/>
      <c r="E731" s="161"/>
      <c r="F731" s="161"/>
      <c r="G731" s="348"/>
      <c r="H731" s="348"/>
      <c r="I731" s="348"/>
      <c r="J731" s="348"/>
      <c r="K731" s="348"/>
      <c r="L731" s="3"/>
      <c r="M731" s="928"/>
      <c r="O731" s="151"/>
    </row>
    <row r="732" ht="12.0" customHeight="1">
      <c r="B732" s="1"/>
      <c r="D732" s="161"/>
      <c r="E732" s="161"/>
      <c r="F732" s="161"/>
      <c r="G732" s="348"/>
      <c r="H732" s="348"/>
      <c r="I732" s="348"/>
      <c r="J732" s="348"/>
      <c r="K732" s="348"/>
      <c r="L732" s="3"/>
      <c r="M732" s="928"/>
      <c r="O732" s="151"/>
    </row>
    <row r="733" ht="12.0" customHeight="1">
      <c r="B733" s="1"/>
      <c r="D733" s="161"/>
      <c r="E733" s="161"/>
      <c r="F733" s="161"/>
      <c r="G733" s="348"/>
      <c r="H733" s="348"/>
      <c r="I733" s="348"/>
      <c r="J733" s="348"/>
      <c r="K733" s="348"/>
      <c r="L733" s="3"/>
      <c r="M733" s="928"/>
      <c r="O733" s="151"/>
    </row>
    <row r="734" ht="12.0" customHeight="1">
      <c r="B734" s="1"/>
      <c r="D734" s="161"/>
      <c r="E734" s="161"/>
      <c r="F734" s="161"/>
      <c r="G734" s="348"/>
      <c r="H734" s="348"/>
      <c r="I734" s="348"/>
      <c r="J734" s="348"/>
      <c r="K734" s="348"/>
      <c r="L734" s="3"/>
      <c r="M734" s="928"/>
      <c r="O734" s="151"/>
    </row>
    <row r="735" ht="12.0" customHeight="1">
      <c r="B735" s="1"/>
      <c r="D735" s="161"/>
      <c r="E735" s="161"/>
      <c r="F735" s="161"/>
      <c r="G735" s="348"/>
      <c r="H735" s="348"/>
      <c r="I735" s="348"/>
      <c r="J735" s="348"/>
      <c r="K735" s="348"/>
      <c r="L735" s="3"/>
      <c r="M735" s="928"/>
      <c r="O735" s="151"/>
    </row>
    <row r="736" ht="12.0" customHeight="1">
      <c r="B736" s="1"/>
      <c r="D736" s="161"/>
      <c r="E736" s="161"/>
      <c r="F736" s="161"/>
      <c r="G736" s="348"/>
      <c r="H736" s="348"/>
      <c r="I736" s="348"/>
      <c r="J736" s="348"/>
      <c r="K736" s="348"/>
      <c r="L736" s="3"/>
      <c r="M736" s="928"/>
      <c r="O736" s="151"/>
    </row>
    <row r="737" ht="12.0" customHeight="1">
      <c r="B737" s="1"/>
      <c r="D737" s="161"/>
      <c r="E737" s="161"/>
      <c r="F737" s="161"/>
      <c r="G737" s="348"/>
      <c r="H737" s="348"/>
      <c r="I737" s="348"/>
      <c r="J737" s="348"/>
      <c r="K737" s="348"/>
      <c r="L737" s="3"/>
      <c r="M737" s="928"/>
      <c r="O737" s="151"/>
    </row>
    <row r="738" ht="12.0" customHeight="1">
      <c r="B738" s="1"/>
      <c r="D738" s="161"/>
      <c r="E738" s="161"/>
      <c r="F738" s="161"/>
      <c r="G738" s="348"/>
      <c r="H738" s="348"/>
      <c r="I738" s="348"/>
      <c r="J738" s="348"/>
      <c r="K738" s="348"/>
      <c r="L738" s="3"/>
      <c r="M738" s="928"/>
      <c r="O738" s="151"/>
    </row>
    <row r="739" ht="12.0" customHeight="1">
      <c r="B739" s="1"/>
      <c r="D739" s="161"/>
      <c r="E739" s="161"/>
      <c r="F739" s="161"/>
      <c r="G739" s="348"/>
      <c r="H739" s="348"/>
      <c r="I739" s="348"/>
      <c r="J739" s="348"/>
      <c r="K739" s="348"/>
      <c r="L739" s="3"/>
      <c r="M739" s="928"/>
      <c r="O739" s="151"/>
    </row>
    <row r="740" ht="12.0" customHeight="1">
      <c r="B740" s="1"/>
      <c r="D740" s="161"/>
      <c r="E740" s="161"/>
      <c r="F740" s="161"/>
      <c r="G740" s="348"/>
      <c r="H740" s="348"/>
      <c r="I740" s="348"/>
      <c r="J740" s="348"/>
      <c r="K740" s="348"/>
      <c r="L740" s="3"/>
      <c r="M740" s="928"/>
      <c r="O740" s="151"/>
    </row>
    <row r="741" ht="12.0" customHeight="1">
      <c r="B741" s="1"/>
      <c r="D741" s="161"/>
      <c r="E741" s="161"/>
      <c r="F741" s="161"/>
      <c r="G741" s="348"/>
      <c r="H741" s="348"/>
      <c r="I741" s="348"/>
      <c r="J741" s="348"/>
      <c r="K741" s="348"/>
      <c r="L741" s="3"/>
      <c r="M741" s="928"/>
      <c r="O741" s="151"/>
    </row>
    <row r="742" ht="12.0" customHeight="1">
      <c r="B742" s="1"/>
      <c r="D742" s="161"/>
      <c r="E742" s="161"/>
      <c r="F742" s="161"/>
      <c r="G742" s="348"/>
      <c r="H742" s="348"/>
      <c r="I742" s="348"/>
      <c r="J742" s="348"/>
      <c r="K742" s="348"/>
      <c r="L742" s="3"/>
      <c r="M742" s="928"/>
      <c r="O742" s="151"/>
    </row>
    <row r="743" ht="12.0" customHeight="1">
      <c r="B743" s="1"/>
      <c r="D743" s="161"/>
      <c r="E743" s="161"/>
      <c r="F743" s="161"/>
      <c r="G743" s="348"/>
      <c r="H743" s="348"/>
      <c r="I743" s="348"/>
      <c r="J743" s="348"/>
      <c r="K743" s="348"/>
      <c r="L743" s="3"/>
      <c r="M743" s="928"/>
      <c r="O743" s="151"/>
    </row>
    <row r="744" ht="12.0" customHeight="1">
      <c r="B744" s="1"/>
      <c r="D744" s="161"/>
      <c r="E744" s="161"/>
      <c r="F744" s="161"/>
      <c r="G744" s="348"/>
      <c r="H744" s="348"/>
      <c r="I744" s="348"/>
      <c r="J744" s="348"/>
      <c r="K744" s="348"/>
      <c r="L744" s="3"/>
      <c r="M744" s="928"/>
      <c r="O744" s="151"/>
    </row>
    <row r="745" ht="12.0" customHeight="1">
      <c r="B745" s="1"/>
      <c r="D745" s="161"/>
      <c r="E745" s="161"/>
      <c r="F745" s="161"/>
      <c r="G745" s="348"/>
      <c r="H745" s="348"/>
      <c r="I745" s="348"/>
      <c r="J745" s="348"/>
      <c r="K745" s="348"/>
      <c r="L745" s="3"/>
      <c r="M745" s="928"/>
      <c r="O745" s="151"/>
    </row>
    <row r="746" ht="12.0" customHeight="1">
      <c r="B746" s="1"/>
      <c r="D746" s="161"/>
      <c r="E746" s="161"/>
      <c r="F746" s="161"/>
      <c r="G746" s="348"/>
      <c r="H746" s="348"/>
      <c r="I746" s="348"/>
      <c r="J746" s="348"/>
      <c r="K746" s="348"/>
      <c r="L746" s="3"/>
      <c r="M746" s="928"/>
      <c r="O746" s="151"/>
    </row>
    <row r="747" ht="12.0" customHeight="1">
      <c r="B747" s="1"/>
      <c r="D747" s="161"/>
      <c r="E747" s="161"/>
      <c r="F747" s="161"/>
      <c r="G747" s="348"/>
      <c r="H747" s="348"/>
      <c r="I747" s="348"/>
      <c r="J747" s="348"/>
      <c r="K747" s="348"/>
      <c r="L747" s="3"/>
      <c r="M747" s="928"/>
      <c r="O747" s="151"/>
    </row>
    <row r="748" ht="12.0" customHeight="1">
      <c r="B748" s="1"/>
      <c r="D748" s="161"/>
      <c r="E748" s="161"/>
      <c r="F748" s="161"/>
      <c r="G748" s="348"/>
      <c r="H748" s="348"/>
      <c r="I748" s="348"/>
      <c r="J748" s="348"/>
      <c r="K748" s="348"/>
      <c r="L748" s="3"/>
      <c r="M748" s="928"/>
      <c r="O748" s="151"/>
    </row>
    <row r="749" ht="12.0" customHeight="1">
      <c r="B749" s="1"/>
      <c r="D749" s="161"/>
      <c r="E749" s="161"/>
      <c r="F749" s="161"/>
      <c r="G749" s="348"/>
      <c r="H749" s="348"/>
      <c r="I749" s="348"/>
      <c r="J749" s="348"/>
      <c r="K749" s="348"/>
      <c r="L749" s="3"/>
      <c r="M749" s="928"/>
      <c r="O749" s="151"/>
    </row>
    <row r="750" ht="12.0" customHeight="1">
      <c r="B750" s="1"/>
      <c r="D750" s="161"/>
      <c r="E750" s="161"/>
      <c r="F750" s="161"/>
      <c r="G750" s="348"/>
      <c r="H750" s="348"/>
      <c r="I750" s="348"/>
      <c r="J750" s="348"/>
      <c r="K750" s="348"/>
      <c r="L750" s="3"/>
      <c r="M750" s="928"/>
      <c r="O750" s="151"/>
    </row>
    <row r="751" ht="12.0" customHeight="1">
      <c r="B751" s="1"/>
      <c r="D751" s="161"/>
      <c r="E751" s="161"/>
      <c r="F751" s="161"/>
      <c r="G751" s="348"/>
      <c r="H751" s="348"/>
      <c r="I751" s="348"/>
      <c r="J751" s="348"/>
      <c r="K751" s="348"/>
      <c r="L751" s="3"/>
      <c r="M751" s="928"/>
      <c r="O751" s="151"/>
    </row>
    <row r="752" ht="12.0" customHeight="1">
      <c r="B752" s="1"/>
      <c r="D752" s="161"/>
      <c r="E752" s="161"/>
      <c r="F752" s="161"/>
      <c r="G752" s="348"/>
      <c r="H752" s="348"/>
      <c r="I752" s="348"/>
      <c r="J752" s="348"/>
      <c r="K752" s="348"/>
      <c r="L752" s="3"/>
      <c r="M752" s="928"/>
      <c r="O752" s="151"/>
    </row>
    <row r="753" ht="12.0" customHeight="1">
      <c r="B753" s="1"/>
      <c r="D753" s="161"/>
      <c r="E753" s="161"/>
      <c r="F753" s="161"/>
      <c r="G753" s="348"/>
      <c r="H753" s="348"/>
      <c r="I753" s="348"/>
      <c r="J753" s="348"/>
      <c r="K753" s="348"/>
      <c r="L753" s="3"/>
      <c r="M753" s="928"/>
      <c r="O753" s="151"/>
    </row>
    <row r="754" ht="12.0" customHeight="1">
      <c r="B754" s="1"/>
      <c r="D754" s="161"/>
      <c r="E754" s="161"/>
      <c r="F754" s="161"/>
      <c r="G754" s="348"/>
      <c r="H754" s="348"/>
      <c r="I754" s="348"/>
      <c r="J754" s="348"/>
      <c r="K754" s="348"/>
      <c r="L754" s="3"/>
      <c r="M754" s="928"/>
      <c r="O754" s="151"/>
    </row>
    <row r="755" ht="12.0" customHeight="1">
      <c r="B755" s="1"/>
      <c r="D755" s="161"/>
      <c r="E755" s="161"/>
      <c r="F755" s="161"/>
      <c r="G755" s="348"/>
      <c r="H755" s="348"/>
      <c r="I755" s="348"/>
      <c r="J755" s="348"/>
      <c r="K755" s="348"/>
      <c r="L755" s="3"/>
      <c r="M755" s="928"/>
      <c r="O755" s="151"/>
    </row>
    <row r="756" ht="12.0" customHeight="1">
      <c r="B756" s="1"/>
      <c r="D756" s="161"/>
      <c r="E756" s="161"/>
      <c r="F756" s="161"/>
      <c r="G756" s="348"/>
      <c r="H756" s="348"/>
      <c r="I756" s="348"/>
      <c r="J756" s="348"/>
      <c r="K756" s="348"/>
      <c r="L756" s="3"/>
      <c r="M756" s="928"/>
      <c r="O756" s="151"/>
    </row>
    <row r="757" ht="12.0" customHeight="1">
      <c r="B757" s="1"/>
      <c r="D757" s="161"/>
      <c r="E757" s="161"/>
      <c r="F757" s="161"/>
      <c r="G757" s="348"/>
      <c r="H757" s="348"/>
      <c r="I757" s="348"/>
      <c r="J757" s="348"/>
      <c r="K757" s="348"/>
      <c r="L757" s="3"/>
      <c r="M757" s="928"/>
      <c r="O757" s="151"/>
    </row>
    <row r="758" ht="12.0" customHeight="1">
      <c r="B758" s="1"/>
      <c r="D758" s="161"/>
      <c r="E758" s="161"/>
      <c r="F758" s="161"/>
      <c r="G758" s="348"/>
      <c r="H758" s="348"/>
      <c r="I758" s="348"/>
      <c r="J758" s="348"/>
      <c r="K758" s="348"/>
      <c r="L758" s="3"/>
      <c r="M758" s="928"/>
      <c r="O758" s="151"/>
    </row>
    <row r="759" ht="12.0" customHeight="1">
      <c r="B759" s="1"/>
      <c r="D759" s="161"/>
      <c r="E759" s="161"/>
      <c r="F759" s="161"/>
      <c r="G759" s="348"/>
      <c r="H759" s="348"/>
      <c r="I759" s="348"/>
      <c r="J759" s="348"/>
      <c r="K759" s="348"/>
      <c r="L759" s="3"/>
      <c r="M759" s="928"/>
      <c r="O759" s="151"/>
    </row>
    <row r="760" ht="12.0" customHeight="1">
      <c r="B760" s="1"/>
      <c r="D760" s="161"/>
      <c r="E760" s="161"/>
      <c r="F760" s="161"/>
      <c r="G760" s="348"/>
      <c r="H760" s="348"/>
      <c r="I760" s="348"/>
      <c r="J760" s="348"/>
      <c r="K760" s="348"/>
      <c r="L760" s="3"/>
      <c r="M760" s="928"/>
      <c r="O760" s="151"/>
    </row>
    <row r="761" ht="12.0" customHeight="1">
      <c r="B761" s="1"/>
      <c r="D761" s="161"/>
      <c r="E761" s="161"/>
      <c r="F761" s="161"/>
      <c r="G761" s="348"/>
      <c r="H761" s="348"/>
      <c r="I761" s="348"/>
      <c r="J761" s="348"/>
      <c r="K761" s="348"/>
      <c r="L761" s="3"/>
      <c r="M761" s="928"/>
      <c r="O761" s="151"/>
    </row>
    <row r="762" ht="12.0" customHeight="1">
      <c r="B762" s="1"/>
      <c r="D762" s="161"/>
      <c r="E762" s="161"/>
      <c r="F762" s="161"/>
      <c r="G762" s="348"/>
      <c r="H762" s="348"/>
      <c r="I762" s="348"/>
      <c r="J762" s="348"/>
      <c r="K762" s="348"/>
      <c r="L762" s="3"/>
      <c r="M762" s="928"/>
      <c r="O762" s="151"/>
    </row>
    <row r="763" ht="12.0" customHeight="1">
      <c r="B763" s="1"/>
      <c r="D763" s="161"/>
      <c r="E763" s="161"/>
      <c r="F763" s="161"/>
      <c r="G763" s="348"/>
      <c r="H763" s="348"/>
      <c r="I763" s="348"/>
      <c r="J763" s="348"/>
      <c r="K763" s="348"/>
      <c r="L763" s="3"/>
      <c r="M763" s="928"/>
      <c r="O763" s="151"/>
    </row>
    <row r="764" ht="12.0" customHeight="1">
      <c r="B764" s="1"/>
      <c r="D764" s="161"/>
      <c r="E764" s="161"/>
      <c r="F764" s="161"/>
      <c r="G764" s="348"/>
      <c r="H764" s="348"/>
      <c r="I764" s="348"/>
      <c r="J764" s="348"/>
      <c r="K764" s="348"/>
      <c r="L764" s="3"/>
      <c r="M764" s="928"/>
      <c r="O764" s="151"/>
    </row>
    <row r="765" ht="12.0" customHeight="1">
      <c r="B765" s="1"/>
      <c r="D765" s="161"/>
      <c r="E765" s="161"/>
      <c r="F765" s="161"/>
      <c r="G765" s="348"/>
      <c r="H765" s="348"/>
      <c r="I765" s="348"/>
      <c r="J765" s="348"/>
      <c r="K765" s="348"/>
      <c r="L765" s="3"/>
      <c r="M765" s="928"/>
      <c r="O765" s="151"/>
    </row>
    <row r="766" ht="12.0" customHeight="1">
      <c r="B766" s="1"/>
      <c r="D766" s="161"/>
      <c r="E766" s="161"/>
      <c r="F766" s="161"/>
      <c r="G766" s="348"/>
      <c r="H766" s="348"/>
      <c r="I766" s="348"/>
      <c r="J766" s="348"/>
      <c r="K766" s="348"/>
      <c r="L766" s="3"/>
      <c r="M766" s="928"/>
      <c r="O766" s="151"/>
    </row>
    <row r="767" ht="12.0" customHeight="1">
      <c r="B767" s="1"/>
      <c r="D767" s="161"/>
      <c r="E767" s="161"/>
      <c r="F767" s="161"/>
      <c r="G767" s="348"/>
      <c r="H767" s="348"/>
      <c r="I767" s="348"/>
      <c r="J767" s="348"/>
      <c r="K767" s="348"/>
      <c r="L767" s="3"/>
      <c r="M767" s="928"/>
      <c r="O767" s="151"/>
    </row>
    <row r="768" ht="12.0" customHeight="1">
      <c r="B768" s="1"/>
      <c r="D768" s="161"/>
      <c r="E768" s="161"/>
      <c r="F768" s="161"/>
      <c r="G768" s="348"/>
      <c r="H768" s="348"/>
      <c r="I768" s="348"/>
      <c r="J768" s="348"/>
      <c r="K768" s="348"/>
      <c r="L768" s="3"/>
      <c r="M768" s="928"/>
      <c r="O768" s="151"/>
    </row>
    <row r="769" ht="12.0" customHeight="1">
      <c r="B769" s="1"/>
      <c r="D769" s="161"/>
      <c r="E769" s="161"/>
      <c r="F769" s="161"/>
      <c r="G769" s="348"/>
      <c r="H769" s="348"/>
      <c r="I769" s="348"/>
      <c r="J769" s="348"/>
      <c r="K769" s="348"/>
      <c r="L769" s="3"/>
      <c r="M769" s="928"/>
      <c r="O769" s="151"/>
    </row>
    <row r="770" ht="12.0" customHeight="1">
      <c r="B770" s="1"/>
      <c r="D770" s="161"/>
      <c r="E770" s="161"/>
      <c r="F770" s="161"/>
      <c r="G770" s="348"/>
      <c r="H770" s="348"/>
      <c r="I770" s="348"/>
      <c r="J770" s="348"/>
      <c r="K770" s="348"/>
      <c r="L770" s="3"/>
      <c r="M770" s="928"/>
      <c r="O770" s="151"/>
    </row>
    <row r="771" ht="12.0" customHeight="1">
      <c r="B771" s="1"/>
      <c r="D771" s="161"/>
      <c r="E771" s="161"/>
      <c r="F771" s="161"/>
      <c r="G771" s="348"/>
      <c r="H771" s="348"/>
      <c r="I771" s="348"/>
      <c r="J771" s="348"/>
      <c r="K771" s="348"/>
      <c r="L771" s="3"/>
      <c r="M771" s="928"/>
      <c r="O771" s="151"/>
    </row>
    <row r="772" ht="12.0" customHeight="1">
      <c r="B772" s="1"/>
      <c r="D772" s="161"/>
      <c r="E772" s="161"/>
      <c r="F772" s="161"/>
      <c r="G772" s="348"/>
      <c r="H772" s="348"/>
      <c r="I772" s="348"/>
      <c r="J772" s="348"/>
      <c r="K772" s="348"/>
      <c r="L772" s="3"/>
      <c r="M772" s="928"/>
      <c r="O772" s="151"/>
    </row>
    <row r="773" ht="12.0" customHeight="1">
      <c r="B773" s="1"/>
      <c r="D773" s="161"/>
      <c r="E773" s="161"/>
      <c r="F773" s="161"/>
      <c r="G773" s="348"/>
      <c r="H773" s="348"/>
      <c r="I773" s="348"/>
      <c r="J773" s="348"/>
      <c r="K773" s="348"/>
      <c r="L773" s="3"/>
      <c r="M773" s="928"/>
      <c r="O773" s="151"/>
    </row>
    <row r="774" ht="12.0" customHeight="1">
      <c r="B774" s="1"/>
      <c r="D774" s="161"/>
      <c r="E774" s="161"/>
      <c r="F774" s="161"/>
      <c r="G774" s="348"/>
      <c r="H774" s="348"/>
      <c r="I774" s="348"/>
      <c r="J774" s="348"/>
      <c r="K774" s="348"/>
      <c r="L774" s="3"/>
      <c r="M774" s="928"/>
      <c r="O774" s="151"/>
    </row>
    <row r="775" ht="12.0" customHeight="1">
      <c r="B775" s="1"/>
      <c r="D775" s="161"/>
      <c r="E775" s="161"/>
      <c r="F775" s="161"/>
      <c r="G775" s="348"/>
      <c r="H775" s="348"/>
      <c r="I775" s="348"/>
      <c r="J775" s="348"/>
      <c r="K775" s="348"/>
      <c r="L775" s="3"/>
      <c r="M775" s="928"/>
      <c r="O775" s="151"/>
    </row>
    <row r="776" ht="12.0" customHeight="1">
      <c r="B776" s="1"/>
      <c r="D776" s="161"/>
      <c r="E776" s="161"/>
      <c r="F776" s="161"/>
      <c r="G776" s="348"/>
      <c r="H776" s="348"/>
      <c r="I776" s="348"/>
      <c r="J776" s="348"/>
      <c r="K776" s="348"/>
      <c r="L776" s="3"/>
      <c r="M776" s="928"/>
      <c r="O776" s="151"/>
    </row>
    <row r="777" ht="12.0" customHeight="1">
      <c r="B777" s="1"/>
      <c r="D777" s="161"/>
      <c r="E777" s="161"/>
      <c r="F777" s="161"/>
      <c r="G777" s="348"/>
      <c r="H777" s="348"/>
      <c r="I777" s="348"/>
      <c r="J777" s="348"/>
      <c r="K777" s="348"/>
      <c r="L777" s="3"/>
      <c r="M777" s="928"/>
      <c r="O777" s="151"/>
    </row>
    <row r="778" ht="12.0" customHeight="1">
      <c r="B778" s="1"/>
      <c r="D778" s="161"/>
      <c r="E778" s="161"/>
      <c r="F778" s="161"/>
      <c r="G778" s="348"/>
      <c r="H778" s="348"/>
      <c r="I778" s="348"/>
      <c r="J778" s="348"/>
      <c r="K778" s="348"/>
      <c r="L778" s="3"/>
      <c r="M778" s="928"/>
      <c r="O778" s="151"/>
    </row>
    <row r="779" ht="12.0" customHeight="1">
      <c r="B779" s="1"/>
      <c r="D779" s="161"/>
      <c r="E779" s="161"/>
      <c r="F779" s="161"/>
      <c r="G779" s="348"/>
      <c r="H779" s="348"/>
      <c r="I779" s="348"/>
      <c r="J779" s="348"/>
      <c r="K779" s="348"/>
      <c r="L779" s="3"/>
      <c r="M779" s="928"/>
      <c r="O779" s="151"/>
    </row>
    <row r="780" ht="12.0" customHeight="1">
      <c r="B780" s="1"/>
      <c r="D780" s="161"/>
      <c r="E780" s="161"/>
      <c r="F780" s="161"/>
      <c r="G780" s="348"/>
      <c r="H780" s="348"/>
      <c r="I780" s="348"/>
      <c r="J780" s="348"/>
      <c r="K780" s="348"/>
      <c r="L780" s="3"/>
      <c r="M780" s="928"/>
      <c r="O780" s="151"/>
    </row>
    <row r="781" ht="12.0" customHeight="1">
      <c r="B781" s="1"/>
      <c r="D781" s="161"/>
      <c r="E781" s="161"/>
      <c r="F781" s="161"/>
      <c r="G781" s="348"/>
      <c r="H781" s="348"/>
      <c r="I781" s="348"/>
      <c r="J781" s="348"/>
      <c r="K781" s="348"/>
      <c r="L781" s="3"/>
      <c r="M781" s="928"/>
      <c r="O781" s="151"/>
    </row>
    <row r="782" ht="12.0" customHeight="1">
      <c r="B782" s="1"/>
      <c r="D782" s="161"/>
      <c r="E782" s="161"/>
      <c r="F782" s="161"/>
      <c r="G782" s="348"/>
      <c r="H782" s="348"/>
      <c r="I782" s="348"/>
      <c r="J782" s="348"/>
      <c r="K782" s="348"/>
      <c r="L782" s="3"/>
      <c r="M782" s="928"/>
      <c r="O782" s="151"/>
    </row>
    <row r="783" ht="12.0" customHeight="1">
      <c r="B783" s="1"/>
      <c r="D783" s="161"/>
      <c r="E783" s="161"/>
      <c r="F783" s="161"/>
      <c r="G783" s="348"/>
      <c r="H783" s="348"/>
      <c r="I783" s="348"/>
      <c r="J783" s="348"/>
      <c r="K783" s="348"/>
      <c r="L783" s="3"/>
      <c r="M783" s="928"/>
      <c r="O783" s="151"/>
    </row>
    <row r="784" ht="12.0" customHeight="1">
      <c r="B784" s="1"/>
      <c r="D784" s="161"/>
      <c r="E784" s="161"/>
      <c r="F784" s="161"/>
      <c r="G784" s="348"/>
      <c r="H784" s="348"/>
      <c r="I784" s="348"/>
      <c r="J784" s="348"/>
      <c r="K784" s="348"/>
      <c r="L784" s="3"/>
      <c r="M784" s="928"/>
      <c r="O784" s="151"/>
    </row>
    <row r="785" ht="12.0" customHeight="1">
      <c r="B785" s="1"/>
      <c r="D785" s="161"/>
      <c r="E785" s="161"/>
      <c r="F785" s="161"/>
      <c r="G785" s="348"/>
      <c r="H785" s="348"/>
      <c r="I785" s="348"/>
      <c r="J785" s="348"/>
      <c r="K785" s="348"/>
      <c r="L785" s="3"/>
      <c r="M785" s="928"/>
      <c r="O785" s="151"/>
    </row>
    <row r="786" ht="12.0" customHeight="1">
      <c r="B786" s="1"/>
      <c r="D786" s="161"/>
      <c r="E786" s="161"/>
      <c r="F786" s="161"/>
      <c r="G786" s="348"/>
      <c r="H786" s="348"/>
      <c r="I786" s="348"/>
      <c r="J786" s="348"/>
      <c r="K786" s="348"/>
      <c r="L786" s="3"/>
      <c r="M786" s="928"/>
      <c r="O786" s="151"/>
    </row>
    <row r="787" ht="12.0" customHeight="1">
      <c r="B787" s="1"/>
      <c r="D787" s="161"/>
      <c r="E787" s="161"/>
      <c r="F787" s="161"/>
      <c r="G787" s="348"/>
      <c r="H787" s="348"/>
      <c r="I787" s="348"/>
      <c r="J787" s="348"/>
      <c r="K787" s="348"/>
      <c r="L787" s="3"/>
      <c r="M787" s="928"/>
      <c r="O787" s="151"/>
    </row>
    <row r="788" ht="12.0" customHeight="1">
      <c r="B788" s="1"/>
      <c r="D788" s="161"/>
      <c r="E788" s="161"/>
      <c r="F788" s="161"/>
      <c r="G788" s="348"/>
      <c r="H788" s="348"/>
      <c r="I788" s="348"/>
      <c r="J788" s="348"/>
      <c r="K788" s="348"/>
      <c r="L788" s="3"/>
      <c r="M788" s="928"/>
      <c r="O788" s="151"/>
    </row>
    <row r="789" ht="12.0" customHeight="1">
      <c r="B789" s="1"/>
      <c r="D789" s="161"/>
      <c r="E789" s="161"/>
      <c r="F789" s="161"/>
      <c r="G789" s="348"/>
      <c r="H789" s="348"/>
      <c r="I789" s="348"/>
      <c r="J789" s="348"/>
      <c r="K789" s="348"/>
      <c r="L789" s="3"/>
      <c r="M789" s="928"/>
      <c r="O789" s="151"/>
    </row>
    <row r="790" ht="12.0" customHeight="1">
      <c r="B790" s="1"/>
      <c r="D790" s="161"/>
      <c r="E790" s="161"/>
      <c r="F790" s="161"/>
      <c r="G790" s="348"/>
      <c r="H790" s="348"/>
      <c r="I790" s="348"/>
      <c r="J790" s="348"/>
      <c r="K790" s="348"/>
      <c r="L790" s="3"/>
      <c r="M790" s="928"/>
      <c r="O790" s="151"/>
    </row>
    <row r="791" ht="12.0" customHeight="1">
      <c r="B791" s="1"/>
      <c r="D791" s="161"/>
      <c r="E791" s="161"/>
      <c r="F791" s="161"/>
      <c r="G791" s="348"/>
      <c r="H791" s="348"/>
      <c r="I791" s="348"/>
      <c r="J791" s="348"/>
      <c r="K791" s="348"/>
      <c r="L791" s="3"/>
      <c r="M791" s="928"/>
      <c r="O791" s="151"/>
    </row>
    <row r="792" ht="12.0" customHeight="1">
      <c r="B792" s="1"/>
      <c r="D792" s="161"/>
      <c r="E792" s="161"/>
      <c r="F792" s="161"/>
      <c r="G792" s="348"/>
      <c r="H792" s="348"/>
      <c r="I792" s="348"/>
      <c r="J792" s="348"/>
      <c r="K792" s="348"/>
      <c r="L792" s="3"/>
      <c r="M792" s="928"/>
      <c r="O792" s="151"/>
    </row>
    <row r="793" ht="12.0" customHeight="1">
      <c r="B793" s="1"/>
      <c r="D793" s="161"/>
      <c r="E793" s="161"/>
      <c r="F793" s="161"/>
      <c r="G793" s="348"/>
      <c r="H793" s="348"/>
      <c r="I793" s="348"/>
      <c r="J793" s="348"/>
      <c r="K793" s="348"/>
      <c r="L793" s="3"/>
      <c r="M793" s="928"/>
      <c r="O793" s="151"/>
    </row>
    <row r="794" ht="12.0" customHeight="1">
      <c r="B794" s="1"/>
      <c r="D794" s="161"/>
      <c r="E794" s="161"/>
      <c r="F794" s="161"/>
      <c r="G794" s="348"/>
      <c r="H794" s="348"/>
      <c r="I794" s="348"/>
      <c r="J794" s="348"/>
      <c r="K794" s="348"/>
      <c r="L794" s="3"/>
      <c r="M794" s="928"/>
      <c r="O794" s="151"/>
    </row>
    <row r="795" ht="12.0" customHeight="1">
      <c r="B795" s="1"/>
      <c r="D795" s="161"/>
      <c r="E795" s="161"/>
      <c r="F795" s="161"/>
      <c r="G795" s="348"/>
      <c r="H795" s="348"/>
      <c r="I795" s="348"/>
      <c r="J795" s="348"/>
      <c r="K795" s="348"/>
      <c r="L795" s="3"/>
      <c r="M795" s="928"/>
      <c r="O795" s="151"/>
    </row>
    <row r="796" ht="12.0" customHeight="1">
      <c r="B796" s="1"/>
      <c r="D796" s="161"/>
      <c r="E796" s="161"/>
      <c r="F796" s="161"/>
      <c r="G796" s="348"/>
      <c r="H796" s="348"/>
      <c r="I796" s="348"/>
      <c r="J796" s="348"/>
      <c r="K796" s="348"/>
      <c r="L796" s="3"/>
      <c r="M796" s="928"/>
      <c r="O796" s="151"/>
    </row>
    <row r="797" ht="12.0" customHeight="1">
      <c r="B797" s="1"/>
      <c r="D797" s="161"/>
      <c r="E797" s="161"/>
      <c r="F797" s="161"/>
      <c r="G797" s="348"/>
      <c r="H797" s="348"/>
      <c r="I797" s="348"/>
      <c r="J797" s="348"/>
      <c r="K797" s="348"/>
      <c r="L797" s="3"/>
      <c r="M797" s="928"/>
      <c r="O797" s="151"/>
    </row>
    <row r="798" ht="12.0" customHeight="1">
      <c r="B798" s="1"/>
      <c r="D798" s="161"/>
      <c r="E798" s="161"/>
      <c r="F798" s="161"/>
      <c r="G798" s="348"/>
      <c r="H798" s="348"/>
      <c r="I798" s="348"/>
      <c r="J798" s="348"/>
      <c r="K798" s="348"/>
      <c r="L798" s="3"/>
      <c r="M798" s="928"/>
      <c r="O798" s="151"/>
    </row>
    <row r="799" ht="12.0" customHeight="1">
      <c r="B799" s="1"/>
      <c r="D799" s="161"/>
      <c r="E799" s="161"/>
      <c r="F799" s="161"/>
      <c r="G799" s="348"/>
      <c r="H799" s="348"/>
      <c r="I799" s="348"/>
      <c r="J799" s="348"/>
      <c r="K799" s="348"/>
      <c r="L799" s="3"/>
      <c r="M799" s="928"/>
      <c r="O799" s="151"/>
    </row>
    <row r="800" ht="12.0" customHeight="1">
      <c r="B800" s="1"/>
      <c r="D800" s="161"/>
      <c r="E800" s="161"/>
      <c r="F800" s="161"/>
      <c r="G800" s="348"/>
      <c r="H800" s="348"/>
      <c r="I800" s="348"/>
      <c r="J800" s="348"/>
      <c r="K800" s="348"/>
      <c r="L800" s="3"/>
      <c r="M800" s="928"/>
      <c r="O800" s="151"/>
    </row>
    <row r="801" ht="12.0" customHeight="1">
      <c r="B801" s="1"/>
      <c r="D801" s="161"/>
      <c r="E801" s="161"/>
      <c r="F801" s="161"/>
      <c r="G801" s="348"/>
      <c r="H801" s="348"/>
      <c r="I801" s="348"/>
      <c r="J801" s="348"/>
      <c r="K801" s="348"/>
      <c r="L801" s="3"/>
      <c r="M801" s="928"/>
      <c r="O801" s="151"/>
    </row>
    <row r="802" ht="12.0" customHeight="1">
      <c r="B802" s="1"/>
      <c r="D802" s="161"/>
      <c r="E802" s="161"/>
      <c r="F802" s="161"/>
      <c r="G802" s="348"/>
      <c r="H802" s="348"/>
      <c r="I802" s="348"/>
      <c r="J802" s="348"/>
      <c r="K802" s="348"/>
      <c r="L802" s="3"/>
      <c r="M802" s="928"/>
      <c r="O802" s="151"/>
    </row>
    <row r="803" ht="12.0" customHeight="1">
      <c r="B803" s="1"/>
      <c r="D803" s="161"/>
      <c r="E803" s="161"/>
      <c r="F803" s="161"/>
      <c r="G803" s="348"/>
      <c r="H803" s="348"/>
      <c r="I803" s="348"/>
      <c r="J803" s="348"/>
      <c r="K803" s="348"/>
      <c r="L803" s="3"/>
      <c r="M803" s="928"/>
      <c r="O803" s="151"/>
    </row>
    <row r="804" ht="12.0" customHeight="1">
      <c r="B804" s="1"/>
      <c r="D804" s="161"/>
      <c r="E804" s="161"/>
      <c r="F804" s="161"/>
      <c r="G804" s="348"/>
      <c r="H804" s="348"/>
      <c r="I804" s="348"/>
      <c r="J804" s="348"/>
      <c r="K804" s="348"/>
      <c r="L804" s="3"/>
      <c r="M804" s="928"/>
      <c r="O804" s="151"/>
    </row>
    <row r="805" ht="12.0" customHeight="1">
      <c r="B805" s="1"/>
      <c r="D805" s="161"/>
      <c r="E805" s="161"/>
      <c r="F805" s="161"/>
      <c r="G805" s="348"/>
      <c r="H805" s="348"/>
      <c r="I805" s="348"/>
      <c r="J805" s="348"/>
      <c r="K805" s="348"/>
      <c r="L805" s="3"/>
      <c r="M805" s="928"/>
      <c r="O805" s="151"/>
    </row>
    <row r="806" ht="12.0" customHeight="1">
      <c r="B806" s="1"/>
      <c r="D806" s="161"/>
      <c r="E806" s="161"/>
      <c r="F806" s="161"/>
      <c r="G806" s="348"/>
      <c r="H806" s="348"/>
      <c r="I806" s="348"/>
      <c r="J806" s="348"/>
      <c r="K806" s="348"/>
      <c r="L806" s="3"/>
      <c r="M806" s="928"/>
      <c r="O806" s="151"/>
    </row>
    <row r="807" ht="12.0" customHeight="1">
      <c r="B807" s="1"/>
      <c r="D807" s="161"/>
      <c r="E807" s="161"/>
      <c r="F807" s="161"/>
      <c r="G807" s="348"/>
      <c r="H807" s="348"/>
      <c r="I807" s="348"/>
      <c r="J807" s="348"/>
      <c r="K807" s="348"/>
      <c r="L807" s="3"/>
      <c r="M807" s="928"/>
      <c r="O807" s="151"/>
    </row>
    <row r="808" ht="12.0" customHeight="1">
      <c r="B808" s="1"/>
      <c r="D808" s="161"/>
      <c r="E808" s="161"/>
      <c r="F808" s="161"/>
      <c r="G808" s="348"/>
      <c r="H808" s="348"/>
      <c r="I808" s="348"/>
      <c r="J808" s="348"/>
      <c r="K808" s="348"/>
      <c r="L808" s="3"/>
      <c r="M808" s="928"/>
      <c r="O808" s="151"/>
    </row>
    <row r="809" ht="12.0" customHeight="1">
      <c r="B809" s="1"/>
      <c r="D809" s="161"/>
      <c r="E809" s="161"/>
      <c r="F809" s="161"/>
      <c r="G809" s="348"/>
      <c r="H809" s="348"/>
      <c r="I809" s="348"/>
      <c r="J809" s="348"/>
      <c r="K809" s="348"/>
      <c r="L809" s="3"/>
      <c r="M809" s="928"/>
      <c r="O809" s="151"/>
    </row>
    <row r="810" ht="12.0" customHeight="1">
      <c r="B810" s="1"/>
      <c r="D810" s="161"/>
      <c r="E810" s="161"/>
      <c r="F810" s="161"/>
      <c r="G810" s="348"/>
      <c r="H810" s="348"/>
      <c r="I810" s="348"/>
      <c r="J810" s="348"/>
      <c r="K810" s="348"/>
      <c r="L810" s="3"/>
      <c r="M810" s="928"/>
      <c r="O810" s="151"/>
    </row>
    <row r="811" ht="12.0" customHeight="1">
      <c r="B811" s="1"/>
      <c r="D811" s="161"/>
      <c r="E811" s="161"/>
      <c r="F811" s="161"/>
      <c r="G811" s="348"/>
      <c r="H811" s="348"/>
      <c r="I811" s="348"/>
      <c r="J811" s="348"/>
      <c r="K811" s="348"/>
      <c r="L811" s="3"/>
      <c r="M811" s="928"/>
      <c r="O811" s="151"/>
    </row>
    <row r="812" ht="12.0" customHeight="1">
      <c r="B812" s="1"/>
      <c r="D812" s="161"/>
      <c r="E812" s="161"/>
      <c r="F812" s="161"/>
      <c r="G812" s="348"/>
      <c r="H812" s="348"/>
      <c r="I812" s="348"/>
      <c r="J812" s="348"/>
      <c r="K812" s="348"/>
      <c r="L812" s="3"/>
      <c r="M812" s="928"/>
      <c r="O812" s="151"/>
    </row>
    <row r="813" ht="12.0" customHeight="1">
      <c r="B813" s="1"/>
      <c r="D813" s="161"/>
      <c r="E813" s="161"/>
      <c r="F813" s="161"/>
      <c r="G813" s="348"/>
      <c r="H813" s="348"/>
      <c r="I813" s="348"/>
      <c r="J813" s="348"/>
      <c r="K813" s="348"/>
      <c r="L813" s="3"/>
      <c r="M813" s="928"/>
      <c r="O813" s="151"/>
    </row>
    <row r="814" ht="12.0" customHeight="1">
      <c r="B814" s="1"/>
      <c r="D814" s="161"/>
      <c r="E814" s="161"/>
      <c r="F814" s="161"/>
      <c r="G814" s="348"/>
      <c r="H814" s="348"/>
      <c r="I814" s="348"/>
      <c r="J814" s="348"/>
      <c r="K814" s="348"/>
      <c r="L814" s="3"/>
      <c r="M814" s="928"/>
      <c r="O814" s="151"/>
    </row>
    <row r="815" ht="12.0" customHeight="1">
      <c r="B815" s="1"/>
      <c r="D815" s="161"/>
      <c r="E815" s="161"/>
      <c r="F815" s="161"/>
      <c r="G815" s="348"/>
      <c r="H815" s="348"/>
      <c r="I815" s="348"/>
      <c r="J815" s="348"/>
      <c r="K815" s="348"/>
      <c r="L815" s="3"/>
      <c r="M815" s="928"/>
      <c r="O815" s="151"/>
    </row>
    <row r="816" ht="12.0" customHeight="1">
      <c r="B816" s="1"/>
      <c r="D816" s="161"/>
      <c r="E816" s="161"/>
      <c r="F816" s="161"/>
      <c r="G816" s="348"/>
      <c r="H816" s="348"/>
      <c r="I816" s="348"/>
      <c r="J816" s="348"/>
      <c r="K816" s="348"/>
      <c r="L816" s="3"/>
      <c r="M816" s="928"/>
      <c r="O816" s="151"/>
    </row>
    <row r="817" ht="12.0" customHeight="1">
      <c r="B817" s="1"/>
      <c r="D817" s="161"/>
      <c r="E817" s="161"/>
      <c r="F817" s="161"/>
      <c r="G817" s="348"/>
      <c r="H817" s="348"/>
      <c r="I817" s="348"/>
      <c r="J817" s="348"/>
      <c r="K817" s="348"/>
      <c r="L817" s="3"/>
      <c r="M817" s="928"/>
      <c r="O817" s="151"/>
    </row>
    <row r="818" ht="12.0" customHeight="1">
      <c r="B818" s="1"/>
      <c r="D818" s="161"/>
      <c r="E818" s="161"/>
      <c r="F818" s="161"/>
      <c r="G818" s="348"/>
      <c r="H818" s="348"/>
      <c r="I818" s="348"/>
      <c r="J818" s="348"/>
      <c r="K818" s="348"/>
      <c r="L818" s="3"/>
      <c r="M818" s="928"/>
      <c r="O818" s="151"/>
    </row>
    <row r="819" ht="12.0" customHeight="1">
      <c r="B819" s="1"/>
      <c r="D819" s="161"/>
      <c r="E819" s="161"/>
      <c r="F819" s="161"/>
      <c r="G819" s="348"/>
      <c r="H819" s="348"/>
      <c r="I819" s="348"/>
      <c r="J819" s="348"/>
      <c r="K819" s="348"/>
      <c r="L819" s="3"/>
      <c r="M819" s="928"/>
      <c r="O819" s="151"/>
    </row>
    <row r="820" ht="12.0" customHeight="1">
      <c r="B820" s="1"/>
      <c r="D820" s="161"/>
      <c r="E820" s="161"/>
      <c r="F820" s="161"/>
      <c r="G820" s="348"/>
      <c r="H820" s="348"/>
      <c r="I820" s="348"/>
      <c r="J820" s="348"/>
      <c r="K820" s="348"/>
      <c r="L820" s="3"/>
      <c r="M820" s="928"/>
      <c r="O820" s="151"/>
    </row>
    <row r="821" ht="12.0" customHeight="1">
      <c r="B821" s="1"/>
      <c r="D821" s="161"/>
      <c r="E821" s="161"/>
      <c r="F821" s="161"/>
      <c r="G821" s="348"/>
      <c r="H821" s="348"/>
      <c r="I821" s="348"/>
      <c r="J821" s="348"/>
      <c r="K821" s="348"/>
      <c r="L821" s="3"/>
      <c r="M821" s="928"/>
      <c r="O821" s="151"/>
    </row>
    <row r="822" ht="12.0" customHeight="1">
      <c r="B822" s="1"/>
      <c r="D822" s="161"/>
      <c r="E822" s="161"/>
      <c r="F822" s="161"/>
      <c r="G822" s="348"/>
      <c r="H822" s="348"/>
      <c r="I822" s="348"/>
      <c r="J822" s="348"/>
      <c r="K822" s="348"/>
      <c r="L822" s="3"/>
      <c r="M822" s="928"/>
      <c r="O822" s="151"/>
    </row>
    <row r="823" ht="12.0" customHeight="1">
      <c r="B823" s="1"/>
      <c r="D823" s="161"/>
      <c r="E823" s="161"/>
      <c r="F823" s="161"/>
      <c r="G823" s="348"/>
      <c r="H823" s="348"/>
      <c r="I823" s="348"/>
      <c r="J823" s="348"/>
      <c r="K823" s="348"/>
      <c r="L823" s="3"/>
      <c r="M823" s="928"/>
      <c r="O823" s="151"/>
    </row>
    <row r="824" ht="12.0" customHeight="1">
      <c r="B824" s="1"/>
      <c r="D824" s="161"/>
      <c r="E824" s="161"/>
      <c r="F824" s="161"/>
      <c r="G824" s="348"/>
      <c r="H824" s="348"/>
      <c r="I824" s="348"/>
      <c r="J824" s="348"/>
      <c r="K824" s="348"/>
      <c r="L824" s="3"/>
      <c r="M824" s="928"/>
      <c r="O824" s="151"/>
    </row>
    <row r="825" ht="12.0" customHeight="1">
      <c r="B825" s="1"/>
      <c r="D825" s="161"/>
      <c r="E825" s="161"/>
      <c r="F825" s="161"/>
      <c r="G825" s="348"/>
      <c r="H825" s="348"/>
      <c r="I825" s="348"/>
      <c r="J825" s="348"/>
      <c r="K825" s="348"/>
      <c r="L825" s="3"/>
      <c r="M825" s="928"/>
      <c r="O825" s="151"/>
    </row>
    <row r="826" ht="12.0" customHeight="1">
      <c r="B826" s="1"/>
      <c r="D826" s="161"/>
      <c r="E826" s="161"/>
      <c r="F826" s="161"/>
      <c r="G826" s="348"/>
      <c r="H826" s="348"/>
      <c r="I826" s="348"/>
      <c r="J826" s="348"/>
      <c r="K826" s="348"/>
      <c r="L826" s="3"/>
      <c r="M826" s="928"/>
      <c r="O826" s="151"/>
    </row>
    <row r="827" ht="12.0" customHeight="1">
      <c r="B827" s="1"/>
      <c r="D827" s="161"/>
      <c r="E827" s="161"/>
      <c r="F827" s="161"/>
      <c r="G827" s="348"/>
      <c r="H827" s="348"/>
      <c r="I827" s="348"/>
      <c r="J827" s="348"/>
      <c r="K827" s="348"/>
      <c r="L827" s="3"/>
      <c r="M827" s="928"/>
      <c r="O827" s="151"/>
    </row>
    <row r="828" ht="12.0" customHeight="1">
      <c r="B828" s="1"/>
      <c r="D828" s="161"/>
      <c r="E828" s="161"/>
      <c r="F828" s="161"/>
      <c r="G828" s="348"/>
      <c r="H828" s="348"/>
      <c r="I828" s="348"/>
      <c r="J828" s="348"/>
      <c r="K828" s="348"/>
      <c r="L828" s="3"/>
      <c r="M828" s="928"/>
      <c r="O828" s="151"/>
    </row>
    <row r="829" ht="12.0" customHeight="1">
      <c r="B829" s="1"/>
      <c r="D829" s="161"/>
      <c r="E829" s="161"/>
      <c r="F829" s="161"/>
      <c r="G829" s="348"/>
      <c r="H829" s="348"/>
      <c r="I829" s="348"/>
      <c r="J829" s="348"/>
      <c r="K829" s="348"/>
      <c r="L829" s="3"/>
      <c r="M829" s="928"/>
      <c r="O829" s="151"/>
    </row>
    <row r="830" ht="12.0" customHeight="1">
      <c r="B830" s="1"/>
      <c r="D830" s="161"/>
      <c r="E830" s="161"/>
      <c r="F830" s="161"/>
      <c r="G830" s="348"/>
      <c r="H830" s="348"/>
      <c r="I830" s="348"/>
      <c r="J830" s="348"/>
      <c r="K830" s="348"/>
      <c r="L830" s="3"/>
      <c r="M830" s="928"/>
      <c r="O830" s="151"/>
    </row>
    <row r="831" ht="12.0" customHeight="1">
      <c r="B831" s="1"/>
      <c r="D831" s="161"/>
      <c r="E831" s="161"/>
      <c r="F831" s="161"/>
      <c r="G831" s="348"/>
      <c r="H831" s="348"/>
      <c r="I831" s="348"/>
      <c r="J831" s="348"/>
      <c r="K831" s="348"/>
      <c r="L831" s="3"/>
      <c r="M831" s="928"/>
      <c r="O831" s="151"/>
    </row>
    <row r="832" ht="12.0" customHeight="1">
      <c r="B832" s="1"/>
      <c r="D832" s="161"/>
      <c r="E832" s="161"/>
      <c r="F832" s="161"/>
      <c r="G832" s="348"/>
      <c r="H832" s="348"/>
      <c r="I832" s="348"/>
      <c r="J832" s="348"/>
      <c r="K832" s="348"/>
      <c r="L832" s="3"/>
      <c r="M832" s="928"/>
      <c r="O832" s="151"/>
    </row>
    <row r="833" ht="12.0" customHeight="1">
      <c r="B833" s="1"/>
      <c r="D833" s="161"/>
      <c r="E833" s="161"/>
      <c r="F833" s="161"/>
      <c r="G833" s="348"/>
      <c r="H833" s="348"/>
      <c r="I833" s="348"/>
      <c r="J833" s="348"/>
      <c r="K833" s="348"/>
      <c r="L833" s="3"/>
      <c r="M833" s="928"/>
      <c r="O833" s="151"/>
    </row>
    <row r="834" ht="12.0" customHeight="1">
      <c r="B834" s="1"/>
      <c r="D834" s="161"/>
      <c r="E834" s="161"/>
      <c r="F834" s="161"/>
      <c r="G834" s="348"/>
      <c r="H834" s="348"/>
      <c r="I834" s="348"/>
      <c r="J834" s="348"/>
      <c r="K834" s="348"/>
      <c r="L834" s="3"/>
      <c r="M834" s="928"/>
      <c r="O834" s="151"/>
    </row>
    <row r="835" ht="12.0" customHeight="1">
      <c r="B835" s="1"/>
      <c r="D835" s="161"/>
      <c r="E835" s="161"/>
      <c r="F835" s="161"/>
      <c r="G835" s="348"/>
      <c r="H835" s="348"/>
      <c r="I835" s="348"/>
      <c r="J835" s="348"/>
      <c r="K835" s="348"/>
      <c r="L835" s="3"/>
      <c r="M835" s="928"/>
      <c r="O835" s="151"/>
    </row>
    <row r="836" ht="12.0" customHeight="1">
      <c r="B836" s="1"/>
      <c r="D836" s="161"/>
      <c r="E836" s="161"/>
      <c r="F836" s="161"/>
      <c r="G836" s="348"/>
      <c r="H836" s="348"/>
      <c r="I836" s="348"/>
      <c r="J836" s="348"/>
      <c r="K836" s="348"/>
      <c r="L836" s="3"/>
      <c r="M836" s="928"/>
      <c r="O836" s="151"/>
    </row>
    <row r="837" ht="12.0" customHeight="1">
      <c r="B837" s="1"/>
      <c r="D837" s="161"/>
      <c r="E837" s="161"/>
      <c r="F837" s="161"/>
      <c r="G837" s="348"/>
      <c r="H837" s="348"/>
      <c r="I837" s="348"/>
      <c r="J837" s="348"/>
      <c r="K837" s="348"/>
      <c r="L837" s="3"/>
      <c r="M837" s="928"/>
      <c r="O837" s="151"/>
    </row>
    <row r="838" ht="12.0" customHeight="1">
      <c r="B838" s="1"/>
      <c r="D838" s="161"/>
      <c r="E838" s="161"/>
      <c r="F838" s="161"/>
      <c r="G838" s="348"/>
      <c r="H838" s="348"/>
      <c r="I838" s="348"/>
      <c r="J838" s="348"/>
      <c r="K838" s="348"/>
      <c r="L838" s="3"/>
      <c r="M838" s="928"/>
      <c r="O838" s="151"/>
    </row>
    <row r="839" ht="12.0" customHeight="1">
      <c r="B839" s="1"/>
      <c r="D839" s="161"/>
      <c r="E839" s="161"/>
      <c r="F839" s="161"/>
      <c r="G839" s="348"/>
      <c r="H839" s="348"/>
      <c r="I839" s="348"/>
      <c r="J839" s="348"/>
      <c r="K839" s="348"/>
      <c r="L839" s="3"/>
      <c r="M839" s="928"/>
      <c r="O839" s="151"/>
    </row>
    <row r="840" ht="12.0" customHeight="1">
      <c r="B840" s="1"/>
      <c r="D840" s="161"/>
      <c r="E840" s="161"/>
      <c r="F840" s="161"/>
      <c r="G840" s="348"/>
      <c r="H840" s="348"/>
      <c r="I840" s="348"/>
      <c r="J840" s="348"/>
      <c r="K840" s="348"/>
      <c r="L840" s="3"/>
      <c r="M840" s="928"/>
      <c r="O840" s="151"/>
    </row>
    <row r="841" ht="12.0" customHeight="1">
      <c r="B841" s="1"/>
      <c r="D841" s="161"/>
      <c r="E841" s="161"/>
      <c r="F841" s="161"/>
      <c r="G841" s="348"/>
      <c r="H841" s="348"/>
      <c r="I841" s="348"/>
      <c r="J841" s="348"/>
      <c r="K841" s="348"/>
      <c r="L841" s="3"/>
      <c r="M841" s="928"/>
      <c r="O841" s="151"/>
    </row>
    <row r="842" ht="12.0" customHeight="1">
      <c r="B842" s="1"/>
      <c r="D842" s="161"/>
      <c r="E842" s="161"/>
      <c r="F842" s="161"/>
      <c r="G842" s="348"/>
      <c r="H842" s="348"/>
      <c r="I842" s="348"/>
      <c r="J842" s="348"/>
      <c r="K842" s="348"/>
      <c r="L842" s="3"/>
      <c r="M842" s="928"/>
      <c r="O842" s="151"/>
    </row>
    <row r="843" ht="12.0" customHeight="1">
      <c r="B843" s="1"/>
      <c r="D843" s="161"/>
      <c r="E843" s="161"/>
      <c r="F843" s="161"/>
      <c r="G843" s="348"/>
      <c r="H843" s="348"/>
      <c r="I843" s="348"/>
      <c r="J843" s="348"/>
      <c r="K843" s="348"/>
      <c r="L843" s="3"/>
      <c r="M843" s="928"/>
      <c r="O843" s="151"/>
    </row>
    <row r="844" ht="12.0" customHeight="1">
      <c r="B844" s="1"/>
      <c r="D844" s="161"/>
      <c r="E844" s="161"/>
      <c r="F844" s="161"/>
      <c r="G844" s="348"/>
      <c r="H844" s="348"/>
      <c r="I844" s="348"/>
      <c r="J844" s="348"/>
      <c r="K844" s="348"/>
      <c r="L844" s="3"/>
      <c r="M844" s="928"/>
      <c r="O844" s="151"/>
    </row>
    <row r="845" ht="12.0" customHeight="1">
      <c r="B845" s="1"/>
      <c r="D845" s="161"/>
      <c r="E845" s="161"/>
      <c r="F845" s="161"/>
      <c r="G845" s="348"/>
      <c r="H845" s="348"/>
      <c r="I845" s="348"/>
      <c r="J845" s="348"/>
      <c r="K845" s="348"/>
      <c r="L845" s="3"/>
      <c r="M845" s="928"/>
      <c r="O845" s="151"/>
    </row>
    <row r="846" ht="12.0" customHeight="1">
      <c r="B846" s="1"/>
      <c r="D846" s="161"/>
      <c r="E846" s="161"/>
      <c r="F846" s="161"/>
      <c r="G846" s="348"/>
      <c r="H846" s="348"/>
      <c r="I846" s="348"/>
      <c r="J846" s="348"/>
      <c r="K846" s="348"/>
      <c r="L846" s="3"/>
      <c r="M846" s="928"/>
      <c r="O846" s="151"/>
    </row>
    <row r="847" ht="12.0" customHeight="1">
      <c r="B847" s="1"/>
      <c r="D847" s="161"/>
      <c r="E847" s="161"/>
      <c r="F847" s="161"/>
      <c r="G847" s="348"/>
      <c r="H847" s="348"/>
      <c r="I847" s="348"/>
      <c r="J847" s="348"/>
      <c r="K847" s="348"/>
      <c r="L847" s="3"/>
      <c r="M847" s="928"/>
      <c r="O847" s="151"/>
    </row>
    <row r="848" ht="12.0" customHeight="1">
      <c r="B848" s="1"/>
      <c r="D848" s="161"/>
      <c r="E848" s="161"/>
      <c r="F848" s="161"/>
      <c r="G848" s="348"/>
      <c r="H848" s="348"/>
      <c r="I848" s="348"/>
      <c r="J848" s="348"/>
      <c r="K848" s="348"/>
      <c r="L848" s="3"/>
      <c r="M848" s="928"/>
      <c r="O848" s="151"/>
    </row>
    <row r="849" ht="12.0" customHeight="1">
      <c r="B849" s="1"/>
      <c r="D849" s="161"/>
      <c r="E849" s="161"/>
      <c r="F849" s="161"/>
      <c r="G849" s="348"/>
      <c r="H849" s="348"/>
      <c r="I849" s="348"/>
      <c r="J849" s="348"/>
      <c r="K849" s="348"/>
      <c r="L849" s="3"/>
      <c r="M849" s="928"/>
      <c r="O849" s="151"/>
    </row>
    <row r="850" ht="12.0" customHeight="1">
      <c r="B850" s="1"/>
      <c r="D850" s="161"/>
      <c r="E850" s="161"/>
      <c r="F850" s="161"/>
      <c r="G850" s="348"/>
      <c r="H850" s="348"/>
      <c r="I850" s="348"/>
      <c r="J850" s="348"/>
      <c r="K850" s="348"/>
      <c r="L850" s="3"/>
      <c r="M850" s="928"/>
      <c r="O850" s="151"/>
    </row>
    <row r="851" ht="12.0" customHeight="1">
      <c r="B851" s="1"/>
      <c r="D851" s="161"/>
      <c r="E851" s="161"/>
      <c r="F851" s="161"/>
      <c r="G851" s="348"/>
      <c r="H851" s="348"/>
      <c r="I851" s="348"/>
      <c r="J851" s="348"/>
      <c r="K851" s="348"/>
      <c r="L851" s="3"/>
      <c r="M851" s="928"/>
      <c r="O851" s="151"/>
    </row>
    <row r="852" ht="12.0" customHeight="1">
      <c r="B852" s="1"/>
      <c r="D852" s="161"/>
      <c r="E852" s="161"/>
      <c r="F852" s="161"/>
      <c r="G852" s="348"/>
      <c r="H852" s="348"/>
      <c r="I852" s="348"/>
      <c r="J852" s="348"/>
      <c r="K852" s="348"/>
      <c r="L852" s="3"/>
      <c r="M852" s="928"/>
      <c r="O852" s="151"/>
    </row>
    <row r="853" ht="12.0" customHeight="1">
      <c r="B853" s="1"/>
      <c r="D853" s="161"/>
      <c r="E853" s="161"/>
      <c r="F853" s="161"/>
      <c r="G853" s="348"/>
      <c r="H853" s="348"/>
      <c r="I853" s="348"/>
      <c r="J853" s="348"/>
      <c r="K853" s="348"/>
      <c r="L853" s="3"/>
      <c r="M853" s="928"/>
      <c r="O853" s="151"/>
    </row>
    <row r="854" ht="12.0" customHeight="1">
      <c r="B854" s="1"/>
      <c r="D854" s="161"/>
      <c r="E854" s="161"/>
      <c r="F854" s="161"/>
      <c r="G854" s="348"/>
      <c r="H854" s="348"/>
      <c r="I854" s="348"/>
      <c r="J854" s="348"/>
      <c r="K854" s="348"/>
      <c r="L854" s="3"/>
      <c r="M854" s="928"/>
      <c r="O854" s="151"/>
    </row>
    <row r="855" ht="12.0" customHeight="1">
      <c r="B855" s="1"/>
      <c r="D855" s="161"/>
      <c r="E855" s="161"/>
      <c r="F855" s="161"/>
      <c r="G855" s="348"/>
      <c r="H855" s="348"/>
      <c r="I855" s="348"/>
      <c r="J855" s="348"/>
      <c r="K855" s="348"/>
      <c r="L855" s="3"/>
      <c r="M855" s="928"/>
      <c r="O855" s="151"/>
    </row>
    <row r="856" ht="12.0" customHeight="1">
      <c r="B856" s="1"/>
      <c r="D856" s="161"/>
      <c r="E856" s="161"/>
      <c r="F856" s="161"/>
      <c r="G856" s="348"/>
      <c r="H856" s="348"/>
      <c r="I856" s="348"/>
      <c r="J856" s="348"/>
      <c r="K856" s="348"/>
      <c r="L856" s="3"/>
      <c r="M856" s="928"/>
      <c r="O856" s="151"/>
    </row>
    <row r="857" ht="12.0" customHeight="1">
      <c r="B857" s="1"/>
      <c r="D857" s="161"/>
      <c r="E857" s="161"/>
      <c r="F857" s="161"/>
      <c r="G857" s="348"/>
      <c r="H857" s="348"/>
      <c r="I857" s="348"/>
      <c r="J857" s="348"/>
      <c r="K857" s="348"/>
      <c r="L857" s="3"/>
      <c r="M857" s="928"/>
      <c r="O857" s="151"/>
    </row>
    <row r="858" ht="12.0" customHeight="1">
      <c r="B858" s="1"/>
      <c r="D858" s="161"/>
      <c r="E858" s="161"/>
      <c r="F858" s="161"/>
      <c r="G858" s="348"/>
      <c r="H858" s="348"/>
      <c r="I858" s="348"/>
      <c r="J858" s="348"/>
      <c r="K858" s="348"/>
      <c r="L858" s="3"/>
      <c r="M858" s="928"/>
      <c r="O858" s="151"/>
    </row>
    <row r="859" ht="12.0" customHeight="1">
      <c r="B859" s="1"/>
      <c r="D859" s="161"/>
      <c r="E859" s="161"/>
      <c r="F859" s="161"/>
      <c r="G859" s="348"/>
      <c r="H859" s="348"/>
      <c r="I859" s="348"/>
      <c r="J859" s="348"/>
      <c r="K859" s="348"/>
      <c r="L859" s="3"/>
      <c r="M859" s="928"/>
      <c r="O859" s="151"/>
    </row>
    <row r="860" ht="12.0" customHeight="1">
      <c r="B860" s="1"/>
      <c r="D860" s="161"/>
      <c r="E860" s="161"/>
      <c r="F860" s="161"/>
      <c r="G860" s="348"/>
      <c r="H860" s="348"/>
      <c r="I860" s="348"/>
      <c r="J860" s="348"/>
      <c r="K860" s="348"/>
      <c r="L860" s="3"/>
      <c r="M860" s="928"/>
      <c r="O860" s="151"/>
    </row>
    <row r="861" ht="12.0" customHeight="1">
      <c r="B861" s="1"/>
      <c r="D861" s="161"/>
      <c r="E861" s="161"/>
      <c r="F861" s="161"/>
      <c r="G861" s="348"/>
      <c r="H861" s="348"/>
      <c r="I861" s="348"/>
      <c r="J861" s="348"/>
      <c r="K861" s="348"/>
      <c r="L861" s="3"/>
      <c r="M861" s="928"/>
      <c r="O861" s="151"/>
    </row>
    <row r="862" ht="12.0" customHeight="1">
      <c r="B862" s="1"/>
      <c r="D862" s="161"/>
      <c r="E862" s="161"/>
      <c r="F862" s="161"/>
      <c r="G862" s="348"/>
      <c r="H862" s="348"/>
      <c r="I862" s="348"/>
      <c r="J862" s="348"/>
      <c r="K862" s="348"/>
      <c r="L862" s="3"/>
      <c r="M862" s="928"/>
      <c r="O862" s="151"/>
    </row>
    <row r="863" ht="12.0" customHeight="1">
      <c r="B863" s="1"/>
      <c r="D863" s="161"/>
      <c r="E863" s="161"/>
      <c r="F863" s="161"/>
      <c r="G863" s="348"/>
      <c r="H863" s="348"/>
      <c r="I863" s="348"/>
      <c r="J863" s="348"/>
      <c r="K863" s="348"/>
      <c r="L863" s="3"/>
      <c r="M863" s="928"/>
      <c r="O863" s="151"/>
    </row>
    <row r="864" ht="12.0" customHeight="1">
      <c r="B864" s="1"/>
      <c r="D864" s="161"/>
      <c r="E864" s="161"/>
      <c r="F864" s="161"/>
      <c r="G864" s="348"/>
      <c r="H864" s="348"/>
      <c r="I864" s="348"/>
      <c r="J864" s="348"/>
      <c r="K864" s="348"/>
      <c r="L864" s="3"/>
      <c r="M864" s="928"/>
      <c r="O864" s="151"/>
    </row>
    <row r="865" ht="12.0" customHeight="1">
      <c r="B865" s="1"/>
      <c r="D865" s="161"/>
      <c r="E865" s="161"/>
      <c r="F865" s="161"/>
      <c r="G865" s="348"/>
      <c r="H865" s="348"/>
      <c r="I865" s="348"/>
      <c r="J865" s="348"/>
      <c r="K865" s="348"/>
      <c r="L865" s="3"/>
      <c r="M865" s="928"/>
      <c r="O865" s="151"/>
    </row>
    <row r="866" ht="12.0" customHeight="1">
      <c r="B866" s="1"/>
      <c r="D866" s="161"/>
      <c r="E866" s="161"/>
      <c r="F866" s="161"/>
      <c r="G866" s="348"/>
      <c r="H866" s="348"/>
      <c r="I866" s="348"/>
      <c r="J866" s="348"/>
      <c r="K866" s="348"/>
      <c r="L866" s="3"/>
      <c r="M866" s="928"/>
      <c r="O866" s="151"/>
    </row>
    <row r="867" ht="12.0" customHeight="1">
      <c r="B867" s="1"/>
      <c r="D867" s="161"/>
      <c r="E867" s="161"/>
      <c r="F867" s="161"/>
      <c r="G867" s="348"/>
      <c r="H867" s="348"/>
      <c r="I867" s="348"/>
      <c r="J867" s="348"/>
      <c r="K867" s="348"/>
      <c r="L867" s="3"/>
      <c r="M867" s="928"/>
      <c r="O867" s="151"/>
    </row>
    <row r="868" ht="12.0" customHeight="1">
      <c r="B868" s="1"/>
      <c r="D868" s="161"/>
      <c r="E868" s="161"/>
      <c r="F868" s="161"/>
      <c r="G868" s="348"/>
      <c r="H868" s="348"/>
      <c r="I868" s="348"/>
      <c r="J868" s="348"/>
      <c r="K868" s="348"/>
      <c r="L868" s="3"/>
      <c r="M868" s="928"/>
      <c r="O868" s="151"/>
    </row>
    <row r="869" ht="12.0" customHeight="1">
      <c r="B869" s="1"/>
      <c r="D869" s="161"/>
      <c r="E869" s="161"/>
      <c r="F869" s="161"/>
      <c r="G869" s="348"/>
      <c r="H869" s="348"/>
      <c r="I869" s="348"/>
      <c r="J869" s="348"/>
      <c r="K869" s="348"/>
      <c r="L869" s="3"/>
      <c r="M869" s="928"/>
      <c r="O869" s="151"/>
    </row>
    <row r="870" ht="12.0" customHeight="1">
      <c r="B870" s="1"/>
      <c r="D870" s="161"/>
      <c r="E870" s="161"/>
      <c r="F870" s="161"/>
      <c r="G870" s="348"/>
      <c r="H870" s="348"/>
      <c r="I870" s="348"/>
      <c r="J870" s="348"/>
      <c r="K870" s="348"/>
      <c r="L870" s="3"/>
      <c r="M870" s="928"/>
      <c r="O870" s="151"/>
    </row>
    <row r="871" ht="12.0" customHeight="1">
      <c r="B871" s="1"/>
      <c r="D871" s="161"/>
      <c r="E871" s="161"/>
      <c r="F871" s="161"/>
      <c r="G871" s="348"/>
      <c r="H871" s="348"/>
      <c r="I871" s="348"/>
      <c r="J871" s="348"/>
      <c r="K871" s="348"/>
      <c r="L871" s="3"/>
      <c r="M871" s="928"/>
      <c r="O871" s="151"/>
    </row>
    <row r="872" ht="12.0" customHeight="1">
      <c r="B872" s="1"/>
      <c r="D872" s="161"/>
      <c r="E872" s="161"/>
      <c r="F872" s="161"/>
      <c r="G872" s="348"/>
      <c r="H872" s="348"/>
      <c r="I872" s="348"/>
      <c r="J872" s="348"/>
      <c r="K872" s="348"/>
      <c r="L872" s="3"/>
      <c r="M872" s="928"/>
      <c r="O872" s="151"/>
    </row>
    <row r="873" ht="12.0" customHeight="1">
      <c r="B873" s="1"/>
      <c r="D873" s="161"/>
      <c r="E873" s="161"/>
      <c r="F873" s="161"/>
      <c r="G873" s="348"/>
      <c r="H873" s="348"/>
      <c r="I873" s="348"/>
      <c r="J873" s="348"/>
      <c r="K873" s="348"/>
      <c r="L873" s="3"/>
      <c r="M873" s="928"/>
      <c r="O873" s="151"/>
    </row>
    <row r="874" ht="12.0" customHeight="1">
      <c r="B874" s="1"/>
      <c r="D874" s="161"/>
      <c r="E874" s="161"/>
      <c r="F874" s="161"/>
      <c r="G874" s="348"/>
      <c r="H874" s="348"/>
      <c r="I874" s="348"/>
      <c r="J874" s="348"/>
      <c r="K874" s="348"/>
      <c r="L874" s="3"/>
      <c r="M874" s="928"/>
      <c r="O874" s="151"/>
    </row>
    <row r="875" ht="12.0" customHeight="1">
      <c r="B875" s="1"/>
      <c r="D875" s="161"/>
      <c r="E875" s="161"/>
      <c r="F875" s="161"/>
      <c r="G875" s="348"/>
      <c r="H875" s="348"/>
      <c r="I875" s="348"/>
      <c r="J875" s="348"/>
      <c r="K875" s="348"/>
      <c r="L875" s="3"/>
      <c r="M875" s="928"/>
      <c r="O875" s="151"/>
    </row>
    <row r="876" ht="12.0" customHeight="1">
      <c r="B876" s="1"/>
      <c r="D876" s="161"/>
      <c r="E876" s="161"/>
      <c r="F876" s="161"/>
      <c r="G876" s="348"/>
      <c r="H876" s="348"/>
      <c r="I876" s="348"/>
      <c r="J876" s="348"/>
      <c r="K876" s="348"/>
      <c r="L876" s="3"/>
      <c r="M876" s="928"/>
      <c r="O876" s="151"/>
    </row>
    <row r="877" ht="12.0" customHeight="1">
      <c r="B877" s="1"/>
      <c r="D877" s="161"/>
      <c r="E877" s="161"/>
      <c r="F877" s="161"/>
      <c r="G877" s="348"/>
      <c r="H877" s="348"/>
      <c r="I877" s="348"/>
      <c r="J877" s="348"/>
      <c r="K877" s="348"/>
      <c r="L877" s="3"/>
      <c r="M877" s="928"/>
      <c r="O877" s="151"/>
    </row>
    <row r="878" ht="12.0" customHeight="1">
      <c r="B878" s="1"/>
      <c r="D878" s="161"/>
      <c r="E878" s="161"/>
      <c r="F878" s="161"/>
      <c r="G878" s="348"/>
      <c r="H878" s="348"/>
      <c r="I878" s="348"/>
      <c r="J878" s="348"/>
      <c r="K878" s="348"/>
      <c r="L878" s="3"/>
      <c r="M878" s="928"/>
      <c r="O878" s="151"/>
    </row>
    <row r="879" ht="12.0" customHeight="1">
      <c r="B879" s="1"/>
      <c r="D879" s="161"/>
      <c r="E879" s="161"/>
      <c r="F879" s="161"/>
      <c r="G879" s="348"/>
      <c r="H879" s="348"/>
      <c r="I879" s="348"/>
      <c r="J879" s="348"/>
      <c r="K879" s="348"/>
      <c r="L879" s="3"/>
      <c r="M879" s="928"/>
      <c r="O879" s="151"/>
    </row>
    <row r="880" ht="12.0" customHeight="1">
      <c r="B880" s="1"/>
      <c r="D880" s="161"/>
      <c r="E880" s="161"/>
      <c r="F880" s="161"/>
      <c r="G880" s="348"/>
      <c r="H880" s="348"/>
      <c r="I880" s="348"/>
      <c r="J880" s="348"/>
      <c r="K880" s="348"/>
      <c r="L880" s="3"/>
      <c r="M880" s="928"/>
      <c r="O880" s="151"/>
    </row>
    <row r="881" ht="12.0" customHeight="1">
      <c r="B881" s="1"/>
      <c r="D881" s="161"/>
      <c r="E881" s="161"/>
      <c r="F881" s="161"/>
      <c r="G881" s="348"/>
      <c r="H881" s="348"/>
      <c r="I881" s="348"/>
      <c r="J881" s="348"/>
      <c r="K881" s="348"/>
      <c r="L881" s="3"/>
      <c r="M881" s="928"/>
      <c r="O881" s="151"/>
    </row>
    <row r="882" ht="12.0" customHeight="1">
      <c r="B882" s="1"/>
      <c r="D882" s="161"/>
      <c r="E882" s="161"/>
      <c r="F882" s="161"/>
      <c r="G882" s="348"/>
      <c r="H882" s="348"/>
      <c r="I882" s="348"/>
      <c r="J882" s="348"/>
      <c r="K882" s="348"/>
      <c r="L882" s="3"/>
      <c r="M882" s="928"/>
      <c r="O882" s="151"/>
    </row>
    <row r="883" ht="12.0" customHeight="1">
      <c r="B883" s="1"/>
      <c r="D883" s="161"/>
      <c r="E883" s="161"/>
      <c r="F883" s="161"/>
      <c r="G883" s="348"/>
      <c r="H883" s="348"/>
      <c r="I883" s="348"/>
      <c r="J883" s="348"/>
      <c r="K883" s="348"/>
      <c r="L883" s="3"/>
      <c r="M883" s="928"/>
      <c r="O883" s="151"/>
    </row>
    <row r="884" ht="12.0" customHeight="1">
      <c r="B884" s="1"/>
      <c r="D884" s="161"/>
      <c r="E884" s="161"/>
      <c r="F884" s="161"/>
      <c r="G884" s="348"/>
      <c r="H884" s="348"/>
      <c r="I884" s="348"/>
      <c r="J884" s="348"/>
      <c r="K884" s="348"/>
      <c r="L884" s="3"/>
      <c r="M884" s="928"/>
      <c r="O884" s="151"/>
    </row>
    <row r="885" ht="12.0" customHeight="1">
      <c r="B885" s="1"/>
      <c r="D885" s="161"/>
      <c r="E885" s="161"/>
      <c r="F885" s="161"/>
      <c r="G885" s="348"/>
      <c r="H885" s="348"/>
      <c r="I885" s="348"/>
      <c r="J885" s="348"/>
      <c r="K885" s="348"/>
      <c r="L885" s="3"/>
      <c r="M885" s="928"/>
      <c r="O885" s="151"/>
    </row>
    <row r="886" ht="12.0" customHeight="1">
      <c r="B886" s="1"/>
      <c r="D886" s="161"/>
      <c r="E886" s="161"/>
      <c r="F886" s="161"/>
      <c r="G886" s="348"/>
      <c r="H886" s="348"/>
      <c r="I886" s="348"/>
      <c r="J886" s="348"/>
      <c r="K886" s="348"/>
      <c r="L886" s="3"/>
      <c r="M886" s="928"/>
      <c r="O886" s="151"/>
    </row>
    <row r="887" ht="12.0" customHeight="1">
      <c r="B887" s="1"/>
      <c r="D887" s="161"/>
      <c r="E887" s="161"/>
      <c r="F887" s="161"/>
      <c r="G887" s="348"/>
      <c r="H887" s="348"/>
      <c r="I887" s="348"/>
      <c r="J887" s="348"/>
      <c r="K887" s="348"/>
      <c r="L887" s="3"/>
      <c r="M887" s="928"/>
      <c r="O887" s="151"/>
    </row>
    <row r="888" ht="12.0" customHeight="1">
      <c r="B888" s="1"/>
      <c r="D888" s="161"/>
      <c r="E888" s="161"/>
      <c r="F888" s="161"/>
      <c r="G888" s="348"/>
      <c r="H888" s="348"/>
      <c r="I888" s="348"/>
      <c r="J888" s="348"/>
      <c r="K888" s="348"/>
      <c r="L888" s="3"/>
      <c r="M888" s="928"/>
      <c r="O888" s="151"/>
    </row>
    <row r="889" ht="12.0" customHeight="1">
      <c r="B889" s="1"/>
      <c r="D889" s="161"/>
      <c r="E889" s="161"/>
      <c r="F889" s="161"/>
      <c r="G889" s="348"/>
      <c r="H889" s="348"/>
      <c r="I889" s="348"/>
      <c r="J889" s="348"/>
      <c r="K889" s="348"/>
      <c r="L889" s="3"/>
      <c r="M889" s="928"/>
      <c r="O889" s="151"/>
    </row>
    <row r="890" ht="12.0" customHeight="1">
      <c r="B890" s="1"/>
      <c r="D890" s="161"/>
      <c r="E890" s="161"/>
      <c r="F890" s="161"/>
      <c r="G890" s="348"/>
      <c r="H890" s="348"/>
      <c r="I890" s="348"/>
      <c r="J890" s="348"/>
      <c r="K890" s="348"/>
      <c r="L890" s="3"/>
      <c r="M890" s="928"/>
      <c r="O890" s="151"/>
    </row>
    <row r="891" ht="12.0" customHeight="1">
      <c r="B891" s="1"/>
      <c r="D891" s="161"/>
      <c r="E891" s="161"/>
      <c r="F891" s="161"/>
      <c r="G891" s="348"/>
      <c r="H891" s="348"/>
      <c r="I891" s="348"/>
      <c r="J891" s="348"/>
      <c r="K891" s="348"/>
      <c r="L891" s="3"/>
      <c r="M891" s="928"/>
      <c r="O891" s="151"/>
    </row>
    <row r="892" ht="12.0" customHeight="1">
      <c r="B892" s="1"/>
      <c r="D892" s="161"/>
      <c r="E892" s="161"/>
      <c r="F892" s="161"/>
      <c r="G892" s="348"/>
      <c r="H892" s="348"/>
      <c r="I892" s="348"/>
      <c r="J892" s="348"/>
      <c r="K892" s="348"/>
      <c r="L892" s="3"/>
      <c r="M892" s="928"/>
      <c r="O892" s="151"/>
    </row>
    <row r="893" ht="12.0" customHeight="1">
      <c r="B893" s="1"/>
      <c r="D893" s="161"/>
      <c r="E893" s="161"/>
      <c r="F893" s="161"/>
      <c r="G893" s="348"/>
      <c r="H893" s="348"/>
      <c r="I893" s="348"/>
      <c r="J893" s="348"/>
      <c r="K893" s="348"/>
      <c r="L893" s="3"/>
      <c r="M893" s="928"/>
      <c r="O893" s="151"/>
    </row>
    <row r="894" ht="12.0" customHeight="1">
      <c r="B894" s="1"/>
      <c r="D894" s="161"/>
      <c r="E894" s="161"/>
      <c r="F894" s="161"/>
      <c r="G894" s="348"/>
      <c r="H894" s="348"/>
      <c r="I894" s="348"/>
      <c r="J894" s="348"/>
      <c r="K894" s="348"/>
      <c r="L894" s="3"/>
      <c r="M894" s="928"/>
      <c r="O894" s="151"/>
    </row>
    <row r="895" ht="12.0" customHeight="1">
      <c r="B895" s="1"/>
      <c r="D895" s="161"/>
      <c r="E895" s="161"/>
      <c r="F895" s="161"/>
      <c r="G895" s="348"/>
      <c r="H895" s="348"/>
      <c r="I895" s="348"/>
      <c r="J895" s="348"/>
      <c r="K895" s="348"/>
      <c r="L895" s="3"/>
      <c r="M895" s="928"/>
      <c r="O895" s="151"/>
    </row>
    <row r="896" ht="12.0" customHeight="1">
      <c r="B896" s="1"/>
      <c r="D896" s="161"/>
      <c r="E896" s="161"/>
      <c r="F896" s="161"/>
      <c r="G896" s="348"/>
      <c r="H896" s="348"/>
      <c r="I896" s="348"/>
      <c r="J896" s="348"/>
      <c r="K896" s="348"/>
      <c r="L896" s="3"/>
      <c r="M896" s="928"/>
      <c r="O896" s="151"/>
    </row>
    <row r="897" ht="12.0" customHeight="1">
      <c r="B897" s="1"/>
      <c r="D897" s="161"/>
      <c r="E897" s="161"/>
      <c r="F897" s="161"/>
      <c r="G897" s="348"/>
      <c r="H897" s="348"/>
      <c r="I897" s="348"/>
      <c r="J897" s="348"/>
      <c r="K897" s="348"/>
      <c r="L897" s="3"/>
      <c r="M897" s="928"/>
      <c r="O897" s="151"/>
    </row>
    <row r="898" ht="12.0" customHeight="1">
      <c r="B898" s="1"/>
      <c r="D898" s="161"/>
      <c r="E898" s="161"/>
      <c r="F898" s="161"/>
      <c r="G898" s="348"/>
      <c r="H898" s="348"/>
      <c r="I898" s="348"/>
      <c r="J898" s="348"/>
      <c r="K898" s="348"/>
      <c r="L898" s="3"/>
      <c r="M898" s="928"/>
      <c r="O898" s="151"/>
    </row>
    <row r="899" ht="12.0" customHeight="1">
      <c r="B899" s="1"/>
      <c r="D899" s="161"/>
      <c r="E899" s="161"/>
      <c r="F899" s="161"/>
      <c r="G899" s="348"/>
      <c r="H899" s="348"/>
      <c r="I899" s="348"/>
      <c r="J899" s="348"/>
      <c r="K899" s="348"/>
      <c r="L899" s="3"/>
      <c r="M899" s="928"/>
      <c r="O899" s="151"/>
    </row>
    <row r="900" ht="12.0" customHeight="1">
      <c r="B900" s="1"/>
      <c r="D900" s="161"/>
      <c r="E900" s="161"/>
      <c r="F900" s="161"/>
      <c r="G900" s="348"/>
      <c r="H900" s="348"/>
      <c r="I900" s="348"/>
      <c r="J900" s="348"/>
      <c r="K900" s="348"/>
      <c r="L900" s="3"/>
      <c r="M900" s="928"/>
      <c r="O900" s="151"/>
    </row>
    <row r="901" ht="12.0" customHeight="1">
      <c r="B901" s="1"/>
      <c r="D901" s="161"/>
      <c r="E901" s="161"/>
      <c r="F901" s="161"/>
      <c r="G901" s="348"/>
      <c r="H901" s="348"/>
      <c r="I901" s="348"/>
      <c r="J901" s="348"/>
      <c r="K901" s="348"/>
      <c r="L901" s="3"/>
      <c r="M901" s="928"/>
      <c r="O901" s="151"/>
    </row>
    <row r="902" ht="12.0" customHeight="1">
      <c r="B902" s="1"/>
      <c r="D902" s="161"/>
      <c r="E902" s="161"/>
      <c r="F902" s="161"/>
      <c r="G902" s="348"/>
      <c r="H902" s="348"/>
      <c r="I902" s="348"/>
      <c r="J902" s="348"/>
      <c r="K902" s="348"/>
      <c r="L902" s="3"/>
      <c r="M902" s="928"/>
      <c r="O902" s="151"/>
    </row>
    <row r="903" ht="12.0" customHeight="1">
      <c r="B903" s="1"/>
      <c r="D903" s="161"/>
      <c r="E903" s="161"/>
      <c r="F903" s="161"/>
      <c r="G903" s="348"/>
      <c r="H903" s="348"/>
      <c r="I903" s="348"/>
      <c r="J903" s="348"/>
      <c r="K903" s="348"/>
      <c r="L903" s="3"/>
      <c r="M903" s="928"/>
      <c r="O903" s="151"/>
    </row>
    <row r="904" ht="12.0" customHeight="1">
      <c r="B904" s="1"/>
      <c r="D904" s="161"/>
      <c r="E904" s="161"/>
      <c r="F904" s="161"/>
      <c r="G904" s="348"/>
      <c r="H904" s="348"/>
      <c r="I904" s="348"/>
      <c r="J904" s="348"/>
      <c r="K904" s="348"/>
      <c r="L904" s="3"/>
      <c r="M904" s="928"/>
      <c r="O904" s="151"/>
    </row>
    <row r="905" ht="12.0" customHeight="1">
      <c r="B905" s="1"/>
      <c r="D905" s="161"/>
      <c r="E905" s="161"/>
      <c r="F905" s="161"/>
      <c r="G905" s="348"/>
      <c r="H905" s="348"/>
      <c r="I905" s="348"/>
      <c r="J905" s="348"/>
      <c r="K905" s="348"/>
      <c r="L905" s="3"/>
      <c r="M905" s="928"/>
      <c r="O905" s="151"/>
    </row>
    <row r="906" ht="12.0" customHeight="1">
      <c r="B906" s="1"/>
      <c r="D906" s="161"/>
      <c r="E906" s="161"/>
      <c r="F906" s="161"/>
      <c r="G906" s="348"/>
      <c r="H906" s="348"/>
      <c r="I906" s="348"/>
      <c r="J906" s="348"/>
      <c r="K906" s="348"/>
      <c r="L906" s="3"/>
      <c r="M906" s="928"/>
      <c r="O906" s="151"/>
    </row>
    <row r="907" ht="12.0" customHeight="1">
      <c r="B907" s="1"/>
      <c r="D907" s="161"/>
      <c r="E907" s="161"/>
      <c r="F907" s="161"/>
      <c r="G907" s="348"/>
      <c r="H907" s="348"/>
      <c r="I907" s="348"/>
      <c r="J907" s="348"/>
      <c r="K907" s="348"/>
      <c r="L907" s="3"/>
      <c r="M907" s="928"/>
      <c r="O907" s="151"/>
    </row>
    <row r="908" ht="12.0" customHeight="1">
      <c r="B908" s="1"/>
      <c r="D908" s="161"/>
      <c r="E908" s="161"/>
      <c r="F908" s="161"/>
      <c r="G908" s="348"/>
      <c r="H908" s="348"/>
      <c r="I908" s="348"/>
      <c r="J908" s="348"/>
      <c r="K908" s="348"/>
      <c r="L908" s="3"/>
      <c r="M908" s="928"/>
      <c r="O908" s="151"/>
    </row>
    <row r="909" ht="12.0" customHeight="1">
      <c r="B909" s="1"/>
      <c r="D909" s="161"/>
      <c r="E909" s="161"/>
      <c r="F909" s="161"/>
      <c r="G909" s="348"/>
      <c r="H909" s="348"/>
      <c r="I909" s="348"/>
      <c r="J909" s="348"/>
      <c r="K909" s="348"/>
      <c r="L909" s="3"/>
      <c r="M909" s="928"/>
      <c r="O909" s="151"/>
    </row>
    <row r="910" ht="12.0" customHeight="1">
      <c r="B910" s="1"/>
      <c r="D910" s="161"/>
      <c r="E910" s="161"/>
      <c r="F910" s="161"/>
      <c r="G910" s="348"/>
      <c r="H910" s="348"/>
      <c r="I910" s="348"/>
      <c r="J910" s="348"/>
      <c r="K910" s="348"/>
      <c r="L910" s="3"/>
      <c r="M910" s="928"/>
      <c r="O910" s="151"/>
    </row>
    <row r="911" ht="12.0" customHeight="1">
      <c r="B911" s="1"/>
      <c r="D911" s="161"/>
      <c r="E911" s="161"/>
      <c r="F911" s="161"/>
      <c r="G911" s="348"/>
      <c r="H911" s="348"/>
      <c r="I911" s="348"/>
      <c r="J911" s="348"/>
      <c r="K911" s="348"/>
      <c r="L911" s="3"/>
      <c r="M911" s="928"/>
      <c r="O911" s="151"/>
    </row>
    <row r="912" ht="12.0" customHeight="1">
      <c r="B912" s="1"/>
      <c r="D912" s="161"/>
      <c r="E912" s="161"/>
      <c r="F912" s="161"/>
      <c r="G912" s="348"/>
      <c r="H912" s="348"/>
      <c r="I912" s="348"/>
      <c r="J912" s="348"/>
      <c r="K912" s="348"/>
      <c r="L912" s="3"/>
      <c r="M912" s="928"/>
      <c r="O912" s="151"/>
    </row>
    <row r="913" ht="12.0" customHeight="1">
      <c r="B913" s="1"/>
      <c r="D913" s="161"/>
      <c r="E913" s="161"/>
      <c r="F913" s="161"/>
      <c r="G913" s="348"/>
      <c r="H913" s="348"/>
      <c r="I913" s="348"/>
      <c r="J913" s="348"/>
      <c r="K913" s="348"/>
      <c r="L913" s="3"/>
      <c r="M913" s="928"/>
      <c r="O913" s="151"/>
    </row>
    <row r="914" ht="12.0" customHeight="1">
      <c r="B914" s="1"/>
      <c r="D914" s="161"/>
      <c r="E914" s="161"/>
      <c r="F914" s="161"/>
      <c r="G914" s="348"/>
      <c r="H914" s="348"/>
      <c r="I914" s="348"/>
      <c r="J914" s="348"/>
      <c r="K914" s="348"/>
      <c r="L914" s="3"/>
      <c r="M914" s="928"/>
      <c r="O914" s="151"/>
    </row>
    <row r="915" ht="12.0" customHeight="1">
      <c r="B915" s="1"/>
      <c r="D915" s="161"/>
      <c r="E915" s="161"/>
      <c r="F915" s="161"/>
      <c r="G915" s="348"/>
      <c r="H915" s="348"/>
      <c r="I915" s="348"/>
      <c r="J915" s="348"/>
      <c r="K915" s="348"/>
      <c r="L915" s="3"/>
      <c r="M915" s="928"/>
      <c r="O915" s="151"/>
    </row>
    <row r="916" ht="12.0" customHeight="1">
      <c r="B916" s="1"/>
      <c r="D916" s="161"/>
      <c r="E916" s="161"/>
      <c r="F916" s="161"/>
      <c r="G916" s="348"/>
      <c r="H916" s="348"/>
      <c r="I916" s="348"/>
      <c r="J916" s="348"/>
      <c r="K916" s="348"/>
      <c r="L916" s="3"/>
      <c r="M916" s="928"/>
      <c r="O916" s="151"/>
    </row>
    <row r="917" ht="12.0" customHeight="1">
      <c r="B917" s="1"/>
      <c r="D917" s="161"/>
      <c r="E917" s="161"/>
      <c r="F917" s="161"/>
      <c r="G917" s="348"/>
      <c r="H917" s="348"/>
      <c r="I917" s="348"/>
      <c r="J917" s="348"/>
      <c r="K917" s="348"/>
      <c r="L917" s="3"/>
      <c r="M917" s="928"/>
      <c r="O917" s="151"/>
    </row>
    <row r="918" ht="12.0" customHeight="1">
      <c r="B918" s="1"/>
      <c r="D918" s="161"/>
      <c r="E918" s="161"/>
      <c r="F918" s="161"/>
      <c r="G918" s="348"/>
      <c r="H918" s="348"/>
      <c r="I918" s="348"/>
      <c r="J918" s="348"/>
      <c r="K918" s="348"/>
      <c r="L918" s="3"/>
      <c r="M918" s="928"/>
      <c r="O918" s="151"/>
    </row>
    <row r="919" ht="12.0" customHeight="1">
      <c r="B919" s="1"/>
      <c r="D919" s="161"/>
      <c r="E919" s="161"/>
      <c r="F919" s="161"/>
      <c r="G919" s="348"/>
      <c r="H919" s="348"/>
      <c r="I919" s="348"/>
      <c r="J919" s="348"/>
      <c r="K919" s="348"/>
      <c r="L919" s="3"/>
      <c r="M919" s="928"/>
      <c r="O919" s="151"/>
    </row>
    <row r="920" ht="12.0" customHeight="1">
      <c r="B920" s="1"/>
      <c r="D920" s="161"/>
      <c r="E920" s="161"/>
      <c r="F920" s="161"/>
      <c r="G920" s="348"/>
      <c r="H920" s="348"/>
      <c r="I920" s="348"/>
      <c r="J920" s="348"/>
      <c r="K920" s="348"/>
      <c r="L920" s="3"/>
      <c r="M920" s="928"/>
      <c r="O920" s="151"/>
    </row>
    <row r="921" ht="12.0" customHeight="1">
      <c r="B921" s="1"/>
      <c r="D921" s="161"/>
      <c r="E921" s="161"/>
      <c r="F921" s="161"/>
      <c r="G921" s="348"/>
      <c r="H921" s="348"/>
      <c r="I921" s="348"/>
      <c r="J921" s="348"/>
      <c r="K921" s="348"/>
      <c r="L921" s="3"/>
      <c r="M921" s="928"/>
      <c r="O921" s="151"/>
    </row>
    <row r="922" ht="12.0" customHeight="1">
      <c r="B922" s="1"/>
      <c r="D922" s="161"/>
      <c r="E922" s="161"/>
      <c r="F922" s="161"/>
      <c r="G922" s="348"/>
      <c r="H922" s="348"/>
      <c r="I922" s="348"/>
      <c r="J922" s="348"/>
      <c r="K922" s="348"/>
      <c r="L922" s="3"/>
      <c r="M922" s="928"/>
      <c r="O922" s="151"/>
    </row>
    <row r="923" ht="12.0" customHeight="1">
      <c r="B923" s="1"/>
      <c r="D923" s="161"/>
      <c r="E923" s="161"/>
      <c r="F923" s="161"/>
      <c r="G923" s="348"/>
      <c r="H923" s="348"/>
      <c r="I923" s="348"/>
      <c r="J923" s="348"/>
      <c r="K923" s="348"/>
      <c r="L923" s="3"/>
      <c r="M923" s="928"/>
      <c r="O923" s="151"/>
    </row>
    <row r="924" ht="12.0" customHeight="1">
      <c r="B924" s="1"/>
      <c r="D924" s="161"/>
      <c r="E924" s="161"/>
      <c r="F924" s="161"/>
      <c r="G924" s="348"/>
      <c r="H924" s="348"/>
      <c r="I924" s="348"/>
      <c r="J924" s="348"/>
      <c r="K924" s="348"/>
      <c r="L924" s="3"/>
      <c r="M924" s="928"/>
      <c r="O924" s="151"/>
    </row>
    <row r="925" ht="12.0" customHeight="1">
      <c r="B925" s="1"/>
      <c r="D925" s="161"/>
      <c r="E925" s="161"/>
      <c r="F925" s="161"/>
      <c r="G925" s="348"/>
      <c r="H925" s="348"/>
      <c r="I925" s="348"/>
      <c r="J925" s="348"/>
      <c r="K925" s="348"/>
      <c r="L925" s="3"/>
      <c r="M925" s="928"/>
      <c r="O925" s="151"/>
    </row>
    <row r="926" ht="12.0" customHeight="1">
      <c r="B926" s="1"/>
      <c r="D926" s="161"/>
      <c r="E926" s="161"/>
      <c r="F926" s="161"/>
      <c r="G926" s="348"/>
      <c r="H926" s="348"/>
      <c r="I926" s="348"/>
      <c r="J926" s="348"/>
      <c r="K926" s="348"/>
      <c r="L926" s="3"/>
      <c r="M926" s="928"/>
      <c r="O926" s="151"/>
    </row>
    <row r="927" ht="12.0" customHeight="1">
      <c r="B927" s="1"/>
      <c r="D927" s="161"/>
      <c r="E927" s="161"/>
      <c r="F927" s="161"/>
      <c r="G927" s="348"/>
      <c r="H927" s="348"/>
      <c r="I927" s="348"/>
      <c r="J927" s="348"/>
      <c r="K927" s="348"/>
      <c r="L927" s="3"/>
      <c r="M927" s="928"/>
      <c r="O927" s="151"/>
    </row>
    <row r="928" ht="12.0" customHeight="1">
      <c r="B928" s="1"/>
      <c r="D928" s="161"/>
      <c r="E928" s="161"/>
      <c r="F928" s="161"/>
      <c r="G928" s="348"/>
      <c r="H928" s="348"/>
      <c r="I928" s="348"/>
      <c r="J928" s="348"/>
      <c r="K928" s="348"/>
      <c r="L928" s="3"/>
      <c r="M928" s="928"/>
      <c r="O928" s="151"/>
    </row>
    <row r="929" ht="12.0" customHeight="1">
      <c r="B929" s="1"/>
      <c r="D929" s="161"/>
      <c r="E929" s="161"/>
      <c r="F929" s="161"/>
      <c r="G929" s="348"/>
      <c r="H929" s="348"/>
      <c r="I929" s="348"/>
      <c r="J929" s="348"/>
      <c r="K929" s="348"/>
      <c r="L929" s="3"/>
      <c r="M929" s="928"/>
      <c r="O929" s="151"/>
    </row>
    <row r="930" ht="12.0" customHeight="1">
      <c r="B930" s="1"/>
      <c r="D930" s="161"/>
      <c r="E930" s="161"/>
      <c r="F930" s="161"/>
      <c r="G930" s="348"/>
      <c r="H930" s="348"/>
      <c r="I930" s="348"/>
      <c r="J930" s="348"/>
      <c r="K930" s="348"/>
      <c r="L930" s="3"/>
      <c r="M930" s="928"/>
      <c r="O930" s="151"/>
    </row>
    <row r="931" ht="12.0" customHeight="1">
      <c r="B931" s="1"/>
      <c r="D931" s="161"/>
      <c r="E931" s="161"/>
      <c r="F931" s="161"/>
      <c r="G931" s="348"/>
      <c r="H931" s="348"/>
      <c r="I931" s="348"/>
      <c r="J931" s="348"/>
      <c r="K931" s="348"/>
      <c r="L931" s="3"/>
      <c r="M931" s="928"/>
      <c r="O931" s="151"/>
    </row>
    <row r="932" ht="12.0" customHeight="1">
      <c r="B932" s="1"/>
      <c r="D932" s="161"/>
      <c r="E932" s="161"/>
      <c r="F932" s="161"/>
      <c r="G932" s="348"/>
      <c r="H932" s="348"/>
      <c r="I932" s="348"/>
      <c r="J932" s="348"/>
      <c r="K932" s="348"/>
      <c r="L932" s="3"/>
      <c r="M932" s="928"/>
      <c r="O932" s="151"/>
    </row>
    <row r="933" ht="12.0" customHeight="1">
      <c r="B933" s="1"/>
      <c r="D933" s="161"/>
      <c r="E933" s="161"/>
      <c r="F933" s="161"/>
      <c r="G933" s="348"/>
      <c r="H933" s="348"/>
      <c r="I933" s="348"/>
      <c r="J933" s="348"/>
      <c r="K933" s="348"/>
      <c r="L933" s="3"/>
      <c r="M933" s="928"/>
      <c r="O933" s="151"/>
    </row>
    <row r="934" ht="12.0" customHeight="1">
      <c r="B934" s="1"/>
      <c r="D934" s="161"/>
      <c r="E934" s="161"/>
      <c r="F934" s="161"/>
      <c r="G934" s="348"/>
      <c r="H934" s="348"/>
      <c r="I934" s="348"/>
      <c r="J934" s="348"/>
      <c r="K934" s="348"/>
      <c r="L934" s="3"/>
      <c r="M934" s="928"/>
      <c r="O934" s="151"/>
    </row>
    <row r="935" ht="12.0" customHeight="1">
      <c r="B935" s="1"/>
      <c r="D935" s="161"/>
      <c r="E935" s="161"/>
      <c r="F935" s="161"/>
      <c r="G935" s="348"/>
      <c r="H935" s="348"/>
      <c r="I935" s="348"/>
      <c r="J935" s="348"/>
      <c r="K935" s="348"/>
      <c r="L935" s="3"/>
      <c r="M935" s="928"/>
      <c r="O935" s="151"/>
    </row>
    <row r="936" ht="12.0" customHeight="1">
      <c r="B936" s="1"/>
      <c r="D936" s="161"/>
      <c r="E936" s="161"/>
      <c r="F936" s="161"/>
      <c r="G936" s="348"/>
      <c r="H936" s="348"/>
      <c r="I936" s="348"/>
      <c r="J936" s="348"/>
      <c r="K936" s="348"/>
      <c r="L936" s="3"/>
      <c r="M936" s="928"/>
      <c r="O936" s="151"/>
    </row>
    <row r="937" ht="12.0" customHeight="1">
      <c r="B937" s="1"/>
      <c r="D937" s="161"/>
      <c r="E937" s="161"/>
      <c r="F937" s="161"/>
      <c r="G937" s="348"/>
      <c r="H937" s="348"/>
      <c r="I937" s="348"/>
      <c r="J937" s="348"/>
      <c r="K937" s="348"/>
      <c r="L937" s="3"/>
      <c r="M937" s="928"/>
      <c r="O937" s="151"/>
    </row>
    <row r="938" ht="12.0" customHeight="1">
      <c r="B938" s="1"/>
      <c r="D938" s="161"/>
      <c r="E938" s="161"/>
      <c r="F938" s="161"/>
      <c r="G938" s="348"/>
      <c r="H938" s="348"/>
      <c r="I938" s="348"/>
      <c r="J938" s="348"/>
      <c r="K938" s="348"/>
      <c r="L938" s="3"/>
      <c r="M938" s="928"/>
      <c r="O938" s="151"/>
    </row>
    <row r="939" ht="12.0" customHeight="1">
      <c r="B939" s="1"/>
      <c r="D939" s="161"/>
      <c r="E939" s="161"/>
      <c r="F939" s="161"/>
      <c r="G939" s="348"/>
      <c r="H939" s="348"/>
      <c r="I939" s="348"/>
      <c r="J939" s="348"/>
      <c r="K939" s="348"/>
      <c r="L939" s="3"/>
      <c r="M939" s="928"/>
      <c r="O939" s="151"/>
    </row>
    <row r="940" ht="12.0" customHeight="1">
      <c r="B940" s="1"/>
      <c r="D940" s="161"/>
      <c r="E940" s="161"/>
      <c r="F940" s="161"/>
      <c r="G940" s="348"/>
      <c r="H940" s="348"/>
      <c r="I940" s="348"/>
      <c r="J940" s="348"/>
      <c r="K940" s="348"/>
      <c r="L940" s="3"/>
      <c r="M940" s="928"/>
      <c r="O940" s="151"/>
    </row>
    <row r="941" ht="12.0" customHeight="1">
      <c r="B941" s="1"/>
      <c r="D941" s="161"/>
      <c r="E941" s="161"/>
      <c r="F941" s="161"/>
      <c r="G941" s="348"/>
      <c r="H941" s="348"/>
      <c r="I941" s="348"/>
      <c r="J941" s="348"/>
      <c r="K941" s="348"/>
      <c r="L941" s="3"/>
      <c r="M941" s="928"/>
      <c r="O941" s="151"/>
    </row>
    <row r="942" ht="12.0" customHeight="1">
      <c r="B942" s="1"/>
      <c r="D942" s="161"/>
      <c r="E942" s="161"/>
      <c r="F942" s="161"/>
      <c r="G942" s="348"/>
      <c r="H942" s="348"/>
      <c r="I942" s="348"/>
      <c r="J942" s="348"/>
      <c r="K942" s="348"/>
      <c r="L942" s="3"/>
      <c r="M942" s="928"/>
      <c r="O942" s="151"/>
    </row>
    <row r="943" ht="12.0" customHeight="1">
      <c r="B943" s="1"/>
      <c r="D943" s="161"/>
      <c r="E943" s="161"/>
      <c r="F943" s="161"/>
      <c r="G943" s="348"/>
      <c r="H943" s="348"/>
      <c r="I943" s="348"/>
      <c r="J943" s="348"/>
      <c r="K943" s="348"/>
      <c r="L943" s="3"/>
      <c r="M943" s="928"/>
      <c r="O943" s="151"/>
    </row>
    <row r="944" ht="12.0" customHeight="1">
      <c r="B944" s="1"/>
      <c r="D944" s="161"/>
      <c r="E944" s="161"/>
      <c r="F944" s="161"/>
      <c r="G944" s="348"/>
      <c r="H944" s="348"/>
      <c r="I944" s="348"/>
      <c r="J944" s="348"/>
      <c r="K944" s="348"/>
      <c r="L944" s="3"/>
      <c r="M944" s="928"/>
      <c r="O944" s="151"/>
    </row>
    <row r="945" ht="12.0" customHeight="1">
      <c r="B945" s="1"/>
      <c r="D945" s="161"/>
      <c r="E945" s="161"/>
      <c r="F945" s="161"/>
      <c r="G945" s="348"/>
      <c r="H945" s="348"/>
      <c r="I945" s="348"/>
      <c r="J945" s="348"/>
      <c r="K945" s="348"/>
      <c r="L945" s="3"/>
      <c r="M945" s="928"/>
      <c r="O945" s="151"/>
    </row>
    <row r="946" ht="12.0" customHeight="1">
      <c r="B946" s="1"/>
      <c r="D946" s="161"/>
      <c r="E946" s="161"/>
      <c r="F946" s="161"/>
      <c r="G946" s="348"/>
      <c r="H946" s="348"/>
      <c r="I946" s="348"/>
      <c r="J946" s="348"/>
      <c r="K946" s="348"/>
      <c r="L946" s="3"/>
      <c r="M946" s="928"/>
      <c r="O946" s="151"/>
    </row>
    <row r="947" ht="12.0" customHeight="1">
      <c r="B947" s="1"/>
      <c r="D947" s="161"/>
      <c r="E947" s="161"/>
      <c r="F947" s="161"/>
      <c r="G947" s="348"/>
      <c r="H947" s="348"/>
      <c r="I947" s="348"/>
      <c r="J947" s="348"/>
      <c r="K947" s="348"/>
      <c r="L947" s="3"/>
      <c r="M947" s="928"/>
      <c r="O947" s="151"/>
    </row>
    <row r="948" ht="12.0" customHeight="1">
      <c r="B948" s="1"/>
      <c r="D948" s="161"/>
      <c r="E948" s="161"/>
      <c r="F948" s="161"/>
      <c r="G948" s="348"/>
      <c r="H948" s="348"/>
      <c r="I948" s="348"/>
      <c r="J948" s="348"/>
      <c r="K948" s="348"/>
      <c r="L948" s="3"/>
      <c r="M948" s="928"/>
      <c r="O948" s="151"/>
    </row>
    <row r="949" ht="12.0" customHeight="1">
      <c r="B949" s="1"/>
      <c r="D949" s="161"/>
      <c r="E949" s="161"/>
      <c r="F949" s="161"/>
      <c r="G949" s="348"/>
      <c r="H949" s="348"/>
      <c r="I949" s="348"/>
      <c r="J949" s="348"/>
      <c r="K949" s="348"/>
      <c r="L949" s="3"/>
      <c r="M949" s="928"/>
      <c r="O949" s="151"/>
    </row>
    <row r="950" ht="12.0" customHeight="1">
      <c r="B950" s="1"/>
      <c r="D950" s="161"/>
      <c r="E950" s="161"/>
      <c r="F950" s="161"/>
      <c r="G950" s="348"/>
      <c r="H950" s="348"/>
      <c r="I950" s="348"/>
      <c r="J950" s="348"/>
      <c r="K950" s="348"/>
      <c r="L950" s="3"/>
      <c r="M950" s="928"/>
      <c r="O950" s="151"/>
    </row>
    <row r="951" ht="12.0" customHeight="1">
      <c r="B951" s="1"/>
      <c r="D951" s="161"/>
      <c r="E951" s="161"/>
      <c r="F951" s="161"/>
      <c r="G951" s="348"/>
      <c r="H951" s="348"/>
      <c r="I951" s="348"/>
      <c r="J951" s="348"/>
      <c r="K951" s="348"/>
      <c r="L951" s="3"/>
      <c r="M951" s="928"/>
      <c r="O951" s="151"/>
    </row>
    <row r="952" ht="12.0" customHeight="1">
      <c r="B952" s="1"/>
      <c r="D952" s="161"/>
      <c r="E952" s="161"/>
      <c r="F952" s="161"/>
      <c r="G952" s="348"/>
      <c r="H952" s="348"/>
      <c r="I952" s="348"/>
      <c r="J952" s="348"/>
      <c r="K952" s="348"/>
      <c r="L952" s="3"/>
      <c r="M952" s="928"/>
      <c r="O952" s="151"/>
    </row>
    <row r="953" ht="12.0" customHeight="1">
      <c r="B953" s="1"/>
      <c r="D953" s="161"/>
      <c r="E953" s="161"/>
      <c r="F953" s="161"/>
      <c r="G953" s="348"/>
      <c r="H953" s="348"/>
      <c r="I953" s="348"/>
      <c r="J953" s="348"/>
      <c r="K953" s="348"/>
      <c r="L953" s="3"/>
      <c r="M953" s="928"/>
      <c r="O953" s="151"/>
    </row>
    <row r="954" ht="12.0" customHeight="1">
      <c r="B954" s="1"/>
      <c r="D954" s="161"/>
      <c r="E954" s="161"/>
      <c r="F954" s="161"/>
      <c r="G954" s="348"/>
      <c r="H954" s="348"/>
      <c r="I954" s="348"/>
      <c r="J954" s="348"/>
      <c r="K954" s="348"/>
      <c r="L954" s="3"/>
      <c r="M954" s="928"/>
      <c r="O954" s="151"/>
    </row>
    <row r="955" ht="12.0" customHeight="1">
      <c r="B955" s="1"/>
      <c r="D955" s="161"/>
      <c r="E955" s="161"/>
      <c r="F955" s="161"/>
      <c r="G955" s="348"/>
      <c r="H955" s="348"/>
      <c r="I955" s="348"/>
      <c r="J955" s="348"/>
      <c r="K955" s="348"/>
      <c r="L955" s="3"/>
      <c r="M955" s="928"/>
      <c r="O955" s="151"/>
    </row>
    <row r="956" ht="12.0" customHeight="1">
      <c r="B956" s="1"/>
      <c r="D956" s="161"/>
      <c r="E956" s="161"/>
      <c r="F956" s="161"/>
      <c r="G956" s="348"/>
      <c r="H956" s="348"/>
      <c r="I956" s="348"/>
      <c r="J956" s="348"/>
      <c r="K956" s="348"/>
      <c r="L956" s="3"/>
      <c r="M956" s="928"/>
      <c r="O956" s="151"/>
    </row>
    <row r="957" ht="12.0" customHeight="1">
      <c r="B957" s="1"/>
      <c r="D957" s="161"/>
      <c r="E957" s="161"/>
      <c r="F957" s="161"/>
      <c r="G957" s="348"/>
      <c r="H957" s="348"/>
      <c r="I957" s="348"/>
      <c r="J957" s="348"/>
      <c r="K957" s="348"/>
      <c r="L957" s="3"/>
      <c r="M957" s="928"/>
      <c r="O957" s="151"/>
    </row>
    <row r="958" ht="12.0" customHeight="1">
      <c r="B958" s="1"/>
      <c r="D958" s="161"/>
      <c r="E958" s="161"/>
      <c r="F958" s="161"/>
      <c r="G958" s="348"/>
      <c r="H958" s="348"/>
      <c r="I958" s="348"/>
      <c r="J958" s="348"/>
      <c r="K958" s="348"/>
      <c r="L958" s="3"/>
      <c r="M958" s="928"/>
      <c r="O958" s="151"/>
    </row>
    <row r="959" ht="12.0" customHeight="1">
      <c r="B959" s="1"/>
      <c r="D959" s="161"/>
      <c r="E959" s="161"/>
      <c r="F959" s="161"/>
      <c r="G959" s="348"/>
      <c r="H959" s="348"/>
      <c r="I959" s="348"/>
      <c r="J959" s="348"/>
      <c r="K959" s="348"/>
      <c r="L959" s="3"/>
      <c r="M959" s="928"/>
      <c r="O959" s="151"/>
    </row>
    <row r="960" ht="12.0" customHeight="1">
      <c r="B960" s="1"/>
      <c r="D960" s="161"/>
      <c r="E960" s="161"/>
      <c r="F960" s="161"/>
      <c r="G960" s="348"/>
      <c r="H960" s="348"/>
      <c r="I960" s="348"/>
      <c r="J960" s="348"/>
      <c r="K960" s="348"/>
      <c r="L960" s="3"/>
      <c r="M960" s="928"/>
      <c r="O960" s="151"/>
    </row>
    <row r="961" ht="12.0" customHeight="1">
      <c r="B961" s="1"/>
      <c r="D961" s="161"/>
      <c r="E961" s="161"/>
      <c r="F961" s="161"/>
      <c r="G961" s="348"/>
      <c r="H961" s="348"/>
      <c r="I961" s="348"/>
      <c r="J961" s="348"/>
      <c r="K961" s="348"/>
      <c r="L961" s="3"/>
      <c r="M961" s="928"/>
      <c r="O961" s="151"/>
    </row>
    <row r="962" ht="12.0" customHeight="1">
      <c r="B962" s="1"/>
      <c r="D962" s="161"/>
      <c r="E962" s="161"/>
      <c r="F962" s="161"/>
      <c r="G962" s="348"/>
      <c r="H962" s="348"/>
      <c r="I962" s="348"/>
      <c r="J962" s="348"/>
      <c r="K962" s="348"/>
      <c r="L962" s="3"/>
      <c r="M962" s="928"/>
      <c r="O962" s="151"/>
    </row>
    <row r="963" ht="12.0" customHeight="1">
      <c r="B963" s="1"/>
      <c r="D963" s="161"/>
      <c r="E963" s="161"/>
      <c r="F963" s="161"/>
      <c r="G963" s="348"/>
      <c r="H963" s="348"/>
      <c r="I963" s="348"/>
      <c r="J963" s="348"/>
      <c r="K963" s="348"/>
      <c r="L963" s="3"/>
      <c r="M963" s="928"/>
      <c r="O963" s="151"/>
    </row>
    <row r="964" ht="12.0" customHeight="1">
      <c r="B964" s="1"/>
      <c r="D964" s="161"/>
      <c r="E964" s="161"/>
      <c r="F964" s="161"/>
      <c r="G964" s="348"/>
      <c r="H964" s="348"/>
      <c r="I964" s="348"/>
      <c r="J964" s="348"/>
      <c r="K964" s="348"/>
      <c r="L964" s="3"/>
      <c r="M964" s="928"/>
      <c r="O964" s="151"/>
    </row>
    <row r="965" ht="12.0" customHeight="1">
      <c r="B965" s="1"/>
      <c r="D965" s="161"/>
      <c r="E965" s="161"/>
      <c r="F965" s="161"/>
      <c r="G965" s="348"/>
      <c r="H965" s="348"/>
      <c r="I965" s="348"/>
      <c r="J965" s="348"/>
      <c r="K965" s="348"/>
      <c r="L965" s="3"/>
      <c r="M965" s="928"/>
      <c r="O965" s="151"/>
    </row>
    <row r="966" ht="12.0" customHeight="1">
      <c r="B966" s="1"/>
      <c r="D966" s="161"/>
      <c r="E966" s="161"/>
      <c r="F966" s="161"/>
      <c r="G966" s="348"/>
      <c r="H966" s="348"/>
      <c r="I966" s="348"/>
      <c r="J966" s="348"/>
      <c r="K966" s="348"/>
      <c r="L966" s="3"/>
      <c r="M966" s="928"/>
      <c r="O966" s="151"/>
    </row>
    <row r="967" ht="12.0" customHeight="1">
      <c r="B967" s="1"/>
      <c r="D967" s="161"/>
      <c r="E967" s="161"/>
      <c r="F967" s="161"/>
      <c r="G967" s="348"/>
      <c r="H967" s="348"/>
      <c r="I967" s="348"/>
      <c r="J967" s="348"/>
      <c r="K967" s="348"/>
      <c r="L967" s="3"/>
      <c r="M967" s="928"/>
      <c r="O967" s="151"/>
    </row>
    <row r="968" ht="12.0" customHeight="1">
      <c r="B968" s="1"/>
      <c r="D968" s="161"/>
      <c r="E968" s="161"/>
      <c r="F968" s="161"/>
      <c r="G968" s="348"/>
      <c r="H968" s="348"/>
      <c r="I968" s="348"/>
      <c r="J968" s="348"/>
      <c r="K968" s="348"/>
      <c r="L968" s="3"/>
      <c r="M968" s="928"/>
      <c r="O968" s="151"/>
    </row>
    <row r="969" ht="12.0" customHeight="1">
      <c r="B969" s="1"/>
      <c r="D969" s="161"/>
      <c r="E969" s="161"/>
      <c r="F969" s="161"/>
      <c r="G969" s="348"/>
      <c r="H969" s="348"/>
      <c r="I969" s="348"/>
      <c r="J969" s="348"/>
      <c r="K969" s="348"/>
      <c r="L969" s="3"/>
      <c r="M969" s="928"/>
      <c r="O969" s="151"/>
    </row>
    <row r="970" ht="12.0" customHeight="1">
      <c r="B970" s="1"/>
      <c r="D970" s="161"/>
      <c r="E970" s="161"/>
      <c r="F970" s="161"/>
      <c r="G970" s="348"/>
      <c r="H970" s="348"/>
      <c r="I970" s="348"/>
      <c r="J970" s="348"/>
      <c r="K970" s="348"/>
      <c r="L970" s="3"/>
      <c r="M970" s="928"/>
      <c r="O970" s="151"/>
    </row>
    <row r="971" ht="12.0" customHeight="1">
      <c r="B971" s="1"/>
      <c r="D971" s="161"/>
      <c r="E971" s="161"/>
      <c r="F971" s="161"/>
      <c r="G971" s="348"/>
      <c r="H971" s="348"/>
      <c r="I971" s="348"/>
      <c r="J971" s="348"/>
      <c r="K971" s="348"/>
      <c r="L971" s="3"/>
      <c r="M971" s="928"/>
      <c r="O971" s="151"/>
    </row>
    <row r="972" ht="12.0" customHeight="1">
      <c r="B972" s="1"/>
      <c r="D972" s="161"/>
      <c r="E972" s="161"/>
      <c r="F972" s="161"/>
      <c r="G972" s="348"/>
      <c r="H972" s="348"/>
      <c r="I972" s="348"/>
      <c r="J972" s="348"/>
      <c r="K972" s="348"/>
      <c r="L972" s="3"/>
      <c r="M972" s="928"/>
      <c r="O972" s="151"/>
    </row>
    <row r="973" ht="12.0" customHeight="1">
      <c r="B973" s="1"/>
      <c r="D973" s="161"/>
      <c r="E973" s="161"/>
      <c r="F973" s="161"/>
      <c r="G973" s="348"/>
      <c r="H973" s="348"/>
      <c r="I973" s="348"/>
      <c r="J973" s="348"/>
      <c r="K973" s="348"/>
      <c r="L973" s="3"/>
      <c r="M973" s="928"/>
      <c r="O973" s="151"/>
    </row>
    <row r="974" ht="12.0" customHeight="1">
      <c r="B974" s="1"/>
      <c r="D974" s="161"/>
      <c r="E974" s="161"/>
      <c r="F974" s="161"/>
      <c r="G974" s="348"/>
      <c r="H974" s="348"/>
      <c r="I974" s="348"/>
      <c r="J974" s="348"/>
      <c r="K974" s="348"/>
      <c r="L974" s="3"/>
      <c r="M974" s="928"/>
      <c r="O974" s="151"/>
    </row>
    <row r="975" ht="12.0" customHeight="1">
      <c r="B975" s="1"/>
      <c r="D975" s="161"/>
      <c r="E975" s="161"/>
      <c r="F975" s="161"/>
      <c r="G975" s="348"/>
      <c r="H975" s="348"/>
      <c r="I975" s="348"/>
      <c r="J975" s="348"/>
      <c r="K975" s="348"/>
      <c r="L975" s="3"/>
      <c r="M975" s="928"/>
      <c r="O975" s="151"/>
    </row>
    <row r="976" ht="12.0" customHeight="1">
      <c r="B976" s="1"/>
      <c r="D976" s="161"/>
      <c r="E976" s="161"/>
      <c r="F976" s="161"/>
      <c r="G976" s="348"/>
      <c r="H976" s="348"/>
      <c r="I976" s="348"/>
      <c r="J976" s="348"/>
      <c r="K976" s="348"/>
      <c r="L976" s="3"/>
      <c r="M976" s="928"/>
      <c r="O976" s="151"/>
    </row>
    <row r="977" ht="12.0" customHeight="1">
      <c r="B977" s="1"/>
      <c r="D977" s="161"/>
      <c r="E977" s="161"/>
      <c r="F977" s="161"/>
      <c r="G977" s="348"/>
      <c r="H977" s="348"/>
      <c r="I977" s="348"/>
      <c r="J977" s="348"/>
      <c r="K977" s="348"/>
      <c r="L977" s="3"/>
      <c r="M977" s="928"/>
      <c r="O977" s="151"/>
    </row>
    <row r="978" ht="12.0" customHeight="1">
      <c r="B978" s="1"/>
      <c r="D978" s="161"/>
      <c r="E978" s="161"/>
      <c r="F978" s="161"/>
      <c r="G978" s="348"/>
      <c r="H978" s="348"/>
      <c r="I978" s="348"/>
      <c r="J978" s="348"/>
      <c r="K978" s="348"/>
      <c r="L978" s="3"/>
      <c r="M978" s="928"/>
      <c r="O978" s="151"/>
    </row>
    <row r="979" ht="12.0" customHeight="1">
      <c r="B979" s="1"/>
      <c r="D979" s="161"/>
      <c r="E979" s="161"/>
      <c r="F979" s="161"/>
      <c r="G979" s="348"/>
      <c r="H979" s="348"/>
      <c r="I979" s="348"/>
      <c r="J979" s="348"/>
      <c r="K979" s="348"/>
      <c r="L979" s="3"/>
      <c r="M979" s="928"/>
      <c r="O979" s="151"/>
    </row>
    <row r="980" ht="12.0" customHeight="1">
      <c r="B980" s="1"/>
      <c r="D980" s="161"/>
      <c r="E980" s="161"/>
      <c r="F980" s="161"/>
      <c r="G980" s="348"/>
      <c r="H980" s="348"/>
      <c r="I980" s="348"/>
      <c r="J980" s="348"/>
      <c r="K980" s="348"/>
      <c r="L980" s="3"/>
      <c r="M980" s="928"/>
      <c r="O980" s="151"/>
    </row>
    <row r="981" ht="12.0" customHeight="1">
      <c r="B981" s="1"/>
      <c r="D981" s="161"/>
      <c r="E981" s="161"/>
      <c r="F981" s="161"/>
      <c r="G981" s="348"/>
      <c r="H981" s="348"/>
      <c r="I981" s="348"/>
      <c r="J981" s="348"/>
      <c r="K981" s="348"/>
      <c r="L981" s="3"/>
      <c r="M981" s="928"/>
      <c r="O981" s="151"/>
    </row>
    <row r="982" ht="12.0" customHeight="1">
      <c r="B982" s="1"/>
      <c r="D982" s="161"/>
      <c r="E982" s="161"/>
      <c r="F982" s="161"/>
      <c r="G982" s="348"/>
      <c r="H982" s="348"/>
      <c r="I982" s="348"/>
      <c r="J982" s="348"/>
      <c r="K982" s="348"/>
      <c r="L982" s="3"/>
      <c r="M982" s="928"/>
      <c r="O982" s="151"/>
    </row>
    <row r="983" ht="12.0" customHeight="1">
      <c r="B983" s="1"/>
      <c r="D983" s="161"/>
      <c r="E983" s="161"/>
      <c r="F983" s="161"/>
      <c r="G983" s="348"/>
      <c r="H983" s="348"/>
      <c r="I983" s="348"/>
      <c r="J983" s="348"/>
      <c r="K983" s="348"/>
      <c r="L983" s="3"/>
      <c r="M983" s="928"/>
      <c r="O983" s="151"/>
    </row>
    <row r="984" ht="12.0" customHeight="1">
      <c r="B984" s="1"/>
      <c r="D984" s="161"/>
      <c r="E984" s="161"/>
      <c r="F984" s="161"/>
      <c r="G984" s="348"/>
      <c r="H984" s="348"/>
      <c r="I984" s="348"/>
      <c r="J984" s="348"/>
      <c r="K984" s="348"/>
      <c r="L984" s="3"/>
      <c r="M984" s="928"/>
      <c r="O984" s="151"/>
    </row>
    <row r="985" ht="12.0" customHeight="1">
      <c r="B985" s="1"/>
      <c r="D985" s="161"/>
      <c r="E985" s="161"/>
      <c r="F985" s="161"/>
      <c r="G985" s="348"/>
      <c r="H985" s="348"/>
      <c r="I985" s="348"/>
      <c r="J985" s="348"/>
      <c r="K985" s="348"/>
      <c r="L985" s="3"/>
      <c r="M985" s="928"/>
      <c r="O985" s="151"/>
    </row>
    <row r="986" ht="12.0" customHeight="1">
      <c r="B986" s="1"/>
      <c r="D986" s="161"/>
      <c r="E986" s="161"/>
      <c r="F986" s="161"/>
      <c r="G986" s="348"/>
      <c r="H986" s="348"/>
      <c r="I986" s="348"/>
      <c r="J986" s="348"/>
      <c r="K986" s="348"/>
      <c r="L986" s="3"/>
      <c r="M986" s="928"/>
      <c r="O986" s="151"/>
    </row>
    <row r="987" ht="12.0" customHeight="1">
      <c r="B987" s="1"/>
      <c r="D987" s="161"/>
      <c r="E987" s="161"/>
      <c r="F987" s="161"/>
      <c r="G987" s="348"/>
      <c r="H987" s="348"/>
      <c r="I987" s="348"/>
      <c r="J987" s="348"/>
      <c r="K987" s="348"/>
      <c r="L987" s="3"/>
      <c r="M987" s="928"/>
      <c r="O987" s="151"/>
    </row>
    <row r="988" ht="12.0" customHeight="1">
      <c r="B988" s="1"/>
      <c r="D988" s="161"/>
      <c r="E988" s="161"/>
      <c r="F988" s="161"/>
      <c r="G988" s="348"/>
      <c r="H988" s="348"/>
      <c r="I988" s="348"/>
      <c r="J988" s="348"/>
      <c r="K988" s="348"/>
      <c r="L988" s="3"/>
      <c r="M988" s="928"/>
      <c r="O988" s="151"/>
    </row>
    <row r="989" ht="12.0" customHeight="1">
      <c r="B989" s="1"/>
      <c r="D989" s="161"/>
      <c r="E989" s="161"/>
      <c r="F989" s="161"/>
      <c r="G989" s="348"/>
      <c r="H989" s="348"/>
      <c r="I989" s="348"/>
      <c r="J989" s="348"/>
      <c r="K989" s="348"/>
      <c r="L989" s="3"/>
      <c r="M989" s="928"/>
      <c r="O989" s="151"/>
    </row>
    <row r="990" ht="12.0" customHeight="1">
      <c r="B990" s="1"/>
      <c r="D990" s="161"/>
      <c r="E990" s="161"/>
      <c r="F990" s="161"/>
      <c r="G990" s="348"/>
      <c r="H990" s="348"/>
      <c r="I990" s="348"/>
      <c r="J990" s="348"/>
      <c r="K990" s="348"/>
      <c r="L990" s="3"/>
      <c r="M990" s="928"/>
      <c r="O990" s="151"/>
    </row>
    <row r="991" ht="12.0" customHeight="1">
      <c r="B991" s="1"/>
      <c r="D991" s="161"/>
      <c r="E991" s="161"/>
      <c r="F991" s="161"/>
      <c r="G991" s="348"/>
      <c r="H991" s="348"/>
      <c r="I991" s="348"/>
      <c r="J991" s="348"/>
      <c r="K991" s="348"/>
      <c r="L991" s="3"/>
      <c r="M991" s="928"/>
      <c r="O991" s="151"/>
    </row>
    <row r="992" ht="12.0" customHeight="1">
      <c r="B992" s="1"/>
      <c r="D992" s="161"/>
      <c r="E992" s="161"/>
      <c r="F992" s="161"/>
      <c r="G992" s="348"/>
      <c r="H992" s="348"/>
      <c r="I992" s="348"/>
      <c r="J992" s="348"/>
      <c r="K992" s="348"/>
      <c r="L992" s="3"/>
      <c r="M992" s="928"/>
      <c r="O992" s="151"/>
    </row>
    <row r="993" ht="12.0" customHeight="1">
      <c r="B993" s="1"/>
      <c r="D993" s="161"/>
      <c r="E993" s="161"/>
      <c r="F993" s="161"/>
      <c r="G993" s="348"/>
      <c r="H993" s="348"/>
      <c r="I993" s="348"/>
      <c r="J993" s="348"/>
      <c r="K993" s="348"/>
      <c r="L993" s="3"/>
      <c r="M993" s="928"/>
      <c r="O993" s="151"/>
    </row>
    <row r="994" ht="12.0" customHeight="1">
      <c r="B994" s="1"/>
      <c r="D994" s="161"/>
      <c r="E994" s="161"/>
      <c r="F994" s="161"/>
      <c r="G994" s="348"/>
      <c r="H994" s="348"/>
      <c r="I994" s="348"/>
      <c r="J994" s="348"/>
      <c r="K994" s="348"/>
      <c r="L994" s="3"/>
      <c r="M994" s="928"/>
      <c r="O994" s="151"/>
    </row>
    <row r="995" ht="12.0" customHeight="1">
      <c r="B995" s="1"/>
      <c r="D995" s="161"/>
      <c r="E995" s="161"/>
      <c r="F995" s="161"/>
      <c r="G995" s="348"/>
      <c r="H995" s="348"/>
      <c r="I995" s="348"/>
      <c r="J995" s="348"/>
      <c r="K995" s="348"/>
      <c r="L995" s="3"/>
      <c r="M995" s="928"/>
      <c r="O995" s="151"/>
    </row>
    <row r="996" ht="12.0" customHeight="1">
      <c r="B996" s="1"/>
      <c r="D996" s="161"/>
      <c r="E996" s="161"/>
      <c r="F996" s="161"/>
      <c r="G996" s="348"/>
      <c r="H996" s="348"/>
      <c r="I996" s="348"/>
      <c r="J996" s="348"/>
      <c r="K996" s="348"/>
      <c r="L996" s="3"/>
      <c r="M996" s="928"/>
      <c r="O996" s="151"/>
    </row>
    <row r="997" ht="12.0" customHeight="1">
      <c r="B997" s="1"/>
      <c r="D997" s="161"/>
      <c r="E997" s="161"/>
      <c r="F997" s="161"/>
      <c r="G997" s="348"/>
      <c r="H997" s="348"/>
      <c r="I997" s="348"/>
      <c r="J997" s="348"/>
      <c r="K997" s="348"/>
      <c r="L997" s="3"/>
      <c r="M997" s="928"/>
      <c r="O997" s="151"/>
    </row>
    <row r="998" ht="12.0" customHeight="1">
      <c r="B998" s="1"/>
      <c r="D998" s="161"/>
      <c r="E998" s="161"/>
      <c r="F998" s="161"/>
      <c r="G998" s="348"/>
      <c r="H998" s="348"/>
      <c r="I998" s="348"/>
      <c r="J998" s="348"/>
      <c r="K998" s="348"/>
      <c r="L998" s="3"/>
      <c r="M998" s="928"/>
      <c r="O998" s="151"/>
    </row>
    <row r="999" ht="12.0" customHeight="1">
      <c r="B999" s="1"/>
      <c r="D999" s="161"/>
      <c r="E999" s="161"/>
      <c r="F999" s="161"/>
      <c r="G999" s="348"/>
      <c r="H999" s="348"/>
      <c r="I999" s="348"/>
      <c r="J999" s="348"/>
      <c r="K999" s="348"/>
      <c r="L999" s="3"/>
      <c r="M999" s="928"/>
      <c r="O999" s="151"/>
    </row>
    <row r="1000" ht="12.0" customHeight="1">
      <c r="B1000" s="1"/>
      <c r="D1000" s="161"/>
      <c r="E1000" s="161"/>
      <c r="F1000" s="161"/>
      <c r="G1000" s="348"/>
      <c r="H1000" s="348"/>
      <c r="I1000" s="348"/>
      <c r="J1000" s="348"/>
      <c r="K1000" s="348"/>
      <c r="L1000" s="3"/>
      <c r="M1000" s="928"/>
      <c r="O1000" s="151"/>
    </row>
  </sheetData>
  <mergeCells count="4">
    <mergeCell ref="K4:L4"/>
    <mergeCell ref="N4:O4"/>
    <mergeCell ref="G5:I5"/>
    <mergeCell ref="B15:B18"/>
  </mergeCells>
  <dataValidations>
    <dataValidation type="list" allowBlank="1" showErrorMessage="1" sqref="K15 K21">
      <formula1>"YES,NO"</formula1>
    </dataValidation>
    <dataValidation type="list" allowBlank="1" showErrorMessage="1" sqref="N15 N21">
      <formula1>"DELAPIDATED,POOR,FAIR,GOOD,VERY GOOD,EXCELLENT,NOT APPLICABLE"</formula1>
    </dataValidation>
    <dataValidation type="list" allowBlank="1" showErrorMessage="1" sqref="K7:K8">
      <formula1>"2010-2013,2014-2021,2021-2023"</formula1>
    </dataValidation>
  </dataValidations>
  <printOptions/>
  <pageMargins bottom="0.75" footer="0.0" header="0.0" left="0.7" right="0.7" top="0.75"/>
  <pageSetup paperSize="9" scale="27" orientation="portrait"/>
  <headerFooter>
    <oddFooter>&amp;C....Making Buildings Work Tel: 310 1353                         Cell: 74712201                    Email: temocs@gmail.com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2024-02-08T15:37:00Z</dcterms:created>
  <dc:creator>Temo CS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