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ropbox\read_exel\"/>
    </mc:Choice>
  </mc:AlternateContent>
  <bookViews>
    <workbookView xWindow="930" yWindow="0" windowWidth="8805" windowHeight="8250" tabRatio="777" activeTab="2"/>
  </bookViews>
  <sheets>
    <sheet name="Constants &amp; Parameters" sheetId="1" r:id="rId1"/>
    <sheet name="Latitude &amp; Longitude to E,N,Zne" sheetId="2" r:id="rId2"/>
    <sheet name="E,N Zne to Latitude &amp; Longitude" sheetId="3" r:id="rId3"/>
    <sheet name="Test data" sheetId="4" r:id="rId4"/>
    <sheet name="Лист1" sheetId="5" r:id="rId5"/>
  </sheets>
  <calcPr calcId="0"/>
</workbook>
</file>

<file path=xl/calcChain.xml><?xml version="1.0" encoding="utf-8"?>
<calcChain xmlns="http://schemas.openxmlformats.org/spreadsheetml/2006/main">
  <c r="C5" i="1" l="1"/>
  <c r="C6" i="1"/>
  <c r="C7" i="1"/>
  <c r="C8" i="1"/>
  <c r="C9" i="1"/>
  <c r="C10" i="1"/>
  <c r="C11" i="1"/>
  <c r="C13" i="1"/>
  <c r="C14" i="1"/>
  <c r="C15" i="1"/>
  <c r="C16" i="1"/>
  <c r="C17" i="1"/>
  <c r="C25" i="1"/>
  <c r="C26" i="1"/>
  <c r="L2" i="3"/>
  <c r="E5" i="3"/>
  <c r="L5" i="3"/>
  <c r="E6" i="3"/>
  <c r="L6" i="3"/>
  <c r="E7" i="3"/>
  <c r="L7" i="3"/>
  <c r="L9" i="3"/>
  <c r="L10" i="3"/>
  <c r="L11" i="3"/>
  <c r="L12" i="3"/>
  <c r="L13" i="3"/>
  <c r="C16" i="3"/>
  <c r="D16" i="3"/>
  <c r="E16" i="3"/>
  <c r="F16" i="3"/>
  <c r="G16" i="3"/>
  <c r="L16" i="3"/>
  <c r="C17" i="3"/>
  <c r="D17" i="3"/>
  <c r="E17" i="3"/>
  <c r="F17" i="3"/>
  <c r="G17" i="3"/>
  <c r="L17" i="3"/>
  <c r="C18" i="3"/>
  <c r="D18" i="3"/>
  <c r="E18" i="3"/>
  <c r="F18" i="3"/>
  <c r="G18" i="3"/>
  <c r="C19" i="3"/>
  <c r="D19" i="3"/>
  <c r="E19" i="3"/>
  <c r="F19" i="3"/>
  <c r="G19" i="3"/>
  <c r="C20" i="3"/>
  <c r="D20" i="3"/>
  <c r="E20" i="3"/>
  <c r="F20" i="3"/>
  <c r="G20" i="3"/>
  <c r="C21" i="3"/>
  <c r="D21" i="3"/>
  <c r="E21" i="3"/>
  <c r="F21" i="3"/>
  <c r="G21" i="3"/>
  <c r="G23" i="3"/>
  <c r="G24" i="3"/>
  <c r="G25" i="3"/>
  <c r="G28" i="3"/>
  <c r="H28" i="3"/>
  <c r="I28" i="3"/>
  <c r="J28" i="3"/>
  <c r="K28" i="3"/>
  <c r="G29" i="3"/>
  <c r="H29" i="3"/>
  <c r="I29" i="3"/>
  <c r="J29" i="3"/>
  <c r="K29" i="3"/>
  <c r="G30" i="3"/>
  <c r="H30" i="3"/>
  <c r="I30" i="3"/>
  <c r="J30" i="3"/>
  <c r="K30" i="3"/>
  <c r="G31" i="3"/>
  <c r="H31" i="3"/>
  <c r="J31" i="3"/>
  <c r="K31" i="3"/>
  <c r="H32" i="3"/>
  <c r="J32" i="3"/>
  <c r="H33" i="3"/>
  <c r="J33" i="3"/>
  <c r="H34" i="3"/>
  <c r="C37" i="3"/>
  <c r="D37" i="3"/>
  <c r="E37" i="3"/>
  <c r="F37" i="3"/>
  <c r="G37" i="3"/>
  <c r="M37" i="3"/>
  <c r="N37" i="3"/>
  <c r="O37" i="3"/>
  <c r="P37" i="3"/>
  <c r="Q37" i="3"/>
  <c r="C38" i="3"/>
  <c r="D38" i="3"/>
  <c r="E38" i="3"/>
  <c r="F38" i="3"/>
  <c r="G38" i="3"/>
  <c r="M38" i="3"/>
  <c r="N38" i="3"/>
  <c r="O38" i="3"/>
  <c r="P38" i="3"/>
  <c r="Q38" i="3"/>
  <c r="C39" i="3"/>
  <c r="D39" i="3"/>
  <c r="E39" i="3"/>
  <c r="F39" i="3"/>
  <c r="G39" i="3"/>
  <c r="M39" i="3"/>
  <c r="N39" i="3"/>
  <c r="O39" i="3"/>
  <c r="P39" i="3"/>
  <c r="Q39" i="3"/>
  <c r="C40" i="3"/>
  <c r="D40" i="3"/>
  <c r="E40" i="3"/>
  <c r="F40" i="3"/>
  <c r="G40" i="3"/>
  <c r="M40" i="3"/>
  <c r="N40" i="3"/>
  <c r="O40" i="3"/>
  <c r="P40" i="3"/>
  <c r="Q40" i="3"/>
  <c r="C41" i="3"/>
  <c r="D41" i="3"/>
  <c r="E41" i="3"/>
  <c r="F41" i="3"/>
  <c r="G41" i="3"/>
  <c r="M41" i="3"/>
  <c r="N41" i="3"/>
  <c r="O41" i="3"/>
  <c r="P41" i="3"/>
  <c r="Q41" i="3"/>
  <c r="C42" i="3"/>
  <c r="D42" i="3"/>
  <c r="E42" i="3"/>
  <c r="C43" i="3"/>
  <c r="D43" i="3"/>
  <c r="E43" i="3"/>
  <c r="F43" i="3"/>
  <c r="G43" i="3"/>
  <c r="M43" i="3"/>
  <c r="N43" i="3"/>
  <c r="O43" i="3"/>
  <c r="P43" i="3"/>
  <c r="Q43" i="3"/>
  <c r="C45" i="3"/>
  <c r="D45" i="3"/>
  <c r="E45" i="3"/>
  <c r="F45" i="3"/>
  <c r="G45" i="3"/>
  <c r="Q45" i="3"/>
  <c r="C46" i="3"/>
  <c r="D46" i="3"/>
  <c r="E46" i="3"/>
  <c r="F46" i="3"/>
  <c r="G46" i="3"/>
  <c r="Q46" i="3"/>
  <c r="C47" i="3"/>
  <c r="D47" i="3"/>
  <c r="E47" i="3"/>
  <c r="F47" i="3"/>
  <c r="G47" i="3"/>
  <c r="Q47" i="3"/>
  <c r="C48" i="3"/>
  <c r="D48" i="3"/>
  <c r="E48" i="3"/>
  <c r="F48" i="3"/>
  <c r="G48" i="3"/>
  <c r="Q48" i="3"/>
  <c r="C49" i="3"/>
  <c r="D49" i="3"/>
  <c r="E49" i="3"/>
  <c r="C50" i="3"/>
  <c r="D50" i="3"/>
  <c r="E50" i="3"/>
  <c r="F50" i="3"/>
  <c r="G50" i="3"/>
  <c r="O50" i="3"/>
  <c r="Q50" i="3"/>
  <c r="H2" i="2"/>
  <c r="F4" i="2"/>
  <c r="G4" i="2"/>
  <c r="L4" i="2"/>
  <c r="M4" i="2"/>
  <c r="C5" i="2"/>
  <c r="F5" i="2"/>
  <c r="L5" i="2"/>
  <c r="C6" i="2"/>
  <c r="I6" i="2"/>
  <c r="J6" i="2"/>
  <c r="K6" i="2"/>
  <c r="L6" i="2"/>
  <c r="M6" i="2"/>
  <c r="C7" i="2"/>
  <c r="F7" i="2"/>
  <c r="G7" i="2"/>
  <c r="E9" i="2"/>
  <c r="M9" i="2"/>
  <c r="E10" i="2"/>
  <c r="K10" i="2"/>
  <c r="M10" i="2"/>
  <c r="E11" i="2"/>
  <c r="K11" i="2"/>
  <c r="M11" i="2"/>
  <c r="E12" i="2"/>
  <c r="K12" i="2"/>
  <c r="M12" i="2"/>
  <c r="E15" i="2"/>
  <c r="K15" i="2"/>
  <c r="E16" i="2"/>
  <c r="K16" i="2"/>
  <c r="E17" i="2"/>
  <c r="E18" i="2"/>
  <c r="E19" i="2"/>
  <c r="E22" i="2"/>
  <c r="H22" i="2"/>
  <c r="K22" i="2"/>
  <c r="M22" i="2"/>
  <c r="E23" i="2"/>
  <c r="H23" i="2"/>
  <c r="K23" i="2"/>
  <c r="M23" i="2"/>
  <c r="E24" i="2"/>
  <c r="H24" i="2"/>
  <c r="M24" i="2"/>
  <c r="E25" i="2"/>
  <c r="H25" i="2"/>
  <c r="K25" i="2"/>
  <c r="M25" i="2"/>
  <c r="E26" i="2"/>
  <c r="H26" i="2"/>
  <c r="E27" i="2"/>
  <c r="H27" i="2"/>
  <c r="K27" i="2"/>
  <c r="E28" i="2"/>
  <c r="H28" i="2"/>
  <c r="H29" i="2"/>
  <c r="K32" i="2"/>
  <c r="E33" i="2"/>
  <c r="K33" i="2"/>
  <c r="E34" i="2"/>
  <c r="K34" i="2"/>
  <c r="E35" i="2"/>
  <c r="K35" i="2"/>
  <c r="E36" i="2"/>
  <c r="K36" i="2"/>
  <c r="E37" i="2"/>
  <c r="K37" i="2"/>
  <c r="E38" i="2"/>
  <c r="K38" i="2"/>
  <c r="E39" i="2"/>
  <c r="K39" i="2"/>
  <c r="E40" i="2"/>
  <c r="K40" i="2"/>
  <c r="C42" i="2"/>
  <c r="D42" i="2"/>
  <c r="E42" i="2"/>
  <c r="F42" i="2"/>
  <c r="G42" i="2"/>
  <c r="K42" i="2"/>
  <c r="C43" i="2"/>
  <c r="D43" i="2"/>
  <c r="E43" i="2"/>
  <c r="F43" i="2"/>
  <c r="G43" i="2"/>
  <c r="K43" i="2"/>
  <c r="C44" i="2"/>
  <c r="D44" i="2"/>
  <c r="E44" i="2"/>
  <c r="F44" i="2"/>
  <c r="G44" i="2"/>
  <c r="K44" i="2"/>
  <c r="C45" i="2"/>
  <c r="D45" i="2"/>
  <c r="E45" i="2"/>
  <c r="F45" i="2"/>
  <c r="G45" i="2"/>
  <c r="K45" i="2"/>
  <c r="C46" i="2"/>
  <c r="D46" i="2"/>
  <c r="E46" i="2"/>
  <c r="C47" i="2"/>
  <c r="D47" i="2"/>
  <c r="E47" i="2"/>
  <c r="F47" i="2"/>
  <c r="G47" i="2"/>
  <c r="K47" i="2"/>
</calcChain>
</file>

<file path=xl/comments1.xml><?xml version="1.0" encoding="utf-8"?>
<comments xmlns="http://schemas.openxmlformats.org/spreadsheetml/2006/main">
  <authors>
    <author/>
  </authors>
  <commentList>
    <comment ref="B24" authorId="0" shapeId="0">
      <text>
        <r>
          <rPr>
            <sz val="9"/>
            <color indexed="81"/>
            <rFont val="Tahoma"/>
            <charset val="1"/>
          </rPr>
          <t>Enter this longitude as + or - 0° to 180°, not 0° to 360°</t>
        </r>
      </text>
    </comment>
  </commentList>
</comments>
</file>

<file path=xl/sharedStrings.xml><?xml version="1.0" encoding="utf-8"?>
<sst xmlns="http://schemas.openxmlformats.org/spreadsheetml/2006/main" count="204" uniqueCount="116">
  <si>
    <t>Ellipsoid definition</t>
  </si>
  <si>
    <t>GRS80</t>
  </si>
  <si>
    <t>Semi major axis (a) (m)</t>
  </si>
  <si>
    <r>
      <t>Inverse flattening (</t>
    </r>
    <r>
      <rPr>
        <vertAlign val="superscript"/>
        <sz val="12"/>
        <rFont val="Arial"/>
        <family val="2"/>
        <charset val="204"/>
      </rPr>
      <t>1</t>
    </r>
    <r>
      <rPr>
        <sz val="12"/>
        <rFont val="Arial"/>
        <family val="2"/>
        <charset val="204"/>
      </rPr>
      <t>/</t>
    </r>
    <r>
      <rPr>
        <vertAlign val="subscript"/>
        <sz val="12"/>
        <rFont val="Arial"/>
        <family val="2"/>
        <charset val="204"/>
      </rPr>
      <t>f</t>
    </r>
    <r>
      <rPr>
        <sz val="12"/>
        <rFont val="Arial"/>
        <family val="2"/>
        <charset val="204"/>
      </rPr>
      <t>)</t>
    </r>
  </si>
  <si>
    <t>Flattening (f)</t>
  </si>
  <si>
    <t>Semi-minor axis (b) (m)</t>
  </si>
  <si>
    <r>
      <t>Eccentricity (e</t>
    </r>
    <r>
      <rPr>
        <vertAlign val="superscript"/>
        <sz val="12"/>
        <rFont val="Arial"/>
        <family val="2"/>
        <charset val="204"/>
      </rPr>
      <t>2</t>
    </r>
    <r>
      <rPr>
        <sz val="12"/>
        <rFont val="Arial"/>
        <family val="2"/>
        <charset val="204"/>
      </rPr>
      <t>)</t>
    </r>
  </si>
  <si>
    <t>e</t>
  </si>
  <si>
    <r>
      <t>Second eccentricity (e'</t>
    </r>
    <r>
      <rPr>
        <vertAlign val="superscript"/>
        <sz val="12"/>
        <rFont val="Arial"/>
        <family val="2"/>
        <charset val="204"/>
      </rPr>
      <t>2</t>
    </r>
    <r>
      <rPr>
        <sz val="12"/>
        <rFont val="Arial"/>
        <family val="2"/>
        <charset val="204"/>
      </rPr>
      <t>)</t>
    </r>
  </si>
  <si>
    <t xml:space="preserve"> </t>
  </si>
  <si>
    <t>e'</t>
  </si>
  <si>
    <t>n</t>
  </si>
  <si>
    <t>n**2</t>
  </si>
  <si>
    <t>n**3</t>
  </si>
  <si>
    <t>n**4</t>
  </si>
  <si>
    <t>G</t>
  </si>
  <si>
    <t>TM definition</t>
  </si>
  <si>
    <t>GDA-MGA</t>
  </si>
  <si>
    <t>False easting (m)</t>
  </si>
  <si>
    <t>False northing (m)</t>
  </si>
  <si>
    <r>
      <t>Central Scale factor (K</t>
    </r>
    <r>
      <rPr>
        <vertAlign val="subscript"/>
        <sz val="10"/>
        <rFont val="Arial"/>
        <family val="2"/>
        <charset val="204"/>
      </rPr>
      <t>0</t>
    </r>
    <r>
      <rPr>
        <sz val="10"/>
        <rFont val="Arial"/>
        <charset val="204"/>
      </rPr>
      <t>)</t>
    </r>
  </si>
  <si>
    <t>Zone width (degrees)</t>
  </si>
  <si>
    <t>Longitude of the central meridian of zone 1(degrees)</t>
  </si>
  <si>
    <t>Longitude of western edge of zone zero</t>
  </si>
  <si>
    <t>Central meridian of zone zero</t>
  </si>
  <si>
    <t>KEY</t>
  </si>
  <si>
    <t>User input</t>
  </si>
  <si>
    <t>Site Name</t>
  </si>
  <si>
    <t>Buninyong</t>
  </si>
  <si>
    <t>dec deg</t>
  </si>
  <si>
    <t>radians</t>
  </si>
  <si>
    <t>Latitude</t>
  </si>
  <si>
    <t>Zone no. (real number)</t>
  </si>
  <si>
    <t>Central Meridian</t>
  </si>
  <si>
    <r>
      <t>Diff longitude (</t>
    </r>
    <r>
      <rPr>
        <sz val="10"/>
        <rFont val="Symbol"/>
        <family val="1"/>
        <charset val="2"/>
      </rPr>
      <t>w</t>
    </r>
    <r>
      <rPr>
        <sz val="10"/>
        <rFont val="Arial"/>
        <charset val="204"/>
      </rPr>
      <t>)</t>
    </r>
  </si>
  <si>
    <t>Zone</t>
  </si>
  <si>
    <t>FUNCTIONS</t>
  </si>
  <si>
    <r>
      <t>Sin latitude (sin</t>
    </r>
    <r>
      <rPr>
        <sz val="10"/>
        <rFont val="Symbol"/>
        <family val="1"/>
        <charset val="2"/>
      </rPr>
      <t>j</t>
    </r>
    <r>
      <rPr>
        <sz val="10"/>
        <rFont val="Arial"/>
        <charset val="204"/>
      </rPr>
      <t>)</t>
    </r>
  </si>
  <si>
    <t>A0</t>
  </si>
  <si>
    <r>
      <t>sin(2</t>
    </r>
    <r>
      <rPr>
        <sz val="10"/>
        <rFont val="Symbol"/>
        <family val="1"/>
        <charset val="2"/>
      </rPr>
      <t>j</t>
    </r>
    <r>
      <rPr>
        <sz val="10"/>
        <rFont val="Arial"/>
        <charset val="204"/>
      </rPr>
      <t>)</t>
    </r>
  </si>
  <si>
    <r>
      <t>e</t>
    </r>
    <r>
      <rPr>
        <vertAlign val="superscript"/>
        <sz val="10"/>
        <rFont val="Arial"/>
        <family val="2"/>
        <charset val="204"/>
      </rPr>
      <t>2</t>
    </r>
  </si>
  <si>
    <t>A2</t>
  </si>
  <si>
    <r>
      <t>sin(4</t>
    </r>
    <r>
      <rPr>
        <sz val="10"/>
        <rFont val="Symbol"/>
        <family val="1"/>
        <charset val="2"/>
      </rPr>
      <t>j</t>
    </r>
    <r>
      <rPr>
        <sz val="10"/>
        <rFont val="Arial"/>
        <charset val="204"/>
      </rPr>
      <t>)</t>
    </r>
  </si>
  <si>
    <r>
      <t>e</t>
    </r>
    <r>
      <rPr>
        <vertAlign val="superscript"/>
        <sz val="10"/>
        <rFont val="Arial"/>
        <family val="2"/>
        <charset val="204"/>
      </rPr>
      <t>4</t>
    </r>
  </si>
  <si>
    <t>A4</t>
  </si>
  <si>
    <r>
      <t>sin(6</t>
    </r>
    <r>
      <rPr>
        <sz val="10"/>
        <rFont val="Symbol"/>
        <family val="1"/>
        <charset val="2"/>
      </rPr>
      <t>j</t>
    </r>
    <r>
      <rPr>
        <sz val="10"/>
        <rFont val="Arial"/>
        <charset val="204"/>
      </rPr>
      <t>)</t>
    </r>
  </si>
  <si>
    <r>
      <t>e</t>
    </r>
    <r>
      <rPr>
        <vertAlign val="superscript"/>
        <sz val="10"/>
        <rFont val="Arial"/>
        <family val="2"/>
        <charset val="204"/>
      </rPr>
      <t>6</t>
    </r>
  </si>
  <si>
    <t>A6</t>
  </si>
  <si>
    <t>Meridian Distance</t>
  </si>
  <si>
    <t xml:space="preserve">               Radii of Curvature</t>
  </si>
  <si>
    <t>1st term</t>
  </si>
  <si>
    <r>
      <t>Rho(</t>
    </r>
    <r>
      <rPr>
        <sz val="10"/>
        <rFont val="Symbol"/>
        <family val="1"/>
        <charset val="2"/>
      </rPr>
      <t>r</t>
    </r>
    <r>
      <rPr>
        <sz val="10"/>
        <rFont val="Arial"/>
        <charset val="204"/>
      </rPr>
      <t>)</t>
    </r>
  </si>
  <si>
    <t>2nd term</t>
  </si>
  <si>
    <r>
      <t>Nu (</t>
    </r>
    <r>
      <rPr>
        <sz val="10"/>
        <rFont val="Symbol"/>
        <family val="1"/>
        <charset val="2"/>
      </rPr>
      <t>n</t>
    </r>
    <r>
      <rPr>
        <sz val="10"/>
        <rFont val="Arial"/>
        <charset val="204"/>
      </rPr>
      <t>)</t>
    </r>
  </si>
  <si>
    <t>3rd term</t>
  </si>
  <si>
    <t>4th term</t>
  </si>
  <si>
    <t>sum (meridian dist)</t>
  </si>
  <si>
    <t>Powers</t>
  </si>
  <si>
    <t>Cos latitude</t>
  </si>
  <si>
    <r>
      <t xml:space="preserve">Diff long </t>
    </r>
    <r>
      <rPr>
        <sz val="10"/>
        <rFont val="Arial"/>
        <family val="2"/>
        <charset val="204"/>
      </rPr>
      <t>(</t>
    </r>
    <r>
      <rPr>
        <sz val="10"/>
        <rFont val="Symbol"/>
        <family val="1"/>
        <charset val="2"/>
      </rPr>
      <t>w</t>
    </r>
    <r>
      <rPr>
        <sz val="10"/>
        <rFont val="Arial"/>
        <family val="2"/>
        <charset val="204"/>
      </rPr>
      <t>)</t>
    </r>
  </si>
  <si>
    <t>Tan latitude</t>
  </si>
  <si>
    <r>
      <t xml:space="preserve">Psi </t>
    </r>
    <r>
      <rPr>
        <sz val="10"/>
        <rFont val="Arial"/>
        <family val="2"/>
        <charset val="204"/>
      </rPr>
      <t>(</t>
    </r>
    <r>
      <rPr>
        <sz val="10"/>
        <rFont val="Symbol"/>
        <family val="1"/>
        <charset val="2"/>
      </rPr>
      <t>y</t>
    </r>
    <r>
      <rPr>
        <sz val="10"/>
        <rFont val="Arial"/>
        <family val="2"/>
        <charset val="204"/>
      </rPr>
      <t>)</t>
    </r>
    <r>
      <rPr>
        <b/>
        <sz val="10"/>
        <rFont val="Arial"/>
        <charset val="204"/>
      </rPr>
      <t>= Nu/Rho</t>
    </r>
  </si>
  <si>
    <t>Easting</t>
  </si>
  <si>
    <t>Northing</t>
  </si>
  <si>
    <t xml:space="preserve">                        Meridian Dist</t>
  </si>
  <si>
    <t>Sum</t>
  </si>
  <si>
    <r>
      <t>Sum*K</t>
    </r>
    <r>
      <rPr>
        <vertAlign val="subscript"/>
        <sz val="10"/>
        <rFont val="Arial"/>
        <family val="2"/>
        <charset val="204"/>
      </rPr>
      <t>0</t>
    </r>
  </si>
  <si>
    <t>False Origin</t>
  </si>
  <si>
    <t>Grid Convergence</t>
  </si>
  <si>
    <t>Point Scale</t>
  </si>
  <si>
    <t>Result</t>
  </si>
  <si>
    <t>Station Name</t>
  </si>
  <si>
    <t>False origin</t>
  </si>
  <si>
    <t>E'</t>
  </si>
  <si>
    <t>N'</t>
  </si>
  <si>
    <r>
      <t>E'/K</t>
    </r>
    <r>
      <rPr>
        <vertAlign val="subscript"/>
        <sz val="10"/>
        <rFont val="Arial"/>
        <family val="2"/>
        <charset val="204"/>
      </rPr>
      <t>0</t>
    </r>
  </si>
  <si>
    <r>
      <t>m = N'/K</t>
    </r>
    <r>
      <rPr>
        <vertAlign val="subscript"/>
        <sz val="10"/>
        <rFont val="Arial"/>
        <family val="2"/>
        <charset val="204"/>
      </rPr>
      <t>0</t>
    </r>
  </si>
  <si>
    <t>sigma</t>
  </si>
  <si>
    <t>2 sigma</t>
  </si>
  <si>
    <t>4 sigma</t>
  </si>
  <si>
    <t>6 sigma</t>
  </si>
  <si>
    <t>8 sigma</t>
  </si>
  <si>
    <t>Foot Point latitude</t>
  </si>
  <si>
    <t>deg</t>
  </si>
  <si>
    <t>min</t>
  </si>
  <si>
    <t>sec</t>
  </si>
  <si>
    <t>Radii of curvature</t>
  </si>
  <si>
    <t>Term 1</t>
  </si>
  <si>
    <r>
      <t>Rho' (</t>
    </r>
    <r>
      <rPr>
        <sz val="10"/>
        <rFont val="Symbol"/>
        <family val="1"/>
        <charset val="2"/>
      </rPr>
      <t>r</t>
    </r>
    <r>
      <rPr>
        <sz val="10"/>
        <rFont val="Arial"/>
        <family val="2"/>
        <charset val="204"/>
      </rPr>
      <t>')</t>
    </r>
  </si>
  <si>
    <t>Term 2</t>
  </si>
  <si>
    <r>
      <t>Nu' (</t>
    </r>
    <r>
      <rPr>
        <sz val="10"/>
        <rFont val="Symbol"/>
        <family val="1"/>
        <charset val="2"/>
      </rPr>
      <t>n</t>
    </r>
    <r>
      <rPr>
        <sz val="10"/>
        <rFont val="Arial"/>
        <family val="2"/>
        <charset val="204"/>
      </rPr>
      <t>')</t>
    </r>
  </si>
  <si>
    <t>Term 3</t>
  </si>
  <si>
    <t>Term 4</t>
  </si>
  <si>
    <t>Term 5</t>
  </si>
  <si>
    <t>Lat'</t>
  </si>
  <si>
    <r>
      <t>sin(</t>
    </r>
    <r>
      <rPr>
        <sz val="10"/>
        <rFont val="Symbol"/>
        <family val="1"/>
        <charset val="2"/>
      </rPr>
      <t>j</t>
    </r>
    <r>
      <rPr>
        <sz val="10"/>
        <rFont val="Arial"/>
        <family val="2"/>
        <charset val="204"/>
      </rPr>
      <t>')</t>
    </r>
  </si>
  <si>
    <r>
      <t>sec(</t>
    </r>
    <r>
      <rPr>
        <sz val="10"/>
        <rFont val="Symbol"/>
        <family val="1"/>
        <charset val="2"/>
      </rPr>
      <t>j</t>
    </r>
    <r>
      <rPr>
        <sz val="10"/>
        <rFont val="Arial"/>
        <family val="2"/>
        <charset val="204"/>
      </rPr>
      <t>')</t>
    </r>
  </si>
  <si>
    <r>
      <t>t'/(k</t>
    </r>
    <r>
      <rPr>
        <vertAlign val="subscript"/>
        <sz val="10"/>
        <rFont val="Arial"/>
        <family val="2"/>
        <charset val="204"/>
      </rPr>
      <t>0</t>
    </r>
    <r>
      <rPr>
        <sz val="10"/>
        <rFont val="Symbol"/>
        <family val="1"/>
        <charset val="2"/>
      </rPr>
      <t>n</t>
    </r>
    <r>
      <rPr>
        <sz val="10"/>
        <rFont val="Arial"/>
        <family val="2"/>
        <charset val="204"/>
      </rPr>
      <t>'</t>
    </r>
    <r>
      <rPr>
        <sz val="10"/>
        <rFont val="Symbol"/>
        <family val="1"/>
        <charset val="2"/>
      </rPr>
      <t>r</t>
    </r>
    <r>
      <rPr>
        <sz val="10"/>
        <rFont val="Arial"/>
        <family val="2"/>
        <charset val="204"/>
      </rPr>
      <t>')</t>
    </r>
  </si>
  <si>
    <r>
      <t>x = E'/(k</t>
    </r>
    <r>
      <rPr>
        <vertAlign val="subscript"/>
        <sz val="10"/>
        <rFont val="Arial"/>
        <family val="2"/>
        <charset val="204"/>
      </rPr>
      <t>0</t>
    </r>
    <r>
      <rPr>
        <sz val="10"/>
        <rFont val="Symbol"/>
        <family val="1"/>
        <charset val="2"/>
      </rPr>
      <t>n</t>
    </r>
    <r>
      <rPr>
        <sz val="10"/>
        <rFont val="Arial"/>
        <family val="2"/>
        <charset val="204"/>
      </rPr>
      <t>')</t>
    </r>
  </si>
  <si>
    <r>
      <t>E'</t>
    </r>
    <r>
      <rPr>
        <vertAlign val="superscript"/>
        <sz val="10"/>
        <rFont val="Arial"/>
        <family val="2"/>
        <charset val="204"/>
      </rPr>
      <t>2</t>
    </r>
    <r>
      <rPr>
        <sz val="10"/>
        <rFont val="Arial"/>
        <family val="2"/>
        <charset val="204"/>
      </rPr>
      <t>/(k</t>
    </r>
    <r>
      <rPr>
        <vertAlign val="subscript"/>
        <sz val="10"/>
        <rFont val="Arial"/>
        <family val="2"/>
        <charset val="204"/>
      </rPr>
      <t>0</t>
    </r>
    <r>
      <rPr>
        <vertAlign val="superscript"/>
        <sz val="10"/>
        <rFont val="Arial"/>
        <family val="2"/>
        <charset val="204"/>
      </rPr>
      <t>2</t>
    </r>
    <r>
      <rPr>
        <sz val="10"/>
        <rFont val="Symbol"/>
        <family val="1"/>
        <charset val="2"/>
      </rPr>
      <t>n</t>
    </r>
    <r>
      <rPr>
        <sz val="10"/>
        <rFont val="Arial"/>
        <family val="2"/>
        <charset val="204"/>
      </rPr>
      <t>'</t>
    </r>
    <r>
      <rPr>
        <sz val="10"/>
        <rFont val="Symbol"/>
        <family val="1"/>
        <charset val="2"/>
      </rPr>
      <t>r</t>
    </r>
    <r>
      <rPr>
        <sz val="10"/>
        <rFont val="Arial"/>
        <family val="2"/>
        <charset val="204"/>
      </rPr>
      <t>')</t>
    </r>
  </si>
  <si>
    <r>
      <t>t'=tan</t>
    </r>
    <r>
      <rPr>
        <sz val="10"/>
        <rFont val="Symbol"/>
        <family val="1"/>
        <charset val="2"/>
      </rPr>
      <t>j</t>
    </r>
    <r>
      <rPr>
        <sz val="10"/>
        <rFont val="Arial"/>
        <family val="2"/>
        <charset val="204"/>
      </rPr>
      <t>'</t>
    </r>
  </si>
  <si>
    <r>
      <t>y</t>
    </r>
    <r>
      <rPr>
        <sz val="10"/>
        <rFont val="Arial"/>
        <family val="2"/>
        <charset val="204"/>
      </rPr>
      <t>'=</t>
    </r>
    <r>
      <rPr>
        <sz val="10"/>
        <rFont val="Symbol"/>
        <family val="1"/>
        <charset val="2"/>
      </rPr>
      <t>n</t>
    </r>
    <r>
      <rPr>
        <sz val="10"/>
        <rFont val="Arial"/>
        <family val="2"/>
        <charset val="204"/>
      </rPr>
      <t>'/</t>
    </r>
    <r>
      <rPr>
        <sz val="10"/>
        <rFont val="Symbol"/>
        <family val="1"/>
        <charset val="2"/>
      </rPr>
      <t>r</t>
    </r>
    <r>
      <rPr>
        <sz val="10"/>
        <rFont val="Arial"/>
        <family val="2"/>
        <charset val="204"/>
      </rPr>
      <t>'</t>
    </r>
  </si>
  <si>
    <t>Deg</t>
  </si>
  <si>
    <t>Min</t>
  </si>
  <si>
    <t>Secs</t>
  </si>
  <si>
    <t>Dec Deg</t>
  </si>
  <si>
    <t>Radians</t>
  </si>
  <si>
    <t>Longitude</t>
  </si>
  <si>
    <t>Foot point latitude</t>
  </si>
  <si>
    <t>Central meridian</t>
  </si>
  <si>
    <t>sum</t>
  </si>
  <si>
    <t>GDA94/MGA94 Test Data</t>
  </si>
  <si>
    <t>Bunninyong</t>
  </si>
  <si>
    <t>Inverse flattening (1/f)</t>
  </si>
  <si>
    <t>MGA</t>
  </si>
  <si>
    <t>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</si>
</sst>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0">
    <numFmt numFmtId="189" formatCode="0.000"/>
    <numFmt numFmtId="191" formatCode="0,000,000.000"/>
    <numFmt numFmtId="192" formatCode="0.000\ 000\ 000\ 000"/>
    <numFmt numFmtId="193" formatCode="0.00000"/>
    <numFmt numFmtId="194" formatCode="000,000.000"/>
    <numFmt numFmtId="195" formatCode="0.0000"/>
    <numFmt numFmtId="196" formatCode="000,000.0000"/>
    <numFmt numFmtId="197" formatCode="00,000.000"/>
    <numFmt numFmtId="198" formatCode="0,000.0000"/>
    <numFmt numFmtId="203" formatCode="0\°"/>
    <numFmt numFmtId="204" formatCode="00\'"/>
    <numFmt numFmtId="205" formatCode="0.00000\&quot;"/>
    <numFmt numFmtId="206" formatCode="0.000\&quot;"/>
    <numFmt numFmtId="207" formatCode="00.000\&quot;"/>
    <numFmt numFmtId="208" formatCode="00.00000\&quot;"/>
    <numFmt numFmtId="209" formatCode="0.000\ 000\ 000\°"/>
    <numFmt numFmtId="210" formatCode="00\°"/>
    <numFmt numFmtId="212" formatCode="00.000\ 000\ 000\°"/>
    <numFmt numFmtId="213" formatCode="00.000\ 00\&quot;"/>
    <numFmt numFmtId="214" formatCode="0.000\ 000\ 0000"/>
  </numFmts>
  <fonts count="24" x14ac:knownFonts="1">
    <font>
      <sz val="10"/>
      <name val="Arial"/>
      <charset val="204"/>
    </font>
    <font>
      <b/>
      <sz val="10"/>
      <name val="Arial"/>
      <charset val="204"/>
    </font>
    <font>
      <i/>
      <sz val="10"/>
      <name val="Arial"/>
      <charset val="204"/>
    </font>
    <font>
      <sz val="10"/>
      <name val="Arial"/>
      <family val="2"/>
      <charset val="204"/>
    </font>
    <font>
      <sz val="12"/>
      <name val="Arial"/>
      <family val="2"/>
      <charset val="204"/>
    </font>
    <font>
      <vertAlign val="superscript"/>
      <sz val="12"/>
      <name val="Arial"/>
      <family val="2"/>
      <charset val="204"/>
    </font>
    <font>
      <b/>
      <sz val="12"/>
      <color indexed="10"/>
      <name val="Arial"/>
      <family val="2"/>
      <charset val="204"/>
    </font>
    <font>
      <vertAlign val="superscript"/>
      <sz val="10"/>
      <name val="Arial"/>
      <family val="2"/>
      <charset val="204"/>
    </font>
    <font>
      <sz val="10"/>
      <color indexed="10"/>
      <name val="Arial"/>
      <family val="2"/>
      <charset val="204"/>
    </font>
    <font>
      <vertAlign val="subscript"/>
      <sz val="10"/>
      <name val="Arial"/>
      <family val="2"/>
      <charset val="204"/>
    </font>
    <font>
      <sz val="10"/>
      <color indexed="16"/>
      <name val="Arial"/>
      <family val="2"/>
      <charset val="204"/>
    </font>
    <font>
      <b/>
      <sz val="12"/>
      <name val="Arial"/>
      <family val="2"/>
      <charset val="204"/>
    </font>
    <font>
      <sz val="14"/>
      <color indexed="8"/>
      <name val="Arial"/>
      <family val="2"/>
      <charset val="204"/>
    </font>
    <font>
      <sz val="10"/>
      <color indexed="47"/>
      <name val="Arial"/>
      <family val="2"/>
      <charset val="204"/>
    </font>
    <font>
      <b/>
      <sz val="12"/>
      <color indexed="8"/>
      <name val="Arial"/>
      <family val="2"/>
      <charset val="204"/>
    </font>
    <font>
      <vertAlign val="subscript"/>
      <sz val="12"/>
      <name val="Arial"/>
      <family val="2"/>
      <charset val="204"/>
    </font>
    <font>
      <sz val="14"/>
      <color indexed="10"/>
      <name val="Arial"/>
      <family val="2"/>
      <charset val="204"/>
    </font>
    <font>
      <sz val="10"/>
      <name val="Symbol"/>
      <family val="1"/>
      <charset val="2"/>
    </font>
    <font>
      <vertAlign val="subscript"/>
      <sz val="10"/>
      <name val="Arial"/>
      <family val="2"/>
      <charset val="204"/>
    </font>
    <font>
      <sz val="10"/>
      <name val="Arial"/>
      <family val="2"/>
      <charset val="204"/>
    </font>
    <font>
      <vertAlign val="superscript"/>
      <sz val="10"/>
      <name val="Arial"/>
      <family val="2"/>
      <charset val="204"/>
    </font>
    <font>
      <b/>
      <sz val="14"/>
      <name val="Arial"/>
      <family val="2"/>
      <charset val="204"/>
    </font>
    <font>
      <b/>
      <sz val="10"/>
      <color indexed="10"/>
      <name val="Arial"/>
      <family val="2"/>
      <charset val="204"/>
    </font>
    <font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8">
    <xf numFmtId="0" fontId="0" fillId="0" borderId="0" xfId="0"/>
    <xf numFmtId="192" fontId="0" fillId="0" borderId="0" xfId="0" applyNumberFormat="1"/>
    <xf numFmtId="0" fontId="0" fillId="0" borderId="0" xfId="0" applyAlignment="1">
      <alignment horizontal="right"/>
    </xf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Border="1"/>
    <xf numFmtId="192" fontId="0" fillId="0" borderId="0" xfId="0" applyNumberFormat="1" applyBorder="1"/>
    <xf numFmtId="0" fontId="0" fillId="0" borderId="0" xfId="0" applyBorder="1" applyAlignment="1">
      <alignment horizontal="right"/>
    </xf>
    <xf numFmtId="0" fontId="0" fillId="0" borderId="4" xfId="0" applyBorder="1" applyAlignment="1">
      <alignment horizontal="left"/>
    </xf>
    <xf numFmtId="193" fontId="0" fillId="0" borderId="0" xfId="0" applyNumberFormat="1" applyBorder="1"/>
    <xf numFmtId="0" fontId="0" fillId="0" borderId="4" xfId="0" applyBorder="1"/>
    <xf numFmtId="0" fontId="1" fillId="0" borderId="3" xfId="0" applyFont="1" applyBorder="1"/>
    <xf numFmtId="192" fontId="0" fillId="0" borderId="4" xfId="0" applyNumberFormat="1" applyBorder="1" applyAlignment="1">
      <alignment horizontal="left"/>
    </xf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192" fontId="0" fillId="0" borderId="0" xfId="0" applyNumberFormat="1" applyBorder="1" applyAlignment="1">
      <alignment horizontal="left"/>
    </xf>
    <xf numFmtId="192" fontId="0" fillId="0" borderId="4" xfId="0" applyNumberFormat="1" applyBorder="1"/>
    <xf numFmtId="192" fontId="0" fillId="0" borderId="0" xfId="0" applyNumberFormat="1" applyBorder="1" applyAlignment="1">
      <alignment horizontal="right"/>
    </xf>
    <xf numFmtId="0" fontId="10" fillId="2" borderId="3" xfId="0" applyFont="1" applyFill="1" applyBorder="1"/>
    <xf numFmtId="0" fontId="10" fillId="2" borderId="0" xfId="0" applyFont="1" applyFill="1" applyBorder="1"/>
    <xf numFmtId="0" fontId="10" fillId="2" borderId="4" xfId="0" applyFont="1" applyFill="1" applyBorder="1"/>
    <xf numFmtId="0" fontId="1" fillId="0" borderId="4" xfId="0" applyFon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195" fontId="0" fillId="0" borderId="0" xfId="0" applyNumberFormat="1" applyBorder="1"/>
    <xf numFmtId="196" fontId="0" fillId="0" borderId="0" xfId="0" applyNumberFormat="1" applyBorder="1"/>
    <xf numFmtId="197" fontId="0" fillId="0" borderId="0" xfId="0" applyNumberFormat="1" applyBorder="1"/>
    <xf numFmtId="0" fontId="0" fillId="0" borderId="0" xfId="0" applyBorder="1" applyAlignment="1">
      <alignment horizontal="left"/>
    </xf>
    <xf numFmtId="0" fontId="10" fillId="2" borderId="0" xfId="0" applyFont="1" applyFill="1" applyBorder="1" applyAlignment="1">
      <alignment horizontal="left"/>
    </xf>
    <xf numFmtId="0" fontId="0" fillId="0" borderId="0" xfId="0" applyBorder="1" applyAlignment="1">
      <alignment horizontal="centerContinuous"/>
    </xf>
    <xf numFmtId="0" fontId="0" fillId="0" borderId="0" xfId="0" applyAlignment="1">
      <alignment horizontal="centerContinuous"/>
    </xf>
    <xf numFmtId="194" fontId="10" fillId="2" borderId="0" xfId="0" applyNumberFormat="1" applyFont="1" applyFill="1" applyBorder="1" applyAlignment="1">
      <alignment horizontal="left"/>
    </xf>
    <xf numFmtId="194" fontId="10" fillId="2" borderId="4" xfId="0" applyNumberFormat="1" applyFont="1" applyFill="1" applyBorder="1" applyAlignment="1">
      <alignment horizontal="left"/>
    </xf>
    <xf numFmtId="198" fontId="0" fillId="0" borderId="4" xfId="0" applyNumberFormat="1" applyBorder="1"/>
    <xf numFmtId="195" fontId="0" fillId="0" borderId="4" xfId="0" applyNumberFormat="1" applyBorder="1"/>
    <xf numFmtId="196" fontId="0" fillId="0" borderId="4" xfId="0" applyNumberFormat="1" applyBorder="1"/>
    <xf numFmtId="0" fontId="0" fillId="0" borderId="3" xfId="0" applyBorder="1" applyAlignment="1">
      <alignment horizontal="right"/>
    </xf>
    <xf numFmtId="0" fontId="0" fillId="0" borderId="1" xfId="0" applyBorder="1" applyAlignment="1">
      <alignment horizontal="right"/>
    </xf>
    <xf numFmtId="0" fontId="8" fillId="3" borderId="0" xfId="0" applyFont="1" applyFill="1" applyBorder="1" applyAlignment="1">
      <alignment horizontal="right"/>
    </xf>
    <xf numFmtId="189" fontId="0" fillId="0" borderId="0" xfId="0" applyNumberFormat="1" applyBorder="1"/>
    <xf numFmtId="0" fontId="13" fillId="0" borderId="0" xfId="0" applyFont="1"/>
    <xf numFmtId="0" fontId="14" fillId="0" borderId="0" xfId="0" applyFont="1" applyBorder="1"/>
    <xf numFmtId="0" fontId="12" fillId="3" borderId="6" xfId="0" applyFont="1" applyFill="1" applyBorder="1"/>
    <xf numFmtId="0" fontId="0" fillId="0" borderId="8" xfId="0" applyBorder="1"/>
    <xf numFmtId="0" fontId="0" fillId="0" borderId="0" xfId="0" applyAlignment="1">
      <alignment horizontal="center"/>
    </xf>
    <xf numFmtId="0" fontId="1" fillId="0" borderId="8" xfId="0" applyFont="1" applyBorder="1" applyAlignment="1">
      <alignment horizontal="right"/>
    </xf>
    <xf numFmtId="0" fontId="14" fillId="0" borderId="1" xfId="0" applyFont="1" applyBorder="1"/>
    <xf numFmtId="0" fontId="1" fillId="0" borderId="3" xfId="0" applyFont="1" applyBorder="1" applyAlignment="1">
      <alignment horizontal="right"/>
    </xf>
    <xf numFmtId="0" fontId="2" fillId="0" borderId="3" xfId="0" applyFont="1" applyBorder="1"/>
    <xf numFmtId="0" fontId="2" fillId="0" borderId="0" xfId="0" applyFont="1" applyBorder="1"/>
    <xf numFmtId="0" fontId="0" fillId="0" borderId="0" xfId="0" applyBorder="1" applyAlignment="1">
      <alignment horizontal="center"/>
    </xf>
    <xf numFmtId="0" fontId="1" fillId="0" borderId="0" xfId="0" applyFont="1" applyBorder="1" applyAlignment="1">
      <alignment horizontal="right"/>
    </xf>
    <xf numFmtId="0" fontId="3" fillId="0" borderId="3" xfId="0" applyFont="1" applyBorder="1"/>
    <xf numFmtId="0" fontId="0" fillId="0" borderId="1" xfId="0" quotePrefix="1" applyBorder="1" applyAlignment="1">
      <alignment horizontal="right"/>
    </xf>
    <xf numFmtId="203" fontId="8" fillId="3" borderId="0" xfId="0" applyNumberFormat="1" applyFont="1" applyFill="1" applyBorder="1" applyAlignment="1">
      <alignment horizontal="right"/>
    </xf>
    <xf numFmtId="204" fontId="8" fillId="3" borderId="0" xfId="0" applyNumberFormat="1" applyFont="1" applyFill="1" applyBorder="1"/>
    <xf numFmtId="203" fontId="10" fillId="2" borderId="0" xfId="0" applyNumberFormat="1" applyFont="1" applyFill="1" applyBorder="1"/>
    <xf numFmtId="204" fontId="10" fillId="2" borderId="0" xfId="0" applyNumberFormat="1" applyFont="1" applyFill="1" applyBorder="1"/>
    <xf numFmtId="0" fontId="16" fillId="3" borderId="6" xfId="0" applyFont="1" applyFill="1" applyBorder="1"/>
    <xf numFmtId="0" fontId="11" fillId="0" borderId="8" xfId="0" applyFont="1" applyBorder="1"/>
    <xf numFmtId="0" fontId="6" fillId="3" borderId="2" xfId="0" applyFont="1" applyFill="1" applyBorder="1" applyAlignment="1">
      <alignment horizontal="center"/>
    </xf>
    <xf numFmtId="0" fontId="4" fillId="0" borderId="3" xfId="0" applyFont="1" applyBorder="1"/>
    <xf numFmtId="0" fontId="4" fillId="0" borderId="4" xfId="0" applyFont="1" applyBorder="1"/>
    <xf numFmtId="191" fontId="4" fillId="0" borderId="4" xfId="0" applyNumberFormat="1" applyFont="1" applyBorder="1"/>
    <xf numFmtId="192" fontId="4" fillId="0" borderId="4" xfId="0" applyNumberFormat="1" applyFont="1" applyBorder="1"/>
    <xf numFmtId="0" fontId="0" fillId="0" borderId="5" xfId="0" applyBorder="1" applyAlignment="1">
      <alignment wrapText="1"/>
    </xf>
    <xf numFmtId="0" fontId="0" fillId="0" borderId="1" xfId="0" applyBorder="1" applyAlignment="1">
      <alignment horizontal="center"/>
    </xf>
    <xf numFmtId="203" fontId="0" fillId="0" borderId="0" xfId="0" applyNumberFormat="1" applyBorder="1"/>
    <xf numFmtId="204" fontId="0" fillId="0" borderId="0" xfId="0" applyNumberFormat="1" applyBorder="1"/>
    <xf numFmtId="205" fontId="0" fillId="0" borderId="4" xfId="0" applyNumberFormat="1" applyBorder="1" applyAlignment="1">
      <alignment horizontal="left"/>
    </xf>
    <xf numFmtId="207" fontId="0" fillId="0" borderId="0" xfId="0" applyNumberFormat="1" applyAlignment="1">
      <alignment horizontal="left"/>
    </xf>
    <xf numFmtId="207" fontId="10" fillId="2" borderId="0" xfId="0" applyNumberFormat="1" applyFont="1" applyFill="1" applyBorder="1" applyAlignment="1">
      <alignment horizontal="left"/>
    </xf>
    <xf numFmtId="209" fontId="0" fillId="0" borderId="0" xfId="0" applyNumberFormat="1"/>
    <xf numFmtId="210" fontId="10" fillId="2" borderId="0" xfId="0" applyNumberFormat="1" applyFont="1" applyFill="1" applyBorder="1"/>
    <xf numFmtId="194" fontId="0" fillId="0" borderId="0" xfId="0" applyNumberFormat="1" applyBorder="1"/>
    <xf numFmtId="209" fontId="0" fillId="0" borderId="0" xfId="0" applyNumberFormat="1" applyBorder="1"/>
    <xf numFmtId="212" fontId="0" fillId="0" borderId="0" xfId="0" applyNumberFormat="1" applyBorder="1"/>
    <xf numFmtId="213" fontId="0" fillId="0" borderId="0" xfId="0" applyNumberFormat="1" applyBorder="1"/>
    <xf numFmtId="204" fontId="0" fillId="0" borderId="0" xfId="0" applyNumberFormat="1" applyBorder="1" applyAlignment="1">
      <alignment horizontal="center"/>
    </xf>
    <xf numFmtId="210" fontId="0" fillId="0" borderId="0" xfId="0" applyNumberFormat="1" applyBorder="1"/>
    <xf numFmtId="194" fontId="8" fillId="3" borderId="0" xfId="0" applyNumberFormat="1" applyFont="1" applyFill="1" applyBorder="1" applyAlignment="1">
      <alignment horizontal="right"/>
    </xf>
    <xf numFmtId="214" fontId="0" fillId="0" borderId="0" xfId="0" applyNumberFormat="1" applyBorder="1"/>
    <xf numFmtId="214" fontId="10" fillId="2" borderId="4" xfId="0" applyNumberFormat="1" applyFont="1" applyFill="1" applyBorder="1"/>
    <xf numFmtId="0" fontId="0" fillId="0" borderId="4" xfId="0" applyBorder="1" applyAlignment="1">
      <alignment horizontal="center"/>
    </xf>
    <xf numFmtId="194" fontId="8" fillId="3" borderId="4" xfId="0" applyNumberFormat="1" applyFont="1" applyFill="1" applyBorder="1" applyAlignment="1">
      <alignment horizontal="right"/>
    </xf>
    <xf numFmtId="191" fontId="8" fillId="3" borderId="4" xfId="0" applyNumberFormat="1" applyFont="1" applyFill="1" applyBorder="1"/>
    <xf numFmtId="192" fontId="8" fillId="3" borderId="4" xfId="0" applyNumberFormat="1" applyFont="1" applyFill="1" applyBorder="1"/>
    <xf numFmtId="191" fontId="8" fillId="3" borderId="9" xfId="0" applyNumberFormat="1" applyFont="1" applyFill="1" applyBorder="1"/>
    <xf numFmtId="0" fontId="10" fillId="2" borderId="10" xfId="0" applyFont="1" applyFill="1" applyBorder="1"/>
    <xf numFmtId="0" fontId="1" fillId="0" borderId="11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/>
    <xf numFmtId="0" fontId="3" fillId="0" borderId="0" xfId="0" applyFont="1" applyBorder="1" applyAlignment="1">
      <alignment horizontal="right"/>
    </xf>
    <xf numFmtId="0" fontId="17" fillId="0" borderId="0" xfId="0" applyFont="1" applyBorder="1" applyAlignment="1">
      <alignment horizontal="center"/>
    </xf>
    <xf numFmtId="0" fontId="3" fillId="0" borderId="0" xfId="0" applyFont="1" applyBorder="1" applyAlignment="1">
      <alignment horizontal="left"/>
    </xf>
    <xf numFmtId="1" fontId="10" fillId="2" borderId="0" xfId="0" applyNumberFormat="1" applyFont="1" applyFill="1" applyBorder="1" applyAlignment="1">
      <alignment horizontal="center"/>
    </xf>
    <xf numFmtId="0" fontId="0" fillId="0" borderId="0" xfId="0" applyAlignment="1">
      <alignment wrapText="1"/>
    </xf>
    <xf numFmtId="210" fontId="0" fillId="0" borderId="0" xfId="0" applyNumberFormat="1"/>
    <xf numFmtId="196" fontId="8" fillId="3" borderId="4" xfId="0" applyNumberFormat="1" applyFont="1" applyFill="1" applyBorder="1"/>
    <xf numFmtId="0" fontId="8" fillId="3" borderId="4" xfId="0" applyFont="1" applyFill="1" applyBorder="1"/>
    <xf numFmtId="203" fontId="8" fillId="3" borderId="4" xfId="0" applyNumberFormat="1" applyFont="1" applyFill="1" applyBorder="1"/>
    <xf numFmtId="203" fontId="8" fillId="3" borderId="7" xfId="0" applyNumberFormat="1" applyFont="1" applyFill="1" applyBorder="1"/>
    <xf numFmtId="191" fontId="8" fillId="3" borderId="10" xfId="0" applyNumberFormat="1" applyFont="1" applyFill="1" applyBorder="1"/>
    <xf numFmtId="0" fontId="21" fillId="0" borderId="0" xfId="0" applyFont="1"/>
    <xf numFmtId="208" fontId="10" fillId="2" borderId="0" xfId="0" applyNumberFormat="1" applyFont="1" applyFill="1" applyBorder="1" applyAlignment="1">
      <alignment horizontal="left"/>
    </xf>
    <xf numFmtId="208" fontId="10" fillId="2" borderId="4" xfId="0" applyNumberFormat="1" applyFont="1" applyFill="1" applyBorder="1" applyAlignment="1">
      <alignment horizontal="left"/>
    </xf>
    <xf numFmtId="208" fontId="8" fillId="3" borderId="0" xfId="0" applyNumberFormat="1" applyFont="1" applyFill="1" applyBorder="1" applyAlignment="1">
      <alignment horizontal="left"/>
    </xf>
    <xf numFmtId="208" fontId="8" fillId="3" borderId="4" xfId="0" applyNumberFormat="1" applyFont="1" applyFill="1" applyBorder="1" applyAlignment="1">
      <alignment horizontal="left"/>
    </xf>
    <xf numFmtId="196" fontId="22" fillId="3" borderId="4" xfId="0" applyNumberFormat="1" applyFont="1" applyFill="1" applyBorder="1"/>
    <xf numFmtId="196" fontId="22" fillId="3" borderId="2" xfId="0" applyNumberFormat="1" applyFont="1" applyFill="1" applyBorder="1"/>
    <xf numFmtId="0" fontId="8" fillId="3" borderId="6" xfId="0" applyFont="1" applyFill="1" applyBorder="1"/>
    <xf numFmtId="0" fontId="16" fillId="3" borderId="1" xfId="0" applyFont="1" applyFill="1" applyBorder="1"/>
    <xf numFmtId="0" fontId="16" fillId="3" borderId="2" xfId="0" applyFont="1" applyFill="1" applyBorder="1"/>
    <xf numFmtId="0" fontId="8" fillId="3" borderId="0" xfId="0" applyFont="1" applyFill="1" applyBorder="1"/>
    <xf numFmtId="210" fontId="8" fillId="3" borderId="0" xfId="0" applyNumberFormat="1" applyFont="1" applyFill="1" applyBorder="1"/>
    <xf numFmtId="194" fontId="8" fillId="3" borderId="4" xfId="0" applyNumberFormat="1" applyFont="1" applyFill="1" applyBorder="1"/>
    <xf numFmtId="0" fontId="16" fillId="3" borderId="8" xfId="0" applyFont="1" applyFill="1" applyBorder="1"/>
    <xf numFmtId="195" fontId="8" fillId="3" borderId="4" xfId="0" applyNumberFormat="1" applyFont="1" applyFill="1" applyBorder="1"/>
    <xf numFmtId="214" fontId="10" fillId="2" borderId="4" xfId="0" applyNumberFormat="1" applyFont="1" applyFill="1" applyBorder="1" applyAlignment="1">
      <alignment horizontal="left"/>
    </xf>
    <xf numFmtId="214" fontId="8" fillId="3" borderId="7" xfId="0" applyNumberFormat="1" applyFont="1" applyFill="1" applyBorder="1"/>
    <xf numFmtId="206" fontId="8" fillId="3" borderId="4" xfId="0" applyNumberFormat="1" applyFont="1" applyFill="1" applyBorder="1" applyAlignment="1">
      <alignment horizontal="left"/>
    </xf>
    <xf numFmtId="0" fontId="8" fillId="3" borderId="4" xfId="0" applyFont="1" applyFill="1" applyBorder="1" applyAlignment="1">
      <alignment horizontal="center"/>
    </xf>
    <xf numFmtId="0" fontId="16" fillId="4" borderId="6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</xdr:colOff>
      <xdr:row>1</xdr:row>
      <xdr:rowOff>19050</xdr:rowOff>
    </xdr:from>
    <xdr:to>
      <xdr:col>9</xdr:col>
      <xdr:colOff>209550</xdr:colOff>
      <xdr:row>44</xdr:row>
      <xdr:rowOff>142875</xdr:rowOff>
    </xdr:to>
    <xdr:sp macro="" textlink="">
      <xdr:nvSpPr>
        <xdr:cNvPr id="1029" name="Text 1"/>
        <xdr:cNvSpPr txBox="1">
          <a:spLocks noChangeArrowheads="1"/>
        </xdr:cNvSpPr>
      </xdr:nvSpPr>
      <xdr:spPr bwMode="auto">
        <a:xfrm>
          <a:off x="3390900" y="95250"/>
          <a:ext cx="3752850" cy="50577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E3E3E3" mc:Ignorable="a14" a14:legacySpreadsheetColorIndex="4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ru-RU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INSTRUCTIONS</a:t>
          </a:r>
          <a:endParaRPr lang="ru-RU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ru-RU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(1) Copy &amp; Paste the values required from the table below into the fields to the left, or enter your own values.</a:t>
          </a:r>
        </a:p>
        <a:p>
          <a:pPr algn="l" rtl="0">
            <a:defRPr sz="1000"/>
          </a:pPr>
          <a:endParaRPr lang="ru-RU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ru-RU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Coord set       Ellipsoid   Semi Major axis    Inverse Flattening</a:t>
          </a:r>
        </a:p>
        <a:p>
          <a:pPr algn="l" rtl="0">
            <a:defRPr sz="1000"/>
          </a:pPr>
          <a:r>
            <a:rPr lang="ru-RU" sz="1000" b="0" i="0" u="none" strike="noStrike" baseline="0">
              <a:solidFill>
                <a:srgbClr val="000000"/>
              </a:solidFill>
              <a:latin typeface="Courier New"/>
              <a:cs typeface="Courier New"/>
            </a:rPr>
            <a:t>GDA/MGA      GRS80             6378137.0 m           298.257222101</a:t>
          </a:r>
        </a:p>
        <a:p>
          <a:pPr algn="l" rtl="0">
            <a:defRPr sz="1000"/>
          </a:pPr>
          <a:r>
            <a:rPr lang="ru-RU" sz="1000" b="0" i="0" u="none" strike="noStrike" baseline="0">
              <a:solidFill>
                <a:srgbClr val="000000"/>
              </a:solidFill>
              <a:latin typeface="Courier New"/>
              <a:cs typeface="Courier New"/>
            </a:rPr>
            <a:t>WGS84              WGS84            6378137.0 m           298.257223563</a:t>
          </a:r>
        </a:p>
        <a:p>
          <a:pPr algn="l" rtl="0">
            <a:defRPr sz="1000"/>
          </a:pPr>
          <a:r>
            <a:rPr lang="ru-RU" sz="1000" b="0" i="0" u="none" strike="noStrike" baseline="0">
              <a:solidFill>
                <a:srgbClr val="000000"/>
              </a:solidFill>
              <a:latin typeface="Courier New"/>
              <a:cs typeface="Courier New"/>
            </a:rPr>
            <a:t>AGD/AMG      ANS                 6378160.0 m            298.25</a:t>
          </a:r>
        </a:p>
        <a:p>
          <a:pPr algn="l" rtl="0">
            <a:defRPr sz="1000"/>
          </a:pPr>
          <a:r>
            <a:rPr lang="ru-RU" sz="1000" b="0" i="0" u="none" strike="noStrike" baseline="0">
              <a:solidFill>
                <a:srgbClr val="000000"/>
              </a:solidFill>
              <a:latin typeface="Courier New"/>
              <a:cs typeface="Courier New"/>
            </a:rPr>
            <a:t>ANG               CLARKE 1858  6975449.335 yd       294.26</a:t>
          </a:r>
          <a:endParaRPr lang="ru-RU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ru-RU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Note:</a:t>
          </a:r>
        </a:p>
        <a:p>
          <a:pPr algn="l" rtl="0">
            <a:defRPr sz="1000"/>
          </a:pPr>
          <a:r>
            <a:rPr lang="ru-RU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GRS80 is used with GDA94/MGA94.</a:t>
          </a:r>
        </a:p>
        <a:p>
          <a:pPr algn="l" rtl="0">
            <a:defRPr sz="1000"/>
          </a:pPr>
          <a:r>
            <a:rPr lang="ru-RU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The GRS80 and WGS84 ellipsoids are identical for all practical purposes.</a:t>
          </a:r>
        </a:p>
        <a:p>
          <a:pPr algn="l" rtl="0">
            <a:defRPr sz="1000"/>
          </a:pPr>
          <a:endParaRPr lang="ru-RU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ru-RU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(2) Proceed to the Lat/long-&gt;East/north or East/north-&gt;lat/long worksheet, and enter your coordinates.</a:t>
          </a:r>
        </a:p>
        <a:p>
          <a:pPr algn="l" rtl="0">
            <a:defRPr sz="1000"/>
          </a:pPr>
          <a:endParaRPr lang="ru-RU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ru-RU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Note:</a:t>
          </a:r>
        </a:p>
        <a:p>
          <a:pPr algn="l" rtl="0">
            <a:defRPr sz="1000"/>
          </a:pPr>
          <a:r>
            <a:rPr lang="ru-RU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For the NSW Integrated Survey Grid (ISG)- which is a Transverse Mercator projection, but not a </a:t>
          </a:r>
          <a:r>
            <a:rPr lang="ru-RU" sz="1000" b="0" i="0" u="sng" strike="noStrike" baseline="0">
              <a:solidFill>
                <a:srgbClr val="000000"/>
              </a:solidFill>
              <a:latin typeface="Arial"/>
              <a:cs typeface="Arial"/>
            </a:rPr>
            <a:t>Universal</a:t>
          </a:r>
          <a:r>
            <a:rPr lang="ru-RU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Transverse Mercator projection - use the ANS ellipsoid with the following parameters:</a:t>
          </a:r>
        </a:p>
        <a:p>
          <a:pPr algn="l" rtl="0">
            <a:defRPr sz="1000"/>
          </a:pPr>
          <a:endParaRPr lang="ru-RU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ru-RU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False Easting      300,000 m    Central Scale factor     0.99994</a:t>
          </a:r>
        </a:p>
        <a:p>
          <a:pPr algn="l" rtl="0">
            <a:defRPr sz="1000"/>
          </a:pPr>
          <a:r>
            <a:rPr lang="ru-RU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False Northing   5,000,000 m    Zone width                 2°  </a:t>
          </a:r>
        </a:p>
        <a:p>
          <a:pPr algn="l" rtl="0">
            <a:defRPr sz="1000"/>
          </a:pPr>
          <a:r>
            <a:rPr lang="ru-RU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Longitude of Central meridian of zone 1                  141°</a:t>
          </a:r>
        </a:p>
        <a:p>
          <a:pPr algn="l" rtl="0">
            <a:defRPr sz="1000"/>
          </a:pPr>
          <a:endParaRPr lang="ru-RU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ru-RU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For the Australian National Grid (ANG):</a:t>
          </a:r>
        </a:p>
        <a:p>
          <a:pPr algn="l" rtl="0">
            <a:defRPr sz="1000"/>
          </a:pPr>
          <a:r>
            <a:rPr lang="ru-RU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False Easting      400,000 yd         Central Scale factor     1.0</a:t>
          </a:r>
        </a:p>
        <a:p>
          <a:pPr algn="l" rtl="0">
            <a:defRPr sz="1000"/>
          </a:pPr>
          <a:r>
            <a:rPr lang="ru-RU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False Northing   4915813.467 yd    Zone width                   5°  </a:t>
          </a:r>
        </a:p>
        <a:p>
          <a:pPr algn="l" rtl="0">
            <a:defRPr sz="1000"/>
          </a:pPr>
          <a:r>
            <a:rPr lang="ru-RU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Longitude of Central meridian of zone 1                  116°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48</xdr:row>
      <xdr:rowOff>104775</xdr:rowOff>
    </xdr:from>
    <xdr:to>
      <xdr:col>9</xdr:col>
      <xdr:colOff>333375</xdr:colOff>
      <xdr:row>59</xdr:row>
      <xdr:rowOff>142875</xdr:rowOff>
    </xdr:to>
    <xdr:sp macro="" textlink="">
      <xdr:nvSpPr>
        <xdr:cNvPr id="2052" name="Text 1"/>
        <xdr:cNvSpPr txBox="1">
          <a:spLocks noChangeArrowheads="1"/>
        </xdr:cNvSpPr>
      </xdr:nvSpPr>
      <xdr:spPr bwMode="auto">
        <a:xfrm>
          <a:off x="152400" y="1466850"/>
          <a:ext cx="5105400" cy="18192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E3E3E3" mc:Ignorable="a14" a14:legacySpreadsheetColorIndex="4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ru-RU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INSTRUCTIONS</a:t>
          </a:r>
          <a:endParaRPr lang="ru-RU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ru-RU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(1) Enter the appropriate ellipsoid parameters and if neccessary, TM constants, on the "Constant &amp; parameters" worksheet.</a:t>
          </a:r>
        </a:p>
        <a:p>
          <a:pPr algn="l" rtl="0">
            <a:defRPr sz="1000"/>
          </a:pPr>
          <a:r>
            <a:rPr lang="ru-RU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(2) Enter the station name in cell C2 (documentation only).</a:t>
          </a:r>
        </a:p>
        <a:p>
          <a:pPr algn="l" rtl="0">
            <a:defRPr sz="1000"/>
          </a:pPr>
          <a:r>
            <a:rPr lang="ru-RU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(3) Enter the latitude in cells (C4:E4). Remember that south latitude is negative.</a:t>
          </a:r>
        </a:p>
        <a:p>
          <a:pPr algn="l" rtl="0">
            <a:defRPr sz="1000"/>
          </a:pPr>
          <a:r>
            <a:rPr lang="ru-RU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(4) Enter the longitude in cells (I4:K4). Remember that east longitude is positive.</a:t>
          </a:r>
        </a:p>
        <a:p>
          <a:pPr algn="l" rtl="0">
            <a:defRPr sz="1000"/>
          </a:pPr>
          <a:endParaRPr lang="ru-RU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ru-RU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To see the intermediate steps, use the Excel "outlining" features:</a:t>
          </a:r>
        </a:p>
        <a:p>
          <a:pPr algn="l" rtl="0">
            <a:defRPr sz="1000"/>
          </a:pPr>
          <a:r>
            <a:rPr lang="ru-RU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(i) SHOW the outline symbols, and then</a:t>
          </a:r>
        </a:p>
        <a:p>
          <a:pPr algn="l" rtl="0">
            <a:defRPr sz="1000"/>
          </a:pPr>
          <a:r>
            <a:rPr lang="ru-RU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(ii) UNGROUP the hidden rows and columns as required.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51</xdr:row>
      <xdr:rowOff>66675</xdr:rowOff>
    </xdr:from>
    <xdr:to>
      <xdr:col>13</xdr:col>
      <xdr:colOff>85725</xdr:colOff>
      <xdr:row>63</xdr:row>
      <xdr:rowOff>85725</xdr:rowOff>
    </xdr:to>
    <xdr:sp macro="" textlink="">
      <xdr:nvSpPr>
        <xdr:cNvPr id="3076" name="Text 1"/>
        <xdr:cNvSpPr txBox="1">
          <a:spLocks noChangeArrowheads="1"/>
        </xdr:cNvSpPr>
      </xdr:nvSpPr>
      <xdr:spPr bwMode="auto">
        <a:xfrm>
          <a:off x="152400" y="9191625"/>
          <a:ext cx="10801350" cy="19621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E3E3E3" mc:Ignorable="a14" a14:legacySpreadsheetColorIndex="4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ru-RU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INSTRUCTIONS</a:t>
          </a:r>
          <a:endParaRPr lang="ru-RU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ru-RU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(1)Enter the appropriate ellipsoid parameters and, if necessary, the TM constants on the "Constant &amp; parameters" worksheet.</a:t>
          </a:r>
        </a:p>
        <a:p>
          <a:pPr algn="l" rtl="0">
            <a:defRPr sz="1000"/>
          </a:pPr>
          <a:r>
            <a:rPr lang="ru-RU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(2) Enter the station name in cell C2 (documentation only).</a:t>
          </a:r>
        </a:p>
        <a:p>
          <a:pPr algn="l" rtl="0">
            <a:defRPr sz="1000"/>
          </a:pPr>
          <a:r>
            <a:rPr lang="ru-RU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(3) Enter the zone number in cell E3</a:t>
          </a:r>
        </a:p>
        <a:p>
          <a:pPr algn="l" rtl="0">
            <a:defRPr sz="1000"/>
          </a:pPr>
          <a:r>
            <a:rPr lang="ru-RU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(4) Enter the easting in cell E4.</a:t>
          </a:r>
        </a:p>
        <a:p>
          <a:pPr algn="l" rtl="0">
            <a:defRPr sz="1000"/>
          </a:pPr>
          <a:r>
            <a:rPr lang="ru-RU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(5)  Enter the northing in cell O4.</a:t>
          </a:r>
        </a:p>
        <a:p>
          <a:pPr algn="l" rtl="0">
            <a:defRPr sz="1000"/>
          </a:pPr>
          <a:endParaRPr lang="ru-RU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ru-RU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To see the intermediate steps, use the Excel "outlining" features:</a:t>
          </a:r>
        </a:p>
        <a:p>
          <a:pPr algn="l" rtl="0">
            <a:defRPr sz="1000"/>
          </a:pPr>
          <a:r>
            <a:rPr lang="ru-RU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(i) SHOW the outline symbols, and then</a:t>
          </a:r>
        </a:p>
        <a:p>
          <a:pPr algn="l" rtl="0">
            <a:defRPr sz="1000"/>
          </a:pPr>
          <a:r>
            <a:rPr lang="ru-RU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(ii) UNGROUP the hidden rows and columns as required.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F35"/>
  <sheetViews>
    <sheetView showGridLines="0" showOutlineSymbols="0" zoomScale="145" workbookViewId="0">
      <selection activeCell="C4" sqref="C4"/>
    </sheetView>
  </sheetViews>
  <sheetFormatPr defaultRowHeight="12.75" outlineLevelRow="1" x14ac:dyDescent="0.2"/>
  <cols>
    <col min="1" max="1" width="1.85546875" customWidth="1"/>
    <col min="2" max="2" width="25.140625" customWidth="1"/>
    <col min="3" max="3" width="22.140625" customWidth="1"/>
  </cols>
  <sheetData>
    <row r="1" spans="2:6" ht="6" customHeight="1" x14ac:dyDescent="0.2"/>
    <row r="2" spans="2:6" ht="15.75" x14ac:dyDescent="0.25">
      <c r="B2" s="64" t="s">
        <v>0</v>
      </c>
      <c r="C2" s="65" t="s">
        <v>1</v>
      </c>
    </row>
    <row r="3" spans="2:6" ht="15" x14ac:dyDescent="0.2">
      <c r="B3" s="66" t="s">
        <v>2</v>
      </c>
      <c r="C3" s="90">
        <v>6378137</v>
      </c>
    </row>
    <row r="4" spans="2:6" ht="20.25" x14ac:dyDescent="0.35">
      <c r="B4" s="66" t="s">
        <v>3</v>
      </c>
      <c r="C4" s="91">
        <v>298.25722210100002</v>
      </c>
    </row>
    <row r="5" spans="2:6" ht="15" hidden="1" outlineLevel="1" x14ac:dyDescent="0.2">
      <c r="B5" s="66" t="s">
        <v>4</v>
      </c>
      <c r="C5" s="67">
        <f>1/C4</f>
        <v>3.3528106811823188E-3</v>
      </c>
    </row>
    <row r="6" spans="2:6" ht="15" hidden="1" outlineLevel="1" x14ac:dyDescent="0.2">
      <c r="B6" s="66" t="s">
        <v>5</v>
      </c>
      <c r="C6" s="68">
        <f>C3*(1-C7)</f>
        <v>6356752.3141403561</v>
      </c>
    </row>
    <row r="7" spans="2:6" ht="15" hidden="1" outlineLevel="1" x14ac:dyDescent="0.2">
      <c r="B7" s="66" t="s">
        <v>4</v>
      </c>
      <c r="C7" s="69">
        <f>1/C4</f>
        <v>3.3528106811823188E-3</v>
      </c>
    </row>
    <row r="8" spans="2:6" ht="18" hidden="1" outlineLevel="1" x14ac:dyDescent="0.2">
      <c r="B8" s="66" t="s">
        <v>6</v>
      </c>
      <c r="C8" s="69">
        <f>(2*C7)-(C7*C7)</f>
        <v>6.6943800229007869E-3</v>
      </c>
    </row>
    <row r="9" spans="2:6" ht="15" hidden="1" outlineLevel="1" x14ac:dyDescent="0.2">
      <c r="B9" s="66" t="s">
        <v>7</v>
      </c>
      <c r="C9" s="69">
        <f>SQRT(C8)</f>
        <v>8.1819191042815792E-2</v>
      </c>
    </row>
    <row r="10" spans="2:6" ht="18" hidden="1" outlineLevel="1" x14ac:dyDescent="0.2">
      <c r="B10" s="66" t="s">
        <v>8</v>
      </c>
      <c r="C10" s="69">
        <f>C8/(1-C8)</f>
        <v>6.7394967754789573E-3</v>
      </c>
      <c r="F10" t="s">
        <v>9</v>
      </c>
    </row>
    <row r="11" spans="2:6" ht="15" hidden="1" outlineLevel="1" x14ac:dyDescent="0.2">
      <c r="B11" s="6" t="s">
        <v>10</v>
      </c>
      <c r="C11" s="69">
        <f>SQRT(C10)</f>
        <v>8.2094438151917193E-2</v>
      </c>
    </row>
    <row r="12" spans="2:6" hidden="1" outlineLevel="1" x14ac:dyDescent="0.2">
      <c r="B12" s="6"/>
      <c r="C12" s="12"/>
    </row>
    <row r="13" spans="2:6" hidden="1" outlineLevel="1" x14ac:dyDescent="0.2">
      <c r="B13" s="6" t="s">
        <v>11</v>
      </c>
      <c r="C13" s="12">
        <f>(C3-C6)/(C3+C6)</f>
        <v>1.6792203946287211E-3</v>
      </c>
    </row>
    <row r="14" spans="2:6" hidden="1" outlineLevel="1" x14ac:dyDescent="0.2">
      <c r="B14" s="6" t="s">
        <v>12</v>
      </c>
      <c r="C14" s="12">
        <f>C13*C13</f>
        <v>2.8197811337370378E-6</v>
      </c>
    </row>
    <row r="15" spans="2:6" hidden="1" outlineLevel="1" x14ac:dyDescent="0.2">
      <c r="B15" s="6" t="s">
        <v>13</v>
      </c>
      <c r="C15" s="12">
        <f>C13*C14</f>
        <v>4.7350339881605316E-9</v>
      </c>
    </row>
    <row r="16" spans="2:6" hidden="1" outlineLevel="1" x14ac:dyDescent="0.2">
      <c r="B16" s="6" t="s">
        <v>14</v>
      </c>
      <c r="C16" s="12">
        <f>C14*C14</f>
        <v>7.9511656421793351E-12</v>
      </c>
    </row>
    <row r="17" spans="2:3" hidden="1" outlineLevel="1" x14ac:dyDescent="0.2">
      <c r="B17" s="6" t="s">
        <v>15</v>
      </c>
      <c r="C17" s="12">
        <f>C3*(1-C13)*(1-C14)*(1+(9*C14)/4+(225*C16)/64)*PI()/180</f>
        <v>111132.95254700514</v>
      </c>
    </row>
    <row r="18" spans="2:3" collapsed="1" x14ac:dyDescent="0.2">
      <c r="B18" s="6"/>
      <c r="C18" s="12"/>
    </row>
    <row r="19" spans="2:3" ht="15.75" x14ac:dyDescent="0.25">
      <c r="B19" s="13" t="s">
        <v>16</v>
      </c>
      <c r="C19" s="65" t="s">
        <v>17</v>
      </c>
    </row>
    <row r="20" spans="2:3" x14ac:dyDescent="0.2">
      <c r="B20" s="6" t="s">
        <v>18</v>
      </c>
      <c r="C20" s="103">
        <v>500000</v>
      </c>
    </row>
    <row r="21" spans="2:3" x14ac:dyDescent="0.2">
      <c r="B21" s="6" t="s">
        <v>19</v>
      </c>
      <c r="C21" s="103">
        <v>10000000</v>
      </c>
    </row>
    <row r="22" spans="2:3" ht="15.75" x14ac:dyDescent="0.3">
      <c r="B22" s="6" t="s">
        <v>20</v>
      </c>
      <c r="C22" s="104">
        <v>0.99960000000000004</v>
      </c>
    </row>
    <row r="23" spans="2:3" x14ac:dyDescent="0.2">
      <c r="B23" s="6" t="s">
        <v>21</v>
      </c>
      <c r="C23" s="105">
        <v>6</v>
      </c>
    </row>
    <row r="24" spans="2:3" ht="25.5" x14ac:dyDescent="0.2">
      <c r="B24" s="70" t="s">
        <v>22</v>
      </c>
      <c r="C24" s="106">
        <v>-177</v>
      </c>
    </row>
    <row r="25" spans="2:3" ht="25.5" hidden="1" outlineLevel="1" x14ac:dyDescent="0.2">
      <c r="B25" s="101" t="s">
        <v>23</v>
      </c>
      <c r="C25" s="102">
        <f>C24-(1.5*C23)</f>
        <v>-186</v>
      </c>
    </row>
    <row r="26" spans="2:3" hidden="1" outlineLevel="1" x14ac:dyDescent="0.2">
      <c r="B26" t="s">
        <v>24</v>
      </c>
      <c r="C26" s="102">
        <f>C25+(C23/2)</f>
        <v>-183</v>
      </c>
    </row>
    <row r="27" spans="2:3" collapsed="1" x14ac:dyDescent="0.2"/>
    <row r="34" spans="2:2" x14ac:dyDescent="0.2">
      <c r="B34" s="94" t="s">
        <v>25</v>
      </c>
    </row>
    <row r="35" spans="2:2" x14ac:dyDescent="0.2">
      <c r="B35" s="107" t="s">
        <v>26</v>
      </c>
    </row>
  </sheetData>
  <printOptions gridLinesSet="0"/>
  <pageMargins left="0.75" right="0.75" top="1" bottom="1" header="0.5" footer="0.5"/>
  <pageSetup paperSize="9" orientation="portrait" horizontalDpi="180" verticalDpi="180" r:id="rId1"/>
  <headerFooter alignWithMargins="0">
    <oddHeader>&amp;C&amp;F&amp;RConstants &amp; Parameters</oddHeader>
    <oddFooter>&amp;L&amp;D&amp;CGDA Technical Manual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N52"/>
  <sheetViews>
    <sheetView showGridLines="0" showOutlineSymbols="0" topLeftCell="A3" zoomScale="145" workbookViewId="0">
      <selection activeCell="K40" sqref="K40"/>
    </sheetView>
  </sheetViews>
  <sheetFormatPr defaultRowHeight="12.75" outlineLevelRow="1" outlineLevelCol="1" x14ac:dyDescent="0.2"/>
  <cols>
    <col min="1" max="1" width="2.28515625" customWidth="1"/>
    <col min="2" max="2" width="20.140625" customWidth="1"/>
    <col min="3" max="3" width="6.5703125" customWidth="1"/>
    <col min="4" max="4" width="4.28515625" customWidth="1"/>
    <col min="5" max="5" width="16.85546875" customWidth="1"/>
    <col min="6" max="6" width="17.28515625" hidden="1" customWidth="1" outlineLevel="1"/>
    <col min="7" max="7" width="18.85546875" hidden="1" customWidth="1" outlineLevel="1"/>
    <col min="8" max="8" width="17.42578125" customWidth="1" collapsed="1"/>
    <col min="9" max="9" width="6.28515625" customWidth="1"/>
    <col min="10" max="10" width="6.42578125" customWidth="1"/>
    <col min="11" max="11" width="21.140625" customWidth="1"/>
    <col min="12" max="12" width="19.42578125" hidden="1" customWidth="1" outlineLevel="1"/>
    <col min="13" max="13" width="17.85546875" hidden="1" customWidth="1" outlineLevel="1"/>
    <col min="14" max="14" width="9.140625" collapsed="1"/>
    <col min="15" max="15" width="16.28515625" customWidth="1"/>
  </cols>
  <sheetData>
    <row r="2" spans="2:13" ht="18" x14ac:dyDescent="0.25">
      <c r="B2" s="46" t="s">
        <v>27</v>
      </c>
      <c r="C2" s="63" t="s">
        <v>28</v>
      </c>
      <c r="D2" s="63"/>
      <c r="E2" s="63"/>
      <c r="F2" s="45"/>
      <c r="G2" s="45"/>
      <c r="H2" s="127" t="str">
        <f>'Constants &amp; Parameters'!C19</f>
        <v>GDA-MGA</v>
      </c>
      <c r="L2" s="2" t="s">
        <v>29</v>
      </c>
      <c r="M2" s="2" t="s">
        <v>30</v>
      </c>
    </row>
    <row r="3" spans="2:13" x14ac:dyDescent="0.2">
      <c r="B3" s="48"/>
      <c r="C3" s="42"/>
      <c r="D3" s="58"/>
      <c r="E3" s="4"/>
      <c r="F3" s="71" t="s">
        <v>29</v>
      </c>
      <c r="G3" s="71" t="s">
        <v>30</v>
      </c>
      <c r="H3" s="4"/>
      <c r="I3" s="42"/>
      <c r="J3" s="42"/>
      <c r="K3" s="5"/>
      <c r="L3" s="2"/>
      <c r="M3" s="2"/>
    </row>
    <row r="4" spans="2:13" x14ac:dyDescent="0.2">
      <c r="B4" s="41" t="s">
        <v>31</v>
      </c>
      <c r="C4" s="59">
        <v>-37</v>
      </c>
      <c r="D4" s="60">
        <v>39</v>
      </c>
      <c r="E4" s="111">
        <v>10.1561</v>
      </c>
      <c r="F4" s="7">
        <f>IF(C4&lt;0,-F5,IF(D4&lt;0,-F5,IF(E4&lt;0,-F5,F5)))</f>
        <v>-37.652821138888889</v>
      </c>
      <c r="G4" s="8">
        <f>(F4/180)*PI()</f>
        <v>-0.65716570153813225</v>
      </c>
      <c r="H4" s="9"/>
      <c r="I4" s="59">
        <v>143</v>
      </c>
      <c r="J4" s="60">
        <v>55</v>
      </c>
      <c r="K4" s="112">
        <v>35.383899999999997</v>
      </c>
      <c r="L4" s="7">
        <f>IF(I4&lt;0,-L5,IF(J4&lt;0,-L5,IF(K4&lt;0,-L5,L5)))</f>
        <v>143.92649552777777</v>
      </c>
      <c r="M4" s="1">
        <f>(L4/180)*PI()</f>
        <v>2.5119912278166159</v>
      </c>
    </row>
    <row r="5" spans="2:13" hidden="1" outlineLevel="1" x14ac:dyDescent="0.2">
      <c r="B5" s="6" t="s">
        <v>32</v>
      </c>
      <c r="C5" s="44">
        <f>(L4-'Constants &amp; Parameters'!C25)/'Constants &amp; Parameters'!C23</f>
        <v>54.987749254629627</v>
      </c>
      <c r="D5" s="7"/>
      <c r="E5" s="7"/>
      <c r="F5" s="7">
        <f>ABS(C4)+(ABS(D4)/60)+ABS(E4)/3600</f>
        <v>37.652821138888889</v>
      </c>
      <c r="G5" s="7"/>
      <c r="H5" s="9"/>
      <c r="I5" s="7"/>
      <c r="J5" s="7"/>
      <c r="K5" s="10"/>
      <c r="L5" s="7">
        <f>ABS(I4)+(ABS(J4)/60)+ABS(K4)/3600</f>
        <v>143.92649552777777</v>
      </c>
    </row>
    <row r="6" spans="2:13" hidden="1" outlineLevel="1" x14ac:dyDescent="0.2">
      <c r="B6" s="6" t="s">
        <v>33</v>
      </c>
      <c r="C6" s="72">
        <f>(C7*'Constants &amp; Parameters'!C23)+'Constants &amp; Parameters'!C26</f>
        <v>141</v>
      </c>
      <c r="D6" s="7"/>
      <c r="E6" s="11"/>
      <c r="F6" s="7"/>
      <c r="G6" s="8"/>
      <c r="H6" s="9" t="s">
        <v>34</v>
      </c>
      <c r="I6" s="72">
        <f>TRUNC(L6,0)</f>
        <v>2</v>
      </c>
      <c r="J6" s="73">
        <f>TRUNC(((L6-I6)*60),0)</f>
        <v>55</v>
      </c>
      <c r="K6" s="74">
        <f>((L6-I6)-(J6/60))*3600</f>
        <v>35.383899999988124</v>
      </c>
      <c r="L6" s="77">
        <f>L4-C6</f>
        <v>2.9264955277777744</v>
      </c>
      <c r="M6" s="1">
        <f>(L6/180)*PI()</f>
        <v>5.1076982504611332E-2</v>
      </c>
    </row>
    <row r="7" spans="2:13" collapsed="1" x14ac:dyDescent="0.2">
      <c r="B7" s="22" t="s">
        <v>35</v>
      </c>
      <c r="C7" s="100">
        <f>TRUNC(C5)</f>
        <v>54</v>
      </c>
      <c r="D7" s="7"/>
      <c r="E7" s="11"/>
      <c r="F7" s="7">
        <f>C6</f>
        <v>141</v>
      </c>
      <c r="G7" s="8">
        <f>(F7/180)*PI()</f>
        <v>2.4609142453120048</v>
      </c>
      <c r="H7" s="7"/>
      <c r="I7" s="7"/>
      <c r="J7" s="7"/>
      <c r="K7" s="12"/>
    </row>
    <row r="8" spans="2:13" hidden="1" outlineLevel="1" x14ac:dyDescent="0.2">
      <c r="B8" s="13" t="s">
        <v>36</v>
      </c>
      <c r="C8" s="7"/>
      <c r="D8" s="7"/>
      <c r="E8" s="7"/>
      <c r="F8" s="7"/>
      <c r="G8" s="7"/>
      <c r="H8" s="7"/>
      <c r="I8" s="7"/>
      <c r="J8" s="7"/>
      <c r="K8" s="12"/>
    </row>
    <row r="9" spans="2:13" hidden="1" outlineLevel="1" x14ac:dyDescent="0.2">
      <c r="B9" s="6" t="s">
        <v>37</v>
      </c>
      <c r="C9" s="7"/>
      <c r="D9" s="7"/>
      <c r="E9" s="8">
        <f>SIN(G4)</f>
        <v>-0.61087531854650756</v>
      </c>
      <c r="F9" s="7"/>
      <c r="G9" s="7"/>
      <c r="H9" s="7"/>
      <c r="I9" s="7"/>
      <c r="J9" s="7"/>
      <c r="K9" s="12"/>
      <c r="L9" s="2" t="s">
        <v>38</v>
      </c>
      <c r="M9" s="1">
        <f>1-(K10/4)-((3*K11)/64)-((5*K12)/256)</f>
        <v>0.99832429844458481</v>
      </c>
    </row>
    <row r="10" spans="2:13" ht="14.25" hidden="1" outlineLevel="1" x14ac:dyDescent="0.2">
      <c r="B10" s="6" t="s">
        <v>39</v>
      </c>
      <c r="C10" s="7"/>
      <c r="D10" s="7"/>
      <c r="E10" s="8">
        <f>SIN(2*G4)</f>
        <v>-0.96729273723545917</v>
      </c>
      <c r="F10" s="7"/>
      <c r="G10" s="7"/>
      <c r="H10" s="9" t="s">
        <v>40</v>
      </c>
      <c r="I10" s="7"/>
      <c r="J10" s="7"/>
      <c r="K10" s="14">
        <f>'Constants &amp; Parameters'!C8</f>
        <v>6.6943800229007869E-3</v>
      </c>
      <c r="L10" s="2" t="s">
        <v>41</v>
      </c>
      <c r="M10" s="1">
        <f>(3/8)*(K10+(K11/4)+((15*K12)/128))</f>
        <v>2.5146070728448195E-3</v>
      </c>
    </row>
    <row r="11" spans="2:13" ht="14.25" hidden="1" outlineLevel="1" x14ac:dyDescent="0.2">
      <c r="B11" s="6" t="s">
        <v>42</v>
      </c>
      <c r="C11" s="7"/>
      <c r="D11" s="7"/>
      <c r="E11" s="8">
        <f>SIN(4*G4)</f>
        <v>-0.49073215622708166</v>
      </c>
      <c r="F11" s="7"/>
      <c r="G11" s="7"/>
      <c r="H11" s="9" t="s">
        <v>43</v>
      </c>
      <c r="I11" s="7"/>
      <c r="J11" s="7"/>
      <c r="K11" s="14">
        <f>K10*K10</f>
        <v>4.481472389101314E-5</v>
      </c>
      <c r="L11" s="2" t="s">
        <v>44</v>
      </c>
      <c r="M11" s="1">
        <f>(15/256)*(K11+((3*K12)/4))</f>
        <v>2.6390466202308984E-6</v>
      </c>
    </row>
    <row r="12" spans="2:13" ht="14.25" hidden="1" outlineLevel="1" x14ac:dyDescent="0.2">
      <c r="B12" s="6" t="s">
        <v>45</v>
      </c>
      <c r="C12" s="7"/>
      <c r="D12" s="7"/>
      <c r="E12" s="8">
        <f>SIN(6*G4)</f>
        <v>0.71833185922499942</v>
      </c>
      <c r="F12" s="7"/>
      <c r="G12" s="7"/>
      <c r="H12" s="9" t="s">
        <v>46</v>
      </c>
      <c r="I12" s="7"/>
      <c r="J12" s="7"/>
      <c r="K12" s="14">
        <f>K10*K11</f>
        <v>3.0000679234781296E-7</v>
      </c>
      <c r="L12" s="2" t="s">
        <v>47</v>
      </c>
      <c r="M12" s="1">
        <f>(35*K12)/3072</f>
        <v>3.4180461367752132E-9</v>
      </c>
    </row>
    <row r="13" spans="2:13" hidden="1" outlineLevel="1" x14ac:dyDescent="0.2">
      <c r="B13" s="6"/>
      <c r="C13" s="7"/>
      <c r="D13" s="7"/>
      <c r="E13" s="7"/>
      <c r="F13" s="7"/>
      <c r="G13" s="7"/>
      <c r="H13" s="7"/>
      <c r="I13" s="7"/>
      <c r="J13" s="7"/>
      <c r="K13" s="12"/>
    </row>
    <row r="14" spans="2:13" hidden="1" outlineLevel="1" x14ac:dyDescent="0.2">
      <c r="B14" s="13" t="s">
        <v>48</v>
      </c>
      <c r="C14" s="7"/>
      <c r="D14" s="7"/>
      <c r="E14" s="7"/>
      <c r="F14" s="7"/>
      <c r="G14" s="7"/>
      <c r="H14" s="15" t="s">
        <v>49</v>
      </c>
      <c r="I14" s="7"/>
      <c r="J14" s="15"/>
      <c r="K14" s="12"/>
    </row>
    <row r="15" spans="2:13" hidden="1" outlineLevel="1" x14ac:dyDescent="0.2">
      <c r="B15" s="6" t="s">
        <v>50</v>
      </c>
      <c r="C15" s="7"/>
      <c r="D15" s="7"/>
      <c r="E15" s="30">
        <f>('Constants &amp; Parameters'!C3)*M9*G4</f>
        <v>-4184469.184979307</v>
      </c>
      <c r="F15" s="7"/>
      <c r="G15" s="7"/>
      <c r="H15" s="9" t="s">
        <v>51</v>
      </c>
      <c r="I15" s="7"/>
      <c r="J15" s="7"/>
      <c r="K15" s="10">
        <f>'Constants &amp; Parameters'!C3*(1-K10)/(1-(K10*E9*E9))^1.5</f>
        <v>6359253.8293830827</v>
      </c>
    </row>
    <row r="16" spans="2:13" hidden="1" outlineLevel="1" x14ac:dyDescent="0.2">
      <c r="B16" s="6" t="s">
        <v>52</v>
      </c>
      <c r="C16" s="7"/>
      <c r="D16" s="7"/>
      <c r="E16" s="31">
        <f>-('Constants &amp; Parameters'!C3)*M10*E10</f>
        <v>15513.932702798073</v>
      </c>
      <c r="F16" s="7"/>
      <c r="G16" s="7"/>
      <c r="H16" s="9" t="s">
        <v>53</v>
      </c>
      <c r="I16" s="7"/>
      <c r="J16" s="7"/>
      <c r="K16" s="10">
        <f>'Constants &amp; Parameters'!C3/(1-(K10*E9*E9))^0.5</f>
        <v>6386118.6741613224</v>
      </c>
    </row>
    <row r="17" spans="2:13" hidden="1" outlineLevel="1" x14ac:dyDescent="0.2">
      <c r="B17" s="6" t="s">
        <v>54</v>
      </c>
      <c r="C17" s="7"/>
      <c r="D17" s="7"/>
      <c r="E17" s="29">
        <f>('Constants &amp; Parameters'!C3)*M11*E11</f>
        <v>-8.260102238377085</v>
      </c>
      <c r="F17" s="7"/>
      <c r="G17" s="7"/>
      <c r="H17" s="7"/>
      <c r="I17" s="7"/>
      <c r="J17" s="7"/>
      <c r="K17" s="12"/>
    </row>
    <row r="18" spans="2:13" hidden="1" outlineLevel="1" x14ac:dyDescent="0.2">
      <c r="B18" s="6" t="s">
        <v>55</v>
      </c>
      <c r="C18" s="7"/>
      <c r="D18" s="7"/>
      <c r="E18" s="29">
        <f>-('Constants &amp; Parameters'!C3)*M12*E12</f>
        <v>-1.5660185155945174E-2</v>
      </c>
      <c r="F18" s="7"/>
      <c r="G18" s="7"/>
      <c r="H18" s="7"/>
      <c r="I18" s="7"/>
      <c r="J18" s="7"/>
      <c r="K18" s="12"/>
    </row>
    <row r="19" spans="2:13" hidden="1" outlineLevel="1" x14ac:dyDescent="0.2">
      <c r="B19" s="6" t="s">
        <v>56</v>
      </c>
      <c r="C19" s="7"/>
      <c r="D19" s="7"/>
      <c r="E19" s="30">
        <f>E15+E16+E17+E18</f>
        <v>-4168963.5280389329</v>
      </c>
      <c r="F19" s="7"/>
      <c r="G19" s="7"/>
      <c r="H19" s="7"/>
      <c r="I19" s="7"/>
      <c r="J19" s="7"/>
      <c r="K19" s="12"/>
    </row>
    <row r="20" spans="2:13" hidden="1" outlineLevel="1" x14ac:dyDescent="0.2">
      <c r="B20" s="6"/>
      <c r="C20" s="7"/>
      <c r="D20" s="7"/>
      <c r="E20" s="7"/>
      <c r="F20" s="7"/>
      <c r="G20" s="7"/>
      <c r="H20" s="7"/>
      <c r="I20" s="7"/>
      <c r="J20" s="7"/>
      <c r="K20" s="12"/>
    </row>
    <row r="21" spans="2:13" hidden="1" outlineLevel="1" x14ac:dyDescent="0.2">
      <c r="B21" s="13" t="s">
        <v>57</v>
      </c>
      <c r="C21" s="7"/>
      <c r="D21" s="7"/>
      <c r="E21" s="16" t="s">
        <v>58</v>
      </c>
      <c r="F21" s="7"/>
      <c r="G21" s="7"/>
      <c r="H21" s="16" t="s">
        <v>59</v>
      </c>
      <c r="I21" s="7"/>
      <c r="J21" s="7"/>
      <c r="K21" s="17" t="s">
        <v>60</v>
      </c>
      <c r="M21" s="3" t="s">
        <v>61</v>
      </c>
    </row>
    <row r="22" spans="2:13" hidden="1" outlineLevel="1" x14ac:dyDescent="0.2">
      <c r="B22" s="18">
        <v>1</v>
      </c>
      <c r="C22" s="7"/>
      <c r="D22" s="7"/>
      <c r="E22" s="19">
        <f>COS(G4)</f>
        <v>0.79172681222167973</v>
      </c>
      <c r="F22" s="8"/>
      <c r="G22" s="7"/>
      <c r="H22" s="8">
        <f>M6</f>
        <v>5.1076982504611332E-2</v>
      </c>
      <c r="I22" s="7"/>
      <c r="J22" s="7"/>
      <c r="K22" s="20">
        <f>TAN(G4)</f>
        <v>-0.77157336232218621</v>
      </c>
      <c r="M22" s="1">
        <f>K16/K15</f>
        <v>1.0042245278296817</v>
      </c>
    </row>
    <row r="23" spans="2:13" hidden="1" outlineLevel="1" x14ac:dyDescent="0.2">
      <c r="B23" s="18">
        <v>2</v>
      </c>
      <c r="C23" s="7"/>
      <c r="D23" s="7"/>
      <c r="E23" s="19">
        <f>E22*E22</f>
        <v>0.62683134519070294</v>
      </c>
      <c r="F23" s="19"/>
      <c r="G23" s="19"/>
      <c r="H23" s="21">
        <f>H22*H22</f>
        <v>2.6088581417763722E-3</v>
      </c>
      <c r="I23" s="7"/>
      <c r="J23" s="7"/>
      <c r="K23" s="20">
        <f>K22*K22</f>
        <v>0.59532545344516363</v>
      </c>
      <c r="M23" s="1">
        <f>M22*M22</f>
        <v>1.0084669022947472</v>
      </c>
    </row>
    <row r="24" spans="2:13" hidden="1" outlineLevel="1" x14ac:dyDescent="0.2">
      <c r="B24" s="18">
        <v>3</v>
      </c>
      <c r="C24" s="7"/>
      <c r="D24" s="7"/>
      <c r="E24" s="19">
        <f>E23*E22</f>
        <v>0.49627918272846255</v>
      </c>
      <c r="F24" s="19"/>
      <c r="G24" s="19"/>
      <c r="H24" s="21">
        <f>H23*H22</f>
        <v>1.3325260166452459E-4</v>
      </c>
      <c r="I24" s="7"/>
      <c r="J24" s="7"/>
      <c r="K24" s="20"/>
      <c r="M24" s="1">
        <f>M22*M23</f>
        <v>1.0127271987888042</v>
      </c>
    </row>
    <row r="25" spans="2:13" hidden="1" outlineLevel="1" x14ac:dyDescent="0.2">
      <c r="B25" s="18">
        <v>4</v>
      </c>
      <c r="C25" s="7"/>
      <c r="D25" s="7"/>
      <c r="E25" s="19">
        <f>E23*E23</f>
        <v>0.3929175353135862</v>
      </c>
      <c r="F25" s="19"/>
      <c r="G25" s="19"/>
      <c r="H25" s="21">
        <f>H23*H23</f>
        <v>6.8061408039128659E-6</v>
      </c>
      <c r="I25" s="7"/>
      <c r="J25" s="7"/>
      <c r="K25" s="20">
        <f>K23*K23</f>
        <v>0.35441239551968967</v>
      </c>
      <c r="M25" s="1">
        <f>M23*M23</f>
        <v>1.0170054930239631</v>
      </c>
    </row>
    <row r="26" spans="2:13" hidden="1" outlineLevel="1" x14ac:dyDescent="0.2">
      <c r="B26" s="18">
        <v>5</v>
      </c>
      <c r="C26" s="7"/>
      <c r="D26" s="7"/>
      <c r="E26" s="19">
        <f>E24*E23</f>
        <v>0.31108334769982487</v>
      </c>
      <c r="F26" s="19"/>
      <c r="G26" s="19"/>
      <c r="H26" s="21">
        <f>H24*H23</f>
        <v>3.4763713476537875E-7</v>
      </c>
      <c r="I26" s="7"/>
      <c r="J26" s="7"/>
      <c r="K26" s="20"/>
    </row>
    <row r="27" spans="2:13" hidden="1" outlineLevel="1" x14ac:dyDescent="0.2">
      <c r="B27" s="18">
        <v>6</v>
      </c>
      <c r="C27" s="7"/>
      <c r="D27" s="7"/>
      <c r="E27" s="19">
        <f>E24*E24</f>
        <v>0.24629302720963073</v>
      </c>
      <c r="F27" s="19"/>
      <c r="G27" s="19"/>
      <c r="H27" s="21">
        <f>H24*H24</f>
        <v>1.7756255850364462E-8</v>
      </c>
      <c r="I27" s="7"/>
      <c r="J27" s="7"/>
      <c r="K27" s="20">
        <f>K23*K25</f>
        <v>0.21099072006934594</v>
      </c>
    </row>
    <row r="28" spans="2:13" hidden="1" outlineLevel="1" x14ac:dyDescent="0.2">
      <c r="B28" s="18">
        <v>7</v>
      </c>
      <c r="C28" s="7"/>
      <c r="D28" s="7"/>
      <c r="E28" s="19">
        <f>E27*E22</f>
        <v>0.19499679330510836</v>
      </c>
      <c r="F28" s="19"/>
      <c r="G28" s="19"/>
      <c r="H28" s="21">
        <f>H27*H22</f>
        <v>9.0693596941646824E-10</v>
      </c>
      <c r="I28" s="7"/>
      <c r="J28" s="7"/>
      <c r="K28" s="12"/>
    </row>
    <row r="29" spans="2:13" hidden="1" outlineLevel="1" x14ac:dyDescent="0.2">
      <c r="B29" s="18">
        <v>8</v>
      </c>
      <c r="C29" s="7"/>
      <c r="D29" s="7"/>
      <c r="E29" s="19"/>
      <c r="F29" s="7"/>
      <c r="G29" s="7"/>
      <c r="H29" s="21">
        <f>H25*H25</f>
        <v>4.6323552642687674E-11</v>
      </c>
      <c r="I29" s="7"/>
      <c r="J29" s="7"/>
      <c r="K29" s="12"/>
    </row>
    <row r="30" spans="2:13" hidden="1" outlineLevel="1" x14ac:dyDescent="0.2">
      <c r="B30" s="6"/>
      <c r="C30" s="7"/>
      <c r="D30" s="7"/>
      <c r="E30" s="7"/>
      <c r="F30" s="7"/>
      <c r="G30" s="7"/>
      <c r="H30" s="7"/>
      <c r="I30" s="7"/>
      <c r="J30" s="7"/>
      <c r="K30" s="12"/>
    </row>
    <row r="31" spans="2:13" hidden="1" outlineLevel="1" x14ac:dyDescent="0.2">
      <c r="B31" s="13" t="s">
        <v>62</v>
      </c>
      <c r="C31" s="7"/>
      <c r="D31" s="7"/>
      <c r="E31" s="7"/>
      <c r="F31" s="7"/>
      <c r="G31" s="7"/>
      <c r="H31" s="7"/>
      <c r="I31" s="15" t="s">
        <v>63</v>
      </c>
      <c r="J31" s="7"/>
      <c r="K31" s="12"/>
    </row>
    <row r="32" spans="2:13" hidden="1" outlineLevel="1" x14ac:dyDescent="0.2">
      <c r="B32" s="13"/>
      <c r="C32" s="7"/>
      <c r="D32" s="7"/>
      <c r="E32" s="7"/>
      <c r="F32" s="7"/>
      <c r="G32" s="7"/>
      <c r="H32" s="34" t="s">
        <v>64</v>
      </c>
      <c r="I32" s="35"/>
      <c r="J32" s="34"/>
      <c r="K32" s="40">
        <f>E19</f>
        <v>-4168963.5280389329</v>
      </c>
    </row>
    <row r="33" spans="2:11" hidden="1" outlineLevel="1" x14ac:dyDescent="0.2">
      <c r="B33" s="6" t="s">
        <v>50</v>
      </c>
      <c r="C33" s="7"/>
      <c r="D33" s="7"/>
      <c r="E33" s="30">
        <f>K16*H22*E22</f>
        <v>258248.35866704624</v>
      </c>
      <c r="F33" s="7"/>
      <c r="G33" s="7"/>
      <c r="I33" s="7" t="s">
        <v>50</v>
      </c>
      <c r="J33" s="7"/>
      <c r="K33" s="38">
        <f>K16*E9*H23*E22/2</f>
        <v>-4028.8897689007717</v>
      </c>
    </row>
    <row r="34" spans="2:11" hidden="1" outlineLevel="1" x14ac:dyDescent="0.2">
      <c r="B34" s="6" t="s">
        <v>52</v>
      </c>
      <c r="C34" s="7"/>
      <c r="D34" s="7"/>
      <c r="E34" s="29">
        <f>K16*H24*E24*(M22-K23)/6</f>
        <v>28.780850086659996</v>
      </c>
      <c r="F34" s="7"/>
      <c r="G34" s="7"/>
      <c r="I34" s="32" t="s">
        <v>52</v>
      </c>
      <c r="J34" s="7"/>
      <c r="K34" s="39">
        <f>K16*E9*H25*E24*(4*M23+M22-K23)/24</f>
        <v>-2.4392640537710668</v>
      </c>
    </row>
    <row r="35" spans="2:11" hidden="1" outlineLevel="1" x14ac:dyDescent="0.2">
      <c r="B35" s="6" t="s">
        <v>54</v>
      </c>
      <c r="C35" s="7"/>
      <c r="D35" s="7"/>
      <c r="E35" s="29">
        <f>K16*H26*E26*(4*M24*(1-6*K23)+M23*(1+8*K23)-M22*(2*K23)+K25)/120</f>
        <v>-3.135776710464231E-2</v>
      </c>
      <c r="F35" s="7"/>
      <c r="G35" s="7"/>
      <c r="I35" s="32" t="s">
        <v>54</v>
      </c>
      <c r="J35" s="7"/>
      <c r="K35" s="39">
        <f>K16*E9*H27*E26*(8*M25*(11-24*K23)-28*M24*(1-6*K23)+M23*(1-32*K23)-M22*(2*K23)+K25)/720</f>
        <v>-8.1216822410049862E-4</v>
      </c>
    </row>
    <row r="36" spans="2:11" hidden="1" outlineLevel="1" x14ac:dyDescent="0.2">
      <c r="B36" s="6" t="s">
        <v>55</v>
      </c>
      <c r="C36" s="7"/>
      <c r="D36" s="7"/>
      <c r="E36" s="7">
        <f>K16*H28*E28*(61-479*K23+179*K25-K27)/5040</f>
        <v>-3.6062275428798334E-5</v>
      </c>
      <c r="F36" s="7"/>
      <c r="G36" s="7"/>
      <c r="I36" s="32" t="s">
        <v>55</v>
      </c>
      <c r="J36" s="7"/>
      <c r="K36" s="12">
        <f>K16*E9*H29*E28*(1385-3111*K23+543*K25-K27)/40320</f>
        <v>2.4018767949420474E-7</v>
      </c>
    </row>
    <row r="37" spans="2:11" hidden="1" outlineLevel="1" x14ac:dyDescent="0.2">
      <c r="B37" s="6" t="s">
        <v>65</v>
      </c>
      <c r="C37" s="7"/>
      <c r="D37" s="7"/>
      <c r="E37" s="30">
        <f>SUM(E33:E36)</f>
        <v>258277.10812330351</v>
      </c>
      <c r="F37" s="7"/>
      <c r="G37" s="7"/>
      <c r="I37" s="32" t="s">
        <v>65</v>
      </c>
      <c r="J37" s="7"/>
      <c r="K37" s="40">
        <f>SUM(K32:K36)</f>
        <v>-4172994.8578838157</v>
      </c>
    </row>
    <row r="38" spans="2:11" ht="15.75" hidden="1" outlineLevel="1" x14ac:dyDescent="0.3">
      <c r="B38" s="6" t="s">
        <v>66</v>
      </c>
      <c r="C38" s="7"/>
      <c r="D38" s="7"/>
      <c r="E38" s="30">
        <f>'Constants &amp; Parameters'!C22*E37</f>
        <v>258173.79728005419</v>
      </c>
      <c r="F38" s="7"/>
      <c r="G38" s="7"/>
      <c r="I38" s="32" t="s">
        <v>66</v>
      </c>
      <c r="J38" s="7"/>
      <c r="K38" s="40">
        <f>'Constants &amp; Parameters'!C22*K37</f>
        <v>-4171325.6599406623</v>
      </c>
    </row>
    <row r="39" spans="2:11" hidden="1" outlineLevel="1" x14ac:dyDescent="0.2">
      <c r="B39" s="6" t="s">
        <v>67</v>
      </c>
      <c r="C39" s="7"/>
      <c r="D39" s="7"/>
      <c r="E39" s="30">
        <f>'Constants &amp; Parameters'!C20</f>
        <v>500000</v>
      </c>
      <c r="F39" s="7"/>
      <c r="G39" s="7"/>
      <c r="I39" s="32" t="s">
        <v>67</v>
      </c>
      <c r="J39" s="7"/>
      <c r="K39" s="40">
        <f>'Constants &amp; Parameters'!C21</f>
        <v>10000000</v>
      </c>
    </row>
    <row r="40" spans="2:11" collapsed="1" x14ac:dyDescent="0.2">
      <c r="B40" s="22" t="s">
        <v>62</v>
      </c>
      <c r="C40" s="23"/>
      <c r="D40" s="23"/>
      <c r="E40" s="36">
        <f>E38+E39</f>
        <v>758173.79728005419</v>
      </c>
      <c r="F40" s="7"/>
      <c r="G40" s="7"/>
      <c r="I40" s="33" t="s">
        <v>63</v>
      </c>
      <c r="J40" s="23"/>
      <c r="K40" s="37">
        <f>K38+K39</f>
        <v>5828674.3400593381</v>
      </c>
    </row>
    <row r="41" spans="2:11" hidden="1" outlineLevel="1" x14ac:dyDescent="0.2">
      <c r="B41" s="13" t="s">
        <v>68</v>
      </c>
      <c r="C41" s="7"/>
      <c r="D41" s="7"/>
      <c r="E41" s="7"/>
      <c r="F41" s="7"/>
      <c r="G41" s="7"/>
      <c r="H41" s="7"/>
      <c r="I41" s="15" t="s">
        <v>69</v>
      </c>
      <c r="J41" s="15"/>
      <c r="K41" s="25"/>
    </row>
    <row r="42" spans="2:11" hidden="1" outlineLevel="1" x14ac:dyDescent="0.2">
      <c r="B42" s="6" t="s">
        <v>50</v>
      </c>
      <c r="C42" s="72">
        <f>TRUNC(F42)</f>
        <v>1</v>
      </c>
      <c r="D42" s="73">
        <f>TRUNC((F42-C42)*60)</f>
        <v>47</v>
      </c>
      <c r="E42" s="75">
        <f>(F42-C42-(D42/60))*3600</f>
        <v>15.805995922238703</v>
      </c>
      <c r="F42" s="77">
        <f>(G42/PI())*180</f>
        <v>1.7877238877561774</v>
      </c>
      <c r="G42" s="21">
        <f>-E9*H22</f>
        <v>3.1201667957898842E-2</v>
      </c>
      <c r="H42" s="7"/>
      <c r="I42" s="7" t="s">
        <v>50</v>
      </c>
      <c r="J42" s="7"/>
      <c r="K42" s="20">
        <f>1+(H23*E23*M22)/2</f>
        <v>1.0008211112440857</v>
      </c>
    </row>
    <row r="43" spans="2:11" hidden="1" outlineLevel="1" x14ac:dyDescent="0.2">
      <c r="B43" s="6" t="s">
        <v>52</v>
      </c>
      <c r="C43" s="72">
        <f>TRUNC(F43)</f>
        <v>0</v>
      </c>
      <c r="D43" s="73">
        <f>TRUNC((F43-C43)*60)</f>
        <v>0</v>
      </c>
      <c r="E43" s="75">
        <f>(F43-C43-(D43/60))*3600</f>
        <v>3.5527745397804957</v>
      </c>
      <c r="F43" s="77">
        <f>(G43/PI())*180</f>
        <v>9.8688181660569322E-4</v>
      </c>
      <c r="G43" s="21">
        <f>-E9*H24*E23*(2*M23-M22)/3</f>
        <v>1.7224337027832196E-5</v>
      </c>
      <c r="H43" s="7"/>
      <c r="I43" s="7" t="s">
        <v>52</v>
      </c>
      <c r="J43" s="7"/>
      <c r="K43" s="12">
        <f>H25*E25*(4*M24*(1-6*K23)+M23*(1+24*K23)-4*M22*K23)/24</f>
        <v>2.9050664284859087E-7</v>
      </c>
    </row>
    <row r="44" spans="2:11" hidden="1" outlineLevel="1" x14ac:dyDescent="0.2">
      <c r="B44" s="6" t="s">
        <v>54</v>
      </c>
      <c r="C44" s="72">
        <f>TRUNC(F44)</f>
        <v>0</v>
      </c>
      <c r="D44" s="73">
        <f>TRUNC((F44-C44)*60)</f>
        <v>0</v>
      </c>
      <c r="E44" s="75">
        <f>(F44-C44-(D44/60))*3600</f>
        <v>1.6412506296581946E-3</v>
      </c>
      <c r="F44" s="77">
        <f>(G44/PI())*180</f>
        <v>4.5590295268283187E-7</v>
      </c>
      <c r="G44" s="9">
        <f>-E9*H26*E25*(M25*(11-24*K23)-M24*(11-36*K23)+2*M23*(1-7*K23)+M22*K23)/15</f>
        <v>7.9570075938793321E-9</v>
      </c>
      <c r="H44" s="7"/>
      <c r="I44" s="7" t="s">
        <v>54</v>
      </c>
      <c r="J44" s="7"/>
      <c r="K44" s="12">
        <f>H27*E27*(61-148*K23+16*K25)/720</f>
        <v>-1.3021066150966482E-10</v>
      </c>
    </row>
    <row r="45" spans="2:11" hidden="1" outlineLevel="1" x14ac:dyDescent="0.2">
      <c r="B45" s="6" t="s">
        <v>55</v>
      </c>
      <c r="C45" s="72">
        <f>TRUNC(F45)</f>
        <v>0</v>
      </c>
      <c r="D45" s="73">
        <f>TRUNC((F45-C45)*60)</f>
        <v>0</v>
      </c>
      <c r="E45" s="75">
        <f>(F45-C45-(D45/60))*3600</f>
        <v>-1.9928355103060877E-7</v>
      </c>
      <c r="F45" s="77">
        <f>(G45/PI())*180</f>
        <v>-5.5356541952946882E-11</v>
      </c>
      <c r="G45" s="9">
        <f>E9*H28*E27*(17-26*K23+2*K25)/315</f>
        <v>-9.6615391959729499E-13</v>
      </c>
      <c r="H45" s="7"/>
      <c r="I45" s="7" t="s">
        <v>65</v>
      </c>
      <c r="J45" s="7"/>
      <c r="K45" s="20">
        <f>SUM(K42:K44)</f>
        <v>1.0008214016205177</v>
      </c>
    </row>
    <row r="46" spans="2:11" hidden="1" outlineLevel="1" x14ac:dyDescent="0.2">
      <c r="B46" s="6"/>
      <c r="C46" s="72">
        <f>TRUNC(F47)</f>
        <v>1</v>
      </c>
      <c r="D46" s="73">
        <f>TRUNC((F47-C46)*60)</f>
        <v>47</v>
      </c>
      <c r="E46" s="75">
        <f>(F47-C46-(D46/60))*3600</f>
        <v>19.360411513365918</v>
      </c>
      <c r="F46" s="77"/>
      <c r="G46" s="9"/>
      <c r="H46" s="7"/>
      <c r="I46" s="7"/>
      <c r="J46" s="7"/>
      <c r="K46" s="20"/>
    </row>
    <row r="47" spans="2:11" collapsed="1" x14ac:dyDescent="0.2">
      <c r="B47" s="22" t="s">
        <v>68</v>
      </c>
      <c r="C47" s="61">
        <f>C46</f>
        <v>1</v>
      </c>
      <c r="D47" s="62">
        <f>D46</f>
        <v>47</v>
      </c>
      <c r="E47" s="76">
        <f>E46</f>
        <v>19.360411513365918</v>
      </c>
      <c r="F47" s="77">
        <f>(G47/PI())*180</f>
        <v>1.7887112254203794</v>
      </c>
      <c r="G47" s="21">
        <f>SUM(G42:G45)</f>
        <v>3.1218900250968115E-2</v>
      </c>
      <c r="H47" s="7"/>
      <c r="I47" s="24" t="s">
        <v>69</v>
      </c>
      <c r="J47" s="23"/>
      <c r="K47" s="123">
        <f>'Constants &amp; Parameters'!C22*K45</f>
        <v>1.0004210730598695</v>
      </c>
    </row>
    <row r="48" spans="2:11" x14ac:dyDescent="0.2">
      <c r="B48" s="26"/>
      <c r="C48" s="27"/>
      <c r="D48" s="27"/>
      <c r="E48" s="27"/>
      <c r="F48" s="27"/>
      <c r="G48" s="27"/>
      <c r="H48" s="27"/>
      <c r="I48" s="27"/>
      <c r="J48" s="27"/>
      <c r="K48" s="28"/>
    </row>
    <row r="50" spans="11:11" x14ac:dyDescent="0.2">
      <c r="K50" s="94" t="s">
        <v>25</v>
      </c>
    </row>
    <row r="51" spans="11:11" x14ac:dyDescent="0.2">
      <c r="K51" s="92" t="s">
        <v>26</v>
      </c>
    </row>
    <row r="52" spans="11:11" x14ac:dyDescent="0.2">
      <c r="K52" s="93" t="s">
        <v>70</v>
      </c>
    </row>
  </sheetData>
  <printOptions gridLinesSet="0"/>
  <pageMargins left="0.25" right="0.13" top="0.76" bottom="0.71" header="0.5" footer="0.5"/>
  <pageSetup paperSize="9" scale="99" orientation="portrait" horizontalDpi="180" verticalDpi="180" r:id="rId1"/>
  <headerFooter alignWithMargins="0">
    <oddHeader>&amp;C&amp;F&amp;RLat/Long to E,N Zone</oddHeader>
    <oddFooter>&amp;L&amp;D&amp;CGDA Technical Mmanual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R55"/>
  <sheetViews>
    <sheetView showGridLines="0" tabSelected="1" showOutlineSymbols="0" workbookViewId="0">
      <selection activeCell="O7" sqref="O7"/>
    </sheetView>
  </sheetViews>
  <sheetFormatPr defaultRowHeight="12.75" outlineLevelRow="1" outlineLevelCol="1" x14ac:dyDescent="0.2"/>
  <cols>
    <col min="1" max="1" width="2.5703125" customWidth="1"/>
    <col min="2" max="2" width="17.140625" customWidth="1"/>
    <col min="3" max="3" width="8.5703125" customWidth="1"/>
    <col min="4" max="4" width="3.7109375" customWidth="1"/>
    <col min="5" max="5" width="12" customWidth="1"/>
    <col min="6" max="6" width="15.5703125" customWidth="1" outlineLevel="1"/>
    <col min="7" max="7" width="20.85546875" customWidth="1" outlineLevel="1"/>
    <col min="8" max="8" width="14.140625" customWidth="1" outlineLevel="1"/>
    <col min="9" max="9" width="14.5703125" customWidth="1" outlineLevel="1"/>
    <col min="10" max="10" width="17" customWidth="1" outlineLevel="1"/>
    <col min="11" max="11" width="14" customWidth="1" collapsed="1"/>
    <col min="12" max="12" width="17.5703125" customWidth="1"/>
    <col min="13" max="13" width="5.28515625" customWidth="1"/>
    <col min="14" max="14" width="4.140625" customWidth="1"/>
    <col min="15" max="15" width="15.7109375" customWidth="1"/>
    <col min="16" max="16" width="17.7109375" customWidth="1" outlineLevel="1"/>
    <col min="17" max="17" width="16.85546875" customWidth="1" outlineLevel="1"/>
    <col min="18" max="18" width="9.140625" collapsed="1"/>
  </cols>
  <sheetData>
    <row r="2" spans="2:15" ht="18" x14ac:dyDescent="0.25">
      <c r="B2" s="46" t="s">
        <v>71</v>
      </c>
      <c r="C2" s="63" t="s">
        <v>28</v>
      </c>
      <c r="D2" s="63"/>
      <c r="E2" s="63"/>
      <c r="F2" s="47"/>
      <c r="G2" s="47"/>
      <c r="L2" s="127" t="str">
        <f>'Constants &amp; Parameters'!C19</f>
        <v>GDA-MGA</v>
      </c>
    </row>
    <row r="3" spans="2:15" ht="15.75" x14ac:dyDescent="0.25">
      <c r="B3" s="50" t="s">
        <v>35</v>
      </c>
      <c r="C3" s="51"/>
      <c r="D3" s="4"/>
      <c r="E3" s="43">
        <v>55</v>
      </c>
      <c r="F3" s="51"/>
      <c r="G3" s="4"/>
      <c r="H3" s="4"/>
      <c r="I3" s="4"/>
      <c r="J3" s="4"/>
      <c r="K3" s="4"/>
      <c r="L3" s="4"/>
      <c r="M3" s="4"/>
      <c r="N3" s="4"/>
      <c r="O3" s="5"/>
    </row>
    <row r="4" spans="2:15" ht="40.5" customHeight="1" x14ac:dyDescent="0.2">
      <c r="B4" s="52" t="s">
        <v>62</v>
      </c>
      <c r="C4" s="15"/>
      <c r="D4" s="7"/>
      <c r="E4" s="85">
        <v>365658.9</v>
      </c>
      <c r="F4" s="15"/>
      <c r="G4" s="7"/>
      <c r="H4" s="7"/>
      <c r="I4" s="7"/>
      <c r="J4" s="7"/>
      <c r="K4" s="7"/>
      <c r="L4" s="15" t="s">
        <v>63</v>
      </c>
      <c r="M4" s="7"/>
      <c r="N4" s="7"/>
      <c r="O4" s="89">
        <v>5349672.0999999996</v>
      </c>
    </row>
    <row r="5" spans="2:15" outlineLevel="1" x14ac:dyDescent="0.2">
      <c r="B5" s="57" t="s">
        <v>67</v>
      </c>
      <c r="C5" s="7"/>
      <c r="D5" s="7"/>
      <c r="E5" s="79">
        <f>'Constants &amp; Parameters'!C20</f>
        <v>500000</v>
      </c>
      <c r="F5" s="7"/>
      <c r="G5" s="9"/>
      <c r="H5" s="7"/>
      <c r="I5" s="7"/>
      <c r="J5" s="7"/>
      <c r="K5" s="96" t="s">
        <v>72</v>
      </c>
      <c r="L5" s="79">
        <f>'Constants &amp; Parameters'!C21</f>
        <v>10000000</v>
      </c>
      <c r="M5" s="7"/>
      <c r="N5" s="7"/>
      <c r="O5" s="12"/>
    </row>
    <row r="6" spans="2:15" outlineLevel="1" x14ac:dyDescent="0.2">
      <c r="B6" s="57" t="s">
        <v>73</v>
      </c>
      <c r="C6" s="7"/>
      <c r="D6" s="7"/>
      <c r="E6" s="79">
        <f>E4-E5</f>
        <v>-134341.09999999998</v>
      </c>
      <c r="F6" s="7"/>
      <c r="G6" s="9"/>
      <c r="H6" s="7"/>
      <c r="I6" s="7"/>
      <c r="J6" s="7"/>
      <c r="K6" s="96" t="s">
        <v>74</v>
      </c>
      <c r="L6" s="79">
        <f>O4-L5</f>
        <v>-4650327.9000000004</v>
      </c>
      <c r="M6" s="7"/>
      <c r="N6" s="7"/>
      <c r="O6" s="12"/>
    </row>
    <row r="7" spans="2:15" ht="15.75" outlineLevel="1" x14ac:dyDescent="0.3">
      <c r="B7" s="57" t="s">
        <v>75</v>
      </c>
      <c r="C7" s="7"/>
      <c r="D7" s="7"/>
      <c r="E7" s="79">
        <f>E6/'Constants &amp; Parameters'!C22</f>
        <v>-134394.85794317725</v>
      </c>
      <c r="F7" s="7"/>
      <c r="G7" s="9"/>
      <c r="H7" s="7"/>
      <c r="I7" s="7"/>
      <c r="J7" s="7"/>
      <c r="K7" s="96" t="s">
        <v>76</v>
      </c>
      <c r="L7" s="79">
        <f>L6/'Constants &amp; Parameters'!C22</f>
        <v>-4652188.775510204</v>
      </c>
      <c r="M7" s="7"/>
      <c r="N7" s="7"/>
      <c r="O7" s="12"/>
    </row>
    <row r="8" spans="2:15" outlineLevel="1" x14ac:dyDescent="0.2">
      <c r="B8" s="6"/>
      <c r="C8" s="7"/>
      <c r="D8" s="7"/>
      <c r="E8" s="7"/>
      <c r="F8" s="7"/>
      <c r="G8" s="7"/>
      <c r="H8" s="7"/>
      <c r="I8" s="7"/>
      <c r="J8" s="7"/>
      <c r="K8" s="96"/>
      <c r="L8" s="7"/>
      <c r="M8" s="7"/>
      <c r="N8" s="7"/>
      <c r="O8" s="12"/>
    </row>
    <row r="9" spans="2:15" outlineLevel="1" x14ac:dyDescent="0.2">
      <c r="B9" s="53"/>
      <c r="C9" s="54"/>
      <c r="D9" s="54"/>
      <c r="E9" s="54"/>
      <c r="F9" s="54"/>
      <c r="G9" s="7"/>
      <c r="H9" s="7"/>
      <c r="I9" s="7"/>
      <c r="J9" s="7"/>
      <c r="K9" s="96" t="s">
        <v>77</v>
      </c>
      <c r="L9" s="86">
        <f>(L7*PI())/('Constants &amp; Parameters'!C17*180)</f>
        <v>-0.73062048380864786</v>
      </c>
      <c r="M9" s="7"/>
      <c r="N9" s="7"/>
      <c r="O9" s="12"/>
    </row>
    <row r="10" spans="2:15" outlineLevel="1" x14ac:dyDescent="0.2">
      <c r="B10" s="53"/>
      <c r="C10" s="54"/>
      <c r="D10" s="54"/>
      <c r="E10" s="54"/>
      <c r="F10" s="54"/>
      <c r="G10" s="7"/>
      <c r="H10" s="7"/>
      <c r="I10" s="7"/>
      <c r="J10" s="7"/>
      <c r="K10" s="96" t="s">
        <v>78</v>
      </c>
      <c r="L10" s="86">
        <f>L9*2</f>
        <v>-1.4612409676172957</v>
      </c>
      <c r="M10" s="7"/>
      <c r="N10" s="7"/>
      <c r="O10" s="12"/>
    </row>
    <row r="11" spans="2:15" outlineLevel="1" x14ac:dyDescent="0.2">
      <c r="B11" s="53"/>
      <c r="C11" s="54"/>
      <c r="D11" s="54"/>
      <c r="E11" s="54"/>
      <c r="F11" s="54"/>
      <c r="G11" s="7"/>
      <c r="H11" s="7"/>
      <c r="I11" s="7"/>
      <c r="J11" s="7"/>
      <c r="K11" s="96" t="s">
        <v>79</v>
      </c>
      <c r="L11" s="86">
        <f>L9*4</f>
        <v>-2.9224819352345914</v>
      </c>
      <c r="M11" s="7"/>
      <c r="N11" s="7"/>
      <c r="O11" s="12"/>
    </row>
    <row r="12" spans="2:15" outlineLevel="1" x14ac:dyDescent="0.2">
      <c r="B12" s="53"/>
      <c r="C12" s="54"/>
      <c r="D12" s="54"/>
      <c r="E12" s="54"/>
      <c r="F12" s="54"/>
      <c r="G12" s="7"/>
      <c r="H12" s="7"/>
      <c r="I12" s="7"/>
      <c r="J12" s="7"/>
      <c r="K12" s="96" t="s">
        <v>80</v>
      </c>
      <c r="L12" s="86">
        <f>L9*6</f>
        <v>-4.3837229028518871</v>
      </c>
      <c r="M12" s="7"/>
      <c r="N12" s="7"/>
      <c r="O12" s="12"/>
    </row>
    <row r="13" spans="2:15" outlineLevel="1" x14ac:dyDescent="0.2">
      <c r="B13" s="6"/>
      <c r="C13" s="7"/>
      <c r="D13" s="7"/>
      <c r="E13" s="7"/>
      <c r="F13" s="7"/>
      <c r="G13" s="7"/>
      <c r="H13" s="7"/>
      <c r="I13" s="7"/>
      <c r="J13" s="7"/>
      <c r="K13" s="96" t="s">
        <v>81</v>
      </c>
      <c r="L13" s="86">
        <f>L9*8</f>
        <v>-5.8449638704691829</v>
      </c>
      <c r="M13" s="7"/>
      <c r="N13" s="7"/>
      <c r="O13" s="12"/>
    </row>
    <row r="14" spans="2:15" outlineLevel="1" x14ac:dyDescent="0.2">
      <c r="B14" s="6"/>
      <c r="C14" s="96"/>
      <c r="D14" s="96"/>
      <c r="E14" s="96"/>
      <c r="F14" s="96"/>
      <c r="G14" s="96"/>
      <c r="H14" s="7"/>
      <c r="I14" s="7"/>
      <c r="J14" s="7"/>
      <c r="K14" s="7"/>
      <c r="L14" s="7"/>
      <c r="M14" s="7"/>
      <c r="N14" s="7"/>
      <c r="O14" s="12"/>
    </row>
    <row r="15" spans="2:15" outlineLevel="1" x14ac:dyDescent="0.2">
      <c r="B15" s="13" t="s">
        <v>82</v>
      </c>
      <c r="C15" s="97" t="s">
        <v>83</v>
      </c>
      <c r="D15" s="95" t="s">
        <v>84</v>
      </c>
      <c r="E15" s="95" t="s">
        <v>85</v>
      </c>
      <c r="F15" s="95" t="s">
        <v>29</v>
      </c>
      <c r="G15" s="95" t="s">
        <v>30</v>
      </c>
      <c r="H15" s="7"/>
      <c r="I15" s="7"/>
      <c r="J15" s="7"/>
      <c r="K15" s="15" t="s">
        <v>86</v>
      </c>
      <c r="L15" s="7"/>
      <c r="M15" s="15"/>
      <c r="N15" s="7"/>
      <c r="O15" s="12"/>
    </row>
    <row r="16" spans="2:15" outlineLevel="1" x14ac:dyDescent="0.2">
      <c r="B16" s="57" t="s">
        <v>87</v>
      </c>
      <c r="C16" s="84">
        <f t="shared" ref="C16:C21" si="0">TRUNC(F16)</f>
        <v>-41</v>
      </c>
      <c r="D16" s="83">
        <f t="shared" ref="D16:D21" si="1">TRUNC((F16-C16)*60)</f>
        <v>-51</v>
      </c>
      <c r="E16" s="82">
        <f t="shared" ref="E16:E21" si="2">(F16-C16-(D16/60))*3600</f>
        <v>-41.292532950569203</v>
      </c>
      <c r="F16" s="81">
        <f t="shared" ref="F16:F21" si="3">(G16/PI())*180</f>
        <v>-41.861470148041825</v>
      </c>
      <c r="G16" s="86">
        <f>L9</f>
        <v>-0.73062048380864786</v>
      </c>
      <c r="H16" s="7"/>
      <c r="I16" s="7"/>
      <c r="J16" s="7"/>
      <c r="K16" s="99" t="s">
        <v>88</v>
      </c>
      <c r="L16" s="79">
        <f>'Constants &amp; Parameters'!C3*(1-'Constants &amp; Parameters'!C8)/(1-'Constants &amp; Parameters'!C8*'E,N Zne to Latitude &amp; Longitude'!G23*'E,N Zne to Latitude &amp; Longitude'!G23)^1.5</f>
        <v>6364035.8944595186</v>
      </c>
      <c r="M16" s="7"/>
      <c r="N16" s="32"/>
      <c r="O16" s="12"/>
    </row>
    <row r="17" spans="2:15" outlineLevel="1" x14ac:dyDescent="0.2">
      <c r="B17" s="57" t="s">
        <v>89</v>
      </c>
      <c r="C17" s="84">
        <f t="shared" si="0"/>
        <v>0</v>
      </c>
      <c r="D17" s="83">
        <f t="shared" si="1"/>
        <v>-8</v>
      </c>
      <c r="E17" s="82">
        <f t="shared" si="2"/>
        <v>-36.430508121880919</v>
      </c>
      <c r="F17" s="81">
        <f t="shared" si="3"/>
        <v>-0.1434529189227447</v>
      </c>
      <c r="G17" s="86">
        <f>((3*'Constants &amp; Parameters'!C13/2)-(27*'Constants &amp; Parameters'!C15/32))*SIN(L10)</f>
        <v>-2.5037257567983718E-3</v>
      </c>
      <c r="H17" s="7"/>
      <c r="I17" s="7"/>
      <c r="J17" s="7"/>
      <c r="K17" s="99" t="s">
        <v>90</v>
      </c>
      <c r="L17" s="79">
        <f>'Constants &amp; Parameters'!C3/(1-'Constants &amp; Parameters'!C8*'E,N Zne to Latitude &amp; Longitude'!G23*'E,N Zne to Latitude &amp; Longitude'!G23)^0.5</f>
        <v>6387719.0287617929</v>
      </c>
      <c r="M17" s="7"/>
      <c r="N17" s="32"/>
      <c r="O17" s="12"/>
    </row>
    <row r="18" spans="2:15" outlineLevel="1" x14ac:dyDescent="0.2">
      <c r="B18" s="57" t="s">
        <v>91</v>
      </c>
      <c r="C18" s="84">
        <f t="shared" si="0"/>
        <v>0</v>
      </c>
      <c r="D18" s="83">
        <f t="shared" si="1"/>
        <v>0</v>
      </c>
      <c r="E18" s="82">
        <f t="shared" si="2"/>
        <v>-0.1659285975889512</v>
      </c>
      <c r="F18" s="81">
        <f t="shared" si="3"/>
        <v>-4.6091277108042001E-5</v>
      </c>
      <c r="G18" s="86">
        <f>((21*'Constants &amp; Parameters'!C14/16)-(55*'Constants &amp; Parameters'!C16/32))*SIN(L11)</f>
        <v>-8.0444454198442305E-7</v>
      </c>
      <c r="H18" s="7"/>
      <c r="I18" s="7"/>
      <c r="J18" s="7"/>
      <c r="K18" s="7"/>
      <c r="L18" s="7"/>
      <c r="M18" s="7"/>
      <c r="N18" s="7"/>
      <c r="O18" s="12"/>
    </row>
    <row r="19" spans="2:15" outlineLevel="1" x14ac:dyDescent="0.2">
      <c r="B19" s="57" t="s">
        <v>92</v>
      </c>
      <c r="C19" s="84">
        <f t="shared" si="0"/>
        <v>0</v>
      </c>
      <c r="D19" s="83">
        <f t="shared" si="1"/>
        <v>0</v>
      </c>
      <c r="E19" s="82">
        <f t="shared" si="2"/>
        <v>1.453993689613093E-3</v>
      </c>
      <c r="F19" s="81">
        <f t="shared" si="3"/>
        <v>4.0388713600363693E-7</v>
      </c>
      <c r="G19" s="86">
        <f>(151*'Constants &amp; Parameters'!C15)*SIN(L12)/96</f>
        <v>7.0491603297135971E-9</v>
      </c>
      <c r="H19" s="7"/>
      <c r="I19" s="7"/>
      <c r="J19" s="7"/>
      <c r="K19" s="7"/>
      <c r="L19" s="7"/>
      <c r="M19" s="7"/>
      <c r="N19" s="7"/>
      <c r="O19" s="12"/>
    </row>
    <row r="20" spans="2:15" outlineLevel="1" x14ac:dyDescent="0.2">
      <c r="B20" s="57" t="s">
        <v>93</v>
      </c>
      <c r="C20" s="84">
        <f t="shared" si="0"/>
        <v>0</v>
      </c>
      <c r="D20" s="83">
        <f t="shared" si="1"/>
        <v>0</v>
      </c>
      <c r="E20" s="82">
        <f t="shared" si="2"/>
        <v>1.4910628972976762E-6</v>
      </c>
      <c r="F20" s="81">
        <f t="shared" si="3"/>
        <v>4.141841381382434E-10</v>
      </c>
      <c r="G20" s="86">
        <f>1097*'Constants &amp; Parameters'!C16*SIN(L13)/512</f>
        <v>7.2288769200473644E-12</v>
      </c>
      <c r="H20" s="7"/>
      <c r="I20" s="7"/>
      <c r="J20" s="7"/>
      <c r="K20" s="7"/>
      <c r="L20" s="7"/>
      <c r="M20" s="7"/>
      <c r="N20" s="7"/>
      <c r="O20" s="12"/>
    </row>
    <row r="21" spans="2:15" outlineLevel="1" x14ac:dyDescent="0.2">
      <c r="B21" s="57" t="s">
        <v>94</v>
      </c>
      <c r="C21" s="84">
        <f t="shared" si="0"/>
        <v>-42</v>
      </c>
      <c r="D21" s="83">
        <f t="shared" si="1"/>
        <v>0</v>
      </c>
      <c r="E21" s="82">
        <f t="shared" si="2"/>
        <v>-17.887514185247255</v>
      </c>
      <c r="F21" s="81">
        <f t="shared" si="3"/>
        <v>-42.004968753940346</v>
      </c>
      <c r="G21" s="86">
        <f>SUM(G16:G20)</f>
        <v>-0.73312500695359895</v>
      </c>
      <c r="H21" s="7"/>
      <c r="I21" s="7"/>
      <c r="J21" s="7"/>
      <c r="K21" s="7"/>
      <c r="L21" s="7"/>
      <c r="M21" s="7"/>
      <c r="N21" s="7"/>
      <c r="O21" s="12"/>
    </row>
    <row r="22" spans="2:15" outlineLevel="1" x14ac:dyDescent="0.2">
      <c r="B22" s="57"/>
      <c r="C22" s="7"/>
      <c r="D22" s="55"/>
      <c r="E22" s="7"/>
      <c r="F22" s="7"/>
      <c r="G22" s="86"/>
      <c r="H22" s="7"/>
      <c r="I22" s="7"/>
      <c r="J22" s="7"/>
      <c r="K22" s="7"/>
      <c r="L22" s="7"/>
      <c r="M22" s="7"/>
      <c r="N22" s="7"/>
      <c r="O22" s="12"/>
    </row>
    <row r="23" spans="2:15" outlineLevel="1" x14ac:dyDescent="0.2">
      <c r="B23" s="57" t="s">
        <v>95</v>
      </c>
      <c r="C23" s="7"/>
      <c r="D23" s="55"/>
      <c r="E23" s="7"/>
      <c r="F23" s="7"/>
      <c r="G23" s="86">
        <f>SIN(G21)</f>
        <v>-0.66919505019126224</v>
      </c>
      <c r="H23" s="7"/>
      <c r="I23" s="7"/>
      <c r="J23" s="7"/>
      <c r="K23" s="7"/>
      <c r="L23" s="7"/>
      <c r="M23" s="7"/>
      <c r="N23" s="7"/>
      <c r="O23" s="12"/>
    </row>
    <row r="24" spans="2:15" outlineLevel="1" x14ac:dyDescent="0.2">
      <c r="B24" s="57" t="s">
        <v>96</v>
      </c>
      <c r="C24" s="7"/>
      <c r="D24" s="55"/>
      <c r="E24" s="7"/>
      <c r="F24" s="7"/>
      <c r="G24" s="86">
        <f>1/COS(G21)</f>
        <v>1.3457378153167745</v>
      </c>
      <c r="H24" s="7"/>
      <c r="I24" s="7"/>
      <c r="J24" s="7"/>
      <c r="K24" s="7"/>
      <c r="L24" s="7"/>
      <c r="M24" s="7"/>
      <c r="N24" s="7"/>
      <c r="O24" s="12"/>
    </row>
    <row r="25" spans="2:15" ht="15.75" outlineLevel="1" x14ac:dyDescent="0.3">
      <c r="B25" s="57" t="s">
        <v>97</v>
      </c>
      <c r="C25" s="7"/>
      <c r="D25" s="55"/>
      <c r="E25" s="7"/>
      <c r="F25" s="7"/>
      <c r="G25" s="86">
        <f>J28/('Constants &amp; Parameters'!C22*'E,N Zne to Latitude &amp; Longitude'!L17)</f>
        <v>-1.4103961827218995E-7</v>
      </c>
      <c r="H25" s="7"/>
      <c r="I25" s="7"/>
      <c r="J25" s="7"/>
      <c r="K25" s="7"/>
      <c r="L25" s="7"/>
      <c r="M25" s="7"/>
      <c r="N25" s="7"/>
      <c r="O25" s="12"/>
    </row>
    <row r="26" spans="2:15" outlineLevel="1" x14ac:dyDescent="0.2">
      <c r="B26" s="6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12"/>
    </row>
    <row r="27" spans="2:15" ht="15.75" outlineLevel="1" x14ac:dyDescent="0.3">
      <c r="B27" s="6"/>
      <c r="C27" s="56"/>
      <c r="D27" s="56"/>
      <c r="E27" s="56"/>
      <c r="F27" s="56" t="s">
        <v>57</v>
      </c>
      <c r="G27" s="95" t="s">
        <v>11</v>
      </c>
      <c r="H27" s="95" t="s">
        <v>98</v>
      </c>
      <c r="I27" s="95" t="s">
        <v>99</v>
      </c>
      <c r="J27" s="95" t="s">
        <v>100</v>
      </c>
      <c r="K27" s="98" t="s">
        <v>101</v>
      </c>
      <c r="L27" s="7"/>
      <c r="M27" s="7"/>
      <c r="N27" s="7"/>
      <c r="O27" s="12"/>
    </row>
    <row r="28" spans="2:15" outlineLevel="1" x14ac:dyDescent="0.2">
      <c r="B28" s="6"/>
      <c r="C28" s="54"/>
      <c r="D28" s="54"/>
      <c r="E28" s="54"/>
      <c r="F28" s="54">
        <v>1</v>
      </c>
      <c r="G28" s="86">
        <f>'Constants &amp; Parameters'!C13</f>
        <v>1.6792203946287211E-3</v>
      </c>
      <c r="H28" s="86">
        <f>E7/L17</f>
        <v>-2.1039569420326962E-2</v>
      </c>
      <c r="I28" s="86">
        <f>(E7*E7)/(L16*L17)</f>
        <v>4.4431081004620894E-4</v>
      </c>
      <c r="J28" s="86">
        <f>TAN(G21)</f>
        <v>-0.9005610848651886</v>
      </c>
      <c r="K28" s="86">
        <f>L17/L16</f>
        <v>1.0037214017480469</v>
      </c>
      <c r="L28" s="7"/>
      <c r="M28" s="7"/>
      <c r="N28" s="7"/>
      <c r="O28" s="12"/>
    </row>
    <row r="29" spans="2:15" outlineLevel="1" x14ac:dyDescent="0.2">
      <c r="B29" s="6"/>
      <c r="C29" s="54"/>
      <c r="D29" s="54"/>
      <c r="E29" s="54"/>
      <c r="F29" s="54">
        <v>2</v>
      </c>
      <c r="G29" s="86">
        <f>G28*G28</f>
        <v>2.8197811337370378E-6</v>
      </c>
      <c r="H29" s="86">
        <f>H28*H28</f>
        <v>4.426634813927574E-4</v>
      </c>
      <c r="I29" s="86">
        <f>I28*I28</f>
        <v>1.9741209592391836E-7</v>
      </c>
      <c r="J29" s="86">
        <f>J28*J28</f>
        <v>0.81101026757356542</v>
      </c>
      <c r="K29" s="86">
        <f>K28*K28</f>
        <v>1.0074566523270643</v>
      </c>
      <c r="L29" s="7"/>
      <c r="M29" s="7"/>
      <c r="N29" s="7"/>
      <c r="O29" s="12"/>
    </row>
    <row r="30" spans="2:15" outlineLevel="1" x14ac:dyDescent="0.2">
      <c r="B30" s="6"/>
      <c r="C30" s="54"/>
      <c r="D30" s="54"/>
      <c r="E30" s="54"/>
      <c r="F30" s="54">
        <v>3</v>
      </c>
      <c r="G30" s="86">
        <f>G28*G29</f>
        <v>4.7350339881605316E-9</v>
      </c>
      <c r="H30" s="86">
        <f>H28*H29</f>
        <v>-9.3134490466065314E-6</v>
      </c>
      <c r="I30" s="86">
        <f>I28*I29</f>
        <v>8.7712328252876067E-11</v>
      </c>
      <c r="J30" s="86">
        <f>J28*J29</f>
        <v>-0.730364286402857</v>
      </c>
      <c r="K30" s="86">
        <f>K29*K28</f>
        <v>1.0112058032741158</v>
      </c>
      <c r="L30" s="7"/>
      <c r="M30" s="7"/>
      <c r="N30" s="7"/>
      <c r="O30" s="12"/>
    </row>
    <row r="31" spans="2:15" outlineLevel="1" x14ac:dyDescent="0.2">
      <c r="B31" s="6"/>
      <c r="C31" s="54"/>
      <c r="D31" s="54"/>
      <c r="E31" s="54"/>
      <c r="F31" s="54">
        <v>4</v>
      </c>
      <c r="G31" s="86">
        <f>G29*G29</f>
        <v>7.9511656421793351E-12</v>
      </c>
      <c r="H31" s="86">
        <f>H29*H29</f>
        <v>1.9595095775875608E-7</v>
      </c>
      <c r="I31" s="86"/>
      <c r="J31" s="86">
        <f>J29*J29</f>
        <v>0.65773765410974616</v>
      </c>
      <c r="K31" s="86">
        <f>K29*K29</f>
        <v>1.0149689063180554</v>
      </c>
      <c r="L31" s="7"/>
      <c r="M31" s="7"/>
      <c r="N31" s="7"/>
      <c r="O31" s="12"/>
    </row>
    <row r="32" spans="2:15" outlineLevel="1" x14ac:dyDescent="0.2">
      <c r="B32" s="6"/>
      <c r="C32" s="54"/>
      <c r="D32" s="54"/>
      <c r="E32" s="54"/>
      <c r="F32" s="54">
        <v>5</v>
      </c>
      <c r="G32" s="86"/>
      <c r="H32" s="86">
        <f>H31*H28</f>
        <v>-4.1227237787449047E-9</v>
      </c>
      <c r="I32" s="86"/>
      <c r="J32" s="86">
        <f>J31*J28</f>
        <v>-0.59233293534175713</v>
      </c>
      <c r="K32" s="86"/>
      <c r="L32" s="7"/>
      <c r="M32" s="7"/>
      <c r="N32" s="7"/>
      <c r="O32" s="12"/>
    </row>
    <row r="33" spans="2:17" outlineLevel="1" x14ac:dyDescent="0.2">
      <c r="B33" s="6"/>
      <c r="C33" s="54"/>
      <c r="D33" s="54"/>
      <c r="E33" s="54"/>
      <c r="F33" s="54">
        <v>6</v>
      </c>
      <c r="G33" s="86"/>
      <c r="H33" s="86">
        <f>H30*H30</f>
        <v>8.6740333143736106E-11</v>
      </c>
      <c r="I33" s="86"/>
      <c r="J33" s="86">
        <f>J30*J30</f>
        <v>0.5334319908527545</v>
      </c>
      <c r="K33" s="86"/>
      <c r="L33" s="7"/>
      <c r="M33" s="7"/>
      <c r="N33" s="7"/>
      <c r="O33" s="12"/>
    </row>
    <row r="34" spans="2:17" outlineLevel="1" x14ac:dyDescent="0.2">
      <c r="B34" s="6"/>
      <c r="C34" s="54"/>
      <c r="D34" s="54"/>
      <c r="E34" s="54"/>
      <c r="F34" s="54">
        <v>7</v>
      </c>
      <c r="G34" s="86"/>
      <c r="H34" s="86">
        <f>H28*H33</f>
        <v>-1.8249792607199232E-12</v>
      </c>
      <c r="I34" s="86"/>
      <c r="J34" s="86"/>
      <c r="K34" s="86"/>
      <c r="L34" s="7"/>
      <c r="M34" s="7"/>
      <c r="N34" s="7"/>
      <c r="O34" s="12"/>
    </row>
    <row r="35" spans="2:17" outlineLevel="1" x14ac:dyDescent="0.2">
      <c r="B35" s="53"/>
      <c r="C35" s="54"/>
      <c r="D35" s="54"/>
      <c r="E35" s="54"/>
      <c r="F35" s="54"/>
      <c r="G35" s="7"/>
      <c r="H35" s="7"/>
      <c r="I35" s="7"/>
      <c r="J35" s="7"/>
      <c r="K35" s="7"/>
      <c r="L35" s="7"/>
      <c r="M35" s="7"/>
      <c r="N35" s="7"/>
      <c r="O35" s="12"/>
    </row>
    <row r="36" spans="2:17" outlineLevel="1" x14ac:dyDescent="0.2">
      <c r="B36" s="6" t="s">
        <v>31</v>
      </c>
      <c r="C36" s="7" t="s">
        <v>102</v>
      </c>
      <c r="D36" s="7" t="s">
        <v>103</v>
      </c>
      <c r="E36" s="55" t="s">
        <v>104</v>
      </c>
      <c r="F36" s="55" t="s">
        <v>105</v>
      </c>
      <c r="G36" s="55" t="s">
        <v>106</v>
      </c>
      <c r="H36" s="7"/>
      <c r="I36" s="7"/>
      <c r="J36" s="7"/>
      <c r="K36" s="7"/>
      <c r="L36" s="7" t="s">
        <v>107</v>
      </c>
      <c r="M36" s="7" t="s">
        <v>102</v>
      </c>
      <c r="N36" s="7" t="s">
        <v>103</v>
      </c>
      <c r="O36" s="88" t="s">
        <v>104</v>
      </c>
      <c r="P36" s="49" t="s">
        <v>105</v>
      </c>
      <c r="Q36" s="49" t="s">
        <v>106</v>
      </c>
    </row>
    <row r="37" spans="2:17" outlineLevel="1" x14ac:dyDescent="0.2">
      <c r="B37" s="6" t="s">
        <v>108</v>
      </c>
      <c r="C37" s="84">
        <f>TRUNC(F37)</f>
        <v>-42</v>
      </c>
      <c r="D37" s="73">
        <f>TRUNC((F37-C37)*60)</f>
        <v>0</v>
      </c>
      <c r="E37" s="82">
        <f>(F37-C37-(D37/60))*3600</f>
        <v>-17.887514185247255</v>
      </c>
      <c r="F37" s="80">
        <f t="shared" ref="F37:F43" si="4">(G37/PI())*180</f>
        <v>-42.004968753940346</v>
      </c>
      <c r="G37" s="86">
        <f>G21</f>
        <v>-0.73312500695359895</v>
      </c>
      <c r="H37" s="7"/>
      <c r="I37" s="7"/>
      <c r="J37" s="7"/>
      <c r="K37" s="7"/>
      <c r="L37" s="7" t="s">
        <v>109</v>
      </c>
      <c r="M37" s="84">
        <f t="shared" ref="M37:M43" si="5">TRUNC(P37)</f>
        <v>147</v>
      </c>
      <c r="N37" s="73">
        <f>TRUNC((P37-M37)*60)</f>
        <v>0</v>
      </c>
      <c r="O37" s="82">
        <f>(P37-M37-(N37/60))*3600</f>
        <v>0</v>
      </c>
      <c r="P37" s="80">
        <f>(E3*'Constants &amp; Parameters'!C23)+'Constants &amp; Parameters'!C24-'Constants &amp; Parameters'!C23</f>
        <v>147</v>
      </c>
      <c r="Q37" s="86">
        <f>(P37/180)*PI()</f>
        <v>2.5656340004316642</v>
      </c>
    </row>
    <row r="38" spans="2:17" outlineLevel="1" x14ac:dyDescent="0.2">
      <c r="B38" s="6" t="s">
        <v>50</v>
      </c>
      <c r="C38" s="84">
        <f>TRUNC(F38)</f>
        <v>0</v>
      </c>
      <c r="D38" s="73">
        <f>TRUNC((F38-C38)*60)</f>
        <v>0</v>
      </c>
      <c r="E38" s="82">
        <f>(F38-C38-(D38/60))*3600</f>
        <v>41.266267919339278</v>
      </c>
      <c r="F38" s="80">
        <f t="shared" si="4"/>
        <v>1.1462852199816466E-2</v>
      </c>
      <c r="G38" s="86">
        <f>-((J28/('Constants &amp; Parameters'!C22*L16))*H28*E6/2)</f>
        <v>2.0006451255627229E-4</v>
      </c>
      <c r="H38" s="7"/>
      <c r="I38" s="7"/>
      <c r="J38" s="7"/>
      <c r="K38" s="7"/>
      <c r="L38" s="7" t="s">
        <v>50</v>
      </c>
      <c r="M38" s="84">
        <f t="shared" si="5"/>
        <v>-1</v>
      </c>
      <c r="N38" s="73">
        <f>TRUNC((P38-M38)*60)</f>
        <v>-37</v>
      </c>
      <c r="O38" s="82">
        <f>(P38-M38-(N38/60))*3600</f>
        <v>-20.128958844166434</v>
      </c>
      <c r="P38" s="80">
        <f>(Q38/PI())*180</f>
        <v>-1.6222580441233796</v>
      </c>
      <c r="Q38" s="86">
        <f>G24*H28</f>
        <v>-2.8313744186916422E-2</v>
      </c>
    </row>
    <row r="39" spans="2:17" outlineLevel="1" x14ac:dyDescent="0.2">
      <c r="B39" s="6" t="s">
        <v>52</v>
      </c>
      <c r="C39" s="84">
        <f>TRUNC(F39)</f>
        <v>0</v>
      </c>
      <c r="D39" s="73">
        <f>TRUNC((F39-C39)*60)</f>
        <v>0</v>
      </c>
      <c r="E39" s="82">
        <f>(F39-C39-(D39/60))*3600</f>
        <v>-1.1279206173238181E-2</v>
      </c>
      <c r="F39" s="80">
        <f t="shared" si="4"/>
        <v>-3.1331128258994947E-6</v>
      </c>
      <c r="G39" s="86">
        <f>(J28/('Constants &amp; Parameters'!C22*L16))*(H30*E6/24)*(-4*K29+9*K28*(1-J29)+12*J29)</f>
        <v>-5.4683134648410058E-8</v>
      </c>
      <c r="H39" s="7"/>
      <c r="I39" s="7"/>
      <c r="J39" s="7"/>
      <c r="K39" s="7"/>
      <c r="L39" s="7" t="s">
        <v>52</v>
      </c>
      <c r="M39" s="84">
        <f t="shared" si="5"/>
        <v>0</v>
      </c>
      <c r="N39" s="73">
        <f>TRUNC((P39-M39)*60)</f>
        <v>0</v>
      </c>
      <c r="O39" s="82">
        <f>(P39-M39-(N39/60))*3600</f>
        <v>1.1313498471463812</v>
      </c>
      <c r="P39" s="80">
        <f>(Q39/PI())*180</f>
        <v>3.1426384642955032E-4</v>
      </c>
      <c r="Q39" s="86">
        <f>-G24*(H30/6)*(K28+2*J29)</f>
        <v>5.4849388401774789E-6</v>
      </c>
    </row>
    <row r="40" spans="2:17" outlineLevel="1" x14ac:dyDescent="0.2">
      <c r="B40" s="6" t="s">
        <v>54</v>
      </c>
      <c r="C40" s="84">
        <f>TRUNC(F40)</f>
        <v>0</v>
      </c>
      <c r="D40" s="73">
        <f>TRUNC((F40-C40)*60)</f>
        <v>0</v>
      </c>
      <c r="E40" s="82">
        <f>(F40-C40-(D40/60))*3600</f>
        <v>3.656310429254785E-6</v>
      </c>
      <c r="F40" s="80">
        <f t="shared" si="4"/>
        <v>1.015641785904107E-9</v>
      </c>
      <c r="G40" s="86">
        <f>-(J28/('Constants &amp; Parameters'!C22*L16))*(H32*E6/720)*(8*K31*(11-24*J29)-12*K30*(21-71*J29)+15*K29*(15-98*J29+15*J31)+180*K28*(5*J29-3*J31)+360*J31)</f>
        <v>1.7726293184861999E-11</v>
      </c>
      <c r="H40" s="7"/>
      <c r="I40" s="7"/>
      <c r="J40" s="7"/>
      <c r="K40" s="7"/>
      <c r="L40" s="7" t="s">
        <v>54</v>
      </c>
      <c r="M40" s="84">
        <f t="shared" si="5"/>
        <v>0</v>
      </c>
      <c r="N40" s="73">
        <f>TRUNC((P40-M40)*60)</f>
        <v>0</v>
      </c>
      <c r="O40" s="82">
        <f>(P40-M40-(N40/60))*3600</f>
        <v>-4.1522326563836693E-4</v>
      </c>
      <c r="P40" s="80">
        <f>(Q40/PI())*180</f>
        <v>-1.1533979601065747E-7</v>
      </c>
      <c r="Q40" s="86">
        <f>G24*(H32/120)*(-4*K30*(1-6*J29)+K29*(9-68*J29)+72*K28*J29+24*J31)</f>
        <v>-2.0130591989645934E-9</v>
      </c>
    </row>
    <row r="41" spans="2:17" outlineLevel="1" x14ac:dyDescent="0.2">
      <c r="B41" s="6" t="s">
        <v>55</v>
      </c>
      <c r="C41" s="84">
        <f>TRUNC(F41)</f>
        <v>0</v>
      </c>
      <c r="D41" s="73">
        <f>TRUNC((F41-C41)*60)</f>
        <v>0</v>
      </c>
      <c r="E41" s="82">
        <f>(F41-C41-(D41/60))*3600</f>
        <v>-1.3964455376201078E-9</v>
      </c>
      <c r="F41" s="80">
        <f t="shared" si="4"/>
        <v>-3.8790153822780769E-13</v>
      </c>
      <c r="G41" s="86">
        <f>(J28/('Constants &amp; Parameters'!C22*L16))*(H34*E6/40320)*(1385+3633*J29+4095*J31+1575*J33)</f>
        <v>-6.7701590156258946E-15</v>
      </c>
      <c r="H41" s="7"/>
      <c r="I41" s="7"/>
      <c r="J41" s="7"/>
      <c r="K41" s="7"/>
      <c r="L41" s="7" t="s">
        <v>55</v>
      </c>
      <c r="M41" s="84">
        <f t="shared" si="5"/>
        <v>0</v>
      </c>
      <c r="N41" s="73">
        <f>TRUNC((P41-M41)*60)</f>
        <v>0</v>
      </c>
      <c r="O41" s="82">
        <f>(P41-M41-(N41/60))*3600</f>
        <v>1.8596253198149151E-7</v>
      </c>
      <c r="P41" s="80">
        <f>(Q41/PI())*180</f>
        <v>5.1656258883747641E-11</v>
      </c>
      <c r="Q41" s="86">
        <f>-G24*(H34/5040)*(61+662*J29+1320*J31+720*J33)</f>
        <v>9.0157179678396711E-13</v>
      </c>
    </row>
    <row r="42" spans="2:17" outlineLevel="1" x14ac:dyDescent="0.2">
      <c r="B42" s="6"/>
      <c r="C42" s="84">
        <f>TRUNC(F43)</f>
        <v>-41</v>
      </c>
      <c r="D42" s="73">
        <f>TRUNC((F43-C42)*60)</f>
        <v>-59</v>
      </c>
      <c r="E42" s="82">
        <f>(F43-C42-(D42/60))*3600</f>
        <v>-36.63252181719163</v>
      </c>
      <c r="F42" s="80"/>
      <c r="G42" s="86"/>
      <c r="H42" s="7"/>
      <c r="I42" s="7"/>
      <c r="J42" s="7"/>
      <c r="K42" s="7"/>
      <c r="L42" s="7"/>
      <c r="M42" s="84"/>
      <c r="N42" s="73"/>
      <c r="O42" s="82"/>
      <c r="P42" s="80"/>
      <c r="Q42" s="86"/>
    </row>
    <row r="43" spans="2:17" ht="24" customHeight="1" collapsed="1" x14ac:dyDescent="0.2">
      <c r="B43" s="22" t="s">
        <v>31</v>
      </c>
      <c r="C43" s="78">
        <f>C42</f>
        <v>-41</v>
      </c>
      <c r="D43" s="62">
        <f>ABS(D42)</f>
        <v>59</v>
      </c>
      <c r="E43" s="109">
        <f>ABS(E42)</f>
        <v>36.63252181719163</v>
      </c>
      <c r="F43" s="80">
        <f t="shared" si="4"/>
        <v>-41.993509033838109</v>
      </c>
      <c r="G43" s="86">
        <f>SUM(G37:G41)</f>
        <v>-0.73292499710645787</v>
      </c>
      <c r="H43" s="7"/>
      <c r="I43" s="7"/>
      <c r="J43" s="7"/>
      <c r="K43" s="7"/>
      <c r="L43" s="23" t="s">
        <v>107</v>
      </c>
      <c r="M43" s="78">
        <f t="shared" si="5"/>
        <v>145</v>
      </c>
      <c r="N43" s="62">
        <f>ABS(TRUNC((P43-M43)*60))</f>
        <v>22</v>
      </c>
      <c r="O43" s="110">
        <f>ABS((P43-M43-(N43/60))*3600)</f>
        <v>41.001975965655312</v>
      </c>
      <c r="P43" s="80">
        <f>(Q43/PI())*180</f>
        <v>145.3780561044349</v>
      </c>
      <c r="Q43" s="86">
        <f>SUM(Q37:Q41)</f>
        <v>2.5373257391714303</v>
      </c>
    </row>
    <row r="44" spans="2:17" ht="12.75" customHeight="1" outlineLevel="1" x14ac:dyDescent="0.2">
      <c r="B44" s="57" t="s">
        <v>68</v>
      </c>
      <c r="C44" s="7" t="s">
        <v>102</v>
      </c>
      <c r="D44" s="7" t="s">
        <v>103</v>
      </c>
      <c r="E44" s="55" t="s">
        <v>104</v>
      </c>
      <c r="F44" s="55" t="s">
        <v>105</v>
      </c>
      <c r="G44" s="55" t="s">
        <v>106</v>
      </c>
      <c r="H44" s="7"/>
      <c r="I44" s="7"/>
      <c r="J44" s="7"/>
      <c r="K44" s="7"/>
      <c r="L44" s="7" t="s">
        <v>69</v>
      </c>
      <c r="M44" s="7"/>
      <c r="N44" s="7"/>
      <c r="O44" s="12"/>
    </row>
    <row r="45" spans="2:17" outlineLevel="1" x14ac:dyDescent="0.2">
      <c r="B45" s="6" t="s">
        <v>50</v>
      </c>
      <c r="C45" s="84">
        <f>TRUNC(F45)</f>
        <v>-1</v>
      </c>
      <c r="D45" s="73">
        <f>TRUNC((F45-C45)*60)</f>
        <v>-5</v>
      </c>
      <c r="E45" s="82">
        <f>(F45-C45-(D45/60))*3600</f>
        <v>-8.1853917371661193</v>
      </c>
      <c r="F45" s="80">
        <f>(G45/PI())*180</f>
        <v>-1.0856070532603239</v>
      </c>
      <c r="G45" s="86">
        <f>-J28*H28</f>
        <v>-1.8947417462266095E-2</v>
      </c>
      <c r="H45" s="7"/>
      <c r="I45" s="7"/>
      <c r="J45" s="7"/>
      <c r="K45" s="7"/>
      <c r="L45" s="7" t="s">
        <v>50</v>
      </c>
      <c r="M45" s="7"/>
      <c r="N45" s="7"/>
      <c r="O45" s="12"/>
      <c r="Q45" s="86">
        <f>1+I28/2</f>
        <v>1.000222155405023</v>
      </c>
    </row>
    <row r="46" spans="2:17" outlineLevel="1" x14ac:dyDescent="0.2">
      <c r="B46" s="6" t="s">
        <v>52</v>
      </c>
      <c r="C46" s="84">
        <f>TRUNC(F46)</f>
        <v>0</v>
      </c>
      <c r="D46" s="73">
        <f>TRUNC((F46-C46)*60)</f>
        <v>0</v>
      </c>
      <c r="E46" s="82">
        <f>(F46-C46-(D46/60))*3600</f>
        <v>1.0421938710085477</v>
      </c>
      <c r="F46" s="80">
        <f>(G46/PI())*180</f>
        <v>2.8949829750237436E-4</v>
      </c>
      <c r="G46" s="86">
        <f>(J28*H30/3)*(-2*K29+3*K28+J29)</f>
        <v>5.0526984703345091E-6</v>
      </c>
      <c r="H46" s="7"/>
      <c r="I46" s="7"/>
      <c r="J46" s="7"/>
      <c r="K46" s="7"/>
      <c r="L46" s="7" t="s">
        <v>52</v>
      </c>
      <c r="M46" s="7"/>
      <c r="N46" s="7"/>
      <c r="O46" s="12"/>
      <c r="Q46" s="86">
        <f>(I29/24)*(4*K28*(1-6*J29)-3*(1-16*J29)-24*J29/K28)</f>
        <v>8.3457365946343733E-9</v>
      </c>
    </row>
    <row r="47" spans="2:17" outlineLevel="1" x14ac:dyDescent="0.2">
      <c r="B47" s="6" t="s">
        <v>54</v>
      </c>
      <c r="C47" s="84">
        <f>TRUNC(F47)</f>
        <v>0</v>
      </c>
      <c r="D47" s="73">
        <f>TRUNC((F47-C47)*60)</f>
        <v>0</v>
      </c>
      <c r="E47" s="82">
        <f>(F47-C47-(D47/60))*3600</f>
        <v>-4.1041285188570865E-4</v>
      </c>
      <c r="F47" s="80">
        <f>(G47/PI())*180</f>
        <v>-1.1400356996825241E-7</v>
      </c>
      <c r="G47" s="86">
        <f>-(J28*H32/15)*(K31*(11-24*J29)-3*K30*(8-23*J29)+5*K29*(3-14*J29)+30*K28*J29+3*J31)</f>
        <v>-1.9897376549737318E-9</v>
      </c>
      <c r="H47" s="7"/>
      <c r="I47" s="7"/>
      <c r="J47" s="7"/>
      <c r="K47" s="7"/>
      <c r="L47" s="7" t="s">
        <v>54</v>
      </c>
      <c r="M47" s="7"/>
      <c r="N47" s="7"/>
      <c r="O47" s="12"/>
      <c r="Q47" s="86">
        <f>I30/720</f>
        <v>1.2182267812899453E-13</v>
      </c>
    </row>
    <row r="48" spans="2:17" outlineLevel="1" x14ac:dyDescent="0.2">
      <c r="B48" s="6" t="s">
        <v>55</v>
      </c>
      <c r="C48" s="84">
        <f>TRUNC(F48)</f>
        <v>0</v>
      </c>
      <c r="D48" s="73">
        <f>TRUNC((F48-C48)*60)</f>
        <v>0</v>
      </c>
      <c r="E48" s="82">
        <f>(F48-C48-(D48/60))*3600</f>
        <v>1.8565718265993804E-7</v>
      </c>
      <c r="F48" s="80">
        <f>(G48/PI())*180</f>
        <v>5.1571439627760569E-11</v>
      </c>
      <c r="G48" s="86">
        <f>(J28*H34/315)*(17+77*J29+105*J31+45*J33)</f>
        <v>9.0009142149790073E-13</v>
      </c>
      <c r="H48" s="7"/>
      <c r="I48" s="7"/>
      <c r="J48" s="7"/>
      <c r="K48" s="7"/>
      <c r="L48" s="7" t="s">
        <v>110</v>
      </c>
      <c r="M48" s="7"/>
      <c r="N48" s="7"/>
      <c r="O48" s="12"/>
      <c r="Q48" s="86">
        <f>SUM(Q45:Q47)</f>
        <v>1.0002221637508815</v>
      </c>
    </row>
    <row r="49" spans="2:17" ht="24.75" customHeight="1" outlineLevel="1" x14ac:dyDescent="0.2">
      <c r="B49" s="6"/>
      <c r="C49" s="84">
        <f>TRUNC(F50)</f>
        <v>-1</v>
      </c>
      <c r="D49" s="73">
        <f>TRUNC((F50-C49)*60)</f>
        <v>-5</v>
      </c>
      <c r="E49" s="82">
        <f>(F50-C49-(D49/60))*3600</f>
        <v>-7.1436080933522552</v>
      </c>
      <c r="F49" s="80"/>
      <c r="G49" s="86"/>
      <c r="H49" s="7"/>
      <c r="I49" s="7"/>
      <c r="J49" s="7"/>
      <c r="K49" s="7"/>
      <c r="L49" s="7"/>
      <c r="M49" s="7"/>
      <c r="N49" s="7"/>
      <c r="O49" s="12"/>
      <c r="Q49" s="86"/>
    </row>
    <row r="50" spans="2:17" collapsed="1" x14ac:dyDescent="0.2">
      <c r="B50" s="22" t="s">
        <v>68</v>
      </c>
      <c r="C50" s="78">
        <f>C49</f>
        <v>-1</v>
      </c>
      <c r="D50" s="62">
        <f>D49</f>
        <v>-5</v>
      </c>
      <c r="E50" s="76">
        <f>E49</f>
        <v>-7.1436080933522552</v>
      </c>
      <c r="F50" s="80">
        <f>(G50/PI())*180</f>
        <v>-1.0853176689148201</v>
      </c>
      <c r="G50" s="86">
        <f>SUM(G45:G48)</f>
        <v>-1.8942366752633322E-2</v>
      </c>
      <c r="H50" s="7"/>
      <c r="I50" s="7"/>
      <c r="J50" s="7"/>
      <c r="K50" s="7"/>
      <c r="L50" s="23" t="s">
        <v>69</v>
      </c>
      <c r="M50" s="23"/>
      <c r="N50" s="23"/>
      <c r="O50" s="87">
        <f>Q50</f>
        <v>0.99982207488538111</v>
      </c>
      <c r="Q50" s="86">
        <f>Q48*'Constants &amp; Parameters'!C22</f>
        <v>0.99982207488538111</v>
      </c>
    </row>
    <row r="51" spans="2:17" x14ac:dyDescent="0.2">
      <c r="B51" s="26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8"/>
    </row>
    <row r="53" spans="2:17" x14ac:dyDescent="0.2">
      <c r="O53" s="94" t="s">
        <v>25</v>
      </c>
    </row>
    <row r="54" spans="2:17" x14ac:dyDescent="0.2">
      <c r="O54" s="92" t="s">
        <v>26</v>
      </c>
    </row>
    <row r="55" spans="2:17" x14ac:dyDescent="0.2">
      <c r="O55" s="93" t="s">
        <v>70</v>
      </c>
    </row>
  </sheetData>
  <printOptions gridLinesSet="0"/>
  <pageMargins left="0.75" right="0.75" top="1" bottom="1" header="0.5" footer="0.5"/>
  <pageSetup paperSize="9" scale="87" orientation="portrait" horizontalDpi="180" verticalDpi="180" r:id="rId1"/>
  <headerFooter alignWithMargins="0">
    <oddHeader>&amp;C&amp;F&amp;RE, N Zone to Lat, Long</oddHeader>
    <oddFooter>&amp;L&amp;D&amp;CGDA Technical Manual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6"/>
  <sheetViews>
    <sheetView workbookViewId="0">
      <selection activeCell="H20" sqref="H20"/>
    </sheetView>
  </sheetViews>
  <sheetFormatPr defaultRowHeight="12.75" x14ac:dyDescent="0.2"/>
  <cols>
    <col min="1" max="1" width="4.7109375" customWidth="1"/>
    <col min="2" max="2" width="24.85546875" customWidth="1"/>
    <col min="3" max="3" width="20.28515625" customWidth="1"/>
    <col min="4" max="4" width="3" customWidth="1"/>
    <col min="5" max="5" width="17.7109375" customWidth="1"/>
    <col min="6" max="6" width="5.140625" customWidth="1"/>
    <col min="7" max="7" width="4.5703125" customWidth="1"/>
    <col min="8" max="8" width="13.42578125" customWidth="1"/>
    <col min="11" max="11" width="11.5703125" customWidth="1"/>
  </cols>
  <sheetData>
    <row r="1" spans="1:8" ht="18" x14ac:dyDescent="0.25">
      <c r="B1" s="108" t="s">
        <v>111</v>
      </c>
    </row>
    <row r="3" spans="1:8" ht="18" x14ac:dyDescent="0.25">
      <c r="B3" s="48" t="s">
        <v>0</v>
      </c>
      <c r="C3" s="114" t="s">
        <v>1</v>
      </c>
      <c r="E3" s="121" t="s">
        <v>112</v>
      </c>
      <c r="F3" s="116"/>
      <c r="G3" s="116"/>
      <c r="H3" s="117"/>
    </row>
    <row r="4" spans="1:8" x14ac:dyDescent="0.2">
      <c r="B4" s="6" t="s">
        <v>2</v>
      </c>
      <c r="C4" s="103">
        <v>6378137</v>
      </c>
      <c r="E4" s="6" t="s">
        <v>31</v>
      </c>
      <c r="F4" s="119">
        <v>-37</v>
      </c>
      <c r="G4" s="60">
        <v>39</v>
      </c>
      <c r="H4" s="112">
        <v>10.1561</v>
      </c>
    </row>
    <row r="5" spans="1:8" x14ac:dyDescent="0.2">
      <c r="B5" s="6" t="s">
        <v>113</v>
      </c>
      <c r="C5" s="103">
        <v>298.25722210100002</v>
      </c>
      <c r="E5" s="6" t="s">
        <v>107</v>
      </c>
      <c r="F5" s="119">
        <v>143</v>
      </c>
      <c r="G5" s="60">
        <v>55</v>
      </c>
      <c r="H5" s="112">
        <v>35.383899999999997</v>
      </c>
    </row>
    <row r="6" spans="1:8" x14ac:dyDescent="0.2">
      <c r="B6" s="6" t="s">
        <v>16</v>
      </c>
      <c r="C6" s="113" t="s">
        <v>114</v>
      </c>
      <c r="E6" s="6" t="s">
        <v>35</v>
      </c>
      <c r="F6" s="118"/>
      <c r="G6" s="118"/>
      <c r="H6" s="126">
        <v>54</v>
      </c>
    </row>
    <row r="7" spans="1:8" x14ac:dyDescent="0.2">
      <c r="B7" s="6" t="s">
        <v>18</v>
      </c>
      <c r="C7" s="103">
        <v>500000</v>
      </c>
      <c r="E7" s="6" t="s">
        <v>62</v>
      </c>
      <c r="F7" s="118"/>
      <c r="G7" s="118"/>
      <c r="H7" s="120">
        <v>758173.79728005419</v>
      </c>
    </row>
    <row r="8" spans="1:8" x14ac:dyDescent="0.2">
      <c r="B8" s="6" t="s">
        <v>19</v>
      </c>
      <c r="C8" s="103">
        <v>10000000</v>
      </c>
      <c r="E8" s="6" t="s">
        <v>63</v>
      </c>
      <c r="F8" s="118"/>
      <c r="G8" s="118"/>
      <c r="H8" s="120">
        <v>5828674.3400593381</v>
      </c>
    </row>
    <row r="9" spans="1:8" ht="15.75" x14ac:dyDescent="0.3">
      <c r="B9" s="6" t="s">
        <v>20</v>
      </c>
      <c r="C9" s="122">
        <v>0.99960000000000004</v>
      </c>
      <c r="E9" s="6" t="s">
        <v>68</v>
      </c>
      <c r="F9" s="119">
        <v>1</v>
      </c>
      <c r="G9" s="60">
        <v>47</v>
      </c>
      <c r="H9" s="125">
        <v>19.360411513365918</v>
      </c>
    </row>
    <row r="10" spans="1:8" x14ac:dyDescent="0.2">
      <c r="B10" s="6" t="s">
        <v>21</v>
      </c>
      <c r="C10" s="105">
        <v>6</v>
      </c>
      <c r="E10" s="26" t="s">
        <v>69</v>
      </c>
      <c r="F10" s="115"/>
      <c r="G10" s="115"/>
      <c r="H10" s="124">
        <v>1.0004210730598695</v>
      </c>
    </row>
    <row r="11" spans="1:8" ht="25.5" x14ac:dyDescent="0.2">
      <c r="B11" s="70" t="s">
        <v>22</v>
      </c>
      <c r="C11" s="106">
        <v>-177</v>
      </c>
    </row>
    <row r="12" spans="1:8" x14ac:dyDescent="0.2">
      <c r="A12" s="3"/>
    </row>
    <row r="16" spans="1:8" x14ac:dyDescent="0.2">
      <c r="E16" t="s">
        <v>115</v>
      </c>
    </row>
  </sheetData>
  <sheetProtection sheet="1" objects="1" scenarios="1"/>
  <pageMargins left="0.75" right="0.75" top="1" bottom="1" header="0.5" footer="0.5"/>
  <pageSetup paperSize="9" scale="94" orientation="portrait" horizontalDpi="0" verticalDpi="0" r:id="rId1"/>
  <headerFooter alignWithMargins="0">
    <oddHeader>&amp;C&amp;F&amp;RTest Data</oddHeader>
    <oddFooter>&amp;L&amp;D&amp;C&amp;F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Constants &amp; Parameters</vt:lpstr>
      <vt:lpstr>Latitude &amp; Longitude to E,N,Zne</vt:lpstr>
      <vt:lpstr>E,N Zne to Latitude &amp; Longitude</vt:lpstr>
      <vt:lpstr>Test data</vt:lpstr>
      <vt:lpstr>Лист1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user</cp:lastModifiedBy>
  <cp:lastPrinted>1998-03-31T02:28:43Z</cp:lastPrinted>
  <dcterms:created xsi:type="dcterms:W3CDTF">1999-07-14T05:04:21Z</dcterms:created>
  <dcterms:modified xsi:type="dcterms:W3CDTF">2018-12-12T14:22:53Z</dcterms:modified>
</cp:coreProperties>
</file>